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7CCDE0D6-60EB-455E-B8B9-4DB6C87BBF8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Kreditrechner" sheetId="1" r:id="rId1"/>
  </sheets>
  <definedNames>
    <definedName name="_xlnm.Print_Area" localSheetId="0">Kreditrechner!$A$1:$G$139</definedName>
    <definedName name="_xlnm.Print_Titles" localSheetId="0">Kreditrechner!$1:$19</definedName>
    <definedName name="Zahlung">Kreditrechner!$A$20:$A$499</definedName>
    <definedName name="Zins_Sp">Kreditrechner!$D$20:$D$499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 l="1"/>
  <c r="E20" i="1"/>
  <c r="G20" i="1" s="1"/>
  <c r="A21" i="1" s="1"/>
  <c r="D20" i="1"/>
  <c r="A20" i="1"/>
  <c r="C15" i="1"/>
  <c r="D9" i="1" s="1"/>
  <c r="F9" i="1"/>
  <c r="F21" i="1" l="1"/>
  <c r="D21" i="1"/>
  <c r="E21" i="1" s="1"/>
  <c r="B21" i="1"/>
  <c r="B20" i="1"/>
  <c r="C20" i="1"/>
  <c r="C21" i="1" l="1"/>
  <c r="G21" i="1"/>
  <c r="A22" i="1" s="1"/>
  <c r="F22" i="1" l="1"/>
  <c r="D22" i="1"/>
  <c r="E22" i="1" s="1"/>
  <c r="B22" i="1"/>
  <c r="C22" i="1" l="1"/>
  <c r="G22" i="1"/>
  <c r="A23" i="1" s="1"/>
  <c r="D23" i="1" l="1"/>
  <c r="F23" i="1"/>
  <c r="C23" i="1" s="1"/>
  <c r="E23" i="1"/>
  <c r="G23" i="1" s="1"/>
  <c r="A24" i="1" s="1"/>
  <c r="B23" i="1"/>
  <c r="E24" i="1" l="1"/>
  <c r="G24" i="1" s="1"/>
  <c r="A25" i="1" s="1"/>
  <c r="D24" i="1"/>
  <c r="B24" i="1"/>
  <c r="F24" i="1"/>
  <c r="D25" i="1" l="1"/>
  <c r="E25" i="1" s="1"/>
  <c r="G25" i="1" s="1"/>
  <c r="A26" i="1" s="1"/>
  <c r="B25" i="1"/>
  <c r="F25" i="1"/>
  <c r="C24" i="1"/>
  <c r="B26" i="1" l="1"/>
  <c r="F26" i="1"/>
  <c r="D26" i="1"/>
  <c r="C25" i="1"/>
  <c r="E26" i="1" l="1"/>
  <c r="G26" i="1" s="1"/>
  <c r="A27" i="1" s="1"/>
  <c r="F27" i="1" l="1"/>
  <c r="D27" i="1"/>
  <c r="B27" i="1"/>
  <c r="E27" i="1"/>
  <c r="G27" i="1" s="1"/>
  <c r="A28" i="1" s="1"/>
  <c r="C26" i="1"/>
  <c r="D28" i="1" l="1"/>
  <c r="B28" i="1"/>
  <c r="E28" i="1"/>
  <c r="C28" i="1" s="1"/>
  <c r="F28" i="1"/>
  <c r="G28" i="1" s="1"/>
  <c r="A29" i="1" s="1"/>
  <c r="C27" i="1"/>
  <c r="F29" i="1" l="1"/>
  <c r="C29" i="1" s="1"/>
  <c r="D29" i="1"/>
  <c r="E29" i="1"/>
  <c r="G29" i="1" s="1"/>
  <c r="A30" i="1" s="1"/>
  <c r="B29" i="1"/>
  <c r="F30" i="1" l="1"/>
  <c r="B30" i="1"/>
  <c r="D30" i="1"/>
  <c r="E30" i="1" s="1"/>
  <c r="G30" i="1" s="1"/>
  <c r="A31" i="1" s="1"/>
  <c r="B31" i="1" l="1"/>
  <c r="D31" i="1"/>
  <c r="E31" i="1"/>
  <c r="F31" i="1" s="1"/>
  <c r="C30" i="1"/>
  <c r="C31" i="1" l="1"/>
  <c r="G31" i="1"/>
  <c r="A32" i="1" s="1"/>
  <c r="F32" i="1" l="1"/>
  <c r="B32" i="1"/>
  <c r="D32" i="1"/>
  <c r="E32" i="1" s="1"/>
  <c r="G32" i="1" s="1"/>
  <c r="A33" i="1" s="1"/>
  <c r="F33" i="1" l="1"/>
  <c r="D33" i="1"/>
  <c r="E33" i="1" s="1"/>
  <c r="B33" i="1"/>
  <c r="C32" i="1"/>
  <c r="G33" i="1" l="1"/>
  <c r="A34" i="1" s="1"/>
  <c r="C33" i="1"/>
  <c r="B34" i="1" l="1"/>
  <c r="D34" i="1"/>
  <c r="F34" i="1"/>
  <c r="E34" i="1" l="1"/>
  <c r="G34" i="1" s="1"/>
  <c r="A35" i="1" s="1"/>
  <c r="F35" i="1" l="1"/>
  <c r="D35" i="1"/>
  <c r="E35" i="1" s="1"/>
  <c r="G35" i="1" s="1"/>
  <c r="A36" i="1" s="1"/>
  <c r="B35" i="1"/>
  <c r="C34" i="1"/>
  <c r="F36" i="1" l="1"/>
  <c r="D36" i="1"/>
  <c r="E36" i="1" s="1"/>
  <c r="G36" i="1" s="1"/>
  <c r="A37" i="1" s="1"/>
  <c r="B36" i="1"/>
  <c r="C35" i="1"/>
  <c r="D37" i="1" l="1"/>
  <c r="F37" i="1"/>
  <c r="E37" i="1"/>
  <c r="G37" i="1" s="1"/>
  <c r="A38" i="1" s="1"/>
  <c r="B37" i="1"/>
  <c r="C36" i="1"/>
  <c r="F38" i="1" l="1"/>
  <c r="D38" i="1"/>
  <c r="E38" i="1" s="1"/>
  <c r="B38" i="1"/>
  <c r="C37" i="1"/>
  <c r="G38" i="1" l="1"/>
  <c r="A39" i="1" s="1"/>
  <c r="C38" i="1"/>
  <c r="F39" i="1" l="1"/>
  <c r="D39" i="1"/>
  <c r="E39" i="1" s="1"/>
  <c r="G39" i="1" s="1"/>
  <c r="A40" i="1" s="1"/>
  <c r="B39" i="1"/>
  <c r="D40" i="1" l="1"/>
  <c r="E40" i="1" s="1"/>
  <c r="F40" i="1"/>
  <c r="B40" i="1"/>
  <c r="C39" i="1"/>
  <c r="C40" i="1" l="1"/>
  <c r="G40" i="1"/>
  <c r="A41" i="1" s="1"/>
  <c r="F41" i="1" l="1"/>
  <c r="D41" i="1"/>
  <c r="E41" i="1" s="1"/>
  <c r="B41" i="1"/>
  <c r="C41" i="1" l="1"/>
  <c r="G41" i="1"/>
  <c r="A42" i="1" s="1"/>
  <c r="F42" i="1" l="1"/>
  <c r="D42" i="1"/>
  <c r="E42" i="1" s="1"/>
  <c r="B42" i="1"/>
  <c r="C42" i="1" l="1"/>
  <c r="G42" i="1"/>
  <c r="A43" i="1" s="1"/>
  <c r="D43" i="1" l="1"/>
  <c r="E43" i="1" s="1"/>
  <c r="B43" i="1"/>
  <c r="F43" i="1" l="1"/>
  <c r="G43" i="1" s="1"/>
  <c r="A44" i="1" s="1"/>
  <c r="D44" i="1" l="1"/>
  <c r="E44" i="1" s="1"/>
  <c r="B44" i="1"/>
  <c r="F44" i="1"/>
  <c r="C43" i="1"/>
  <c r="G44" i="1" l="1"/>
  <c r="A45" i="1" s="1"/>
  <c r="C44" i="1"/>
  <c r="D45" i="1" l="1"/>
  <c r="E45" i="1" s="1"/>
  <c r="B45" i="1"/>
  <c r="F45" i="1"/>
  <c r="C45" i="1" l="1"/>
  <c r="G45" i="1"/>
  <c r="A46" i="1" s="1"/>
  <c r="B46" i="1" l="1"/>
  <c r="D46" i="1"/>
  <c r="E46" i="1" s="1"/>
  <c r="F46" i="1"/>
  <c r="G46" i="1" l="1"/>
  <c r="A47" i="1" s="1"/>
  <c r="C46" i="1"/>
  <c r="F47" i="1" l="1"/>
  <c r="D47" i="1"/>
  <c r="B47" i="1"/>
  <c r="E47" i="1"/>
  <c r="G47" i="1" s="1"/>
  <c r="A48" i="1" s="1"/>
  <c r="D48" i="1" l="1"/>
  <c r="B48" i="1"/>
  <c r="F48" i="1"/>
  <c r="E48" i="1"/>
  <c r="C48" i="1" s="1"/>
  <c r="C47" i="1"/>
  <c r="G48" i="1" l="1"/>
  <c r="A49" i="1" s="1"/>
  <c r="F49" i="1" l="1"/>
  <c r="E49" i="1"/>
  <c r="G49" i="1" s="1"/>
  <c r="A50" i="1" s="1"/>
  <c r="D49" i="1"/>
  <c r="B49" i="1"/>
  <c r="F50" i="1" l="1"/>
  <c r="B50" i="1"/>
  <c r="D50" i="1"/>
  <c r="E50" i="1" s="1"/>
  <c r="G50" i="1" s="1"/>
  <c r="A51" i="1" s="1"/>
  <c r="C49" i="1"/>
  <c r="B51" i="1" l="1"/>
  <c r="D51" i="1"/>
  <c r="C51" i="1" s="1"/>
  <c r="F51" i="1"/>
  <c r="E51" i="1"/>
  <c r="G51" i="1" s="1"/>
  <c r="A52" i="1" s="1"/>
  <c r="C50" i="1"/>
  <c r="F52" i="1" l="1"/>
  <c r="D52" i="1"/>
  <c r="E52" i="1" s="1"/>
  <c r="G52" i="1" s="1"/>
  <c r="A53" i="1" s="1"/>
  <c r="B52" i="1"/>
  <c r="F53" i="1" l="1"/>
  <c r="D53" i="1"/>
  <c r="E53" i="1" s="1"/>
  <c r="B53" i="1"/>
  <c r="C52" i="1"/>
  <c r="G53" i="1" l="1"/>
  <c r="A54" i="1" s="1"/>
  <c r="C53" i="1"/>
  <c r="B54" i="1" l="1"/>
  <c r="D54" i="1"/>
  <c r="C54" i="1" s="1"/>
  <c r="F54" i="1"/>
  <c r="E54" i="1"/>
  <c r="G54" i="1" s="1"/>
  <c r="A55" i="1" s="1"/>
  <c r="D55" i="1" l="1"/>
  <c r="E55" i="1" s="1"/>
  <c r="B55" i="1"/>
  <c r="F55" i="1" l="1"/>
  <c r="G55" i="1" s="1"/>
  <c r="A56" i="1" s="1"/>
  <c r="F56" i="1" l="1"/>
  <c r="D56" i="1"/>
  <c r="E56" i="1" s="1"/>
  <c r="G56" i="1" s="1"/>
  <c r="A57" i="1" s="1"/>
  <c r="B56" i="1"/>
  <c r="C55" i="1"/>
  <c r="F57" i="1" l="1"/>
  <c r="B57" i="1"/>
  <c r="D57" i="1"/>
  <c r="E57" i="1" s="1"/>
  <c r="G57" i="1" s="1"/>
  <c r="A58" i="1" s="1"/>
  <c r="C56" i="1"/>
  <c r="F58" i="1" l="1"/>
  <c r="D58" i="1"/>
  <c r="B58" i="1"/>
  <c r="C57" i="1"/>
  <c r="E58" i="1" l="1"/>
  <c r="G58" i="1" s="1"/>
  <c r="A59" i="1" s="1"/>
  <c r="F59" i="1" l="1"/>
  <c r="D59" i="1"/>
  <c r="E59" i="1" s="1"/>
  <c r="B59" i="1"/>
  <c r="C58" i="1"/>
  <c r="G59" i="1" l="1"/>
  <c r="A60" i="1" s="1"/>
  <c r="C59" i="1"/>
  <c r="B60" i="1" l="1"/>
  <c r="D60" i="1"/>
  <c r="C60" i="1" s="1"/>
  <c r="F60" i="1"/>
  <c r="E60" i="1"/>
  <c r="G60" i="1" s="1"/>
  <c r="A61" i="1" s="1"/>
  <c r="F61" i="1" l="1"/>
  <c r="D61" i="1"/>
  <c r="E61" i="1" s="1"/>
  <c r="B61" i="1"/>
  <c r="C61" i="1" l="1"/>
  <c r="G61" i="1"/>
  <c r="A62" i="1" s="1"/>
  <c r="F62" i="1" l="1"/>
  <c r="D62" i="1"/>
  <c r="E62" i="1" s="1"/>
  <c r="B62" i="1"/>
  <c r="C62" i="1" l="1"/>
  <c r="G62" i="1"/>
  <c r="A63" i="1" s="1"/>
  <c r="D63" i="1" l="1"/>
  <c r="F63" i="1"/>
  <c r="E63" i="1"/>
  <c r="G63" i="1" s="1"/>
  <c r="A64" i="1" s="1"/>
  <c r="B63" i="1"/>
  <c r="D64" i="1" l="1"/>
  <c r="E64" i="1" s="1"/>
  <c r="B64" i="1"/>
  <c r="F64" i="1"/>
  <c r="C63" i="1"/>
  <c r="G64" i="1" l="1"/>
  <c r="A65" i="1" s="1"/>
  <c r="C64" i="1"/>
  <c r="D65" i="1" l="1"/>
  <c r="E65" i="1" s="1"/>
  <c r="B65" i="1"/>
  <c r="F65" i="1"/>
  <c r="C65" i="1" l="1"/>
  <c r="G65" i="1"/>
  <c r="A66" i="1" s="1"/>
  <c r="B66" i="1" l="1"/>
  <c r="D66" i="1"/>
  <c r="F66" i="1"/>
  <c r="E66" i="1"/>
  <c r="G66" i="1" s="1"/>
  <c r="A67" i="1" s="1"/>
  <c r="D67" i="1" l="1"/>
  <c r="B67" i="1"/>
  <c r="E67" i="1"/>
  <c r="C66" i="1"/>
  <c r="F67" i="1" l="1"/>
  <c r="G67" i="1" s="1"/>
  <c r="A68" i="1" s="1"/>
  <c r="D68" i="1" l="1"/>
  <c r="B68" i="1"/>
  <c r="F68" i="1"/>
  <c r="E68" i="1"/>
  <c r="C68" i="1" s="1"/>
  <c r="C67" i="1"/>
  <c r="G68" i="1" l="1"/>
  <c r="A69" i="1" s="1"/>
  <c r="F69" i="1" l="1"/>
  <c r="D69" i="1"/>
  <c r="B69" i="1"/>
  <c r="E69" i="1"/>
  <c r="G69" i="1" s="1"/>
  <c r="A70" i="1" s="1"/>
  <c r="F70" i="1" l="1"/>
  <c r="B70" i="1"/>
  <c r="D70" i="1"/>
  <c r="E70" i="1" s="1"/>
  <c r="G70" i="1" s="1"/>
  <c r="A71" i="1" s="1"/>
  <c r="C69" i="1"/>
  <c r="C71" i="1" l="1"/>
  <c r="B71" i="1"/>
  <c r="D71" i="1"/>
  <c r="F71" i="1"/>
  <c r="G71" i="1"/>
  <c r="A72" i="1" s="1"/>
  <c r="E71" i="1"/>
  <c r="C70" i="1"/>
  <c r="G72" i="1" l="1"/>
  <c r="A73" i="1" s="1"/>
  <c r="F72" i="1"/>
  <c r="E72" i="1"/>
  <c r="D72" i="1"/>
  <c r="B72" i="1"/>
  <c r="C72" i="1"/>
  <c r="G73" i="1" l="1"/>
  <c r="A74" i="1" s="1"/>
  <c r="F73" i="1"/>
  <c r="E73" i="1"/>
  <c r="D73" i="1"/>
  <c r="B73" i="1"/>
  <c r="C73" i="1"/>
  <c r="B74" i="1" l="1"/>
  <c r="E74" i="1"/>
  <c r="G74" i="1"/>
  <c r="A75" i="1" s="1"/>
  <c r="F74" i="1"/>
  <c r="D74" i="1"/>
  <c r="C74" i="1"/>
  <c r="G75" i="1" l="1"/>
  <c r="A76" i="1" s="1"/>
  <c r="F75" i="1"/>
  <c r="D75" i="1"/>
  <c r="E75" i="1"/>
  <c r="C75" i="1"/>
  <c r="B75" i="1"/>
  <c r="G76" i="1" l="1"/>
  <c r="A77" i="1" s="1"/>
  <c r="F76" i="1"/>
  <c r="E76" i="1"/>
  <c r="C76" i="1"/>
  <c r="D76" i="1"/>
  <c r="B76" i="1"/>
  <c r="D77" i="1" l="1"/>
  <c r="C77" i="1"/>
  <c r="B77" i="1"/>
  <c r="G77" i="1"/>
  <c r="A78" i="1" s="1"/>
  <c r="F77" i="1"/>
  <c r="E77" i="1"/>
  <c r="G78" i="1" l="1"/>
  <c r="A79" i="1" s="1"/>
  <c r="F78" i="1"/>
  <c r="E78" i="1"/>
  <c r="C78" i="1"/>
  <c r="D78" i="1"/>
  <c r="B78" i="1"/>
  <c r="G79" i="1" l="1"/>
  <c r="A80" i="1" s="1"/>
  <c r="F79" i="1"/>
  <c r="E79" i="1"/>
  <c r="D79" i="1"/>
  <c r="C79" i="1"/>
  <c r="B79" i="1"/>
  <c r="E80" i="1" l="1"/>
  <c r="G80" i="1"/>
  <c r="A81" i="1" s="1"/>
  <c r="F80" i="1"/>
  <c r="D80" i="1"/>
  <c r="C80" i="1"/>
  <c r="B80" i="1"/>
  <c r="F81" i="1" l="1"/>
  <c r="E81" i="1"/>
  <c r="D81" i="1"/>
  <c r="C81" i="1"/>
  <c r="B81" i="1"/>
  <c r="G81" i="1"/>
  <c r="A82" i="1" s="1"/>
  <c r="F82" i="1" l="1"/>
  <c r="E82" i="1"/>
  <c r="D82" i="1"/>
  <c r="C82" i="1"/>
  <c r="B82" i="1"/>
  <c r="G82" i="1"/>
  <c r="A83" i="1" s="1"/>
  <c r="D83" i="1" l="1"/>
  <c r="C83" i="1"/>
  <c r="G83" i="1"/>
  <c r="A84" i="1" s="1"/>
  <c r="B83" i="1"/>
  <c r="F83" i="1"/>
  <c r="E83" i="1"/>
  <c r="G84" i="1" l="1"/>
  <c r="A85" i="1" s="1"/>
  <c r="E84" i="1"/>
  <c r="D84" i="1"/>
  <c r="C84" i="1"/>
  <c r="B84" i="1"/>
  <c r="F84" i="1"/>
  <c r="E85" i="1" l="1"/>
  <c r="D85" i="1"/>
  <c r="C85" i="1"/>
  <c r="B85" i="1"/>
  <c r="G85" i="1"/>
  <c r="A86" i="1" s="1"/>
  <c r="F85" i="1"/>
  <c r="G86" i="1" l="1"/>
  <c r="A87" i="1" s="1"/>
  <c r="F86" i="1"/>
  <c r="E86" i="1"/>
  <c r="D86" i="1"/>
  <c r="C86" i="1"/>
  <c r="B86" i="1"/>
  <c r="G87" i="1" l="1"/>
  <c r="A88" i="1" s="1"/>
  <c r="F87" i="1"/>
  <c r="D87" i="1"/>
  <c r="C87" i="1"/>
  <c r="B87" i="1"/>
  <c r="E87" i="1"/>
  <c r="D88" i="1" l="1"/>
  <c r="C88" i="1"/>
  <c r="B88" i="1"/>
  <c r="E88" i="1"/>
  <c r="G88" i="1"/>
  <c r="A89" i="1" s="1"/>
  <c r="F88" i="1"/>
  <c r="F89" i="1" l="1"/>
  <c r="G89" i="1"/>
  <c r="A90" i="1" s="1"/>
  <c r="D89" i="1"/>
  <c r="C89" i="1"/>
  <c r="B89" i="1"/>
  <c r="E89" i="1"/>
  <c r="E90" i="1" l="1"/>
  <c r="G90" i="1"/>
  <c r="A91" i="1" s="1"/>
  <c r="F90" i="1"/>
  <c r="C90" i="1"/>
  <c r="B90" i="1"/>
  <c r="D90" i="1"/>
  <c r="C91" i="1" l="1"/>
  <c r="B91" i="1"/>
  <c r="G91" i="1"/>
  <c r="A92" i="1" s="1"/>
  <c r="E91" i="1"/>
  <c r="F91" i="1"/>
  <c r="D91" i="1"/>
  <c r="G92" i="1" l="1"/>
  <c r="A93" i="1" s="1"/>
  <c r="E92" i="1"/>
  <c r="F92" i="1"/>
  <c r="D92" i="1"/>
  <c r="C92" i="1"/>
  <c r="B92" i="1"/>
  <c r="G93" i="1" l="1"/>
  <c r="A94" i="1" s="1"/>
  <c r="F93" i="1"/>
  <c r="E93" i="1"/>
  <c r="D93" i="1"/>
  <c r="B93" i="1"/>
  <c r="C93" i="1"/>
  <c r="B94" i="1" l="1"/>
  <c r="F94" i="1"/>
  <c r="E94" i="1"/>
  <c r="G94" i="1"/>
  <c r="A95" i="1" s="1"/>
  <c r="D94" i="1"/>
  <c r="C94" i="1"/>
  <c r="G95" i="1" l="1"/>
  <c r="A96" i="1" s="1"/>
  <c r="F95" i="1"/>
  <c r="D95" i="1"/>
  <c r="E95" i="1"/>
  <c r="C95" i="1"/>
  <c r="B95" i="1"/>
  <c r="G96" i="1" l="1"/>
  <c r="A97" i="1" s="1"/>
  <c r="F96" i="1"/>
  <c r="E96" i="1"/>
  <c r="D96" i="1"/>
  <c r="C96" i="1"/>
  <c r="B96" i="1"/>
  <c r="G97" i="1" l="1"/>
  <c r="A98" i="1" s="1"/>
  <c r="F97" i="1"/>
  <c r="C97" i="1"/>
  <c r="D97" i="1"/>
  <c r="E97" i="1"/>
  <c r="B97" i="1"/>
  <c r="G98" i="1" l="1"/>
  <c r="A99" i="1" s="1"/>
  <c r="F98" i="1"/>
  <c r="E98" i="1"/>
  <c r="D98" i="1"/>
  <c r="C98" i="1"/>
  <c r="B98" i="1"/>
  <c r="G99" i="1" l="1"/>
  <c r="A100" i="1" s="1"/>
  <c r="F99" i="1"/>
  <c r="E99" i="1"/>
  <c r="D99" i="1"/>
  <c r="C99" i="1"/>
  <c r="B99" i="1"/>
  <c r="F100" i="1" l="1"/>
  <c r="G100" i="1"/>
  <c r="A101" i="1" s="1"/>
  <c r="E100" i="1"/>
  <c r="B100" i="1"/>
  <c r="D100" i="1"/>
  <c r="C100" i="1"/>
  <c r="F101" i="1" l="1"/>
  <c r="E101" i="1"/>
  <c r="D101" i="1"/>
  <c r="B101" i="1"/>
  <c r="C101" i="1"/>
  <c r="G101" i="1"/>
  <c r="A102" i="1" s="1"/>
  <c r="F102" i="1" l="1"/>
  <c r="E102" i="1"/>
  <c r="D102" i="1"/>
  <c r="C102" i="1"/>
  <c r="B102" i="1"/>
  <c r="G102" i="1"/>
  <c r="A103" i="1" s="1"/>
  <c r="E103" i="1" l="1"/>
  <c r="D103" i="1"/>
  <c r="F103" i="1"/>
  <c r="G103" i="1"/>
  <c r="A104" i="1" s="1"/>
  <c r="C103" i="1"/>
  <c r="B103" i="1"/>
  <c r="G104" i="1" l="1"/>
  <c r="A105" i="1" s="1"/>
  <c r="E104" i="1"/>
  <c r="D104" i="1"/>
  <c r="C104" i="1"/>
  <c r="B104" i="1"/>
  <c r="F104" i="1"/>
  <c r="E105" i="1" l="1"/>
  <c r="D105" i="1"/>
  <c r="C105" i="1"/>
  <c r="B105" i="1"/>
  <c r="G105" i="1"/>
  <c r="A106" i="1" s="1"/>
  <c r="F105" i="1"/>
  <c r="G106" i="1" l="1"/>
  <c r="A107" i="1" s="1"/>
  <c r="F106" i="1"/>
  <c r="E106" i="1"/>
  <c r="D106" i="1"/>
  <c r="C106" i="1"/>
  <c r="B106" i="1"/>
  <c r="G107" i="1" l="1"/>
  <c r="A108" i="1" s="1"/>
  <c r="F107" i="1"/>
  <c r="D107" i="1"/>
  <c r="C107" i="1"/>
  <c r="B107" i="1"/>
  <c r="E107" i="1"/>
  <c r="D108" i="1" l="1"/>
  <c r="C108" i="1"/>
  <c r="B108" i="1"/>
  <c r="G108" i="1"/>
  <c r="A109" i="1" s="1"/>
  <c r="F108" i="1"/>
  <c r="E108" i="1"/>
  <c r="F109" i="1" l="1"/>
  <c r="G109" i="1"/>
  <c r="A110" i="1" s="1"/>
  <c r="C109" i="1"/>
  <c r="E109" i="1"/>
  <c r="D109" i="1"/>
  <c r="B109" i="1"/>
  <c r="G110" i="1" l="1"/>
  <c r="A111" i="1" s="1"/>
  <c r="F110" i="1"/>
  <c r="E110" i="1"/>
  <c r="C110" i="1"/>
  <c r="B110" i="1"/>
  <c r="D110" i="1"/>
  <c r="C111" i="1" l="1"/>
  <c r="B111" i="1"/>
  <c r="E111" i="1"/>
  <c r="G111" i="1"/>
  <c r="A112" i="1" s="1"/>
  <c r="F111" i="1"/>
  <c r="D111" i="1"/>
  <c r="G112" i="1" l="1"/>
  <c r="A113" i="1" s="1"/>
  <c r="E112" i="1"/>
  <c r="F112" i="1"/>
  <c r="B112" i="1"/>
  <c r="D112" i="1"/>
  <c r="C112" i="1"/>
  <c r="G113" i="1" l="1"/>
  <c r="A114" i="1" s="1"/>
  <c r="F113" i="1"/>
  <c r="E113" i="1"/>
  <c r="D113" i="1"/>
  <c r="B113" i="1"/>
  <c r="C113" i="1"/>
  <c r="B114" i="1" l="1"/>
  <c r="G114" i="1"/>
  <c r="A115" i="1" s="1"/>
  <c r="F114" i="1"/>
  <c r="E114" i="1"/>
  <c r="D114" i="1"/>
  <c r="C114" i="1"/>
  <c r="G115" i="1" l="1"/>
  <c r="A116" i="1" s="1"/>
  <c r="F115" i="1"/>
  <c r="D115" i="1"/>
  <c r="E115" i="1"/>
  <c r="C115" i="1"/>
  <c r="B115" i="1"/>
  <c r="G116" i="1" l="1"/>
  <c r="A117" i="1" s="1"/>
  <c r="F116" i="1"/>
  <c r="E116" i="1"/>
  <c r="D116" i="1"/>
  <c r="C116" i="1"/>
  <c r="B116" i="1"/>
  <c r="D117" i="1" l="1"/>
  <c r="C117" i="1"/>
  <c r="G117" i="1"/>
  <c r="A118" i="1" s="1"/>
  <c r="F117" i="1"/>
  <c r="E117" i="1"/>
  <c r="B117" i="1"/>
  <c r="G118" i="1" l="1"/>
  <c r="A119" i="1" s="1"/>
  <c r="F118" i="1"/>
  <c r="E118" i="1"/>
  <c r="C118" i="1"/>
  <c r="D118" i="1"/>
  <c r="B118" i="1"/>
  <c r="G119" i="1" l="1"/>
  <c r="A120" i="1" s="1"/>
  <c r="F119" i="1"/>
  <c r="E119" i="1"/>
  <c r="D119" i="1"/>
  <c r="C119" i="1"/>
  <c r="B119" i="1"/>
  <c r="C120" i="1" l="1"/>
  <c r="B120" i="1"/>
  <c r="G120" i="1"/>
  <c r="A121" i="1" s="1"/>
  <c r="F120" i="1"/>
  <c r="E120" i="1"/>
  <c r="D120" i="1"/>
  <c r="F121" i="1" l="1"/>
  <c r="E121" i="1"/>
  <c r="D121" i="1"/>
  <c r="C121" i="1"/>
  <c r="B121" i="1"/>
  <c r="G121" i="1"/>
  <c r="A122" i="1" s="1"/>
  <c r="F122" i="1" l="1"/>
  <c r="E122" i="1"/>
  <c r="D122" i="1"/>
  <c r="C122" i="1"/>
  <c r="B122" i="1"/>
  <c r="G122" i="1"/>
  <c r="A123" i="1" s="1"/>
  <c r="D123" i="1" l="1"/>
  <c r="E123" i="1"/>
  <c r="G123" i="1"/>
  <c r="A124" i="1" s="1"/>
  <c r="F123" i="1"/>
  <c r="C123" i="1"/>
  <c r="B123" i="1"/>
  <c r="G124" i="1" l="1"/>
  <c r="A125" i="1" s="1"/>
  <c r="E124" i="1"/>
  <c r="D124" i="1"/>
  <c r="C124" i="1"/>
  <c r="B124" i="1"/>
  <c r="F124" i="1"/>
  <c r="E125" i="1" l="1"/>
  <c r="D125" i="1"/>
  <c r="C125" i="1"/>
  <c r="B125" i="1"/>
  <c r="G125" i="1"/>
  <c r="A126" i="1" s="1"/>
  <c r="F125" i="1"/>
  <c r="G126" i="1" l="1"/>
  <c r="A127" i="1" s="1"/>
  <c r="F126" i="1"/>
  <c r="E126" i="1"/>
  <c r="D126" i="1"/>
  <c r="C126" i="1"/>
  <c r="B126" i="1"/>
  <c r="G127" i="1" l="1"/>
  <c r="A128" i="1" s="1"/>
  <c r="F127" i="1"/>
  <c r="D127" i="1"/>
  <c r="C127" i="1"/>
  <c r="B127" i="1"/>
  <c r="E127" i="1"/>
  <c r="D128" i="1" l="1"/>
  <c r="C128" i="1"/>
  <c r="B128" i="1"/>
  <c r="E128" i="1"/>
  <c r="G128" i="1"/>
  <c r="A129" i="1" s="1"/>
  <c r="F128" i="1"/>
  <c r="F129" i="1" l="1"/>
  <c r="G129" i="1"/>
  <c r="A130" i="1" s="1"/>
  <c r="C129" i="1"/>
  <c r="E129" i="1"/>
  <c r="D129" i="1"/>
  <c r="B129" i="1"/>
  <c r="G130" i="1" l="1"/>
  <c r="A131" i="1" s="1"/>
  <c r="F130" i="1"/>
  <c r="E130" i="1"/>
  <c r="C130" i="1"/>
  <c r="B130" i="1"/>
  <c r="D130" i="1"/>
  <c r="C131" i="1" l="1"/>
  <c r="B131" i="1"/>
  <c r="G131" i="1"/>
  <c r="A132" i="1" s="1"/>
  <c r="F131" i="1"/>
  <c r="E131" i="1"/>
  <c r="D131" i="1"/>
  <c r="G132" i="1" l="1"/>
  <c r="A133" i="1" s="1"/>
  <c r="E132" i="1"/>
  <c r="F132" i="1"/>
  <c r="D132" i="1"/>
  <c r="C132" i="1"/>
  <c r="B132" i="1"/>
  <c r="G133" i="1" l="1"/>
  <c r="A134" i="1" s="1"/>
  <c r="F133" i="1"/>
  <c r="E133" i="1"/>
  <c r="D133" i="1"/>
  <c r="B133" i="1"/>
  <c r="C133" i="1"/>
  <c r="B134" i="1" l="1"/>
  <c r="E134" i="1"/>
  <c r="G134" i="1"/>
  <c r="A135" i="1" s="1"/>
  <c r="D134" i="1"/>
  <c r="C134" i="1"/>
  <c r="F134" i="1"/>
  <c r="G135" i="1" l="1"/>
  <c r="A136" i="1" s="1"/>
  <c r="F135" i="1"/>
  <c r="D135" i="1"/>
  <c r="E135" i="1"/>
  <c r="C135" i="1"/>
  <c r="B135" i="1"/>
  <c r="G136" i="1" l="1"/>
  <c r="A137" i="1" s="1"/>
  <c r="F136" i="1"/>
  <c r="E136" i="1"/>
  <c r="C136" i="1"/>
  <c r="D136" i="1"/>
  <c r="B136" i="1"/>
  <c r="G137" i="1" l="1"/>
  <c r="A138" i="1" s="1"/>
  <c r="F137" i="1"/>
  <c r="E137" i="1"/>
  <c r="D137" i="1"/>
  <c r="C137" i="1"/>
  <c r="B137" i="1"/>
  <c r="G138" i="1" l="1"/>
  <c r="A139" i="1" s="1"/>
  <c r="F138" i="1"/>
  <c r="E138" i="1"/>
  <c r="C138" i="1"/>
  <c r="D138" i="1"/>
  <c r="B138" i="1"/>
  <c r="G139" i="1" l="1"/>
  <c r="A140" i="1" s="1"/>
  <c r="F139" i="1"/>
  <c r="E139" i="1"/>
  <c r="D139" i="1"/>
  <c r="C139" i="1"/>
  <c r="B139" i="1"/>
  <c r="E140" i="1" l="1"/>
  <c r="D140" i="1"/>
  <c r="C140" i="1"/>
  <c r="B140" i="1"/>
  <c r="G140" i="1"/>
  <c r="A141" i="1" s="1"/>
  <c r="F140" i="1"/>
  <c r="F141" i="1" l="1"/>
  <c r="E141" i="1"/>
  <c r="D141" i="1"/>
  <c r="B141" i="1"/>
  <c r="C141" i="1"/>
  <c r="G141" i="1"/>
  <c r="A142" i="1" s="1"/>
  <c r="F142" i="1" l="1"/>
  <c r="E142" i="1"/>
  <c r="D142" i="1"/>
  <c r="C142" i="1"/>
  <c r="B142" i="1"/>
  <c r="G142" i="1"/>
  <c r="A143" i="1" s="1"/>
  <c r="G143" i="1" l="1"/>
  <c r="A144" i="1" s="1"/>
  <c r="F143" i="1"/>
  <c r="E143" i="1"/>
  <c r="D143" i="1"/>
  <c r="C143" i="1"/>
  <c r="B143" i="1"/>
  <c r="G144" i="1" l="1"/>
  <c r="A145" i="1" s="1"/>
  <c r="E144" i="1"/>
  <c r="D144" i="1"/>
  <c r="C144" i="1"/>
  <c r="B144" i="1"/>
  <c r="F144" i="1"/>
  <c r="E145" i="1" l="1"/>
  <c r="D145" i="1"/>
  <c r="C145" i="1"/>
  <c r="B145" i="1"/>
  <c r="G145" i="1"/>
  <c r="A146" i="1" s="1"/>
  <c r="F145" i="1"/>
  <c r="G146" i="1" l="1"/>
  <c r="A147" i="1" s="1"/>
  <c r="E146" i="1"/>
  <c r="D146" i="1"/>
  <c r="C146" i="1"/>
  <c r="B146" i="1"/>
  <c r="F146" i="1"/>
  <c r="G147" i="1" l="1"/>
  <c r="A148" i="1" s="1"/>
  <c r="F147" i="1"/>
  <c r="D147" i="1"/>
  <c r="C147" i="1"/>
  <c r="B147" i="1"/>
  <c r="E147" i="1"/>
  <c r="D148" i="1" l="1"/>
  <c r="C148" i="1"/>
  <c r="B148" i="1"/>
  <c r="E148" i="1"/>
  <c r="G148" i="1"/>
  <c r="A149" i="1" s="1"/>
  <c r="F148" i="1"/>
  <c r="F149" i="1" l="1"/>
  <c r="G149" i="1"/>
  <c r="A150" i="1" s="1"/>
  <c r="B149" i="1"/>
  <c r="E149" i="1"/>
  <c r="D149" i="1"/>
  <c r="C149" i="1"/>
  <c r="G150" i="1" l="1"/>
  <c r="A151" i="1" s="1"/>
  <c r="F150" i="1"/>
  <c r="E150" i="1"/>
  <c r="C150" i="1"/>
  <c r="B150" i="1"/>
  <c r="D150" i="1"/>
  <c r="C151" i="1" l="1"/>
  <c r="B151" i="1"/>
  <c r="F151" i="1"/>
  <c r="G151" i="1"/>
  <c r="A152" i="1" s="1"/>
  <c r="E151" i="1"/>
  <c r="D151" i="1"/>
  <c r="G152" i="1" l="1"/>
  <c r="A153" i="1" s="1"/>
  <c r="E152" i="1"/>
  <c r="F152" i="1"/>
  <c r="D152" i="1"/>
  <c r="C152" i="1"/>
  <c r="B152" i="1"/>
  <c r="G153" i="1" l="1"/>
  <c r="A154" i="1" s="1"/>
  <c r="F153" i="1"/>
  <c r="E153" i="1"/>
  <c r="D153" i="1"/>
  <c r="B153" i="1"/>
  <c r="C153" i="1"/>
  <c r="B154" i="1" l="1"/>
  <c r="D154" i="1"/>
  <c r="G154" i="1"/>
  <c r="A155" i="1" s="1"/>
  <c r="E154" i="1"/>
  <c r="F154" i="1"/>
  <c r="C154" i="1"/>
  <c r="G155" i="1" l="1"/>
  <c r="A156" i="1" s="1"/>
  <c r="F155" i="1"/>
  <c r="D155" i="1"/>
  <c r="E155" i="1"/>
  <c r="B155" i="1"/>
  <c r="C155" i="1"/>
  <c r="G156" i="1" l="1"/>
  <c r="A157" i="1" s="1"/>
  <c r="F156" i="1"/>
  <c r="E156" i="1"/>
  <c r="D156" i="1"/>
  <c r="C156" i="1"/>
  <c r="B156" i="1"/>
  <c r="G157" i="1" l="1"/>
  <c r="A158" i="1" s="1"/>
  <c r="F157" i="1"/>
  <c r="E157" i="1"/>
  <c r="D157" i="1"/>
  <c r="C157" i="1"/>
  <c r="B157" i="1"/>
  <c r="G158" i="1" l="1"/>
  <c r="A159" i="1" s="1"/>
  <c r="F158" i="1"/>
  <c r="E158" i="1"/>
  <c r="D158" i="1"/>
  <c r="C158" i="1"/>
  <c r="B158" i="1"/>
  <c r="G159" i="1" l="1"/>
  <c r="A160" i="1" s="1"/>
  <c r="F159" i="1"/>
  <c r="E159" i="1"/>
  <c r="D159" i="1"/>
  <c r="C159" i="1"/>
  <c r="B159" i="1"/>
  <c r="B160" i="1" l="1"/>
  <c r="D160" i="1"/>
  <c r="F160" i="1"/>
  <c r="E160" i="1"/>
  <c r="G160" i="1"/>
  <c r="A161" i="1" s="1"/>
  <c r="C160" i="1"/>
  <c r="F161" i="1" l="1"/>
  <c r="E161" i="1"/>
  <c r="D161" i="1"/>
  <c r="B161" i="1"/>
  <c r="C161" i="1"/>
  <c r="G161" i="1"/>
  <c r="A162" i="1" s="1"/>
  <c r="F162" i="1" l="1"/>
  <c r="E162" i="1"/>
  <c r="D162" i="1"/>
  <c r="C162" i="1"/>
  <c r="B162" i="1"/>
  <c r="G162" i="1"/>
  <c r="A163" i="1" s="1"/>
  <c r="G163" i="1" l="1"/>
  <c r="A164" i="1" s="1"/>
  <c r="F163" i="1"/>
  <c r="E163" i="1"/>
  <c r="D163" i="1"/>
  <c r="C163" i="1"/>
  <c r="B163" i="1"/>
  <c r="G164" i="1" l="1"/>
  <c r="A165" i="1" s="1"/>
  <c r="E164" i="1"/>
  <c r="D164" i="1"/>
  <c r="C164" i="1"/>
  <c r="B164" i="1"/>
  <c r="F164" i="1"/>
  <c r="E165" i="1" l="1"/>
  <c r="D165" i="1"/>
  <c r="C165" i="1"/>
  <c r="B165" i="1"/>
  <c r="G165" i="1"/>
  <c r="A166" i="1" s="1"/>
  <c r="F165" i="1"/>
  <c r="G166" i="1" l="1"/>
  <c r="A167" i="1" s="1"/>
  <c r="B166" i="1"/>
  <c r="E166" i="1"/>
  <c r="D166" i="1"/>
  <c r="F166" i="1"/>
  <c r="C166" i="1"/>
  <c r="G167" i="1" l="1"/>
  <c r="A168" i="1" s="1"/>
  <c r="F167" i="1"/>
  <c r="D167" i="1"/>
  <c r="C167" i="1"/>
  <c r="B167" i="1"/>
  <c r="E167" i="1"/>
  <c r="D168" i="1" l="1"/>
  <c r="C168" i="1"/>
  <c r="B168" i="1"/>
  <c r="G168" i="1"/>
  <c r="A169" i="1" s="1"/>
  <c r="F168" i="1"/>
  <c r="E168" i="1"/>
  <c r="G169" i="1" l="1"/>
  <c r="A170" i="1" s="1"/>
  <c r="F169" i="1"/>
  <c r="E169" i="1"/>
  <c r="D169" i="1"/>
  <c r="C169" i="1"/>
  <c r="B169" i="1"/>
  <c r="G170" i="1" l="1"/>
  <c r="A171" i="1" s="1"/>
  <c r="F170" i="1"/>
  <c r="E170" i="1"/>
  <c r="C170" i="1"/>
  <c r="B170" i="1"/>
  <c r="D170" i="1"/>
  <c r="C171" i="1" l="1"/>
  <c r="B171" i="1"/>
  <c r="G171" i="1"/>
  <c r="A172" i="1" s="1"/>
  <c r="F171" i="1"/>
  <c r="E171" i="1"/>
  <c r="D171" i="1"/>
  <c r="G172" i="1" l="1"/>
  <c r="A173" i="1" s="1"/>
  <c r="E172" i="1"/>
  <c r="F172" i="1"/>
  <c r="D172" i="1"/>
  <c r="B172" i="1"/>
  <c r="C172" i="1"/>
  <c r="G173" i="1" l="1"/>
  <c r="A174" i="1" s="1"/>
  <c r="F173" i="1"/>
  <c r="E173" i="1"/>
  <c r="D173" i="1"/>
  <c r="B173" i="1"/>
  <c r="C173" i="1"/>
  <c r="B174" i="1" l="1"/>
  <c r="F174" i="1"/>
  <c r="E174" i="1"/>
  <c r="C174" i="1"/>
  <c r="G174" i="1"/>
  <c r="A175" i="1" s="1"/>
  <c r="D174" i="1"/>
  <c r="G175" i="1" l="1"/>
  <c r="A176" i="1" s="1"/>
  <c r="F175" i="1"/>
  <c r="E175" i="1"/>
  <c r="D175" i="1"/>
  <c r="C175" i="1"/>
  <c r="B175" i="1"/>
  <c r="G176" i="1" l="1"/>
  <c r="A177" i="1" s="1"/>
  <c r="F176" i="1"/>
  <c r="E176" i="1"/>
  <c r="D176" i="1"/>
  <c r="C176" i="1"/>
  <c r="B176" i="1"/>
  <c r="E177" i="1" l="1"/>
  <c r="G177" i="1"/>
  <c r="A178" i="1" s="1"/>
  <c r="F177" i="1"/>
  <c r="D177" i="1"/>
  <c r="C177" i="1"/>
  <c r="B177" i="1"/>
  <c r="G178" i="1" l="1"/>
  <c r="A179" i="1" s="1"/>
  <c r="F178" i="1"/>
  <c r="E178" i="1"/>
  <c r="D178" i="1"/>
  <c r="C178" i="1"/>
  <c r="B178" i="1"/>
  <c r="G179" i="1" l="1"/>
  <c r="A180" i="1" s="1"/>
  <c r="F179" i="1"/>
  <c r="E179" i="1"/>
  <c r="D179" i="1"/>
  <c r="C179" i="1"/>
  <c r="B179" i="1"/>
  <c r="G180" i="1" l="1"/>
  <c r="A181" i="1" s="1"/>
  <c r="E180" i="1"/>
  <c r="D180" i="1"/>
  <c r="C180" i="1"/>
  <c r="F180" i="1"/>
  <c r="B180" i="1"/>
  <c r="F181" i="1" l="1"/>
  <c r="E181" i="1"/>
  <c r="D181" i="1"/>
  <c r="C181" i="1"/>
  <c r="B181" i="1"/>
  <c r="G181" i="1"/>
  <c r="A182" i="1" s="1"/>
  <c r="F182" i="1" l="1"/>
  <c r="E182" i="1"/>
  <c r="D182" i="1"/>
  <c r="C182" i="1"/>
  <c r="B182" i="1"/>
  <c r="G182" i="1"/>
  <c r="A183" i="1" s="1"/>
  <c r="G183" i="1" l="1"/>
  <c r="A184" i="1" s="1"/>
  <c r="C183" i="1"/>
  <c r="F183" i="1"/>
  <c r="E183" i="1"/>
  <c r="D183" i="1"/>
  <c r="B183" i="1"/>
  <c r="G184" i="1" l="1"/>
  <c r="A185" i="1" s="1"/>
  <c r="E184" i="1"/>
  <c r="D184" i="1"/>
  <c r="C184" i="1"/>
  <c r="B184" i="1"/>
  <c r="F184" i="1"/>
  <c r="E185" i="1" l="1"/>
  <c r="D185" i="1"/>
  <c r="C185" i="1"/>
  <c r="B185" i="1"/>
  <c r="G185" i="1"/>
  <c r="A186" i="1" s="1"/>
  <c r="F185" i="1"/>
  <c r="F186" i="1" l="1"/>
  <c r="G186" i="1"/>
  <c r="A187" i="1" s="1"/>
  <c r="C186" i="1"/>
  <c r="E186" i="1"/>
  <c r="B186" i="1"/>
  <c r="D186" i="1"/>
  <c r="G187" i="1" l="1"/>
  <c r="A188" i="1" s="1"/>
  <c r="F187" i="1"/>
  <c r="D187" i="1"/>
  <c r="C187" i="1"/>
  <c r="B187" i="1"/>
  <c r="E187" i="1"/>
  <c r="D188" i="1" l="1"/>
  <c r="C188" i="1"/>
  <c r="B188" i="1"/>
  <c r="F188" i="1"/>
  <c r="G188" i="1"/>
  <c r="A189" i="1" s="1"/>
  <c r="E188" i="1"/>
  <c r="F189" i="1" l="1"/>
  <c r="G189" i="1"/>
  <c r="A190" i="1" s="1"/>
  <c r="E189" i="1"/>
  <c r="D189" i="1"/>
  <c r="C189" i="1"/>
  <c r="B189" i="1"/>
  <c r="G190" i="1" l="1"/>
  <c r="A191" i="1" s="1"/>
  <c r="F190" i="1"/>
  <c r="E190" i="1"/>
  <c r="C190" i="1"/>
  <c r="B190" i="1"/>
  <c r="D190" i="1"/>
  <c r="C191" i="1" l="1"/>
  <c r="B191" i="1"/>
  <c r="G191" i="1"/>
  <c r="A192" i="1" s="1"/>
  <c r="F191" i="1"/>
  <c r="E191" i="1"/>
  <c r="D191" i="1"/>
  <c r="G192" i="1" l="1"/>
  <c r="A193" i="1" s="1"/>
  <c r="E192" i="1"/>
  <c r="F192" i="1"/>
  <c r="D192" i="1"/>
  <c r="C192" i="1"/>
  <c r="B192" i="1"/>
  <c r="G193" i="1" l="1"/>
  <c r="A194" i="1" s="1"/>
  <c r="F193" i="1"/>
  <c r="E193" i="1"/>
  <c r="D193" i="1"/>
  <c r="B193" i="1"/>
  <c r="C193" i="1"/>
  <c r="B194" i="1" l="1"/>
  <c r="C194" i="1"/>
  <c r="G194" i="1"/>
  <c r="A195" i="1" s="1"/>
  <c r="F194" i="1"/>
  <c r="E194" i="1"/>
  <c r="D194" i="1"/>
  <c r="G195" i="1" l="1"/>
  <c r="A196" i="1" s="1"/>
  <c r="F195" i="1"/>
  <c r="E195" i="1"/>
  <c r="D195" i="1"/>
  <c r="C195" i="1"/>
  <c r="B195" i="1"/>
  <c r="G196" i="1" l="1"/>
  <c r="A197" i="1" s="1"/>
  <c r="F196" i="1"/>
  <c r="E196" i="1"/>
  <c r="D196" i="1"/>
  <c r="C196" i="1"/>
  <c r="B196" i="1"/>
  <c r="E197" i="1" l="1"/>
  <c r="G197" i="1"/>
  <c r="A198" i="1" s="1"/>
  <c r="F197" i="1"/>
  <c r="D197" i="1"/>
  <c r="C197" i="1"/>
  <c r="B197" i="1"/>
  <c r="G198" i="1" l="1"/>
  <c r="A199" i="1" s="1"/>
  <c r="F198" i="1"/>
  <c r="E198" i="1"/>
  <c r="C198" i="1"/>
  <c r="D198" i="1"/>
  <c r="B198" i="1"/>
  <c r="G199" i="1" l="1"/>
  <c r="A200" i="1" s="1"/>
  <c r="F199" i="1"/>
  <c r="E199" i="1"/>
  <c r="D199" i="1"/>
  <c r="C199" i="1"/>
  <c r="B199" i="1"/>
  <c r="E200" i="1" l="1"/>
  <c r="D200" i="1"/>
  <c r="G200" i="1"/>
  <c r="A201" i="1" s="1"/>
  <c r="C200" i="1"/>
  <c r="B200" i="1"/>
  <c r="F200" i="1"/>
  <c r="F201" i="1" l="1"/>
  <c r="E201" i="1"/>
  <c r="D201" i="1"/>
  <c r="B201" i="1"/>
  <c r="C201" i="1"/>
  <c r="G201" i="1"/>
  <c r="A202" i="1" s="1"/>
  <c r="F202" i="1" l="1"/>
  <c r="E202" i="1"/>
  <c r="D202" i="1"/>
  <c r="C202" i="1"/>
  <c r="B202" i="1"/>
  <c r="G202" i="1"/>
  <c r="A203" i="1" s="1"/>
  <c r="G203" i="1" l="1"/>
  <c r="A204" i="1" s="1"/>
  <c r="F203" i="1"/>
  <c r="E203" i="1"/>
  <c r="D203" i="1"/>
  <c r="C203" i="1"/>
  <c r="B203" i="1"/>
  <c r="G204" i="1" l="1"/>
  <c r="A205" i="1" s="1"/>
  <c r="E204" i="1"/>
  <c r="D204" i="1"/>
  <c r="C204" i="1"/>
  <c r="B204" i="1"/>
  <c r="F204" i="1"/>
  <c r="E205" i="1" l="1"/>
  <c r="D205" i="1"/>
  <c r="C205" i="1"/>
  <c r="B205" i="1"/>
  <c r="G205" i="1"/>
  <c r="A206" i="1" s="1"/>
  <c r="F205" i="1"/>
  <c r="G206" i="1" l="1"/>
  <c r="A207" i="1" s="1"/>
  <c r="F206" i="1"/>
  <c r="E206" i="1"/>
  <c r="D206" i="1"/>
  <c r="B206" i="1"/>
  <c r="C206" i="1"/>
  <c r="G207" i="1" l="1"/>
  <c r="A208" i="1" s="1"/>
  <c r="F207" i="1"/>
  <c r="D207" i="1"/>
  <c r="C207" i="1"/>
  <c r="B207" i="1"/>
  <c r="E207" i="1"/>
  <c r="D208" i="1" l="1"/>
  <c r="C208" i="1"/>
  <c r="B208" i="1"/>
  <c r="E208" i="1"/>
  <c r="G208" i="1"/>
  <c r="A209" i="1" s="1"/>
  <c r="F208" i="1"/>
  <c r="G209" i="1" l="1"/>
  <c r="A210" i="1" s="1"/>
  <c r="F209" i="1"/>
  <c r="E209" i="1"/>
  <c r="C209" i="1"/>
  <c r="D209" i="1"/>
  <c r="B209" i="1"/>
  <c r="G210" i="1" l="1"/>
  <c r="A211" i="1" s="1"/>
  <c r="F210" i="1"/>
  <c r="E210" i="1"/>
  <c r="C210" i="1"/>
  <c r="B210" i="1"/>
  <c r="D210" i="1"/>
  <c r="C211" i="1" l="1"/>
  <c r="B211" i="1"/>
  <c r="G211" i="1"/>
  <c r="A212" i="1" s="1"/>
  <c r="F211" i="1"/>
  <c r="E211" i="1"/>
  <c r="D211" i="1"/>
  <c r="G212" i="1" l="1"/>
  <c r="A213" i="1" s="1"/>
  <c r="E212" i="1"/>
  <c r="F212" i="1"/>
  <c r="D212" i="1"/>
  <c r="C212" i="1"/>
  <c r="B212" i="1"/>
  <c r="C213" i="1" l="1"/>
  <c r="G213" i="1"/>
  <c r="A214" i="1" s="1"/>
  <c r="F213" i="1"/>
  <c r="E213" i="1"/>
  <c r="D213" i="1"/>
  <c r="B213" i="1"/>
  <c r="B214" i="1" l="1"/>
  <c r="G214" i="1"/>
  <c r="A215" i="1" s="1"/>
  <c r="F214" i="1"/>
  <c r="E214" i="1"/>
  <c r="C214" i="1"/>
  <c r="D214" i="1"/>
  <c r="G215" i="1" l="1"/>
  <c r="A216" i="1" s="1"/>
  <c r="F215" i="1"/>
  <c r="E215" i="1"/>
  <c r="D215" i="1"/>
  <c r="C215" i="1"/>
  <c r="B215" i="1"/>
  <c r="G216" i="1" l="1"/>
  <c r="A217" i="1" s="1"/>
  <c r="F216" i="1"/>
  <c r="E216" i="1"/>
  <c r="B216" i="1"/>
  <c r="D216" i="1"/>
  <c r="C216" i="1"/>
  <c r="F217" i="1" l="1"/>
  <c r="E217" i="1"/>
  <c r="B217" i="1"/>
  <c r="D217" i="1"/>
  <c r="G217" i="1"/>
  <c r="A218" i="1" s="1"/>
  <c r="C217" i="1"/>
  <c r="G218" i="1" l="1"/>
  <c r="A219" i="1" s="1"/>
  <c r="F218" i="1"/>
  <c r="E218" i="1"/>
  <c r="D218" i="1"/>
  <c r="C218" i="1"/>
  <c r="B218" i="1"/>
  <c r="G219" i="1" l="1"/>
  <c r="A220" i="1" s="1"/>
  <c r="F219" i="1"/>
  <c r="E219" i="1"/>
  <c r="D219" i="1"/>
  <c r="C219" i="1"/>
  <c r="B219" i="1"/>
  <c r="C220" i="1" l="1"/>
  <c r="G220" i="1"/>
  <c r="A221" i="1" s="1"/>
  <c r="F220" i="1"/>
  <c r="E220" i="1"/>
  <c r="D220" i="1"/>
  <c r="B220" i="1"/>
  <c r="G221" i="1" l="1"/>
  <c r="A222" i="1" s="1"/>
  <c r="F221" i="1"/>
  <c r="E221" i="1"/>
  <c r="D221" i="1"/>
  <c r="B221" i="1"/>
  <c r="C221" i="1"/>
  <c r="F222" i="1" l="1"/>
  <c r="E222" i="1"/>
  <c r="D222" i="1"/>
  <c r="C222" i="1"/>
  <c r="B222" i="1"/>
  <c r="G222" i="1"/>
  <c r="A223" i="1" s="1"/>
  <c r="G223" i="1" l="1"/>
  <c r="A224" i="1" s="1"/>
  <c r="D223" i="1"/>
  <c r="C223" i="1"/>
  <c r="B223" i="1"/>
  <c r="F223" i="1"/>
  <c r="E223" i="1"/>
  <c r="G224" i="1" l="1"/>
  <c r="A225" i="1" s="1"/>
  <c r="F224" i="1"/>
  <c r="E224" i="1"/>
  <c r="D224" i="1"/>
  <c r="C224" i="1"/>
  <c r="B224" i="1"/>
  <c r="E225" i="1" l="1"/>
  <c r="D225" i="1"/>
  <c r="C225" i="1"/>
  <c r="B225" i="1"/>
  <c r="G225" i="1"/>
  <c r="A226" i="1" s="1"/>
  <c r="F225" i="1"/>
  <c r="G226" i="1" l="1"/>
  <c r="A227" i="1" s="1"/>
  <c r="F226" i="1"/>
  <c r="B226" i="1"/>
  <c r="E226" i="1"/>
  <c r="D226" i="1"/>
  <c r="C226" i="1"/>
  <c r="G227" i="1" l="1"/>
  <c r="A228" i="1" s="1"/>
  <c r="F227" i="1"/>
  <c r="E227" i="1"/>
  <c r="D227" i="1"/>
  <c r="C227" i="1"/>
  <c r="B227" i="1"/>
  <c r="D228" i="1" l="1"/>
  <c r="C228" i="1"/>
  <c r="B228" i="1"/>
  <c r="G228" i="1"/>
  <c r="A229" i="1" s="1"/>
  <c r="F228" i="1"/>
  <c r="E228" i="1"/>
  <c r="G229" i="1" l="1"/>
  <c r="A230" i="1" s="1"/>
  <c r="F229" i="1"/>
  <c r="E229" i="1"/>
  <c r="C229" i="1"/>
  <c r="B229" i="1"/>
  <c r="D229" i="1"/>
  <c r="G230" i="1" l="1"/>
  <c r="A231" i="1" s="1"/>
  <c r="D230" i="1"/>
  <c r="F230" i="1"/>
  <c r="E230" i="1"/>
  <c r="C230" i="1"/>
  <c r="B230" i="1"/>
  <c r="C231" i="1" l="1"/>
  <c r="B231" i="1"/>
  <c r="G231" i="1"/>
  <c r="A232" i="1" s="1"/>
  <c r="F231" i="1"/>
  <c r="E231" i="1"/>
  <c r="D231" i="1"/>
  <c r="G232" i="1" l="1"/>
  <c r="A233" i="1" s="1"/>
  <c r="E232" i="1"/>
  <c r="F232" i="1"/>
  <c r="D232" i="1"/>
  <c r="C232" i="1"/>
  <c r="B232" i="1"/>
  <c r="C233" i="1" l="1"/>
  <c r="G233" i="1"/>
  <c r="A234" i="1" s="1"/>
  <c r="F233" i="1"/>
  <c r="E233" i="1"/>
  <c r="D233" i="1"/>
  <c r="B233" i="1"/>
  <c r="B234" i="1" l="1"/>
  <c r="D234" i="1"/>
  <c r="E234" i="1"/>
  <c r="G234" i="1"/>
  <c r="A235" i="1" s="1"/>
  <c r="F234" i="1"/>
  <c r="C234" i="1"/>
  <c r="G235" i="1" l="1"/>
  <c r="A236" i="1" s="1"/>
  <c r="F235" i="1"/>
  <c r="E235" i="1"/>
  <c r="D235" i="1"/>
  <c r="C235" i="1"/>
  <c r="B235" i="1"/>
  <c r="G236" i="1" l="1"/>
  <c r="A237" i="1" s="1"/>
  <c r="F236" i="1"/>
  <c r="E236" i="1"/>
  <c r="D236" i="1"/>
  <c r="C236" i="1"/>
  <c r="B236" i="1"/>
  <c r="F237" i="1" l="1"/>
  <c r="E237" i="1"/>
  <c r="G237" i="1"/>
  <c r="A238" i="1" s="1"/>
  <c r="D237" i="1"/>
  <c r="C237" i="1"/>
  <c r="B237" i="1"/>
  <c r="G238" i="1" l="1"/>
  <c r="A239" i="1" s="1"/>
  <c r="F238" i="1"/>
  <c r="E238" i="1"/>
  <c r="D238" i="1"/>
  <c r="C238" i="1"/>
  <c r="B238" i="1"/>
  <c r="G239" i="1" l="1"/>
  <c r="A240" i="1" s="1"/>
  <c r="F239" i="1"/>
  <c r="E239" i="1"/>
  <c r="D239" i="1"/>
  <c r="C239" i="1"/>
  <c r="B239" i="1"/>
  <c r="C240" i="1" l="1"/>
  <c r="B240" i="1"/>
  <c r="G240" i="1"/>
  <c r="A241" i="1" s="1"/>
  <c r="F240" i="1"/>
  <c r="E240" i="1"/>
  <c r="D240" i="1"/>
  <c r="G241" i="1" l="1"/>
  <c r="A242" i="1" s="1"/>
  <c r="F241" i="1"/>
  <c r="E241" i="1"/>
  <c r="D241" i="1"/>
  <c r="C241" i="1"/>
  <c r="B241" i="1"/>
  <c r="F242" i="1" l="1"/>
  <c r="E242" i="1"/>
  <c r="D242" i="1"/>
  <c r="C242" i="1"/>
  <c r="B242" i="1"/>
  <c r="G242" i="1"/>
  <c r="A243" i="1" s="1"/>
  <c r="G243" i="1" l="1"/>
  <c r="A244" i="1" s="1"/>
  <c r="F243" i="1"/>
  <c r="E243" i="1"/>
  <c r="D243" i="1"/>
  <c r="C243" i="1"/>
  <c r="B243" i="1"/>
  <c r="F244" i="1" l="1"/>
  <c r="G244" i="1"/>
  <c r="A245" i="1" s="1"/>
  <c r="E244" i="1"/>
  <c r="D244" i="1"/>
  <c r="C244" i="1"/>
  <c r="B244" i="1"/>
  <c r="E245" i="1" l="1"/>
  <c r="D245" i="1"/>
  <c r="C245" i="1"/>
  <c r="B245" i="1"/>
  <c r="G245" i="1"/>
  <c r="A246" i="1" s="1"/>
  <c r="F245" i="1"/>
  <c r="F246" i="1" l="1"/>
  <c r="G246" i="1"/>
  <c r="A247" i="1" s="1"/>
  <c r="B246" i="1"/>
  <c r="E246" i="1"/>
  <c r="D246" i="1"/>
  <c r="C246" i="1"/>
  <c r="E247" i="1" l="1"/>
  <c r="G247" i="1"/>
  <c r="A248" i="1" s="1"/>
  <c r="F247" i="1"/>
  <c r="D247" i="1"/>
  <c r="C247" i="1"/>
  <c r="B247" i="1"/>
  <c r="D248" i="1" l="1"/>
  <c r="C248" i="1"/>
  <c r="B248" i="1"/>
  <c r="F248" i="1"/>
  <c r="E248" i="1"/>
  <c r="G248" i="1"/>
  <c r="A249" i="1" s="1"/>
  <c r="G249" i="1" l="1"/>
  <c r="A250" i="1" s="1"/>
  <c r="F249" i="1"/>
  <c r="E249" i="1"/>
  <c r="C249" i="1"/>
  <c r="B249" i="1"/>
  <c r="D249" i="1"/>
  <c r="D250" i="1" l="1"/>
  <c r="G250" i="1"/>
  <c r="A251" i="1" s="1"/>
  <c r="F250" i="1"/>
  <c r="E250" i="1"/>
  <c r="C250" i="1"/>
  <c r="B250" i="1"/>
  <c r="C251" i="1" l="1"/>
  <c r="B251" i="1"/>
  <c r="D251" i="1"/>
  <c r="G251" i="1"/>
  <c r="A252" i="1" s="1"/>
  <c r="F251" i="1"/>
  <c r="E251" i="1"/>
  <c r="G252" i="1" l="1"/>
  <c r="A253" i="1" s="1"/>
  <c r="D252" i="1"/>
  <c r="F252" i="1"/>
  <c r="E252" i="1"/>
  <c r="C252" i="1"/>
  <c r="B252" i="1"/>
  <c r="G253" i="1" l="1"/>
  <c r="A254" i="1" s="1"/>
  <c r="F253" i="1"/>
  <c r="D253" i="1"/>
  <c r="C253" i="1"/>
  <c r="E253" i="1"/>
  <c r="B253" i="1"/>
  <c r="B254" i="1" l="1"/>
  <c r="G254" i="1"/>
  <c r="A255" i="1" s="1"/>
  <c r="F254" i="1"/>
  <c r="E254" i="1"/>
  <c r="D254" i="1"/>
  <c r="C254" i="1"/>
  <c r="G255" i="1" l="1"/>
  <c r="A256" i="1" s="1"/>
  <c r="F255" i="1"/>
  <c r="D255" i="1"/>
  <c r="E255" i="1"/>
  <c r="C255" i="1"/>
  <c r="B255" i="1"/>
  <c r="G256" i="1" l="1"/>
  <c r="A257" i="1" s="1"/>
  <c r="F256" i="1"/>
  <c r="E256" i="1"/>
  <c r="D256" i="1"/>
  <c r="C256" i="1"/>
  <c r="B256" i="1"/>
  <c r="G257" i="1" l="1"/>
  <c r="A258" i="1" s="1"/>
  <c r="F257" i="1"/>
  <c r="E257" i="1"/>
  <c r="D257" i="1"/>
  <c r="C257" i="1"/>
  <c r="B257" i="1"/>
  <c r="G258" i="1" l="1"/>
  <c r="A259" i="1" s="1"/>
  <c r="F258" i="1"/>
  <c r="E258" i="1"/>
  <c r="D258" i="1"/>
  <c r="C258" i="1"/>
  <c r="B258" i="1"/>
  <c r="G259" i="1" l="1"/>
  <c r="A260" i="1" s="1"/>
  <c r="F259" i="1"/>
  <c r="E259" i="1"/>
  <c r="D259" i="1"/>
  <c r="C259" i="1"/>
  <c r="B259" i="1"/>
  <c r="G260" i="1" l="1"/>
  <c r="A261" i="1" s="1"/>
  <c r="F260" i="1"/>
  <c r="E260" i="1"/>
  <c r="D260" i="1"/>
  <c r="C260" i="1"/>
  <c r="B260" i="1"/>
  <c r="G261" i="1" l="1"/>
  <c r="A262" i="1" s="1"/>
  <c r="F261" i="1"/>
  <c r="E261" i="1"/>
  <c r="D261" i="1"/>
  <c r="C261" i="1"/>
  <c r="B261" i="1"/>
  <c r="F262" i="1" l="1"/>
  <c r="E262" i="1"/>
  <c r="D262" i="1"/>
  <c r="C262" i="1"/>
  <c r="B262" i="1"/>
  <c r="G262" i="1"/>
  <c r="A263" i="1" s="1"/>
  <c r="G263" i="1" l="1"/>
  <c r="A264" i="1" s="1"/>
  <c r="F263" i="1"/>
  <c r="E263" i="1"/>
  <c r="D263" i="1"/>
  <c r="C263" i="1"/>
  <c r="B263" i="1"/>
  <c r="G264" i="1" l="1"/>
  <c r="A265" i="1" s="1"/>
  <c r="F264" i="1"/>
  <c r="E264" i="1"/>
  <c r="D264" i="1"/>
  <c r="C264" i="1"/>
  <c r="B264" i="1"/>
  <c r="E265" i="1" l="1"/>
  <c r="D265" i="1"/>
  <c r="C265" i="1"/>
  <c r="B265" i="1"/>
  <c r="G265" i="1"/>
  <c r="A266" i="1" s="1"/>
  <c r="F265" i="1"/>
  <c r="G266" i="1" l="1"/>
  <c r="A267" i="1" s="1"/>
  <c r="F266" i="1"/>
  <c r="E266" i="1"/>
  <c r="D266" i="1"/>
  <c r="C266" i="1"/>
  <c r="B266" i="1"/>
  <c r="G267" i="1" l="1"/>
  <c r="A268" i="1" s="1"/>
  <c r="F267" i="1"/>
  <c r="E267" i="1"/>
  <c r="D267" i="1"/>
  <c r="C267" i="1"/>
  <c r="B267" i="1"/>
  <c r="D268" i="1" l="1"/>
  <c r="C268" i="1"/>
  <c r="B268" i="1"/>
  <c r="G268" i="1"/>
  <c r="A269" i="1" s="1"/>
  <c r="F268" i="1"/>
  <c r="E268" i="1"/>
  <c r="G269" i="1" l="1"/>
  <c r="A270" i="1" s="1"/>
  <c r="F269" i="1"/>
  <c r="E269" i="1"/>
  <c r="D269" i="1"/>
  <c r="C269" i="1"/>
  <c r="B269" i="1"/>
  <c r="G270" i="1" l="1"/>
  <c r="A271" i="1" s="1"/>
  <c r="F270" i="1"/>
  <c r="E270" i="1"/>
  <c r="D270" i="1"/>
  <c r="C270" i="1"/>
  <c r="B270" i="1"/>
  <c r="C271" i="1" l="1"/>
  <c r="B271" i="1"/>
  <c r="G271" i="1"/>
  <c r="A272" i="1" s="1"/>
  <c r="F271" i="1"/>
  <c r="E271" i="1"/>
  <c r="D271" i="1"/>
  <c r="G272" i="1" l="1"/>
  <c r="A273" i="1" s="1"/>
  <c r="F272" i="1"/>
  <c r="E272" i="1"/>
  <c r="D272" i="1"/>
  <c r="C272" i="1"/>
  <c r="B272" i="1"/>
  <c r="G273" i="1" l="1"/>
  <c r="A274" i="1" s="1"/>
  <c r="F273" i="1"/>
  <c r="E273" i="1"/>
  <c r="D273" i="1"/>
  <c r="C273" i="1"/>
  <c r="B273" i="1"/>
  <c r="B274" i="1" l="1"/>
  <c r="G274" i="1"/>
  <c r="A275" i="1" s="1"/>
  <c r="F274" i="1"/>
  <c r="E274" i="1"/>
  <c r="D274" i="1"/>
  <c r="C274" i="1"/>
  <c r="G275" i="1" l="1"/>
  <c r="A276" i="1" s="1"/>
  <c r="F275" i="1"/>
  <c r="E275" i="1"/>
  <c r="D275" i="1"/>
  <c r="C275" i="1"/>
  <c r="B275" i="1"/>
  <c r="G276" i="1" l="1"/>
  <c r="A277" i="1" s="1"/>
  <c r="F276" i="1"/>
  <c r="E276" i="1"/>
  <c r="D276" i="1"/>
  <c r="C276" i="1"/>
  <c r="B276" i="1"/>
  <c r="G277" i="1" l="1"/>
  <c r="A278" i="1" s="1"/>
  <c r="F277" i="1"/>
  <c r="E277" i="1"/>
  <c r="D277" i="1"/>
  <c r="C277" i="1"/>
  <c r="B277" i="1"/>
  <c r="G278" i="1" l="1"/>
  <c r="A279" i="1" s="1"/>
  <c r="F278" i="1"/>
  <c r="E278" i="1"/>
  <c r="D278" i="1"/>
  <c r="C278" i="1"/>
  <c r="B278" i="1"/>
  <c r="G279" i="1" l="1"/>
  <c r="A280" i="1" s="1"/>
  <c r="F279" i="1"/>
  <c r="E279" i="1"/>
  <c r="D279" i="1"/>
  <c r="C279" i="1"/>
  <c r="B279" i="1"/>
  <c r="G280" i="1" l="1"/>
  <c r="A281" i="1" s="1"/>
  <c r="F280" i="1"/>
  <c r="E280" i="1"/>
  <c r="D280" i="1"/>
  <c r="C280" i="1"/>
  <c r="B280" i="1"/>
  <c r="G281" i="1" l="1"/>
  <c r="A282" i="1" s="1"/>
  <c r="F281" i="1"/>
  <c r="E281" i="1"/>
  <c r="D281" i="1"/>
  <c r="C281" i="1"/>
  <c r="B281" i="1"/>
  <c r="F282" i="1" l="1"/>
  <c r="E282" i="1"/>
  <c r="D282" i="1"/>
  <c r="C282" i="1"/>
  <c r="B282" i="1"/>
  <c r="G282" i="1"/>
  <c r="A283" i="1" s="1"/>
  <c r="G283" i="1" l="1"/>
  <c r="A284" i="1" s="1"/>
  <c r="F283" i="1"/>
  <c r="E283" i="1"/>
  <c r="D283" i="1"/>
  <c r="C283" i="1"/>
  <c r="B283" i="1"/>
  <c r="G284" i="1" l="1"/>
  <c r="A285" i="1" s="1"/>
  <c r="F284" i="1"/>
  <c r="E284" i="1"/>
  <c r="D284" i="1"/>
  <c r="C284" i="1"/>
  <c r="B284" i="1"/>
  <c r="E285" i="1" l="1"/>
  <c r="D285" i="1"/>
  <c r="C285" i="1"/>
  <c r="B285" i="1"/>
  <c r="G285" i="1"/>
  <c r="A286" i="1" s="1"/>
  <c r="F285" i="1"/>
  <c r="G286" i="1" l="1"/>
  <c r="A287" i="1" s="1"/>
  <c r="F286" i="1"/>
  <c r="E286" i="1"/>
  <c r="D286" i="1"/>
  <c r="C286" i="1"/>
  <c r="B286" i="1"/>
  <c r="G287" i="1" l="1"/>
  <c r="A288" i="1" s="1"/>
  <c r="F287" i="1"/>
  <c r="E287" i="1"/>
  <c r="D287" i="1"/>
  <c r="C287" i="1"/>
  <c r="B287" i="1"/>
  <c r="D288" i="1" l="1"/>
  <c r="C288" i="1"/>
  <c r="B288" i="1"/>
  <c r="G288" i="1"/>
  <c r="A289" i="1" s="1"/>
  <c r="F288" i="1"/>
  <c r="E288" i="1"/>
  <c r="G289" i="1" l="1"/>
  <c r="A290" i="1" s="1"/>
  <c r="F289" i="1"/>
  <c r="E289" i="1"/>
  <c r="D289" i="1"/>
  <c r="C289" i="1"/>
  <c r="B289" i="1"/>
  <c r="G290" i="1" l="1"/>
  <c r="A291" i="1" s="1"/>
  <c r="F290" i="1"/>
  <c r="E290" i="1"/>
  <c r="D290" i="1"/>
  <c r="C290" i="1"/>
  <c r="B290" i="1"/>
  <c r="C291" i="1" l="1"/>
  <c r="B291" i="1"/>
  <c r="G291" i="1"/>
  <c r="A292" i="1" s="1"/>
  <c r="F291" i="1"/>
  <c r="E291" i="1"/>
  <c r="D291" i="1"/>
  <c r="G292" i="1" l="1"/>
  <c r="A293" i="1" s="1"/>
  <c r="F292" i="1"/>
  <c r="E292" i="1"/>
  <c r="D292" i="1"/>
  <c r="C292" i="1"/>
  <c r="B292" i="1"/>
  <c r="G293" i="1" l="1"/>
  <c r="A294" i="1" s="1"/>
  <c r="F293" i="1"/>
  <c r="E293" i="1"/>
  <c r="D293" i="1"/>
  <c r="C293" i="1"/>
  <c r="B293" i="1"/>
  <c r="B294" i="1" l="1"/>
  <c r="G294" i="1"/>
  <c r="A295" i="1" s="1"/>
  <c r="F294" i="1"/>
  <c r="E294" i="1"/>
  <c r="D294" i="1"/>
  <c r="C294" i="1"/>
  <c r="G295" i="1" l="1"/>
  <c r="A296" i="1" s="1"/>
  <c r="F295" i="1"/>
  <c r="E295" i="1"/>
  <c r="D295" i="1"/>
  <c r="C295" i="1"/>
  <c r="B295" i="1"/>
  <c r="G296" i="1" l="1"/>
  <c r="A297" i="1" s="1"/>
  <c r="F296" i="1"/>
  <c r="E296" i="1"/>
  <c r="D296" i="1"/>
  <c r="C296" i="1"/>
  <c r="B296" i="1"/>
  <c r="G297" i="1" l="1"/>
  <c r="A298" i="1" s="1"/>
  <c r="F297" i="1"/>
  <c r="E297" i="1"/>
  <c r="D297" i="1"/>
  <c r="C297" i="1"/>
  <c r="B297" i="1"/>
  <c r="G298" i="1" l="1"/>
  <c r="A299" i="1" s="1"/>
  <c r="F298" i="1"/>
  <c r="E298" i="1"/>
  <c r="D298" i="1"/>
  <c r="C298" i="1"/>
  <c r="B298" i="1"/>
  <c r="G299" i="1" l="1"/>
  <c r="A300" i="1" s="1"/>
  <c r="F299" i="1"/>
  <c r="E299" i="1"/>
  <c r="D299" i="1"/>
  <c r="C299" i="1"/>
  <c r="B299" i="1"/>
  <c r="G300" i="1" l="1"/>
  <c r="A301" i="1" s="1"/>
  <c r="F300" i="1"/>
  <c r="E300" i="1"/>
  <c r="D300" i="1"/>
  <c r="C300" i="1"/>
  <c r="B300" i="1"/>
  <c r="G301" i="1" l="1"/>
  <c r="A302" i="1" s="1"/>
  <c r="F301" i="1"/>
  <c r="E301" i="1"/>
  <c r="D301" i="1"/>
  <c r="C301" i="1"/>
  <c r="B301" i="1"/>
  <c r="F302" i="1" l="1"/>
  <c r="E302" i="1"/>
  <c r="D302" i="1"/>
  <c r="C302" i="1"/>
  <c r="B302" i="1"/>
  <c r="G302" i="1"/>
  <c r="A303" i="1" s="1"/>
  <c r="G303" i="1" l="1"/>
  <c r="A304" i="1" s="1"/>
  <c r="F303" i="1"/>
  <c r="E303" i="1"/>
  <c r="D303" i="1"/>
  <c r="C303" i="1"/>
  <c r="B303" i="1"/>
  <c r="G304" i="1" l="1"/>
  <c r="A305" i="1" s="1"/>
  <c r="F304" i="1"/>
  <c r="E304" i="1"/>
  <c r="D304" i="1"/>
  <c r="C304" i="1"/>
  <c r="B304" i="1"/>
  <c r="E305" i="1" l="1"/>
  <c r="D305" i="1"/>
  <c r="C305" i="1"/>
  <c r="B305" i="1"/>
  <c r="G305" i="1"/>
  <c r="A306" i="1" s="1"/>
  <c r="F305" i="1"/>
  <c r="G306" i="1" l="1"/>
  <c r="A307" i="1" s="1"/>
  <c r="F306" i="1"/>
  <c r="E306" i="1"/>
  <c r="D306" i="1"/>
  <c r="C306" i="1"/>
  <c r="B306" i="1"/>
  <c r="G307" i="1" l="1"/>
  <c r="A308" i="1" s="1"/>
  <c r="F307" i="1"/>
  <c r="E307" i="1"/>
  <c r="D307" i="1"/>
  <c r="C307" i="1"/>
  <c r="B307" i="1"/>
  <c r="D308" i="1" l="1"/>
  <c r="C308" i="1"/>
  <c r="B308" i="1"/>
  <c r="G308" i="1"/>
  <c r="A309" i="1" s="1"/>
  <c r="F308" i="1"/>
  <c r="E308" i="1"/>
  <c r="G309" i="1" l="1"/>
  <c r="A310" i="1" s="1"/>
  <c r="F309" i="1"/>
  <c r="E309" i="1"/>
  <c r="D309" i="1"/>
  <c r="C309" i="1"/>
  <c r="B309" i="1"/>
  <c r="G310" i="1" l="1"/>
  <c r="A311" i="1" s="1"/>
  <c r="F310" i="1"/>
  <c r="E310" i="1"/>
  <c r="D310" i="1"/>
  <c r="C310" i="1"/>
  <c r="B310" i="1"/>
  <c r="C311" i="1" l="1"/>
  <c r="B311" i="1"/>
  <c r="G311" i="1"/>
  <c r="A312" i="1" s="1"/>
  <c r="F311" i="1"/>
  <c r="E311" i="1"/>
  <c r="D311" i="1"/>
  <c r="G312" i="1" l="1"/>
  <c r="A313" i="1" s="1"/>
  <c r="F312" i="1"/>
  <c r="E312" i="1"/>
  <c r="D312" i="1"/>
  <c r="C312" i="1"/>
  <c r="B312" i="1"/>
  <c r="G313" i="1" l="1"/>
  <c r="A314" i="1" s="1"/>
  <c r="F313" i="1"/>
  <c r="E313" i="1"/>
  <c r="D313" i="1"/>
  <c r="C313" i="1"/>
  <c r="B313" i="1"/>
  <c r="B314" i="1" l="1"/>
  <c r="G314" i="1"/>
  <c r="A315" i="1" s="1"/>
  <c r="F314" i="1"/>
  <c r="E314" i="1"/>
  <c r="D314" i="1"/>
  <c r="C314" i="1"/>
  <c r="G315" i="1" l="1"/>
  <c r="A316" i="1" s="1"/>
  <c r="F315" i="1"/>
  <c r="E315" i="1"/>
  <c r="D315" i="1"/>
  <c r="C315" i="1"/>
  <c r="B315" i="1"/>
  <c r="G316" i="1" l="1"/>
  <c r="A317" i="1" s="1"/>
  <c r="F316" i="1"/>
  <c r="E316" i="1"/>
  <c r="D316" i="1"/>
  <c r="C316" i="1"/>
  <c r="B316" i="1"/>
  <c r="G317" i="1" l="1"/>
  <c r="A318" i="1" s="1"/>
  <c r="F317" i="1"/>
  <c r="E317" i="1"/>
  <c r="D317" i="1"/>
  <c r="C317" i="1"/>
  <c r="B317" i="1"/>
  <c r="G318" i="1" l="1"/>
  <c r="A319" i="1" s="1"/>
  <c r="F318" i="1"/>
  <c r="E318" i="1"/>
  <c r="D318" i="1"/>
  <c r="C318" i="1"/>
  <c r="B318" i="1"/>
  <c r="G319" i="1" l="1"/>
  <c r="A320" i="1" s="1"/>
  <c r="F319" i="1"/>
  <c r="E319" i="1"/>
  <c r="D319" i="1"/>
  <c r="C319" i="1"/>
  <c r="B319" i="1"/>
  <c r="G320" i="1" l="1"/>
  <c r="A321" i="1" s="1"/>
  <c r="F320" i="1"/>
  <c r="E320" i="1"/>
  <c r="D320" i="1"/>
  <c r="C320" i="1"/>
  <c r="B320" i="1"/>
  <c r="G321" i="1" l="1"/>
  <c r="A322" i="1" s="1"/>
  <c r="F321" i="1"/>
  <c r="E321" i="1"/>
  <c r="D321" i="1"/>
  <c r="C321" i="1"/>
  <c r="B321" i="1"/>
  <c r="F322" i="1" l="1"/>
  <c r="E322" i="1"/>
  <c r="D322" i="1"/>
  <c r="C322" i="1"/>
  <c r="B322" i="1"/>
  <c r="G322" i="1"/>
  <c r="A323" i="1" s="1"/>
  <c r="G323" i="1" l="1"/>
  <c r="A324" i="1" s="1"/>
  <c r="F323" i="1"/>
  <c r="E323" i="1"/>
  <c r="D323" i="1"/>
  <c r="C323" i="1"/>
  <c r="B323" i="1"/>
  <c r="G324" i="1" l="1"/>
  <c r="A325" i="1" s="1"/>
  <c r="F324" i="1"/>
  <c r="E324" i="1"/>
  <c r="D324" i="1"/>
  <c r="C324" i="1"/>
  <c r="B324" i="1"/>
  <c r="E325" i="1" l="1"/>
  <c r="D325" i="1"/>
  <c r="C325" i="1"/>
  <c r="B325" i="1"/>
  <c r="G325" i="1"/>
  <c r="A326" i="1" s="1"/>
  <c r="F325" i="1"/>
  <c r="G326" i="1" l="1"/>
  <c r="A327" i="1" s="1"/>
  <c r="F326" i="1"/>
  <c r="E326" i="1"/>
  <c r="D326" i="1"/>
  <c r="C326" i="1"/>
  <c r="B326" i="1"/>
  <c r="G327" i="1" l="1"/>
  <c r="A328" i="1" s="1"/>
  <c r="F327" i="1"/>
  <c r="E327" i="1"/>
  <c r="D327" i="1"/>
  <c r="C327" i="1"/>
  <c r="B327" i="1"/>
  <c r="D328" i="1" l="1"/>
  <c r="C328" i="1"/>
  <c r="B328" i="1"/>
  <c r="G328" i="1"/>
  <c r="A329" i="1" s="1"/>
  <c r="F328" i="1"/>
  <c r="E328" i="1"/>
  <c r="G329" i="1" l="1"/>
  <c r="A330" i="1" s="1"/>
  <c r="F329" i="1"/>
  <c r="E329" i="1"/>
  <c r="D329" i="1"/>
  <c r="C329" i="1"/>
  <c r="B329" i="1"/>
  <c r="G330" i="1" l="1"/>
  <c r="A331" i="1" s="1"/>
  <c r="F330" i="1"/>
  <c r="E330" i="1"/>
  <c r="D330" i="1"/>
  <c r="C330" i="1"/>
  <c r="B330" i="1"/>
  <c r="C331" i="1" l="1"/>
  <c r="B331" i="1"/>
  <c r="G331" i="1"/>
  <c r="A332" i="1" s="1"/>
  <c r="F331" i="1"/>
  <c r="E331" i="1"/>
  <c r="D331" i="1"/>
  <c r="G332" i="1" l="1"/>
  <c r="A333" i="1" s="1"/>
  <c r="F332" i="1"/>
  <c r="E332" i="1"/>
  <c r="D332" i="1"/>
  <c r="C332" i="1"/>
  <c r="B332" i="1"/>
  <c r="G333" i="1" l="1"/>
  <c r="A334" i="1" s="1"/>
  <c r="F333" i="1"/>
  <c r="E333" i="1"/>
  <c r="D333" i="1"/>
  <c r="C333" i="1"/>
  <c r="B333" i="1"/>
  <c r="B334" i="1" l="1"/>
  <c r="G334" i="1"/>
  <c r="A335" i="1" s="1"/>
  <c r="F334" i="1"/>
  <c r="E334" i="1"/>
  <c r="D334" i="1"/>
  <c r="C334" i="1"/>
  <c r="G335" i="1" l="1"/>
  <c r="A336" i="1" s="1"/>
  <c r="F335" i="1"/>
  <c r="E335" i="1"/>
  <c r="D335" i="1"/>
  <c r="C335" i="1"/>
  <c r="B335" i="1"/>
  <c r="G336" i="1" l="1"/>
  <c r="A337" i="1" s="1"/>
  <c r="F336" i="1"/>
  <c r="E336" i="1"/>
  <c r="D336" i="1"/>
  <c r="C336" i="1"/>
  <c r="B336" i="1"/>
  <c r="G337" i="1" l="1"/>
  <c r="A338" i="1" s="1"/>
  <c r="F337" i="1"/>
  <c r="E337" i="1"/>
  <c r="D337" i="1"/>
  <c r="C337" i="1"/>
  <c r="B337" i="1"/>
  <c r="G338" i="1" l="1"/>
  <c r="A339" i="1" s="1"/>
  <c r="F338" i="1"/>
  <c r="E338" i="1"/>
  <c r="D338" i="1"/>
  <c r="C338" i="1"/>
  <c r="B338" i="1"/>
  <c r="G339" i="1" l="1"/>
  <c r="A340" i="1" s="1"/>
  <c r="F339" i="1"/>
  <c r="E339" i="1"/>
  <c r="D339" i="1"/>
  <c r="C339" i="1"/>
  <c r="B339" i="1"/>
  <c r="G340" i="1" l="1"/>
  <c r="A341" i="1" s="1"/>
  <c r="F340" i="1"/>
  <c r="E340" i="1"/>
  <c r="D340" i="1"/>
  <c r="C340" i="1"/>
  <c r="B340" i="1"/>
  <c r="G341" i="1" l="1"/>
  <c r="A342" i="1" s="1"/>
  <c r="F341" i="1"/>
  <c r="E341" i="1"/>
  <c r="D341" i="1"/>
  <c r="C341" i="1"/>
  <c r="B341" i="1"/>
  <c r="F342" i="1" l="1"/>
  <c r="E342" i="1"/>
  <c r="D342" i="1"/>
  <c r="C342" i="1"/>
  <c r="B342" i="1"/>
  <c r="G342" i="1"/>
  <c r="A343" i="1" s="1"/>
  <c r="G343" i="1" l="1"/>
  <c r="A344" i="1" s="1"/>
  <c r="F343" i="1"/>
  <c r="E343" i="1"/>
  <c r="D343" i="1"/>
  <c r="C343" i="1"/>
  <c r="B343" i="1"/>
  <c r="G344" i="1" l="1"/>
  <c r="A345" i="1" s="1"/>
  <c r="F344" i="1"/>
  <c r="E344" i="1"/>
  <c r="D344" i="1"/>
  <c r="C344" i="1"/>
  <c r="B344" i="1"/>
  <c r="E345" i="1" l="1"/>
  <c r="D345" i="1"/>
  <c r="C345" i="1"/>
  <c r="B345" i="1"/>
  <c r="G345" i="1"/>
  <c r="A346" i="1" s="1"/>
  <c r="F345" i="1"/>
  <c r="G346" i="1" l="1"/>
  <c r="A347" i="1" s="1"/>
  <c r="F346" i="1"/>
  <c r="E346" i="1"/>
  <c r="D346" i="1"/>
  <c r="C346" i="1"/>
  <c r="B346" i="1"/>
  <c r="G347" i="1" l="1"/>
  <c r="A348" i="1" s="1"/>
  <c r="F347" i="1"/>
  <c r="E347" i="1"/>
  <c r="D347" i="1"/>
  <c r="C347" i="1"/>
  <c r="B347" i="1"/>
  <c r="D348" i="1" l="1"/>
  <c r="C348" i="1"/>
  <c r="B348" i="1"/>
  <c r="G348" i="1"/>
  <c r="A349" i="1" s="1"/>
  <c r="F348" i="1"/>
  <c r="E348" i="1"/>
  <c r="G349" i="1" l="1"/>
  <c r="A350" i="1" s="1"/>
  <c r="F349" i="1"/>
  <c r="E349" i="1"/>
  <c r="D349" i="1"/>
  <c r="C349" i="1"/>
  <c r="B349" i="1"/>
  <c r="G350" i="1" l="1"/>
  <c r="A351" i="1" s="1"/>
  <c r="F350" i="1"/>
  <c r="E350" i="1"/>
  <c r="D350" i="1"/>
  <c r="C350" i="1"/>
  <c r="B350" i="1"/>
  <c r="C351" i="1" l="1"/>
  <c r="B351" i="1"/>
  <c r="G351" i="1"/>
  <c r="A352" i="1" s="1"/>
  <c r="F351" i="1"/>
  <c r="E351" i="1"/>
  <c r="D351" i="1"/>
  <c r="G352" i="1" l="1"/>
  <c r="A353" i="1" s="1"/>
  <c r="F352" i="1"/>
  <c r="E352" i="1"/>
  <c r="D352" i="1"/>
  <c r="C352" i="1"/>
  <c r="B352" i="1"/>
  <c r="G353" i="1" l="1"/>
  <c r="A354" i="1" s="1"/>
  <c r="F353" i="1"/>
  <c r="E353" i="1"/>
  <c r="D353" i="1"/>
  <c r="C353" i="1"/>
  <c r="B353" i="1"/>
  <c r="B354" i="1" l="1"/>
  <c r="G354" i="1"/>
  <c r="A355" i="1" s="1"/>
  <c r="F354" i="1"/>
  <c r="E354" i="1"/>
  <c r="D354" i="1"/>
  <c r="C354" i="1"/>
  <c r="G355" i="1" l="1"/>
  <c r="A356" i="1" s="1"/>
  <c r="F355" i="1"/>
  <c r="E355" i="1"/>
  <c r="D355" i="1"/>
  <c r="C355" i="1"/>
  <c r="B355" i="1"/>
  <c r="G356" i="1" l="1"/>
  <c r="A357" i="1" s="1"/>
  <c r="F356" i="1"/>
  <c r="E356" i="1"/>
  <c r="D356" i="1"/>
  <c r="C356" i="1"/>
  <c r="B356" i="1"/>
  <c r="G357" i="1" l="1"/>
  <c r="A358" i="1" s="1"/>
  <c r="F357" i="1"/>
  <c r="E357" i="1"/>
  <c r="D357" i="1"/>
  <c r="C357" i="1"/>
  <c r="B357" i="1"/>
  <c r="G358" i="1" l="1"/>
  <c r="A359" i="1" s="1"/>
  <c r="F358" i="1"/>
  <c r="E358" i="1"/>
  <c r="D358" i="1"/>
  <c r="C358" i="1"/>
  <c r="B358" i="1"/>
  <c r="G359" i="1" l="1"/>
  <c r="A360" i="1" s="1"/>
  <c r="F359" i="1"/>
  <c r="E359" i="1"/>
  <c r="D359" i="1"/>
  <c r="C359" i="1"/>
  <c r="B359" i="1"/>
  <c r="G360" i="1" l="1"/>
  <c r="A361" i="1" s="1"/>
  <c r="F360" i="1"/>
  <c r="E360" i="1"/>
  <c r="D360" i="1"/>
  <c r="C360" i="1"/>
  <c r="B360" i="1"/>
  <c r="G361" i="1" l="1"/>
  <c r="A362" i="1" s="1"/>
  <c r="F361" i="1"/>
  <c r="E361" i="1"/>
  <c r="D361" i="1"/>
  <c r="C361" i="1"/>
  <c r="B361" i="1"/>
  <c r="F362" i="1" l="1"/>
  <c r="E362" i="1"/>
  <c r="D362" i="1"/>
  <c r="C362" i="1"/>
  <c r="B362" i="1"/>
  <c r="G362" i="1"/>
  <c r="A363" i="1" s="1"/>
  <c r="G363" i="1" l="1"/>
  <c r="A364" i="1" s="1"/>
  <c r="F363" i="1"/>
  <c r="E363" i="1"/>
  <c r="D363" i="1"/>
  <c r="C363" i="1"/>
  <c r="B363" i="1"/>
  <c r="G364" i="1" l="1"/>
  <c r="A365" i="1" s="1"/>
  <c r="F364" i="1"/>
  <c r="E364" i="1"/>
  <c r="D364" i="1"/>
  <c r="C364" i="1"/>
  <c r="B364" i="1"/>
  <c r="E365" i="1" l="1"/>
  <c r="D365" i="1"/>
  <c r="C365" i="1"/>
  <c r="B365" i="1"/>
  <c r="G365" i="1"/>
  <c r="A366" i="1" s="1"/>
  <c r="F365" i="1"/>
  <c r="G366" i="1" l="1"/>
  <c r="A367" i="1" s="1"/>
  <c r="F366" i="1"/>
  <c r="E366" i="1"/>
  <c r="D366" i="1"/>
  <c r="C366" i="1"/>
  <c r="B366" i="1"/>
  <c r="G367" i="1" l="1"/>
  <c r="A368" i="1" s="1"/>
  <c r="F367" i="1"/>
  <c r="E367" i="1"/>
  <c r="D367" i="1"/>
  <c r="C367" i="1"/>
  <c r="B367" i="1"/>
  <c r="D368" i="1" l="1"/>
  <c r="C368" i="1"/>
  <c r="B368" i="1"/>
  <c r="G368" i="1"/>
  <c r="A369" i="1" s="1"/>
  <c r="F368" i="1"/>
  <c r="E368" i="1"/>
  <c r="G369" i="1" l="1"/>
  <c r="A370" i="1" s="1"/>
  <c r="F369" i="1"/>
  <c r="E369" i="1"/>
  <c r="D369" i="1"/>
  <c r="C369" i="1"/>
  <c r="B369" i="1"/>
  <c r="G370" i="1" l="1"/>
  <c r="A371" i="1" s="1"/>
  <c r="F370" i="1"/>
  <c r="E370" i="1"/>
  <c r="D370" i="1"/>
  <c r="C370" i="1"/>
  <c r="B370" i="1"/>
  <c r="C371" i="1" l="1"/>
  <c r="B371" i="1"/>
  <c r="G371" i="1"/>
  <c r="A372" i="1" s="1"/>
  <c r="F371" i="1"/>
  <c r="E371" i="1"/>
  <c r="D371" i="1"/>
  <c r="G372" i="1" l="1"/>
  <c r="A373" i="1" s="1"/>
  <c r="F372" i="1"/>
  <c r="E372" i="1"/>
  <c r="D372" i="1"/>
  <c r="C372" i="1"/>
  <c r="B372" i="1"/>
  <c r="G373" i="1" l="1"/>
  <c r="A374" i="1" s="1"/>
  <c r="F373" i="1"/>
  <c r="E373" i="1"/>
  <c r="D373" i="1"/>
  <c r="C373" i="1"/>
  <c r="B373" i="1"/>
  <c r="B374" i="1" l="1"/>
  <c r="G374" i="1"/>
  <c r="A375" i="1" s="1"/>
  <c r="F374" i="1"/>
  <c r="E374" i="1"/>
  <c r="D374" i="1"/>
  <c r="C374" i="1"/>
  <c r="G375" i="1" l="1"/>
  <c r="A376" i="1" s="1"/>
  <c r="F375" i="1"/>
  <c r="E375" i="1"/>
  <c r="D375" i="1"/>
  <c r="C375" i="1"/>
  <c r="B375" i="1"/>
  <c r="G376" i="1" l="1"/>
  <c r="A377" i="1" s="1"/>
  <c r="F376" i="1"/>
  <c r="E376" i="1"/>
  <c r="D376" i="1"/>
  <c r="C376" i="1"/>
  <c r="B376" i="1"/>
  <c r="G377" i="1" l="1"/>
  <c r="A378" i="1" s="1"/>
  <c r="F377" i="1"/>
  <c r="E377" i="1"/>
  <c r="D377" i="1"/>
  <c r="C377" i="1"/>
  <c r="B377" i="1"/>
  <c r="G378" i="1" l="1"/>
  <c r="A379" i="1" s="1"/>
  <c r="F378" i="1"/>
  <c r="E378" i="1"/>
  <c r="D378" i="1"/>
  <c r="C378" i="1"/>
  <c r="B378" i="1"/>
  <c r="G379" i="1" l="1"/>
  <c r="A380" i="1" s="1"/>
  <c r="F379" i="1"/>
  <c r="E379" i="1"/>
  <c r="D379" i="1"/>
  <c r="C379" i="1"/>
  <c r="B379" i="1"/>
  <c r="G380" i="1" l="1"/>
  <c r="A381" i="1" s="1"/>
  <c r="F380" i="1"/>
  <c r="E380" i="1"/>
  <c r="D380" i="1"/>
  <c r="C380" i="1"/>
  <c r="B380" i="1"/>
  <c r="G381" i="1" l="1"/>
  <c r="A382" i="1" s="1"/>
  <c r="F381" i="1"/>
  <c r="E381" i="1"/>
  <c r="D381" i="1"/>
  <c r="C381" i="1"/>
  <c r="B381" i="1"/>
  <c r="F382" i="1" l="1"/>
  <c r="E382" i="1"/>
  <c r="D382" i="1"/>
  <c r="C382" i="1"/>
  <c r="B382" i="1"/>
  <c r="G382" i="1"/>
  <c r="A383" i="1" s="1"/>
  <c r="G383" i="1" l="1"/>
  <c r="A384" i="1" s="1"/>
  <c r="F383" i="1"/>
  <c r="E383" i="1"/>
  <c r="D383" i="1"/>
  <c r="C383" i="1"/>
  <c r="B383" i="1"/>
  <c r="G384" i="1" l="1"/>
  <c r="A385" i="1" s="1"/>
  <c r="F384" i="1"/>
  <c r="E384" i="1"/>
  <c r="D384" i="1"/>
  <c r="C384" i="1"/>
  <c r="B384" i="1"/>
  <c r="E385" i="1" l="1"/>
  <c r="D385" i="1"/>
  <c r="C385" i="1"/>
  <c r="B385" i="1"/>
  <c r="G385" i="1"/>
  <c r="A386" i="1" s="1"/>
  <c r="F385" i="1"/>
  <c r="G386" i="1" l="1"/>
  <c r="A387" i="1" s="1"/>
  <c r="F386" i="1"/>
  <c r="E386" i="1"/>
  <c r="D386" i="1"/>
  <c r="C386" i="1"/>
  <c r="B386" i="1"/>
  <c r="G387" i="1" l="1"/>
  <c r="A388" i="1" s="1"/>
  <c r="F387" i="1"/>
  <c r="E387" i="1"/>
  <c r="D387" i="1"/>
  <c r="C387" i="1"/>
  <c r="B387" i="1"/>
  <c r="D388" i="1" l="1"/>
  <c r="C388" i="1"/>
  <c r="B388" i="1"/>
  <c r="G388" i="1"/>
  <c r="A389" i="1" s="1"/>
  <c r="F388" i="1"/>
  <c r="E388" i="1"/>
  <c r="G389" i="1" l="1"/>
  <c r="A390" i="1" s="1"/>
  <c r="F389" i="1"/>
  <c r="E389" i="1"/>
  <c r="D389" i="1"/>
  <c r="C389" i="1"/>
  <c r="B389" i="1"/>
  <c r="G390" i="1" l="1"/>
  <c r="A391" i="1" s="1"/>
  <c r="F390" i="1"/>
  <c r="E390" i="1"/>
  <c r="D390" i="1"/>
  <c r="C390" i="1"/>
  <c r="B390" i="1"/>
  <c r="C391" i="1" l="1"/>
  <c r="B391" i="1"/>
  <c r="G391" i="1"/>
  <c r="A392" i="1" s="1"/>
  <c r="F391" i="1"/>
  <c r="E391" i="1"/>
  <c r="D391" i="1"/>
  <c r="G392" i="1" l="1"/>
  <c r="A393" i="1" s="1"/>
  <c r="F392" i="1"/>
  <c r="E392" i="1"/>
  <c r="D392" i="1"/>
  <c r="C392" i="1"/>
  <c r="B392" i="1"/>
  <c r="G393" i="1" l="1"/>
  <c r="A394" i="1" s="1"/>
  <c r="F393" i="1"/>
  <c r="E393" i="1"/>
  <c r="D393" i="1"/>
  <c r="C393" i="1"/>
  <c r="B393" i="1"/>
  <c r="B394" i="1" l="1"/>
  <c r="G394" i="1"/>
  <c r="A395" i="1" s="1"/>
  <c r="F394" i="1"/>
  <c r="E394" i="1"/>
  <c r="D394" i="1"/>
  <c r="C394" i="1"/>
  <c r="G395" i="1" l="1"/>
  <c r="A396" i="1" s="1"/>
  <c r="F395" i="1"/>
  <c r="E395" i="1"/>
  <c r="D395" i="1"/>
  <c r="C395" i="1"/>
  <c r="B395" i="1"/>
  <c r="G396" i="1" l="1"/>
  <c r="A397" i="1" s="1"/>
  <c r="F396" i="1"/>
  <c r="E396" i="1"/>
  <c r="D396" i="1"/>
  <c r="C396" i="1"/>
  <c r="B396" i="1"/>
  <c r="G397" i="1" l="1"/>
  <c r="A398" i="1" s="1"/>
  <c r="F397" i="1"/>
  <c r="E397" i="1"/>
  <c r="D397" i="1"/>
  <c r="C397" i="1"/>
  <c r="B397" i="1"/>
  <c r="G398" i="1" l="1"/>
  <c r="A399" i="1" s="1"/>
  <c r="F398" i="1"/>
  <c r="E398" i="1"/>
  <c r="D398" i="1"/>
  <c r="C398" i="1"/>
  <c r="B398" i="1"/>
  <c r="G399" i="1" l="1"/>
  <c r="A400" i="1" s="1"/>
  <c r="F399" i="1"/>
  <c r="E399" i="1"/>
  <c r="D399" i="1"/>
  <c r="C399" i="1"/>
  <c r="B399" i="1"/>
  <c r="G400" i="1" l="1"/>
  <c r="A401" i="1" s="1"/>
  <c r="F400" i="1"/>
  <c r="E400" i="1"/>
  <c r="D400" i="1"/>
  <c r="C400" i="1"/>
  <c r="B400" i="1"/>
  <c r="G401" i="1" l="1"/>
  <c r="A402" i="1" s="1"/>
  <c r="F401" i="1"/>
  <c r="E401" i="1"/>
  <c r="D401" i="1"/>
  <c r="C401" i="1"/>
  <c r="B401" i="1"/>
  <c r="F402" i="1" l="1"/>
  <c r="E402" i="1"/>
  <c r="D402" i="1"/>
  <c r="C402" i="1"/>
  <c r="B402" i="1"/>
  <c r="G402" i="1"/>
  <c r="A403" i="1" s="1"/>
  <c r="G403" i="1" l="1"/>
  <c r="A404" i="1" s="1"/>
  <c r="F403" i="1"/>
  <c r="E403" i="1"/>
  <c r="D403" i="1"/>
  <c r="C403" i="1"/>
  <c r="B403" i="1"/>
  <c r="G404" i="1" l="1"/>
  <c r="A405" i="1" s="1"/>
  <c r="F404" i="1"/>
  <c r="E404" i="1"/>
  <c r="D404" i="1"/>
  <c r="C404" i="1"/>
  <c r="B404" i="1"/>
  <c r="E405" i="1" l="1"/>
  <c r="D405" i="1"/>
  <c r="C405" i="1"/>
  <c r="B405" i="1"/>
  <c r="G405" i="1"/>
  <c r="A406" i="1" s="1"/>
  <c r="F405" i="1"/>
  <c r="G406" i="1" l="1"/>
  <c r="A407" i="1" s="1"/>
  <c r="F406" i="1"/>
  <c r="E406" i="1"/>
  <c r="D406" i="1"/>
  <c r="C406" i="1"/>
  <c r="B406" i="1"/>
  <c r="G407" i="1" l="1"/>
  <c r="A408" i="1" s="1"/>
  <c r="F407" i="1"/>
  <c r="E407" i="1"/>
  <c r="D407" i="1"/>
  <c r="C407" i="1"/>
  <c r="B407" i="1"/>
  <c r="D408" i="1" l="1"/>
  <c r="C408" i="1"/>
  <c r="B408" i="1"/>
  <c r="G408" i="1"/>
  <c r="A409" i="1" s="1"/>
  <c r="F408" i="1"/>
  <c r="E408" i="1"/>
  <c r="G409" i="1" l="1"/>
  <c r="A410" i="1" s="1"/>
  <c r="F409" i="1"/>
  <c r="E409" i="1"/>
  <c r="D409" i="1"/>
  <c r="C409" i="1"/>
  <c r="B409" i="1"/>
  <c r="G410" i="1" l="1"/>
  <c r="A411" i="1" s="1"/>
  <c r="F410" i="1"/>
  <c r="E410" i="1"/>
  <c r="D410" i="1"/>
  <c r="C410" i="1"/>
  <c r="B410" i="1"/>
  <c r="C411" i="1" l="1"/>
  <c r="B411" i="1"/>
  <c r="G411" i="1"/>
  <c r="A412" i="1" s="1"/>
  <c r="F411" i="1"/>
  <c r="E411" i="1"/>
  <c r="D411" i="1"/>
  <c r="G412" i="1" l="1"/>
  <c r="A413" i="1" s="1"/>
  <c r="F412" i="1"/>
  <c r="E412" i="1"/>
  <c r="D412" i="1"/>
  <c r="C412" i="1"/>
  <c r="B412" i="1"/>
  <c r="G413" i="1" l="1"/>
  <c r="A414" i="1" s="1"/>
  <c r="F413" i="1"/>
  <c r="E413" i="1"/>
  <c r="D413" i="1"/>
  <c r="C413" i="1"/>
  <c r="B413" i="1"/>
  <c r="B414" i="1" l="1"/>
  <c r="G414" i="1"/>
  <c r="A415" i="1" s="1"/>
  <c r="F414" i="1"/>
  <c r="E414" i="1"/>
  <c r="D414" i="1"/>
  <c r="C414" i="1"/>
  <c r="G415" i="1" l="1"/>
  <c r="A416" i="1" s="1"/>
  <c r="F415" i="1"/>
  <c r="E415" i="1"/>
  <c r="D415" i="1"/>
  <c r="C415" i="1"/>
  <c r="B415" i="1"/>
  <c r="G416" i="1" l="1"/>
  <c r="A417" i="1" s="1"/>
  <c r="F416" i="1"/>
  <c r="E416" i="1"/>
  <c r="D416" i="1"/>
  <c r="C416" i="1"/>
  <c r="B416" i="1"/>
  <c r="G417" i="1" l="1"/>
  <c r="A418" i="1" s="1"/>
  <c r="F417" i="1"/>
  <c r="E417" i="1"/>
  <c r="D417" i="1"/>
  <c r="C417" i="1"/>
  <c r="B417" i="1"/>
  <c r="G418" i="1" l="1"/>
  <c r="A419" i="1" s="1"/>
  <c r="F418" i="1"/>
  <c r="E418" i="1"/>
  <c r="D418" i="1"/>
  <c r="C418" i="1"/>
  <c r="B418" i="1"/>
  <c r="G419" i="1" l="1"/>
  <c r="A420" i="1" s="1"/>
  <c r="F419" i="1"/>
  <c r="E419" i="1"/>
  <c r="D419" i="1"/>
  <c r="C419" i="1"/>
  <c r="B419" i="1"/>
  <c r="G420" i="1" l="1"/>
  <c r="A421" i="1" s="1"/>
  <c r="F420" i="1"/>
  <c r="E420" i="1"/>
  <c r="D420" i="1"/>
  <c r="C420" i="1"/>
  <c r="B420" i="1"/>
  <c r="G421" i="1" l="1"/>
  <c r="A422" i="1" s="1"/>
  <c r="F421" i="1"/>
  <c r="E421" i="1"/>
  <c r="D421" i="1"/>
  <c r="C421" i="1"/>
  <c r="B421" i="1"/>
  <c r="F422" i="1" l="1"/>
  <c r="E422" i="1"/>
  <c r="D422" i="1"/>
  <c r="C422" i="1"/>
  <c r="B422" i="1"/>
  <c r="G422" i="1"/>
  <c r="A423" i="1" s="1"/>
  <c r="G423" i="1" l="1"/>
  <c r="A424" i="1" s="1"/>
  <c r="F423" i="1"/>
  <c r="E423" i="1"/>
  <c r="D423" i="1"/>
  <c r="C423" i="1"/>
  <c r="B423" i="1"/>
  <c r="G424" i="1" l="1"/>
  <c r="A425" i="1" s="1"/>
  <c r="F424" i="1"/>
  <c r="E424" i="1"/>
  <c r="D424" i="1"/>
  <c r="C424" i="1"/>
  <c r="B424" i="1"/>
  <c r="E425" i="1" l="1"/>
  <c r="D425" i="1"/>
  <c r="C425" i="1"/>
  <c r="B425" i="1"/>
  <c r="G425" i="1"/>
  <c r="A426" i="1" s="1"/>
  <c r="F425" i="1"/>
  <c r="G426" i="1" l="1"/>
  <c r="A427" i="1" s="1"/>
  <c r="F426" i="1"/>
  <c r="E426" i="1"/>
  <c r="D426" i="1"/>
  <c r="C426" i="1"/>
  <c r="B426" i="1"/>
  <c r="G427" i="1" l="1"/>
  <c r="A428" i="1" s="1"/>
  <c r="F427" i="1"/>
  <c r="E427" i="1"/>
  <c r="D427" i="1"/>
  <c r="C427" i="1"/>
  <c r="B427" i="1"/>
  <c r="D428" i="1" l="1"/>
  <c r="C428" i="1"/>
  <c r="B428" i="1"/>
  <c r="G428" i="1"/>
  <c r="A429" i="1" s="1"/>
  <c r="F428" i="1"/>
  <c r="E428" i="1"/>
  <c r="G429" i="1" l="1"/>
  <c r="A430" i="1" s="1"/>
  <c r="F429" i="1"/>
  <c r="E429" i="1"/>
  <c r="D429" i="1"/>
  <c r="C429" i="1"/>
  <c r="B429" i="1"/>
  <c r="G430" i="1" l="1"/>
  <c r="A431" i="1" s="1"/>
  <c r="F430" i="1"/>
  <c r="E430" i="1"/>
  <c r="D430" i="1"/>
  <c r="C430" i="1"/>
  <c r="B430" i="1"/>
  <c r="C431" i="1" l="1"/>
  <c r="B431" i="1"/>
  <c r="G431" i="1"/>
  <c r="A432" i="1" s="1"/>
  <c r="F431" i="1"/>
  <c r="E431" i="1"/>
  <c r="D431" i="1"/>
  <c r="G432" i="1" l="1"/>
  <c r="A433" i="1" s="1"/>
  <c r="F432" i="1"/>
  <c r="E432" i="1"/>
  <c r="D432" i="1"/>
  <c r="C432" i="1"/>
  <c r="B432" i="1"/>
  <c r="G433" i="1" l="1"/>
  <c r="A434" i="1" s="1"/>
  <c r="F433" i="1"/>
  <c r="E433" i="1"/>
  <c r="D433" i="1"/>
  <c r="C433" i="1"/>
  <c r="B433" i="1"/>
  <c r="B434" i="1" l="1"/>
  <c r="G434" i="1"/>
  <c r="A435" i="1" s="1"/>
  <c r="F434" i="1"/>
  <c r="E434" i="1"/>
  <c r="D434" i="1"/>
  <c r="C434" i="1"/>
  <c r="G435" i="1" l="1"/>
  <c r="A436" i="1" s="1"/>
  <c r="F435" i="1"/>
  <c r="E435" i="1"/>
  <c r="D435" i="1"/>
  <c r="C435" i="1"/>
  <c r="B435" i="1"/>
  <c r="G436" i="1" l="1"/>
  <c r="A437" i="1" s="1"/>
  <c r="F436" i="1"/>
  <c r="E436" i="1"/>
  <c r="D436" i="1"/>
  <c r="C436" i="1"/>
  <c r="B436" i="1"/>
  <c r="G437" i="1" l="1"/>
  <c r="A438" i="1" s="1"/>
  <c r="F437" i="1"/>
  <c r="E437" i="1"/>
  <c r="D437" i="1"/>
  <c r="C437" i="1"/>
  <c r="B437" i="1"/>
  <c r="G438" i="1" l="1"/>
  <c r="A439" i="1" s="1"/>
  <c r="F438" i="1"/>
  <c r="E438" i="1"/>
  <c r="D438" i="1"/>
  <c r="C438" i="1"/>
  <c r="B438" i="1"/>
  <c r="G439" i="1" l="1"/>
  <c r="A440" i="1" s="1"/>
  <c r="F439" i="1"/>
  <c r="E439" i="1"/>
  <c r="D439" i="1"/>
  <c r="C439" i="1"/>
  <c r="B439" i="1"/>
  <c r="G440" i="1" l="1"/>
  <c r="A441" i="1" s="1"/>
  <c r="F440" i="1"/>
  <c r="E440" i="1"/>
  <c r="D440" i="1"/>
  <c r="C440" i="1"/>
  <c r="B440" i="1"/>
  <c r="G441" i="1" l="1"/>
  <c r="A442" i="1" s="1"/>
  <c r="F441" i="1"/>
  <c r="E441" i="1"/>
  <c r="D441" i="1"/>
  <c r="C441" i="1"/>
  <c r="B441" i="1"/>
  <c r="F442" i="1" l="1"/>
  <c r="E442" i="1"/>
  <c r="D442" i="1"/>
  <c r="C442" i="1"/>
  <c r="B442" i="1"/>
  <c r="G442" i="1"/>
  <c r="A443" i="1" s="1"/>
  <c r="G443" i="1" l="1"/>
  <c r="A444" i="1" s="1"/>
  <c r="F443" i="1"/>
  <c r="E443" i="1"/>
  <c r="D443" i="1"/>
  <c r="C443" i="1"/>
  <c r="B443" i="1"/>
  <c r="G444" i="1" l="1"/>
  <c r="A445" i="1" s="1"/>
  <c r="F444" i="1"/>
  <c r="E444" i="1"/>
  <c r="D444" i="1"/>
  <c r="C444" i="1"/>
  <c r="B444" i="1"/>
  <c r="E445" i="1" l="1"/>
  <c r="D445" i="1"/>
  <c r="C445" i="1"/>
  <c r="B445" i="1"/>
  <c r="G445" i="1"/>
  <c r="A446" i="1" s="1"/>
  <c r="F445" i="1"/>
  <c r="G446" i="1" l="1"/>
  <c r="A447" i="1" s="1"/>
  <c r="F446" i="1"/>
  <c r="E446" i="1"/>
  <c r="D446" i="1"/>
  <c r="C446" i="1"/>
  <c r="B446" i="1"/>
  <c r="G447" i="1" l="1"/>
  <c r="A448" i="1" s="1"/>
  <c r="F447" i="1"/>
  <c r="E447" i="1"/>
  <c r="D447" i="1"/>
  <c r="C447" i="1"/>
  <c r="B447" i="1"/>
  <c r="D448" i="1" l="1"/>
  <c r="C448" i="1"/>
  <c r="B448" i="1"/>
  <c r="G448" i="1"/>
  <c r="A449" i="1" s="1"/>
  <c r="F448" i="1"/>
  <c r="E448" i="1"/>
  <c r="G449" i="1" l="1"/>
  <c r="A450" i="1" s="1"/>
  <c r="F449" i="1"/>
  <c r="E449" i="1"/>
  <c r="D449" i="1"/>
  <c r="C449" i="1"/>
  <c r="B449" i="1"/>
  <c r="G450" i="1" l="1"/>
  <c r="A451" i="1" s="1"/>
  <c r="F450" i="1"/>
  <c r="E450" i="1"/>
  <c r="D450" i="1"/>
  <c r="C450" i="1"/>
  <c r="B450" i="1"/>
  <c r="C451" i="1" l="1"/>
  <c r="B451" i="1"/>
  <c r="G451" i="1"/>
  <c r="A452" i="1" s="1"/>
  <c r="F451" i="1"/>
  <c r="E451" i="1"/>
  <c r="D451" i="1"/>
  <c r="G452" i="1" l="1"/>
  <c r="A453" i="1" s="1"/>
  <c r="F452" i="1"/>
  <c r="E452" i="1"/>
  <c r="D452" i="1"/>
  <c r="C452" i="1"/>
  <c r="B452" i="1"/>
  <c r="G453" i="1" l="1"/>
  <c r="A454" i="1" s="1"/>
  <c r="F453" i="1"/>
  <c r="E453" i="1"/>
  <c r="D453" i="1"/>
  <c r="C453" i="1"/>
  <c r="B453" i="1"/>
  <c r="B454" i="1" l="1"/>
  <c r="G454" i="1"/>
  <c r="A455" i="1" s="1"/>
  <c r="F454" i="1"/>
  <c r="E454" i="1"/>
  <c r="D454" i="1"/>
  <c r="C454" i="1"/>
  <c r="G455" i="1" l="1"/>
  <c r="A456" i="1" s="1"/>
  <c r="F455" i="1"/>
  <c r="E455" i="1"/>
  <c r="D455" i="1"/>
  <c r="C455" i="1"/>
  <c r="B455" i="1"/>
  <c r="G456" i="1" l="1"/>
  <c r="A457" i="1" s="1"/>
  <c r="F456" i="1"/>
  <c r="E456" i="1"/>
  <c r="D456" i="1"/>
  <c r="C456" i="1"/>
  <c r="B456" i="1"/>
  <c r="G457" i="1" l="1"/>
  <c r="A458" i="1" s="1"/>
  <c r="F457" i="1"/>
  <c r="E457" i="1"/>
  <c r="D457" i="1"/>
  <c r="C457" i="1"/>
  <c r="B457" i="1"/>
  <c r="G458" i="1" l="1"/>
  <c r="A459" i="1" s="1"/>
  <c r="F458" i="1"/>
  <c r="E458" i="1"/>
  <c r="D458" i="1"/>
  <c r="C458" i="1"/>
  <c r="B458" i="1"/>
  <c r="G459" i="1" l="1"/>
  <c r="A460" i="1" s="1"/>
  <c r="F459" i="1"/>
  <c r="E459" i="1"/>
  <c r="D459" i="1"/>
  <c r="C459" i="1"/>
  <c r="B459" i="1"/>
  <c r="G460" i="1" l="1"/>
  <c r="A461" i="1" s="1"/>
  <c r="F460" i="1"/>
  <c r="E460" i="1"/>
  <c r="D460" i="1"/>
  <c r="C460" i="1"/>
  <c r="B460" i="1"/>
  <c r="G461" i="1" l="1"/>
  <c r="A462" i="1" s="1"/>
  <c r="F461" i="1"/>
  <c r="E461" i="1"/>
  <c r="D461" i="1"/>
  <c r="C461" i="1"/>
  <c r="B461" i="1"/>
  <c r="F462" i="1" l="1"/>
  <c r="E462" i="1"/>
  <c r="D462" i="1"/>
  <c r="C462" i="1"/>
  <c r="B462" i="1"/>
  <c r="G462" i="1"/>
  <c r="A463" i="1" s="1"/>
  <c r="G463" i="1" l="1"/>
  <c r="A464" i="1" s="1"/>
  <c r="F463" i="1"/>
  <c r="E463" i="1"/>
  <c r="D463" i="1"/>
  <c r="C463" i="1"/>
  <c r="B463" i="1"/>
  <c r="G464" i="1" l="1"/>
  <c r="A465" i="1" s="1"/>
  <c r="F464" i="1"/>
  <c r="E464" i="1"/>
  <c r="D464" i="1"/>
  <c r="C464" i="1"/>
  <c r="B464" i="1"/>
  <c r="E465" i="1" l="1"/>
  <c r="D465" i="1"/>
  <c r="C465" i="1"/>
  <c r="B465" i="1"/>
  <c r="G465" i="1"/>
  <c r="A466" i="1" s="1"/>
  <c r="F465" i="1"/>
  <c r="G466" i="1" l="1"/>
  <c r="A467" i="1" s="1"/>
  <c r="F466" i="1"/>
  <c r="E466" i="1"/>
  <c r="D466" i="1"/>
  <c r="C466" i="1"/>
  <c r="B466" i="1"/>
  <c r="G467" i="1" l="1"/>
  <c r="A468" i="1" s="1"/>
  <c r="F467" i="1"/>
  <c r="E467" i="1"/>
  <c r="D467" i="1"/>
  <c r="C467" i="1"/>
  <c r="B467" i="1"/>
  <c r="D468" i="1" l="1"/>
  <c r="C468" i="1"/>
  <c r="B468" i="1"/>
  <c r="G468" i="1"/>
  <c r="A469" i="1" s="1"/>
  <c r="F468" i="1"/>
  <c r="E468" i="1"/>
  <c r="G469" i="1" l="1"/>
  <c r="A470" i="1" s="1"/>
  <c r="F469" i="1"/>
  <c r="E469" i="1"/>
  <c r="D469" i="1"/>
  <c r="C469" i="1"/>
  <c r="B469" i="1"/>
  <c r="G470" i="1" l="1"/>
  <c r="A471" i="1" s="1"/>
  <c r="F470" i="1"/>
  <c r="E470" i="1"/>
  <c r="D470" i="1"/>
  <c r="C470" i="1"/>
  <c r="B470" i="1"/>
  <c r="C471" i="1" l="1"/>
  <c r="B471" i="1"/>
  <c r="G471" i="1"/>
  <c r="A472" i="1" s="1"/>
  <c r="F471" i="1"/>
  <c r="E471" i="1"/>
  <c r="D471" i="1"/>
  <c r="G472" i="1" l="1"/>
  <c r="A473" i="1" s="1"/>
  <c r="F472" i="1"/>
  <c r="E472" i="1"/>
  <c r="D472" i="1"/>
  <c r="C472" i="1"/>
  <c r="B472" i="1"/>
  <c r="G473" i="1" l="1"/>
  <c r="A474" i="1" s="1"/>
  <c r="F473" i="1"/>
  <c r="E473" i="1"/>
  <c r="D473" i="1"/>
  <c r="C473" i="1"/>
  <c r="B473" i="1"/>
  <c r="B474" i="1" l="1"/>
  <c r="G474" i="1"/>
  <c r="A475" i="1" s="1"/>
  <c r="F474" i="1"/>
  <c r="E474" i="1"/>
  <c r="D474" i="1"/>
  <c r="C474" i="1"/>
  <c r="G475" i="1" l="1"/>
  <c r="A476" i="1" s="1"/>
  <c r="F475" i="1"/>
  <c r="E475" i="1"/>
  <c r="D475" i="1"/>
  <c r="C475" i="1"/>
  <c r="B475" i="1"/>
  <c r="G476" i="1" l="1"/>
  <c r="A477" i="1" s="1"/>
  <c r="F476" i="1"/>
  <c r="E476" i="1"/>
  <c r="D476" i="1"/>
  <c r="C476" i="1"/>
  <c r="B476" i="1"/>
  <c r="G477" i="1" l="1"/>
  <c r="A478" i="1" s="1"/>
  <c r="F477" i="1"/>
  <c r="E477" i="1"/>
  <c r="D477" i="1"/>
  <c r="C477" i="1"/>
  <c r="B477" i="1"/>
  <c r="G478" i="1" l="1"/>
  <c r="A479" i="1" s="1"/>
  <c r="F478" i="1"/>
  <c r="E478" i="1"/>
  <c r="D478" i="1"/>
  <c r="C478" i="1"/>
  <c r="B478" i="1"/>
  <c r="G479" i="1" l="1"/>
  <c r="A480" i="1" s="1"/>
  <c r="F479" i="1"/>
  <c r="E479" i="1"/>
  <c r="D479" i="1"/>
  <c r="C479" i="1"/>
  <c r="B479" i="1"/>
  <c r="G480" i="1" l="1"/>
  <c r="A481" i="1" s="1"/>
  <c r="F480" i="1"/>
  <c r="E480" i="1"/>
  <c r="D480" i="1"/>
  <c r="C480" i="1"/>
  <c r="B480" i="1"/>
  <c r="G481" i="1" l="1"/>
  <c r="A482" i="1" s="1"/>
  <c r="F481" i="1"/>
  <c r="E481" i="1"/>
  <c r="D481" i="1"/>
  <c r="C481" i="1"/>
  <c r="B481" i="1"/>
  <c r="F482" i="1" l="1"/>
  <c r="E482" i="1"/>
  <c r="D482" i="1"/>
  <c r="C482" i="1"/>
  <c r="B482" i="1"/>
  <c r="G482" i="1"/>
  <c r="A483" i="1" s="1"/>
  <c r="G483" i="1" l="1"/>
  <c r="A484" i="1" s="1"/>
  <c r="F483" i="1"/>
  <c r="E483" i="1"/>
  <c r="D483" i="1"/>
  <c r="C483" i="1"/>
  <c r="B483" i="1"/>
  <c r="G484" i="1" l="1"/>
  <c r="A485" i="1" s="1"/>
  <c r="F484" i="1"/>
  <c r="E484" i="1"/>
  <c r="D484" i="1"/>
  <c r="C484" i="1"/>
  <c r="B484" i="1"/>
  <c r="E485" i="1" l="1"/>
  <c r="D485" i="1"/>
  <c r="C485" i="1"/>
  <c r="B485" i="1"/>
  <c r="G485" i="1"/>
  <c r="A486" i="1" s="1"/>
  <c r="F485" i="1"/>
  <c r="G486" i="1" l="1"/>
  <c r="A487" i="1" s="1"/>
  <c r="F486" i="1"/>
  <c r="E486" i="1"/>
  <c r="D486" i="1"/>
  <c r="C486" i="1"/>
  <c r="B486" i="1"/>
  <c r="G487" i="1" l="1"/>
  <c r="A488" i="1" s="1"/>
  <c r="F487" i="1"/>
  <c r="E487" i="1"/>
  <c r="D487" i="1"/>
  <c r="C487" i="1"/>
  <c r="B487" i="1"/>
  <c r="D488" i="1" l="1"/>
  <c r="C488" i="1"/>
  <c r="B488" i="1"/>
  <c r="G488" i="1"/>
  <c r="A489" i="1" s="1"/>
  <c r="F488" i="1"/>
  <c r="E488" i="1"/>
  <c r="G489" i="1" l="1"/>
  <c r="A490" i="1" s="1"/>
  <c r="F489" i="1"/>
  <c r="E489" i="1"/>
  <c r="D489" i="1"/>
  <c r="C489" i="1"/>
  <c r="B489" i="1"/>
  <c r="G490" i="1" l="1"/>
  <c r="A491" i="1" s="1"/>
  <c r="F490" i="1"/>
  <c r="E490" i="1"/>
  <c r="D490" i="1"/>
  <c r="C490" i="1"/>
  <c r="B490" i="1"/>
  <c r="C491" i="1" l="1"/>
  <c r="B491" i="1"/>
  <c r="G491" i="1"/>
  <c r="A492" i="1" s="1"/>
  <c r="F491" i="1"/>
  <c r="E491" i="1"/>
  <c r="D491" i="1"/>
  <c r="G492" i="1" l="1"/>
  <c r="A493" i="1" s="1"/>
  <c r="F492" i="1"/>
  <c r="E492" i="1"/>
  <c r="D492" i="1"/>
  <c r="C492" i="1"/>
  <c r="B492" i="1"/>
  <c r="G493" i="1" l="1"/>
  <c r="A494" i="1" s="1"/>
  <c r="F493" i="1"/>
  <c r="E493" i="1"/>
  <c r="D493" i="1"/>
  <c r="C493" i="1"/>
  <c r="B493" i="1"/>
  <c r="B494" i="1" l="1"/>
  <c r="G494" i="1"/>
  <c r="A495" i="1" s="1"/>
  <c r="F494" i="1"/>
  <c r="E494" i="1"/>
  <c r="D494" i="1"/>
  <c r="C494" i="1"/>
  <c r="G495" i="1" l="1"/>
  <c r="A496" i="1" s="1"/>
  <c r="F495" i="1"/>
  <c r="E495" i="1"/>
  <c r="D495" i="1"/>
  <c r="C495" i="1"/>
  <c r="B495" i="1"/>
  <c r="G496" i="1" l="1"/>
  <c r="A497" i="1" s="1"/>
  <c r="F496" i="1"/>
  <c r="E496" i="1"/>
  <c r="D496" i="1"/>
  <c r="C496" i="1"/>
  <c r="B496" i="1"/>
  <c r="G497" i="1" l="1"/>
  <c r="A498" i="1" s="1"/>
  <c r="F497" i="1"/>
  <c r="E497" i="1"/>
  <c r="D497" i="1"/>
  <c r="C497" i="1"/>
  <c r="B497" i="1"/>
  <c r="G498" i="1" l="1"/>
  <c r="A499" i="1" s="1"/>
  <c r="F498" i="1"/>
  <c r="E498" i="1"/>
  <c r="D498" i="1"/>
  <c r="C498" i="1"/>
  <c r="B498" i="1"/>
  <c r="G499" i="1" l="1"/>
  <c r="F499" i="1"/>
  <c r="E499" i="1"/>
  <c r="D499" i="1"/>
  <c r="C499" i="1"/>
  <c r="B499" i="1"/>
  <c r="D13" i="1"/>
  <c r="F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8" authorId="0" shapeId="0" xr:uid="{00000000-0006-0000-0000-000001000000}">
      <text>
        <r>
          <rPr>
            <sz val="10"/>
            <rFont val="Arial"/>
            <family val="2"/>
          </rPr>
          <t>Nettokreditbetrag (Auszahlungsbetrag).</t>
        </r>
      </text>
    </comment>
    <comment ref="C9" authorId="0" shapeId="0" xr:uid="{00000000-0006-0000-0000-000002000000}">
      <text>
        <r>
          <rPr>
            <sz val="10"/>
            <rFont val="Arial"/>
            <family val="2"/>
          </rPr>
          <t>Gebundener Nominalzins pro Jahr.</t>
        </r>
      </text>
    </comment>
    <comment ref="C10" authorId="0" shapeId="0" xr:uid="{00000000-0006-0000-0000-000003000000}">
      <text>
        <r>
          <rPr>
            <sz val="10"/>
            <rFont val="Arial"/>
            <family val="2"/>
          </rPr>
          <t>Geplante Laufzeit in Jahren.</t>
        </r>
      </text>
    </comment>
    <comment ref="C11" authorId="0" shapeId="0" xr:uid="{00000000-0006-0000-0000-000004000000}">
      <text>
        <r>
          <rPr>
            <sz val="10"/>
            <rFont val="Arial"/>
            <family val="2"/>
          </rPr>
          <t>12 = monatlich · 4 = vierteljährlich · 2 = halbjährlich · 1 = jährlich.</t>
        </r>
      </text>
    </comment>
    <comment ref="C12" authorId="0" shapeId="0" xr:uid="{00000000-0006-0000-0000-000005000000}">
      <text>
        <r>
          <rPr>
            <sz val="10"/>
            <rFont val="Arial"/>
            <family val="2"/>
          </rPr>
          <t>Fälligkeitsdatum der ersten Rate.</t>
        </r>
      </text>
    </comment>
    <comment ref="C13" authorId="0" shapeId="0" xr:uid="{00000000-0006-0000-0000-000006000000}">
      <text>
        <r>
          <rPr>
            <sz val="10"/>
            <rFont val="Arial"/>
            <family val="2"/>
          </rPr>
          <t>Optionaler jährlicher Zusatzbetrag. 0 = keine Sondertilgung.</t>
        </r>
      </text>
    </comment>
  </commentList>
</comments>
</file>

<file path=xl/sharedStrings.xml><?xml version="1.0" encoding="utf-8"?>
<sst xmlns="http://schemas.openxmlformats.org/spreadsheetml/2006/main" count="26" uniqueCount="26">
  <si>
    <t>KREDITRECHNER  MIT  TILGUNGSPLAN</t>
  </si>
  <si>
    <t>Annuitätendarlehen · monatliche Rate, Zins- und Tilgungsverlauf, Restschuld – inkl. optionaler Sondertilgung</t>
  </si>
  <si>
    <t>1  ·  EINGABEN</t>
  </si>
  <si>
    <t>2  ·  ERGEBNISSE</t>
  </si>
  <si>
    <t>Darlehensbetrag</t>
  </si>
  <si>
    <t>MONATLICHE RATE</t>
  </si>
  <si>
    <t>ANZAHL RATEN</t>
  </si>
  <si>
    <t>Sollzinssatz p. a.</t>
  </si>
  <si>
    <t>Laufzeit (Jahre)</t>
  </si>
  <si>
    <t>Zahlungen pro Jahr</t>
  </si>
  <si>
    <t>Datum der 1. Rate</t>
  </si>
  <si>
    <t>SUMME ZINSEN</t>
  </si>
  <si>
    <t>GESAMT-RÜCKZAHLUNG</t>
  </si>
  <si>
    <t>Sondertilgung / Jahr</t>
  </si>
  <si>
    <t>▸ Bitte nur die gelben Felder ausfüllen.</t>
  </si>
  <si>
    <t>Rate je Zahlung</t>
  </si>
  <si>
    <t>Alle Werte aktualisieren sich automatisch bei Änderung der Eingaben.</t>
  </si>
  <si>
    <t>3  ·  TILGUNGSPLAN (Übersicht je Zahlung)</t>
  </si>
  <si>
    <t>Nr.</t>
  </si>
  <si>
    <t>Fälligkeit</t>
  </si>
  <si>
    <t>Rate</t>
  </si>
  <si>
    <t>Zinsanteil</t>
  </si>
  <si>
    <t>Tilgungsanteil</t>
  </si>
  <si>
    <t>Sondertilgung</t>
  </si>
  <si>
    <t>Restschuld</t>
  </si>
  <si>
    <t>Hinweis: unverbindliche Modellrechnung für ein Annuitätendarlehen mit gleichbleibender Rate. Bearbeitungsgebühren, gebrochene Zinsperioden und variable Zinsanpassungen bleiben unberücksichtigt. Gelbe Zellen = Eingabe.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</si>
</sst>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€&quot;"/>
    <numFmt numFmtId="165" formatCode="0&quot; Jahre&quot;"/>
    <numFmt numFmtId="166" formatCode="dd\.mm\.yyyy"/>
    <numFmt numFmtId="167" formatCode="0;;\–"/>
    <numFmt numFmtId="168" formatCode="#,##0.00&quot; €&quot;;[Red]\-#,##0.00&quot; €&quot;;\–"/>
  </numFmts>
  <fonts count="17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10.5"/>
      <color rgb="FFFFFFFF"/>
      <name val="Calibri"/>
      <charset val="1"/>
    </font>
    <font>
      <b/>
      <sz val="12"/>
      <color rgb="FFFFFFFF"/>
      <name val="Calibri"/>
      <charset val="1"/>
    </font>
    <font>
      <sz val="10.5"/>
      <color rgb="FF1C2B2B"/>
      <name val="Calibri"/>
      <charset val="1"/>
    </font>
    <font>
      <b/>
      <sz val="11"/>
      <color rgb="FF7A5200"/>
      <name val="Calibri"/>
      <charset val="1"/>
    </font>
    <font>
      <b/>
      <sz val="8.5"/>
      <color rgb="FFB4791F"/>
      <name val="Calibri"/>
      <charset val="1"/>
    </font>
    <font>
      <b/>
      <sz val="8.5"/>
      <color rgb="FF1B5E5F"/>
      <name val="Calibri"/>
      <charset val="1"/>
    </font>
    <font>
      <b/>
      <sz val="16"/>
      <color rgb="FFB4791F"/>
      <name val="Calibri"/>
      <charset val="1"/>
    </font>
    <font>
      <b/>
      <sz val="16"/>
      <color rgb="FF0F3D3E"/>
      <name val="Calibri"/>
      <charset val="1"/>
    </font>
    <font>
      <i/>
      <sz val="8.5"/>
      <color rgb="FF5B6B6B"/>
      <name val="Calibri"/>
      <charset val="1"/>
    </font>
    <font>
      <b/>
      <sz val="10.5"/>
      <color rgb="FF1B5E5F"/>
      <name val="Calibri"/>
      <charset val="1"/>
    </font>
    <font>
      <b/>
      <sz val="11"/>
      <color rgb="FFB4791F"/>
      <name val="Calibri"/>
      <charset val="1"/>
    </font>
    <font>
      <i/>
      <sz val="8"/>
      <color rgb="FF5B6B6B"/>
      <name val="Calibri"/>
      <charset val="1"/>
    </font>
    <font>
      <b/>
      <sz val="10"/>
      <color rgb="FFFFFFFF"/>
      <name val="Calibri"/>
      <charset val="1"/>
    </font>
    <font>
      <sz val="9.5"/>
      <color rgb="FF1C2B2B"/>
      <name val="Calibri"/>
      <charset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F3D3E"/>
        <bgColor rgb="FF1C2B2B"/>
      </patternFill>
    </fill>
    <fill>
      <patternFill patternType="solid">
        <fgColor rgb="FF1B5E5F"/>
        <bgColor rgb="FF2E7D7E"/>
      </patternFill>
    </fill>
    <fill>
      <patternFill patternType="solid">
        <fgColor rgb="FFE9F2F1"/>
        <bgColor rgb="FFFBEFD9"/>
      </patternFill>
    </fill>
    <fill>
      <patternFill patternType="solid">
        <fgColor rgb="FFFFF3C4"/>
        <bgColor rgb="FFFBEFD9"/>
      </patternFill>
    </fill>
    <fill>
      <patternFill patternType="solid">
        <fgColor rgb="FFFBEFD9"/>
        <bgColor rgb="FFFFF3C4"/>
      </patternFill>
    </fill>
    <fill>
      <patternFill patternType="solid">
        <fgColor rgb="FF2E7D7E"/>
        <bgColor rgb="FF008080"/>
      </patternFill>
    </fill>
    <fill>
      <patternFill patternType="solid">
        <fgColor rgb="FFFFFFFF"/>
        <bgColor rgb="FFE9F2F1"/>
      </patternFill>
    </fill>
  </fills>
  <borders count="15">
    <border>
      <left/>
      <right/>
      <top/>
      <bottom/>
      <diagonal/>
    </border>
    <border>
      <left style="thin">
        <color rgb="FFBFDAD9"/>
      </left>
      <right/>
      <top/>
      <bottom style="hair">
        <color rgb="FFBFDAD9"/>
      </bottom>
      <diagonal/>
    </border>
    <border>
      <left style="thin">
        <color rgb="FFE8C766"/>
      </left>
      <right style="thin">
        <color rgb="FFE8C766"/>
      </right>
      <top style="thin">
        <color rgb="FFE8C766"/>
      </top>
      <bottom style="thin">
        <color rgb="FFE8C766"/>
      </bottom>
      <diagonal/>
    </border>
    <border>
      <left style="thick">
        <color rgb="FFE8A33D"/>
      </left>
      <right style="thin">
        <color rgb="FFE8A33D"/>
      </right>
      <top style="thin">
        <color rgb="FFE8A33D"/>
      </top>
      <bottom/>
      <diagonal/>
    </border>
    <border>
      <left style="thick">
        <color rgb="FF2E7D7E"/>
      </left>
      <right style="thin">
        <color rgb="FFBFDAD9"/>
      </right>
      <top style="thin">
        <color rgb="FFBFDAD9"/>
      </top>
      <bottom/>
      <diagonal/>
    </border>
    <border>
      <left style="thick">
        <color rgb="FFE8A33D"/>
      </left>
      <right style="thin">
        <color rgb="FFE8A33D"/>
      </right>
      <top/>
      <bottom style="thin">
        <color rgb="FFE8A33D"/>
      </bottom>
      <diagonal/>
    </border>
    <border>
      <left style="thick">
        <color rgb="FF2E7D7E"/>
      </left>
      <right style="thin">
        <color rgb="FFBFDAD9"/>
      </right>
      <top/>
      <bottom style="thin">
        <color rgb="FFBFDAD9"/>
      </bottom>
      <diagonal/>
    </border>
    <border>
      <left/>
      <right/>
      <top style="thin">
        <color rgb="FFE8A33D"/>
      </top>
      <bottom style="thin">
        <color rgb="FFE8A33D"/>
      </bottom>
      <diagonal/>
    </border>
    <border>
      <left/>
      <right style="thin">
        <color rgb="FFE8A33D"/>
      </right>
      <top style="thin">
        <color rgb="FFE8A33D"/>
      </top>
      <bottom style="thin">
        <color rgb="FFE8A33D"/>
      </bottom>
      <diagonal/>
    </border>
    <border>
      <left style="hair">
        <color rgb="FF1B5E5F"/>
      </left>
      <right style="hair">
        <color rgb="FF1B5E5F"/>
      </right>
      <top/>
      <bottom style="thin">
        <color rgb="FF0F3D3E"/>
      </bottom>
      <diagonal/>
    </border>
    <border>
      <left/>
      <right/>
      <top/>
      <bottom style="hair">
        <color rgb="FFBFDAD9"/>
      </bottom>
      <diagonal/>
    </border>
    <border>
      <left/>
      <right style="thin">
        <color rgb="FFBFDAD9"/>
      </right>
      <top/>
      <bottom style="hair">
        <color rgb="FFBFDAD9"/>
      </bottom>
      <diagonal/>
    </border>
    <border>
      <left style="thin">
        <color rgb="FFBFDAD9"/>
      </left>
      <right/>
      <top/>
      <bottom style="medium">
        <color rgb="FF1B5E5F"/>
      </bottom>
      <diagonal/>
    </border>
    <border>
      <left/>
      <right/>
      <top/>
      <bottom style="medium">
        <color rgb="FF1B5E5F"/>
      </bottom>
      <diagonal/>
    </border>
    <border>
      <left/>
      <right style="thin">
        <color rgb="FFBFDAD9"/>
      </right>
      <top/>
      <bottom style="medium">
        <color rgb="FF1B5E5F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0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indent="1"/>
    </xf>
    <xf numFmtId="0" fontId="11" fillId="6" borderId="7" xfId="0" applyFont="1" applyFill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164" fontId="9" fillId="4" borderId="6" xfId="0" applyNumberFormat="1" applyFont="1" applyFill="1" applyBorder="1" applyAlignment="1">
      <alignment horizontal="left" vertical="center" indent="1"/>
    </xf>
    <xf numFmtId="1" fontId="9" fillId="4" borderId="6" xfId="0" applyNumberFormat="1" applyFont="1" applyFill="1" applyBorder="1" applyAlignment="1">
      <alignment horizontal="left" vertical="center" indent="1"/>
    </xf>
    <xf numFmtId="164" fontId="8" fillId="6" borderId="5" xfId="0" applyNumberFormat="1" applyFont="1" applyFill="1" applyBorder="1" applyAlignment="1">
      <alignment horizontal="left" vertical="center" indent="1"/>
    </xf>
    <xf numFmtId="0" fontId="7" fillId="4" borderId="4" xfId="0" applyFont="1" applyFill="1" applyBorder="1" applyAlignment="1">
      <alignment horizontal="left" vertical="center" indent="1"/>
    </xf>
    <xf numFmtId="0" fontId="6" fillId="6" borderId="3" xfId="0" applyFont="1" applyFill="1" applyBorder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2"/>
    </xf>
    <xf numFmtId="0" fontId="1" fillId="2" borderId="0" xfId="0" applyFont="1" applyFill="1" applyAlignment="1">
      <alignment horizontal="left" vertical="center" indent="2"/>
    </xf>
    <xf numFmtId="0" fontId="0" fillId="2" borderId="0" xfId="0" applyFill="1"/>
    <xf numFmtId="0" fontId="0" fillId="3" borderId="0" xfId="0" applyFill="1"/>
    <xf numFmtId="164" fontId="5" fillId="5" borderId="2" xfId="0" applyNumberFormat="1" applyFont="1" applyFill="1" applyBorder="1" applyAlignment="1">
      <alignment horizontal="center" vertical="center"/>
    </xf>
    <xf numFmtId="10" fontId="5" fillId="5" borderId="2" xfId="0" applyNumberFormat="1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  <xf numFmtId="166" fontId="5" fillId="5" borderId="2" xfId="0" applyNumberFormat="1" applyFont="1" applyFill="1" applyBorder="1" applyAlignment="1">
      <alignment horizontal="center" vertical="center"/>
    </xf>
    <xf numFmtId="164" fontId="12" fillId="6" borderId="8" xfId="0" applyNumberFormat="1" applyFont="1" applyFill="1" applyBorder="1" applyAlignment="1">
      <alignment horizontal="center" vertical="center"/>
    </xf>
    <xf numFmtId="0" fontId="14" fillId="7" borderId="9" xfId="0" applyFont="1" applyFill="1" applyBorder="1" applyAlignment="1">
      <alignment horizontal="center" vertical="center" wrapText="1"/>
    </xf>
    <xf numFmtId="167" fontId="15" fillId="8" borderId="1" xfId="0" applyNumberFormat="1" applyFont="1" applyFill="1" applyBorder="1" applyAlignment="1">
      <alignment horizontal="center" vertical="center"/>
    </xf>
    <xf numFmtId="166" fontId="15" fillId="8" borderId="10" xfId="0" applyNumberFormat="1" applyFont="1" applyFill="1" applyBorder="1" applyAlignment="1">
      <alignment horizontal="center" vertical="center"/>
    </xf>
    <xf numFmtId="168" fontId="15" fillId="8" borderId="10" xfId="0" applyNumberFormat="1" applyFont="1" applyFill="1" applyBorder="1" applyAlignment="1">
      <alignment horizontal="right" vertical="center" indent="1"/>
    </xf>
    <xf numFmtId="168" fontId="15" fillId="8" borderId="11" xfId="0" applyNumberFormat="1" applyFont="1" applyFill="1" applyBorder="1" applyAlignment="1">
      <alignment horizontal="right" vertical="center" indent="1"/>
    </xf>
    <xf numFmtId="167" fontId="15" fillId="4" borderId="1" xfId="0" applyNumberFormat="1" applyFont="1" applyFill="1" applyBorder="1" applyAlignment="1">
      <alignment horizontal="center" vertical="center"/>
    </xf>
    <xf numFmtId="166" fontId="15" fillId="4" borderId="10" xfId="0" applyNumberFormat="1" applyFont="1" applyFill="1" applyBorder="1" applyAlignment="1">
      <alignment horizontal="center" vertical="center"/>
    </xf>
    <xf numFmtId="168" fontId="15" fillId="4" borderId="10" xfId="0" applyNumberFormat="1" applyFont="1" applyFill="1" applyBorder="1" applyAlignment="1">
      <alignment horizontal="right" vertical="center" indent="1"/>
    </xf>
    <xf numFmtId="168" fontId="15" fillId="4" borderId="11" xfId="0" applyNumberFormat="1" applyFont="1" applyFill="1" applyBorder="1" applyAlignment="1">
      <alignment horizontal="right" vertical="center" indent="1"/>
    </xf>
    <xf numFmtId="167" fontId="15" fillId="4" borderId="12" xfId="0" applyNumberFormat="1" applyFont="1" applyFill="1" applyBorder="1" applyAlignment="1">
      <alignment horizontal="center" vertical="center"/>
    </xf>
    <xf numFmtId="166" fontId="15" fillId="4" borderId="13" xfId="0" applyNumberFormat="1" applyFont="1" applyFill="1" applyBorder="1" applyAlignment="1">
      <alignment horizontal="center" vertical="center"/>
    </xf>
    <xf numFmtId="168" fontId="15" fillId="4" borderId="13" xfId="0" applyNumberFormat="1" applyFont="1" applyFill="1" applyBorder="1" applyAlignment="1">
      <alignment horizontal="right" vertical="center" indent="1"/>
    </xf>
    <xf numFmtId="168" fontId="15" fillId="4" borderId="14" xfId="0" applyNumberFormat="1" applyFont="1" applyFill="1" applyBorder="1" applyAlignment="1">
      <alignment horizontal="right" vertical="center" indent="1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791F"/>
      <rgbColor rgb="FF800080"/>
      <rgbColor rgb="FF1B5E5F"/>
      <rgbColor rgb="FFBFDAD9"/>
      <rgbColor rgb="FF878787"/>
      <rgbColor rgb="FF9999FF"/>
      <rgbColor rgb="FF993366"/>
      <rgbColor rgb="FFFFF3C4"/>
      <rgbColor rgb="FFE9F2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FD9"/>
      <rgbColor rgb="FF99CCFF"/>
      <rgbColor rgb="FFFF99CC"/>
      <rgbColor rgb="FFCC99FF"/>
      <rgbColor rgb="FFE8C766"/>
      <rgbColor rgb="FF3366FF"/>
      <rgbColor rgb="FF33CCCC"/>
      <rgbColor rgb="FF99CC00"/>
      <rgbColor rgb="FFFFCC00"/>
      <rgbColor rgb="FFE8A33D"/>
      <rgbColor rgb="FFFF6600"/>
      <rgbColor rgb="FF5B6B6B"/>
      <rgbColor rgb="FF969696"/>
      <rgbColor rgb="FF0F3D3E"/>
      <rgbColor rgb="FF2E7D7E"/>
      <rgbColor rgb="FF003300"/>
      <rgbColor rgb="FF333300"/>
      <rgbColor rgb="FF7A5200"/>
      <rgbColor rgb="FF993366"/>
      <rgbColor rgb="FF333399"/>
      <rgbColor rgb="FF1C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Restschuldverlauf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Kreditrechner!$G$19</c:f>
              <c:strCache>
                <c:ptCount val="1"/>
                <c:pt idx="0">
                  <c:v>Restschuld</c:v>
                </c:pt>
              </c:strCache>
            </c:strRef>
          </c:tx>
          <c:spPr>
            <a:ln w="25920">
              <a:solidFill>
                <a:srgbClr val="1B5E5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Kreditrechner!$A$20:$A$139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Kreditrechner!$G$20:$G$139</c:f>
              <c:numCache>
                <c:formatCode>General</c:formatCode>
                <c:ptCount val="120"/>
                <c:pt idx="0">
                  <c:v>24631.446995042705</c:v>
                </c:pt>
                <c:pt idx="1">
                  <c:v>24261.389065315168</c:v>
                </c:pt>
                <c:pt idx="2">
                  <c:v>23889.820065707911</c:v>
                </c:pt>
                <c:pt idx="3">
                  <c:v>23516.733826018924</c:v>
                </c:pt>
                <c:pt idx="4">
                  <c:v>23142.124150851207</c:v>
                </c:pt>
                <c:pt idx="5">
                  <c:v>22765.984819509889</c:v>
                </c:pt>
                <c:pt idx="6">
                  <c:v>22388.309585898925</c:v>
                </c:pt>
                <c:pt idx="7">
                  <c:v>22009.092178417384</c:v>
                </c:pt>
                <c:pt idx="8">
                  <c:v>21628.326299855293</c:v>
                </c:pt>
                <c:pt idx="9">
                  <c:v>21246.005627289072</c:v>
                </c:pt>
                <c:pt idx="10">
                  <c:v>20862.12381197654</c:v>
                </c:pt>
                <c:pt idx="11">
                  <c:v>19476.674479251484</c:v>
                </c:pt>
                <c:pt idx="12">
                  <c:v>19085.567895084467</c:v>
                </c:pt>
                <c:pt idx="13">
                  <c:v>18692.864292365433</c:v>
                </c:pt>
                <c:pt idx="14">
                  <c:v>18298.557149935299</c:v>
                </c:pt>
                <c:pt idx="15">
                  <c:v>17902.639920006906</c:v>
                </c:pt>
                <c:pt idx="16">
                  <c:v>17505.106028056307</c:v>
                </c:pt>
                <c:pt idx="17">
                  <c:v>17105.948872713576</c:v>
                </c:pt>
                <c:pt idx="18">
                  <c:v>16705.161825653195</c:v>
                </c:pt>
                <c:pt idx="19">
                  <c:v>16302.738231483983</c:v>
                </c:pt>
                <c:pt idx="20">
                  <c:v>15898.671407638582</c:v>
                </c:pt>
                <c:pt idx="21">
                  <c:v>15492.954644262478</c:v>
                </c:pt>
                <c:pt idx="22">
                  <c:v>15085.581204102587</c:v>
                </c:pt>
                <c:pt idx="23">
                  <c:v>13676.544322395379</c:v>
                </c:pt>
                <c:pt idx="24">
                  <c:v>13261.753873421199</c:v>
                </c:pt>
                <c:pt idx="25">
                  <c:v>12845.269696780375</c:v>
                </c:pt>
                <c:pt idx="26">
                  <c:v>12427.084876418267</c:v>
                </c:pt>
                <c:pt idx="27">
                  <c:v>12007.192468039681</c:v>
                </c:pt>
                <c:pt idx="28">
                  <c:v>11585.585498993547</c:v>
                </c:pt>
                <c:pt idx="29">
                  <c:v>11162.256968157142</c:v>
                </c:pt>
                <c:pt idx="30">
                  <c:v>10737.199845819823</c:v>
                </c:pt>
                <c:pt idx="31">
                  <c:v>10310.407073566294</c:v>
                </c:pt>
                <c:pt idx="32">
                  <c:v>9881.8715641593953</c:v>
                </c:pt>
                <c:pt idx="33">
                  <c:v>9451.5862014224185</c:v>
                </c:pt>
                <c:pt idx="34">
                  <c:v>9019.5438401209321</c:v>
                </c:pt>
                <c:pt idx="35">
                  <c:v>7585.7373058441317</c:v>
                </c:pt>
                <c:pt idx="36">
                  <c:v>7146.0760615523668</c:v>
                </c:pt>
                <c:pt idx="37">
                  <c:v>6704.6195338464113</c:v>
                </c:pt>
                <c:pt idx="38">
                  <c:v>6261.360391985656</c:v>
                </c:pt>
                <c:pt idx="39">
                  <c:v>5816.2912752956363</c:v>
                </c:pt>
                <c:pt idx="40">
                  <c:v>5369.4047930457982</c:v>
                </c:pt>
                <c:pt idx="41">
                  <c:v>4920.6935243267735</c:v>
                </c:pt>
                <c:pt idx="42">
                  <c:v>4470.1500179271461</c:v>
                </c:pt>
                <c:pt idx="43">
                  <c:v>4017.7667922097207</c:v>
                </c:pt>
                <c:pt idx="44">
                  <c:v>3563.5363349872823</c:v>
                </c:pt>
                <c:pt idx="45">
                  <c:v>3107.4511033978524</c:v>
                </c:pt>
                <c:pt idx="46">
                  <c:v>2649.5035237794323</c:v>
                </c:pt>
                <c:pt idx="47">
                  <c:v>1189.6859915442369</c:v>
                </c:pt>
                <c:pt idx="48">
                  <c:v>723.90753771908112</c:v>
                </c:pt>
                <c:pt idx="49">
                  <c:v>256.22715520747255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36-481D-B90C-9C1E5F0AC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24846563"/>
        <c:axId val="12748550"/>
      </c:lineChart>
      <c:catAx>
        <c:axId val="2484656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Rate Nr.</a:t>
                </a:r>
              </a:p>
            </c:rich>
          </c:tx>
          <c:layout>
            <c:manualLayout>
              <c:xMode val="edge"/>
              <c:yMode val="edge"/>
              <c:x val="0.83460069496365241"/>
              <c:y val="0.78733754908602704"/>
            </c:manualLayout>
          </c:layout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0" vert="wordArtVert" anchor="b" anchorCtr="1"/>
          <a:lstStyle/>
          <a:p>
            <a:pPr>
              <a:defRPr sz="8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2748550"/>
        <c:crosses val="autoZero"/>
        <c:auto val="1"/>
        <c:lblAlgn val="ctr"/>
        <c:lblOffset val="100"/>
        <c:noMultiLvlLbl val="0"/>
      </c:catAx>
      <c:valAx>
        <c:axId val="1274855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8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4846563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plotVisOnly val="1"/>
    <c:dispBlanksAs val="zero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Zins- und Tilgungsanteil je Rate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Kreditrechner!$D$19</c:f>
              <c:strCache>
                <c:ptCount val="1"/>
                <c:pt idx="0">
                  <c:v>Zinsanteil</c:v>
                </c:pt>
              </c:strCache>
            </c:strRef>
          </c:tx>
          <c:spPr>
            <a:solidFill>
              <a:srgbClr val="E8A33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Kreditrechner!$A$20:$A$79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Kreditrechner!$D$20:$D$79</c:f>
              <c:numCache>
                <c:formatCode>General</c:formatCode>
                <c:ptCount val="60"/>
                <c:pt idx="0">
                  <c:v>102.08333333333333</c:v>
                </c:pt>
                <c:pt idx="1">
                  <c:v>100.57840856309105</c:v>
                </c:pt>
                <c:pt idx="2">
                  <c:v>99.067338683370281</c:v>
                </c:pt>
                <c:pt idx="3">
                  <c:v>97.550098601640642</c:v>
                </c:pt>
                <c:pt idx="4">
                  <c:v>96.02666312291062</c:v>
                </c:pt>
                <c:pt idx="5">
                  <c:v>94.497006949309096</c:v>
                </c:pt>
                <c:pt idx="6">
                  <c:v>92.961104679665382</c:v>
                </c:pt>
                <c:pt idx="7">
                  <c:v>91.418930809087286</c:v>
                </c:pt>
                <c:pt idx="8">
                  <c:v>89.870459728537654</c:v>
                </c:pt>
                <c:pt idx="9">
                  <c:v>88.315665724409129</c:v>
                </c:pt>
                <c:pt idx="10">
                  <c:v>86.754522978097043</c:v>
                </c:pt>
                <c:pt idx="11">
                  <c:v>85.187005565570885</c:v>
                </c:pt>
                <c:pt idx="12">
                  <c:v>79.529754123610232</c:v>
                </c:pt>
                <c:pt idx="13">
                  <c:v>77.932735571594904</c:v>
                </c:pt>
                <c:pt idx="14">
                  <c:v>76.329195860492192</c:v>
                </c:pt>
                <c:pt idx="15">
                  <c:v>74.719108362235815</c:v>
                </c:pt>
                <c:pt idx="16">
                  <c:v>73.102446340028209</c:v>
                </c:pt>
                <c:pt idx="17">
                  <c:v>71.479182947896589</c:v>
                </c:pt>
                <c:pt idx="18">
                  <c:v>69.849291230247104</c:v>
                </c:pt>
                <c:pt idx="19">
                  <c:v>68.212744121417217</c:v>
                </c:pt>
                <c:pt idx="20">
                  <c:v>66.569514445226261</c:v>
                </c:pt>
                <c:pt idx="21">
                  <c:v>64.919574914524205</c:v>
                </c:pt>
                <c:pt idx="22">
                  <c:v>63.262898130738449</c:v>
                </c:pt>
                <c:pt idx="23">
                  <c:v>61.599456583418906</c:v>
                </c:pt>
                <c:pt idx="24">
                  <c:v>55.845889316447796</c:v>
                </c:pt>
                <c:pt idx="25">
                  <c:v>54.152161649803226</c:v>
                </c:pt>
                <c:pt idx="26">
                  <c:v>52.45151792851987</c:v>
                </c:pt>
                <c:pt idx="27">
                  <c:v>50.74392991204126</c:v>
                </c:pt>
                <c:pt idx="28">
                  <c:v>49.029369244495363</c:v>
                </c:pt>
                <c:pt idx="29">
                  <c:v>47.307807454223649</c:v>
                </c:pt>
                <c:pt idx="30">
                  <c:v>45.579215953308335</c:v>
                </c:pt>
                <c:pt idx="31">
                  <c:v>43.843566037097617</c:v>
                </c:pt>
                <c:pt idx="32">
                  <c:v>42.100828883729029</c:v>
                </c:pt>
                <c:pt idx="33">
                  <c:v>40.350975553650862</c:v>
                </c:pt>
                <c:pt idx="34">
                  <c:v>38.593976989141545</c:v>
                </c:pt>
                <c:pt idx="35">
                  <c:v>36.829804013827143</c:v>
                </c:pt>
                <c:pt idx="36">
                  <c:v>30.975093998863539</c:v>
                </c:pt>
                <c:pt idx="37">
                  <c:v>29.179810584672165</c:v>
                </c:pt>
                <c:pt idx="38">
                  <c:v>27.37719642987285</c:v>
                </c:pt>
                <c:pt idx="39">
                  <c:v>25.567221600608097</c:v>
                </c:pt>
                <c:pt idx="40">
                  <c:v>23.749856040790515</c:v>
                </c:pt>
                <c:pt idx="41">
                  <c:v>21.925069571603675</c:v>
                </c:pt>
                <c:pt idx="42">
                  <c:v>20.092831891000994</c:v>
                </c:pt>
                <c:pt idx="43">
                  <c:v>18.253112573202515</c:v>
                </c:pt>
                <c:pt idx="44">
                  <c:v>16.405881068189693</c:v>
                </c:pt>
                <c:pt idx="45">
                  <c:v>14.551106701198071</c:v>
                </c:pt>
                <c:pt idx="46">
                  <c:v>12.688758672207898</c:v>
                </c:pt>
                <c:pt idx="47">
                  <c:v>10.818806055432681</c:v>
                </c:pt>
                <c:pt idx="48">
                  <c:v>4.857884465472301</c:v>
                </c:pt>
                <c:pt idx="49">
                  <c:v>2.9559557790195812</c:v>
                </c:pt>
                <c:pt idx="50">
                  <c:v>1.0462608837638463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B8-4A52-9BC2-F4E55E703F1F}"/>
            </c:ext>
          </c:extLst>
        </c:ser>
        <c:ser>
          <c:idx val="1"/>
          <c:order val="1"/>
          <c:tx>
            <c:strRef>
              <c:f>Kreditrechner!$E$19</c:f>
              <c:strCache>
                <c:ptCount val="1"/>
                <c:pt idx="0">
                  <c:v>Tilgungsanteil</c:v>
                </c:pt>
              </c:strCache>
            </c:strRef>
          </c:tx>
          <c:spPr>
            <a:solidFill>
              <a:srgbClr val="2E7D7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Kreditrechner!$A$20:$A$79</c:f>
              <c:strCache>
                <c:ptCount val="5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</c:strCache>
            </c:strRef>
          </c:cat>
          <c:val>
            <c:numRef>
              <c:f>Kreditrechner!$E$20:$E$79</c:f>
              <c:numCache>
                <c:formatCode>General</c:formatCode>
                <c:ptCount val="60"/>
                <c:pt idx="0">
                  <c:v>368.55300495729483</c:v>
                </c:pt>
                <c:pt idx="1">
                  <c:v>370.0579297275371</c:v>
                </c:pt>
                <c:pt idx="2">
                  <c:v>371.56899960725787</c:v>
                </c:pt>
                <c:pt idx="3">
                  <c:v>373.08623968898752</c:v>
                </c:pt>
                <c:pt idx="4">
                  <c:v>374.60967516771751</c:v>
                </c:pt>
                <c:pt idx="5">
                  <c:v>376.13933134131906</c:v>
                </c:pt>
                <c:pt idx="6">
                  <c:v>377.67523361096278</c:v>
                </c:pt>
                <c:pt idx="7">
                  <c:v>379.21740748154087</c:v>
                </c:pt>
                <c:pt idx="8">
                  <c:v>380.76587856209051</c:v>
                </c:pt>
                <c:pt idx="9">
                  <c:v>382.320672566219</c:v>
                </c:pt>
                <c:pt idx="10">
                  <c:v>383.8818153125311</c:v>
                </c:pt>
                <c:pt idx="11">
                  <c:v>385.44933272505727</c:v>
                </c:pt>
                <c:pt idx="12">
                  <c:v>391.1065841670179</c:v>
                </c:pt>
                <c:pt idx="13">
                  <c:v>392.70360271903326</c:v>
                </c:pt>
                <c:pt idx="14">
                  <c:v>394.30714243013597</c:v>
                </c:pt>
                <c:pt idx="15">
                  <c:v>395.91722992839232</c:v>
                </c:pt>
                <c:pt idx="16">
                  <c:v>397.53389195059992</c:v>
                </c:pt>
                <c:pt idx="17">
                  <c:v>399.15715534273158</c:v>
                </c:pt>
                <c:pt idx="18">
                  <c:v>400.78704706038104</c:v>
                </c:pt>
                <c:pt idx="19">
                  <c:v>402.4235941692109</c:v>
                </c:pt>
                <c:pt idx="20">
                  <c:v>404.06682384540187</c:v>
                </c:pt>
                <c:pt idx="21">
                  <c:v>405.71676337610393</c:v>
                </c:pt>
                <c:pt idx="22">
                  <c:v>407.3734401598897</c:v>
                </c:pt>
                <c:pt idx="23">
                  <c:v>409.03688170720926</c:v>
                </c:pt>
                <c:pt idx="24">
                  <c:v>414.79044897418032</c:v>
                </c:pt>
                <c:pt idx="25">
                  <c:v>416.4841766408249</c:v>
                </c:pt>
                <c:pt idx="26">
                  <c:v>418.18482036210827</c:v>
                </c:pt>
                <c:pt idx="27">
                  <c:v>419.89240837858688</c:v>
                </c:pt>
                <c:pt idx="28">
                  <c:v>421.6069690461328</c:v>
                </c:pt>
                <c:pt idx="29">
                  <c:v>423.32853083640452</c:v>
                </c:pt>
                <c:pt idx="30">
                  <c:v>425.05712233731981</c:v>
                </c:pt>
                <c:pt idx="31">
                  <c:v>426.79277225353053</c:v>
                </c:pt>
                <c:pt idx="32">
                  <c:v>428.53550940689911</c:v>
                </c:pt>
                <c:pt idx="33">
                  <c:v>430.28536273697728</c:v>
                </c:pt>
                <c:pt idx="34">
                  <c:v>432.04236130148661</c:v>
                </c:pt>
                <c:pt idx="35">
                  <c:v>433.80653427680102</c:v>
                </c:pt>
                <c:pt idx="36">
                  <c:v>439.6612442917646</c:v>
                </c:pt>
                <c:pt idx="37">
                  <c:v>441.45652770595598</c:v>
                </c:pt>
                <c:pt idx="38">
                  <c:v>443.25914186075528</c:v>
                </c:pt>
                <c:pt idx="39">
                  <c:v>445.06911669002005</c:v>
                </c:pt>
                <c:pt idx="40">
                  <c:v>446.88648224983763</c:v>
                </c:pt>
                <c:pt idx="41">
                  <c:v>448.71126871902447</c:v>
                </c:pt>
                <c:pt idx="42">
                  <c:v>450.54350639962718</c:v>
                </c:pt>
                <c:pt idx="43">
                  <c:v>452.3832257174256</c:v>
                </c:pt>
                <c:pt idx="44">
                  <c:v>454.23045722243847</c:v>
                </c:pt>
                <c:pt idx="45">
                  <c:v>456.08523158943007</c:v>
                </c:pt>
                <c:pt idx="46">
                  <c:v>457.94757961842026</c:v>
                </c:pt>
                <c:pt idx="47">
                  <c:v>459.81753223519547</c:v>
                </c:pt>
                <c:pt idx="48">
                  <c:v>465.77845382515585</c:v>
                </c:pt>
                <c:pt idx="49">
                  <c:v>467.68038251160857</c:v>
                </c:pt>
                <c:pt idx="50">
                  <c:v>256.22715520747255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B8-4A52-9BC2-F4E55E703F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47561"/>
        <c:axId val="53683806"/>
      </c:barChart>
      <c:catAx>
        <c:axId val="1274756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Rate Nr.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3683806"/>
        <c:crosses val="autoZero"/>
        <c:auto val="1"/>
        <c:lblAlgn val="ctr"/>
        <c:lblOffset val="100"/>
        <c:noMultiLvlLbl val="0"/>
      </c:catAx>
      <c:valAx>
        <c:axId val="536838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2747561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49693</xdr:colOff>
      <xdr:row>6</xdr:row>
      <xdr:rowOff>0</xdr:rowOff>
    </xdr:from>
    <xdr:to>
      <xdr:col>19</xdr:col>
      <xdr:colOff>16566</xdr:colOff>
      <xdr:row>16</xdr:row>
      <xdr:rowOff>153360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49693</xdr:colOff>
      <xdr:row>16</xdr:row>
      <xdr:rowOff>190502</xdr:rowOff>
    </xdr:from>
    <xdr:to>
      <xdr:col>19</xdr:col>
      <xdr:colOff>16566</xdr:colOff>
      <xdr:row>30</xdr:row>
      <xdr:rowOff>7168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3D3E"/>
    <pageSetUpPr fitToPage="1"/>
  </sheetPr>
  <dimension ref="A1:S501"/>
  <sheetViews>
    <sheetView showGridLines="0" tabSelected="1" zoomScale="115" zoomScaleNormal="115" workbookViewId="0">
      <selection activeCell="P72" sqref="P72"/>
    </sheetView>
  </sheetViews>
  <sheetFormatPr baseColWidth="10" defaultColWidth="8.7109375" defaultRowHeight="15" x14ac:dyDescent="0.25"/>
  <cols>
    <col min="1" max="1" width="6.5703125" customWidth="1"/>
    <col min="2" max="2" width="19" customWidth="1"/>
    <col min="3" max="3" width="14.5703125" customWidth="1"/>
    <col min="4" max="4" width="13.42578125" customWidth="1"/>
    <col min="5" max="6" width="14.5703125" customWidth="1"/>
    <col min="7" max="7" width="15" customWidth="1"/>
    <col min="8" max="11" width="2.140625" customWidth="1"/>
  </cols>
  <sheetData>
    <row r="1" spans="1:19" ht="7.5" customHeight="1" x14ac:dyDescent="0.25">
      <c r="A1" s="14"/>
      <c r="B1" s="14"/>
      <c r="C1" s="14"/>
      <c r="D1" s="14"/>
      <c r="E1" s="14"/>
      <c r="F1" s="14"/>
      <c r="G1" s="1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1:19" ht="27.75" customHeight="1" x14ac:dyDescent="0.25">
      <c r="A2" s="13" t="s">
        <v>0</v>
      </c>
      <c r="B2" s="13"/>
      <c r="C2" s="13"/>
      <c r="D2" s="13"/>
      <c r="E2" s="13"/>
      <c r="F2" s="13"/>
      <c r="G2" s="13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19.5" customHeight="1" x14ac:dyDescent="0.25">
      <c r="A3" s="13"/>
      <c r="B3" s="13"/>
      <c r="C3" s="13"/>
      <c r="D3" s="13"/>
      <c r="E3" s="13"/>
      <c r="F3" s="13"/>
      <c r="G3" s="13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ht="6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35"/>
      <c r="K4" s="35"/>
      <c r="L4" s="35"/>
      <c r="M4" s="35"/>
      <c r="N4" s="35"/>
      <c r="O4" s="35"/>
      <c r="P4" s="35"/>
      <c r="Q4" s="35"/>
      <c r="R4" s="35"/>
      <c r="S4" s="35"/>
    </row>
    <row r="5" spans="1:19" ht="19.5" customHeight="1" x14ac:dyDescent="0.25">
      <c r="A5" s="12" t="s">
        <v>1</v>
      </c>
      <c r="B5" s="12"/>
      <c r="C5" s="12"/>
      <c r="D5" s="12"/>
      <c r="E5" s="12"/>
      <c r="F5" s="12"/>
      <c r="G5" s="12"/>
      <c r="H5" s="15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</row>
    <row r="6" spans="1:19" ht="9.75" customHeight="1" x14ac:dyDescent="0.25"/>
    <row r="7" spans="1:19" ht="21.75" customHeight="1" x14ac:dyDescent="0.25">
      <c r="A7" s="11" t="s">
        <v>2</v>
      </c>
      <c r="B7" s="11"/>
      <c r="C7" s="11"/>
      <c r="D7" s="11" t="s">
        <v>3</v>
      </c>
      <c r="E7" s="11"/>
      <c r="F7" s="11"/>
      <c r="G7" s="11"/>
    </row>
    <row r="8" spans="1:19" ht="21" customHeight="1" x14ac:dyDescent="0.25">
      <c r="A8" s="10" t="s">
        <v>4</v>
      </c>
      <c r="B8" s="10"/>
      <c r="C8" s="16">
        <v>25000</v>
      </c>
      <c r="D8" s="9" t="s">
        <v>5</v>
      </c>
      <c r="E8" s="9"/>
      <c r="F8" s="8" t="s">
        <v>6</v>
      </c>
      <c r="G8" s="8"/>
    </row>
    <row r="9" spans="1:19" ht="21" customHeight="1" x14ac:dyDescent="0.25">
      <c r="A9" s="10" t="s">
        <v>7</v>
      </c>
      <c r="B9" s="10"/>
      <c r="C9" s="17">
        <v>4.9000000000000002E-2</v>
      </c>
      <c r="D9" s="7">
        <f>$C$15</f>
        <v>470.63633829062815</v>
      </c>
      <c r="E9" s="7"/>
      <c r="F9" s="6">
        <f>$C$10*$C$11</f>
        <v>60</v>
      </c>
      <c r="G9" s="6"/>
    </row>
    <row r="10" spans="1:19" ht="21" customHeight="1" x14ac:dyDescent="0.25">
      <c r="A10" s="10" t="s">
        <v>8</v>
      </c>
      <c r="B10" s="10"/>
      <c r="C10" s="18">
        <v>5</v>
      </c>
      <c r="D10" s="7"/>
      <c r="E10" s="7"/>
      <c r="F10" s="6"/>
      <c r="G10" s="6"/>
    </row>
    <row r="11" spans="1:19" ht="21" customHeight="1" x14ac:dyDescent="0.25">
      <c r="A11" s="10" t="s">
        <v>9</v>
      </c>
      <c r="B11" s="10"/>
      <c r="C11" s="19">
        <v>12</v>
      </c>
    </row>
    <row r="12" spans="1:19" ht="21" customHeight="1" x14ac:dyDescent="0.25">
      <c r="A12" s="10" t="s">
        <v>10</v>
      </c>
      <c r="B12" s="10"/>
      <c r="C12" s="20">
        <v>46054</v>
      </c>
      <c r="D12" s="9" t="s">
        <v>11</v>
      </c>
      <c r="E12" s="9"/>
      <c r="F12" s="8" t="s">
        <v>12</v>
      </c>
      <c r="G12" s="8"/>
    </row>
    <row r="13" spans="1:19" ht="21" customHeight="1" x14ac:dyDescent="0.25">
      <c r="A13" s="10" t="s">
        <v>13</v>
      </c>
      <c r="B13" s="10"/>
      <c r="C13" s="16">
        <v>1000</v>
      </c>
      <c r="D13" s="7">
        <f>SUMIF(Zahlung,"&gt;0",Zins_Sp)</f>
        <v>2789.0903306226351</v>
      </c>
      <c r="E13" s="7"/>
      <c r="F13" s="5">
        <f>$C$8+SUMIF(Zahlung,"&gt;0",Zins_Sp)</f>
        <v>27789.090330622636</v>
      </c>
      <c r="G13" s="5"/>
    </row>
    <row r="14" spans="1:19" ht="15.75" customHeight="1" x14ac:dyDescent="0.25">
      <c r="A14" s="4" t="s">
        <v>14</v>
      </c>
      <c r="B14" s="4"/>
      <c r="C14" s="4"/>
      <c r="D14" s="7"/>
      <c r="E14" s="7"/>
      <c r="F14" s="5"/>
      <c r="G14" s="5"/>
    </row>
    <row r="15" spans="1:19" ht="21" customHeight="1" x14ac:dyDescent="0.25">
      <c r="A15" s="3" t="s">
        <v>15</v>
      </c>
      <c r="B15" s="3"/>
      <c r="C15" s="21">
        <f>IFERROR(-PMT($C$9/$C$11,$C$10*$C$11,$C$8),0)</f>
        <v>470.63633829062815</v>
      </c>
      <c r="D15" s="2" t="s">
        <v>16</v>
      </c>
      <c r="E15" s="2"/>
      <c r="F15" s="2"/>
      <c r="G15" s="2"/>
    </row>
    <row r="16" spans="1:19" ht="7.5" customHeight="1" x14ac:dyDescent="0.25"/>
    <row r="17" spans="1:7" ht="21.75" customHeight="1" x14ac:dyDescent="0.25">
      <c r="A17" s="11" t="s">
        <v>17</v>
      </c>
      <c r="B17" s="11"/>
      <c r="C17" s="11"/>
      <c r="D17" s="11"/>
      <c r="E17" s="11"/>
      <c r="F17" s="11"/>
      <c r="G17" s="11"/>
    </row>
    <row r="18" spans="1:7" ht="3.75" customHeight="1" x14ac:dyDescent="0.25"/>
    <row r="19" spans="1:7" ht="27.75" customHeight="1" x14ac:dyDescent="0.25">
      <c r="A19" s="22" t="s">
        <v>18</v>
      </c>
      <c r="B19" s="22" t="s">
        <v>19</v>
      </c>
      <c r="C19" s="22" t="s">
        <v>20</v>
      </c>
      <c r="D19" s="22" t="s">
        <v>21</v>
      </c>
      <c r="E19" s="22" t="s">
        <v>22</v>
      </c>
      <c r="F19" s="22" t="s">
        <v>23</v>
      </c>
      <c r="G19" s="22" t="s">
        <v>24</v>
      </c>
    </row>
    <row r="20" spans="1:7" ht="15" customHeight="1" x14ac:dyDescent="0.25">
      <c r="A20" s="23">
        <f>IF(OR(1&gt;$C$10*$C$11,$C$8&lt;=0.005),"",1)</f>
        <v>1</v>
      </c>
      <c r="B20" s="24">
        <f>IF(A20="","",$C$12)</f>
        <v>46054</v>
      </c>
      <c r="C20" s="25">
        <f t="shared" ref="C20:C83" si="0">IF(A20="","",D20+E20+F20)</f>
        <v>470.63633829062815</v>
      </c>
      <c r="D20" s="25">
        <f>IF(A20="","",$C$8*$C$9/$C$11)</f>
        <v>102.08333333333333</v>
      </c>
      <c r="E20" s="25">
        <f>IF(A20="","",MIN($C$15-D20,$C$8))</f>
        <v>368.55300495729483</v>
      </c>
      <c r="F20" s="25">
        <f>IF(A20="","",IF(AND($C$13&gt;0,MOD(A20,$C$11)=0),MIN($C$13,$C$8-E20),0))</f>
        <v>0</v>
      </c>
      <c r="G20" s="26">
        <f>IF(A20="","",MAX($C$8-E20-F20,0))</f>
        <v>24631.446995042705</v>
      </c>
    </row>
    <row r="21" spans="1:7" ht="15" customHeight="1" x14ac:dyDescent="0.25">
      <c r="A21" s="27">
        <f>IF(OR(2&gt;$C$10*$C$11,N(G20)&lt;=0.005),"",2)</f>
        <v>2</v>
      </c>
      <c r="B21" s="28">
        <f t="shared" ref="B21:B84" si="1">IF(A21="","",EDATE($C$12,(A21-1)*(12/$C$11)))</f>
        <v>46082</v>
      </c>
      <c r="C21" s="29">
        <f t="shared" si="0"/>
        <v>470.63633829062815</v>
      </c>
      <c r="D21" s="29">
        <f t="shared" ref="D21:D84" si="2">IF(A21="","",N(G20)*$C$9/$C$11)</f>
        <v>100.57840856309105</v>
      </c>
      <c r="E21" s="29">
        <f t="shared" ref="E21:E84" si="3">IF(A21="","",MIN($C$15-D21,N(G20)))</f>
        <v>370.0579297275371</v>
      </c>
      <c r="F21" s="29">
        <f t="shared" ref="F21:F84" si="4">IF(A21="","",IF(AND($C$13&gt;0,MOD(A21,$C$11)=0),MIN($C$13,N(G20)-E21),0))</f>
        <v>0</v>
      </c>
      <c r="G21" s="30">
        <f t="shared" ref="G21:G84" si="5">IF(A21="","",MAX(N(G20)-E21-F21,0))</f>
        <v>24261.389065315168</v>
      </c>
    </row>
    <row r="22" spans="1:7" ht="15" customHeight="1" x14ac:dyDescent="0.25">
      <c r="A22" s="23">
        <f>IF(OR(3&gt;$C$10*$C$11,N(G21)&lt;=0.005),"",3)</f>
        <v>3</v>
      </c>
      <c r="B22" s="24">
        <f t="shared" si="1"/>
        <v>46113</v>
      </c>
      <c r="C22" s="25">
        <f t="shared" si="0"/>
        <v>470.63633829062815</v>
      </c>
      <c r="D22" s="25">
        <f t="shared" si="2"/>
        <v>99.067338683370281</v>
      </c>
      <c r="E22" s="25">
        <f t="shared" si="3"/>
        <v>371.56899960725787</v>
      </c>
      <c r="F22" s="25">
        <f t="shared" si="4"/>
        <v>0</v>
      </c>
      <c r="G22" s="26">
        <f t="shared" si="5"/>
        <v>23889.820065707911</v>
      </c>
    </row>
    <row r="23" spans="1:7" ht="15" customHeight="1" x14ac:dyDescent="0.25">
      <c r="A23" s="27">
        <f>IF(OR(4&gt;$C$10*$C$11,N(G22)&lt;=0.005),"",4)</f>
        <v>4</v>
      </c>
      <c r="B23" s="28">
        <f t="shared" si="1"/>
        <v>46143</v>
      </c>
      <c r="C23" s="29">
        <f t="shared" si="0"/>
        <v>470.63633829062815</v>
      </c>
      <c r="D23" s="29">
        <f t="shared" si="2"/>
        <v>97.550098601640642</v>
      </c>
      <c r="E23" s="29">
        <f t="shared" si="3"/>
        <v>373.08623968898752</v>
      </c>
      <c r="F23" s="29">
        <f t="shared" si="4"/>
        <v>0</v>
      </c>
      <c r="G23" s="30">
        <f t="shared" si="5"/>
        <v>23516.733826018924</v>
      </c>
    </row>
    <row r="24" spans="1:7" ht="15" customHeight="1" x14ac:dyDescent="0.25">
      <c r="A24" s="23">
        <f>IF(OR(5&gt;$C$10*$C$11,N(G23)&lt;=0.005),"",5)</f>
        <v>5</v>
      </c>
      <c r="B24" s="24">
        <f t="shared" si="1"/>
        <v>46174</v>
      </c>
      <c r="C24" s="25">
        <f t="shared" si="0"/>
        <v>470.63633829062815</v>
      </c>
      <c r="D24" s="25">
        <f t="shared" si="2"/>
        <v>96.02666312291062</v>
      </c>
      <c r="E24" s="25">
        <f t="shared" si="3"/>
        <v>374.60967516771751</v>
      </c>
      <c r="F24" s="25">
        <f t="shared" si="4"/>
        <v>0</v>
      </c>
      <c r="G24" s="26">
        <f t="shared" si="5"/>
        <v>23142.124150851207</v>
      </c>
    </row>
    <row r="25" spans="1:7" ht="15" customHeight="1" x14ac:dyDescent="0.25">
      <c r="A25" s="27">
        <f>IF(OR(6&gt;$C$10*$C$11,N(G24)&lt;=0.005),"",6)</f>
        <v>6</v>
      </c>
      <c r="B25" s="28">
        <f t="shared" si="1"/>
        <v>46204</v>
      </c>
      <c r="C25" s="29">
        <f t="shared" si="0"/>
        <v>470.63633829062815</v>
      </c>
      <c r="D25" s="29">
        <f t="shared" si="2"/>
        <v>94.497006949309096</v>
      </c>
      <c r="E25" s="29">
        <f t="shared" si="3"/>
        <v>376.13933134131906</v>
      </c>
      <c r="F25" s="29">
        <f t="shared" si="4"/>
        <v>0</v>
      </c>
      <c r="G25" s="30">
        <f t="shared" si="5"/>
        <v>22765.984819509889</v>
      </c>
    </row>
    <row r="26" spans="1:7" ht="15" customHeight="1" x14ac:dyDescent="0.25">
      <c r="A26" s="23">
        <f>IF(OR(7&gt;$C$10*$C$11,N(G25)&lt;=0.005),"",7)</f>
        <v>7</v>
      </c>
      <c r="B26" s="24">
        <f t="shared" si="1"/>
        <v>46235</v>
      </c>
      <c r="C26" s="25">
        <f t="shared" si="0"/>
        <v>470.63633829062815</v>
      </c>
      <c r="D26" s="25">
        <f t="shared" si="2"/>
        <v>92.961104679665382</v>
      </c>
      <c r="E26" s="25">
        <f t="shared" si="3"/>
        <v>377.67523361096278</v>
      </c>
      <c r="F26" s="25">
        <f t="shared" si="4"/>
        <v>0</v>
      </c>
      <c r="G26" s="26">
        <f t="shared" si="5"/>
        <v>22388.309585898925</v>
      </c>
    </row>
    <row r="27" spans="1:7" ht="15" customHeight="1" x14ac:dyDescent="0.25">
      <c r="A27" s="27">
        <f>IF(OR(8&gt;$C$10*$C$11,N(G26)&lt;=0.005),"",8)</f>
        <v>8</v>
      </c>
      <c r="B27" s="28">
        <f t="shared" si="1"/>
        <v>46266</v>
      </c>
      <c r="C27" s="29">
        <f t="shared" si="0"/>
        <v>470.63633829062815</v>
      </c>
      <c r="D27" s="29">
        <f t="shared" si="2"/>
        <v>91.418930809087286</v>
      </c>
      <c r="E27" s="29">
        <f t="shared" si="3"/>
        <v>379.21740748154087</v>
      </c>
      <c r="F27" s="29">
        <f t="shared" si="4"/>
        <v>0</v>
      </c>
      <c r="G27" s="30">
        <f t="shared" si="5"/>
        <v>22009.092178417384</v>
      </c>
    </row>
    <row r="28" spans="1:7" ht="15" customHeight="1" x14ac:dyDescent="0.25">
      <c r="A28" s="23">
        <f>IF(OR(9&gt;$C$10*$C$11,N(G27)&lt;=0.005),"",9)</f>
        <v>9</v>
      </c>
      <c r="B28" s="24">
        <f t="shared" si="1"/>
        <v>46296</v>
      </c>
      <c r="C28" s="25">
        <f t="shared" si="0"/>
        <v>470.63633829062815</v>
      </c>
      <c r="D28" s="25">
        <f t="shared" si="2"/>
        <v>89.870459728537654</v>
      </c>
      <c r="E28" s="25">
        <f t="shared" si="3"/>
        <v>380.76587856209051</v>
      </c>
      <c r="F28" s="25">
        <f t="shared" si="4"/>
        <v>0</v>
      </c>
      <c r="G28" s="26">
        <f t="shared" si="5"/>
        <v>21628.326299855293</v>
      </c>
    </row>
    <row r="29" spans="1:7" ht="15" customHeight="1" x14ac:dyDescent="0.25">
      <c r="A29" s="27">
        <f>IF(OR(10&gt;$C$10*$C$11,N(G28)&lt;=0.005),"",10)</f>
        <v>10</v>
      </c>
      <c r="B29" s="28">
        <f t="shared" si="1"/>
        <v>46327</v>
      </c>
      <c r="C29" s="29">
        <f t="shared" si="0"/>
        <v>470.63633829062815</v>
      </c>
      <c r="D29" s="29">
        <f t="shared" si="2"/>
        <v>88.315665724409129</v>
      </c>
      <c r="E29" s="29">
        <f t="shared" si="3"/>
        <v>382.320672566219</v>
      </c>
      <c r="F29" s="29">
        <f t="shared" si="4"/>
        <v>0</v>
      </c>
      <c r="G29" s="30">
        <f t="shared" si="5"/>
        <v>21246.005627289072</v>
      </c>
    </row>
    <row r="30" spans="1:7" ht="15" customHeight="1" x14ac:dyDescent="0.25">
      <c r="A30" s="23">
        <f>IF(OR(11&gt;$C$10*$C$11,N(G29)&lt;=0.005),"",11)</f>
        <v>11</v>
      </c>
      <c r="B30" s="24">
        <f t="shared" si="1"/>
        <v>46357</v>
      </c>
      <c r="C30" s="25">
        <f t="shared" si="0"/>
        <v>470.63633829062815</v>
      </c>
      <c r="D30" s="25">
        <f t="shared" si="2"/>
        <v>86.754522978097043</v>
      </c>
      <c r="E30" s="25">
        <f t="shared" si="3"/>
        <v>383.8818153125311</v>
      </c>
      <c r="F30" s="25">
        <f t="shared" si="4"/>
        <v>0</v>
      </c>
      <c r="G30" s="26">
        <f t="shared" si="5"/>
        <v>20862.12381197654</v>
      </c>
    </row>
    <row r="31" spans="1:7" ht="15" customHeight="1" x14ac:dyDescent="0.25">
      <c r="A31" s="27">
        <f>IF(OR(12&gt;$C$10*$C$11,N(G30)&lt;=0.005),"",12)</f>
        <v>12</v>
      </c>
      <c r="B31" s="28">
        <f t="shared" si="1"/>
        <v>46388</v>
      </c>
      <c r="C31" s="29">
        <f t="shared" si="0"/>
        <v>1470.6363382906281</v>
      </c>
      <c r="D31" s="29">
        <f t="shared" si="2"/>
        <v>85.187005565570885</v>
      </c>
      <c r="E31" s="29">
        <f t="shared" si="3"/>
        <v>385.44933272505727</v>
      </c>
      <c r="F31" s="29">
        <f t="shared" si="4"/>
        <v>1000</v>
      </c>
      <c r="G31" s="30">
        <f t="shared" si="5"/>
        <v>19476.674479251484</v>
      </c>
    </row>
    <row r="32" spans="1:7" ht="15" customHeight="1" x14ac:dyDescent="0.25">
      <c r="A32" s="23">
        <f>IF(OR(13&gt;$C$10*$C$11,N(G31)&lt;=0.005),"",13)</f>
        <v>13</v>
      </c>
      <c r="B32" s="24">
        <f t="shared" si="1"/>
        <v>46419</v>
      </c>
      <c r="C32" s="25">
        <f t="shared" si="0"/>
        <v>470.63633829062815</v>
      </c>
      <c r="D32" s="25">
        <f t="shared" si="2"/>
        <v>79.529754123610232</v>
      </c>
      <c r="E32" s="25">
        <f t="shared" si="3"/>
        <v>391.1065841670179</v>
      </c>
      <c r="F32" s="25">
        <f t="shared" si="4"/>
        <v>0</v>
      </c>
      <c r="G32" s="26">
        <f t="shared" si="5"/>
        <v>19085.567895084467</v>
      </c>
    </row>
    <row r="33" spans="1:7" ht="15" customHeight="1" x14ac:dyDescent="0.25">
      <c r="A33" s="27">
        <f>IF(OR(14&gt;$C$10*$C$11,N(G32)&lt;=0.005),"",14)</f>
        <v>14</v>
      </c>
      <c r="B33" s="28">
        <f t="shared" si="1"/>
        <v>46447</v>
      </c>
      <c r="C33" s="29">
        <f t="shared" si="0"/>
        <v>470.63633829062815</v>
      </c>
      <c r="D33" s="29">
        <f t="shared" si="2"/>
        <v>77.932735571594904</v>
      </c>
      <c r="E33" s="29">
        <f t="shared" si="3"/>
        <v>392.70360271903326</v>
      </c>
      <c r="F33" s="29">
        <f t="shared" si="4"/>
        <v>0</v>
      </c>
      <c r="G33" s="30">
        <f t="shared" si="5"/>
        <v>18692.864292365433</v>
      </c>
    </row>
    <row r="34" spans="1:7" ht="15" customHeight="1" x14ac:dyDescent="0.25">
      <c r="A34" s="23">
        <f>IF(OR(15&gt;$C$10*$C$11,N(G33)&lt;=0.005),"",15)</f>
        <v>15</v>
      </c>
      <c r="B34" s="24">
        <f t="shared" si="1"/>
        <v>46478</v>
      </c>
      <c r="C34" s="25">
        <f t="shared" si="0"/>
        <v>470.63633829062815</v>
      </c>
      <c r="D34" s="25">
        <f t="shared" si="2"/>
        <v>76.329195860492192</v>
      </c>
      <c r="E34" s="25">
        <f t="shared" si="3"/>
        <v>394.30714243013597</v>
      </c>
      <c r="F34" s="25">
        <f t="shared" si="4"/>
        <v>0</v>
      </c>
      <c r="G34" s="26">
        <f t="shared" si="5"/>
        <v>18298.557149935299</v>
      </c>
    </row>
    <row r="35" spans="1:7" ht="15" customHeight="1" x14ac:dyDescent="0.25">
      <c r="A35" s="27">
        <f>IF(OR(16&gt;$C$10*$C$11,N(G34)&lt;=0.005),"",16)</f>
        <v>16</v>
      </c>
      <c r="B35" s="28">
        <f t="shared" si="1"/>
        <v>46508</v>
      </c>
      <c r="C35" s="29">
        <f t="shared" si="0"/>
        <v>470.63633829062815</v>
      </c>
      <c r="D35" s="29">
        <f t="shared" si="2"/>
        <v>74.719108362235815</v>
      </c>
      <c r="E35" s="29">
        <f t="shared" si="3"/>
        <v>395.91722992839232</v>
      </c>
      <c r="F35" s="29">
        <f t="shared" si="4"/>
        <v>0</v>
      </c>
      <c r="G35" s="30">
        <f t="shared" si="5"/>
        <v>17902.639920006906</v>
      </c>
    </row>
    <row r="36" spans="1:7" ht="15" customHeight="1" x14ac:dyDescent="0.25">
      <c r="A36" s="23">
        <f>IF(OR(17&gt;$C$10*$C$11,N(G35)&lt;=0.005),"",17)</f>
        <v>17</v>
      </c>
      <c r="B36" s="24">
        <f t="shared" si="1"/>
        <v>46539</v>
      </c>
      <c r="C36" s="25">
        <f t="shared" si="0"/>
        <v>470.63633829062815</v>
      </c>
      <c r="D36" s="25">
        <f t="shared" si="2"/>
        <v>73.102446340028209</v>
      </c>
      <c r="E36" s="25">
        <f t="shared" si="3"/>
        <v>397.53389195059992</v>
      </c>
      <c r="F36" s="25">
        <f t="shared" si="4"/>
        <v>0</v>
      </c>
      <c r="G36" s="26">
        <f t="shared" si="5"/>
        <v>17505.106028056307</v>
      </c>
    </row>
    <row r="37" spans="1:7" ht="15" customHeight="1" x14ac:dyDescent="0.25">
      <c r="A37" s="27">
        <f>IF(OR(18&gt;$C$10*$C$11,N(G36)&lt;=0.005),"",18)</f>
        <v>18</v>
      </c>
      <c r="B37" s="28">
        <f t="shared" si="1"/>
        <v>46569</v>
      </c>
      <c r="C37" s="29">
        <f t="shared" si="0"/>
        <v>470.63633829062815</v>
      </c>
      <c r="D37" s="29">
        <f t="shared" si="2"/>
        <v>71.479182947896589</v>
      </c>
      <c r="E37" s="29">
        <f t="shared" si="3"/>
        <v>399.15715534273158</v>
      </c>
      <c r="F37" s="29">
        <f t="shared" si="4"/>
        <v>0</v>
      </c>
      <c r="G37" s="30">
        <f t="shared" si="5"/>
        <v>17105.948872713576</v>
      </c>
    </row>
    <row r="38" spans="1:7" ht="15" customHeight="1" x14ac:dyDescent="0.25">
      <c r="A38" s="23">
        <f>IF(OR(19&gt;$C$10*$C$11,N(G37)&lt;=0.005),"",19)</f>
        <v>19</v>
      </c>
      <c r="B38" s="24">
        <f t="shared" si="1"/>
        <v>46600</v>
      </c>
      <c r="C38" s="25">
        <f t="shared" si="0"/>
        <v>470.63633829062815</v>
      </c>
      <c r="D38" s="25">
        <f t="shared" si="2"/>
        <v>69.849291230247104</v>
      </c>
      <c r="E38" s="25">
        <f t="shared" si="3"/>
        <v>400.78704706038104</v>
      </c>
      <c r="F38" s="25">
        <f t="shared" si="4"/>
        <v>0</v>
      </c>
      <c r="G38" s="26">
        <f t="shared" si="5"/>
        <v>16705.161825653195</v>
      </c>
    </row>
    <row r="39" spans="1:7" ht="15" customHeight="1" x14ac:dyDescent="0.25">
      <c r="A39" s="27">
        <f>IF(OR(20&gt;$C$10*$C$11,N(G38)&lt;=0.005),"",20)</f>
        <v>20</v>
      </c>
      <c r="B39" s="28">
        <f t="shared" si="1"/>
        <v>46631</v>
      </c>
      <c r="C39" s="29">
        <f t="shared" si="0"/>
        <v>470.63633829062815</v>
      </c>
      <c r="D39" s="29">
        <f t="shared" si="2"/>
        <v>68.212744121417217</v>
      </c>
      <c r="E39" s="29">
        <f t="shared" si="3"/>
        <v>402.4235941692109</v>
      </c>
      <c r="F39" s="29">
        <f t="shared" si="4"/>
        <v>0</v>
      </c>
      <c r="G39" s="30">
        <f t="shared" si="5"/>
        <v>16302.738231483983</v>
      </c>
    </row>
    <row r="40" spans="1:7" ht="15" customHeight="1" x14ac:dyDescent="0.25">
      <c r="A40" s="23">
        <f>IF(OR(21&gt;$C$10*$C$11,N(G39)&lt;=0.005),"",21)</f>
        <v>21</v>
      </c>
      <c r="B40" s="24">
        <f t="shared" si="1"/>
        <v>46661</v>
      </c>
      <c r="C40" s="25">
        <f t="shared" si="0"/>
        <v>470.63633829062815</v>
      </c>
      <c r="D40" s="25">
        <f t="shared" si="2"/>
        <v>66.569514445226261</v>
      </c>
      <c r="E40" s="25">
        <f t="shared" si="3"/>
        <v>404.06682384540187</v>
      </c>
      <c r="F40" s="25">
        <f t="shared" si="4"/>
        <v>0</v>
      </c>
      <c r="G40" s="26">
        <f t="shared" si="5"/>
        <v>15898.671407638582</v>
      </c>
    </row>
    <row r="41" spans="1:7" ht="15" customHeight="1" x14ac:dyDescent="0.25">
      <c r="A41" s="27">
        <f>IF(OR(22&gt;$C$10*$C$11,N(G40)&lt;=0.005),"",22)</f>
        <v>22</v>
      </c>
      <c r="B41" s="28">
        <f t="shared" si="1"/>
        <v>46692</v>
      </c>
      <c r="C41" s="29">
        <f t="shared" si="0"/>
        <v>470.63633829062815</v>
      </c>
      <c r="D41" s="29">
        <f t="shared" si="2"/>
        <v>64.919574914524205</v>
      </c>
      <c r="E41" s="29">
        <f t="shared" si="3"/>
        <v>405.71676337610393</v>
      </c>
      <c r="F41" s="29">
        <f t="shared" si="4"/>
        <v>0</v>
      </c>
      <c r="G41" s="30">
        <f t="shared" si="5"/>
        <v>15492.954644262478</v>
      </c>
    </row>
    <row r="42" spans="1:7" ht="15" customHeight="1" x14ac:dyDescent="0.25">
      <c r="A42" s="23">
        <f>IF(OR(23&gt;$C$10*$C$11,N(G41)&lt;=0.005),"",23)</f>
        <v>23</v>
      </c>
      <c r="B42" s="24">
        <f t="shared" si="1"/>
        <v>46722</v>
      </c>
      <c r="C42" s="25">
        <f t="shared" si="0"/>
        <v>470.63633829062815</v>
      </c>
      <c r="D42" s="25">
        <f t="shared" si="2"/>
        <v>63.262898130738449</v>
      </c>
      <c r="E42" s="25">
        <f t="shared" si="3"/>
        <v>407.3734401598897</v>
      </c>
      <c r="F42" s="25">
        <f t="shared" si="4"/>
        <v>0</v>
      </c>
      <c r="G42" s="26">
        <f t="shared" si="5"/>
        <v>15085.581204102587</v>
      </c>
    </row>
    <row r="43" spans="1:7" ht="15" customHeight="1" x14ac:dyDescent="0.25">
      <c r="A43" s="27">
        <f>IF(OR(24&gt;$C$10*$C$11,N(G42)&lt;=0.005),"",24)</f>
        <v>24</v>
      </c>
      <c r="B43" s="28">
        <f t="shared" si="1"/>
        <v>46753</v>
      </c>
      <c r="C43" s="29">
        <f t="shared" si="0"/>
        <v>1470.6363382906281</v>
      </c>
      <c r="D43" s="29">
        <f t="shared" si="2"/>
        <v>61.599456583418906</v>
      </c>
      <c r="E43" s="29">
        <f t="shared" si="3"/>
        <v>409.03688170720926</v>
      </c>
      <c r="F43" s="29">
        <f t="shared" si="4"/>
        <v>1000</v>
      </c>
      <c r="G43" s="30">
        <f t="shared" si="5"/>
        <v>13676.544322395379</v>
      </c>
    </row>
    <row r="44" spans="1:7" ht="15" customHeight="1" x14ac:dyDescent="0.25">
      <c r="A44" s="23">
        <f>IF(OR(25&gt;$C$10*$C$11,N(G43)&lt;=0.005),"",25)</f>
        <v>25</v>
      </c>
      <c r="B44" s="24">
        <f t="shared" si="1"/>
        <v>46784</v>
      </c>
      <c r="C44" s="25">
        <f t="shared" si="0"/>
        <v>470.63633829062815</v>
      </c>
      <c r="D44" s="25">
        <f t="shared" si="2"/>
        <v>55.845889316447796</v>
      </c>
      <c r="E44" s="25">
        <f t="shared" si="3"/>
        <v>414.79044897418032</v>
      </c>
      <c r="F44" s="25">
        <f t="shared" si="4"/>
        <v>0</v>
      </c>
      <c r="G44" s="26">
        <f t="shared" si="5"/>
        <v>13261.753873421199</v>
      </c>
    </row>
    <row r="45" spans="1:7" ht="15" customHeight="1" x14ac:dyDescent="0.25">
      <c r="A45" s="27">
        <f>IF(OR(26&gt;$C$10*$C$11,N(G44)&lt;=0.005),"",26)</f>
        <v>26</v>
      </c>
      <c r="B45" s="28">
        <f t="shared" si="1"/>
        <v>46813</v>
      </c>
      <c r="C45" s="29">
        <f t="shared" si="0"/>
        <v>470.63633829062815</v>
      </c>
      <c r="D45" s="29">
        <f t="shared" si="2"/>
        <v>54.152161649803226</v>
      </c>
      <c r="E45" s="29">
        <f t="shared" si="3"/>
        <v>416.4841766408249</v>
      </c>
      <c r="F45" s="29">
        <f t="shared" si="4"/>
        <v>0</v>
      </c>
      <c r="G45" s="30">
        <f t="shared" si="5"/>
        <v>12845.269696780375</v>
      </c>
    </row>
    <row r="46" spans="1:7" ht="15" customHeight="1" x14ac:dyDescent="0.25">
      <c r="A46" s="23">
        <f>IF(OR(27&gt;$C$10*$C$11,N(G45)&lt;=0.005),"",27)</f>
        <v>27</v>
      </c>
      <c r="B46" s="24">
        <f t="shared" si="1"/>
        <v>46844</v>
      </c>
      <c r="C46" s="25">
        <f t="shared" si="0"/>
        <v>470.63633829062815</v>
      </c>
      <c r="D46" s="25">
        <f t="shared" si="2"/>
        <v>52.45151792851987</v>
      </c>
      <c r="E46" s="25">
        <f t="shared" si="3"/>
        <v>418.18482036210827</v>
      </c>
      <c r="F46" s="25">
        <f t="shared" si="4"/>
        <v>0</v>
      </c>
      <c r="G46" s="26">
        <f t="shared" si="5"/>
        <v>12427.084876418267</v>
      </c>
    </row>
    <row r="47" spans="1:7" ht="15" customHeight="1" x14ac:dyDescent="0.25">
      <c r="A47" s="27">
        <f>IF(OR(28&gt;$C$10*$C$11,N(G46)&lt;=0.005),"",28)</f>
        <v>28</v>
      </c>
      <c r="B47" s="28">
        <f t="shared" si="1"/>
        <v>46874</v>
      </c>
      <c r="C47" s="29">
        <f t="shared" si="0"/>
        <v>470.63633829062815</v>
      </c>
      <c r="D47" s="29">
        <f t="shared" si="2"/>
        <v>50.74392991204126</v>
      </c>
      <c r="E47" s="29">
        <f t="shared" si="3"/>
        <v>419.89240837858688</v>
      </c>
      <c r="F47" s="29">
        <f t="shared" si="4"/>
        <v>0</v>
      </c>
      <c r="G47" s="30">
        <f t="shared" si="5"/>
        <v>12007.192468039681</v>
      </c>
    </row>
    <row r="48" spans="1:7" ht="15" customHeight="1" x14ac:dyDescent="0.25">
      <c r="A48" s="23">
        <f>IF(OR(29&gt;$C$10*$C$11,N(G47)&lt;=0.005),"",29)</f>
        <v>29</v>
      </c>
      <c r="B48" s="24">
        <f t="shared" si="1"/>
        <v>46905</v>
      </c>
      <c r="C48" s="25">
        <f t="shared" si="0"/>
        <v>470.63633829062815</v>
      </c>
      <c r="D48" s="25">
        <f t="shared" si="2"/>
        <v>49.029369244495363</v>
      </c>
      <c r="E48" s="25">
        <f t="shared" si="3"/>
        <v>421.6069690461328</v>
      </c>
      <c r="F48" s="25">
        <f t="shared" si="4"/>
        <v>0</v>
      </c>
      <c r="G48" s="26">
        <f t="shared" si="5"/>
        <v>11585.585498993547</v>
      </c>
    </row>
    <row r="49" spans="1:7" ht="15" customHeight="1" x14ac:dyDescent="0.25">
      <c r="A49" s="27">
        <f>IF(OR(30&gt;$C$10*$C$11,N(G48)&lt;=0.005),"",30)</f>
        <v>30</v>
      </c>
      <c r="B49" s="28">
        <f t="shared" si="1"/>
        <v>46935</v>
      </c>
      <c r="C49" s="29">
        <f t="shared" si="0"/>
        <v>470.63633829062815</v>
      </c>
      <c r="D49" s="29">
        <f t="shared" si="2"/>
        <v>47.307807454223649</v>
      </c>
      <c r="E49" s="29">
        <f t="shared" si="3"/>
        <v>423.32853083640452</v>
      </c>
      <c r="F49" s="29">
        <f t="shared" si="4"/>
        <v>0</v>
      </c>
      <c r="G49" s="30">
        <f t="shared" si="5"/>
        <v>11162.256968157142</v>
      </c>
    </row>
    <row r="50" spans="1:7" ht="15" customHeight="1" x14ac:dyDescent="0.25">
      <c r="A50" s="23">
        <f>IF(OR(31&gt;$C$10*$C$11,N(G49)&lt;=0.005),"",31)</f>
        <v>31</v>
      </c>
      <c r="B50" s="24">
        <f t="shared" si="1"/>
        <v>46966</v>
      </c>
      <c r="C50" s="25">
        <f t="shared" si="0"/>
        <v>470.63633829062815</v>
      </c>
      <c r="D50" s="25">
        <f t="shared" si="2"/>
        <v>45.579215953308335</v>
      </c>
      <c r="E50" s="25">
        <f t="shared" si="3"/>
        <v>425.05712233731981</v>
      </c>
      <c r="F50" s="25">
        <f t="shared" si="4"/>
        <v>0</v>
      </c>
      <c r="G50" s="26">
        <f t="shared" si="5"/>
        <v>10737.199845819823</v>
      </c>
    </row>
    <row r="51" spans="1:7" ht="15" customHeight="1" x14ac:dyDescent="0.25">
      <c r="A51" s="27">
        <f>IF(OR(32&gt;$C$10*$C$11,N(G50)&lt;=0.005),"",32)</f>
        <v>32</v>
      </c>
      <c r="B51" s="28">
        <f t="shared" si="1"/>
        <v>46997</v>
      </c>
      <c r="C51" s="29">
        <f t="shared" si="0"/>
        <v>470.63633829062815</v>
      </c>
      <c r="D51" s="29">
        <f t="shared" si="2"/>
        <v>43.843566037097617</v>
      </c>
      <c r="E51" s="29">
        <f t="shared" si="3"/>
        <v>426.79277225353053</v>
      </c>
      <c r="F51" s="29">
        <f t="shared" si="4"/>
        <v>0</v>
      </c>
      <c r="G51" s="30">
        <f t="shared" si="5"/>
        <v>10310.407073566294</v>
      </c>
    </row>
    <row r="52" spans="1:7" ht="15" customHeight="1" x14ac:dyDescent="0.25">
      <c r="A52" s="23">
        <f>IF(OR(33&gt;$C$10*$C$11,N(G51)&lt;=0.005),"",33)</f>
        <v>33</v>
      </c>
      <c r="B52" s="24">
        <f t="shared" si="1"/>
        <v>47027</v>
      </c>
      <c r="C52" s="25">
        <f t="shared" si="0"/>
        <v>470.63633829062815</v>
      </c>
      <c r="D52" s="25">
        <f t="shared" si="2"/>
        <v>42.100828883729029</v>
      </c>
      <c r="E52" s="25">
        <f t="shared" si="3"/>
        <v>428.53550940689911</v>
      </c>
      <c r="F52" s="25">
        <f t="shared" si="4"/>
        <v>0</v>
      </c>
      <c r="G52" s="26">
        <f t="shared" si="5"/>
        <v>9881.8715641593953</v>
      </c>
    </row>
    <row r="53" spans="1:7" ht="15" customHeight="1" x14ac:dyDescent="0.25">
      <c r="A53" s="27">
        <f>IF(OR(34&gt;$C$10*$C$11,N(G52)&lt;=0.005),"",34)</f>
        <v>34</v>
      </c>
      <c r="B53" s="28">
        <f t="shared" si="1"/>
        <v>47058</v>
      </c>
      <c r="C53" s="29">
        <f t="shared" si="0"/>
        <v>470.63633829062815</v>
      </c>
      <c r="D53" s="29">
        <f t="shared" si="2"/>
        <v>40.350975553650862</v>
      </c>
      <c r="E53" s="29">
        <f t="shared" si="3"/>
        <v>430.28536273697728</v>
      </c>
      <c r="F53" s="29">
        <f t="shared" si="4"/>
        <v>0</v>
      </c>
      <c r="G53" s="30">
        <f t="shared" si="5"/>
        <v>9451.5862014224185</v>
      </c>
    </row>
    <row r="54" spans="1:7" ht="15" customHeight="1" x14ac:dyDescent="0.25">
      <c r="A54" s="23">
        <f>IF(OR(35&gt;$C$10*$C$11,N(G53)&lt;=0.005),"",35)</f>
        <v>35</v>
      </c>
      <c r="B54" s="24">
        <f t="shared" si="1"/>
        <v>47088</v>
      </c>
      <c r="C54" s="25">
        <f t="shared" si="0"/>
        <v>470.63633829062815</v>
      </c>
      <c r="D54" s="25">
        <f t="shared" si="2"/>
        <v>38.593976989141545</v>
      </c>
      <c r="E54" s="25">
        <f t="shared" si="3"/>
        <v>432.04236130148661</v>
      </c>
      <c r="F54" s="25">
        <f t="shared" si="4"/>
        <v>0</v>
      </c>
      <c r="G54" s="26">
        <f t="shared" si="5"/>
        <v>9019.5438401209321</v>
      </c>
    </row>
    <row r="55" spans="1:7" ht="15" customHeight="1" x14ac:dyDescent="0.25">
      <c r="A55" s="27">
        <f>IF(OR(36&gt;$C$10*$C$11,N(G54)&lt;=0.005),"",36)</f>
        <v>36</v>
      </c>
      <c r="B55" s="28">
        <f t="shared" si="1"/>
        <v>47119</v>
      </c>
      <c r="C55" s="29">
        <f t="shared" si="0"/>
        <v>1470.6363382906281</v>
      </c>
      <c r="D55" s="29">
        <f t="shared" si="2"/>
        <v>36.829804013827143</v>
      </c>
      <c r="E55" s="29">
        <f t="shared" si="3"/>
        <v>433.80653427680102</v>
      </c>
      <c r="F55" s="29">
        <f t="shared" si="4"/>
        <v>1000</v>
      </c>
      <c r="G55" s="30">
        <f t="shared" si="5"/>
        <v>7585.7373058441317</v>
      </c>
    </row>
    <row r="56" spans="1:7" ht="15" customHeight="1" x14ac:dyDescent="0.25">
      <c r="A56" s="23">
        <f>IF(OR(37&gt;$C$10*$C$11,N(G55)&lt;=0.005),"",37)</f>
        <v>37</v>
      </c>
      <c r="B56" s="24">
        <f t="shared" si="1"/>
        <v>47150</v>
      </c>
      <c r="C56" s="25">
        <f t="shared" si="0"/>
        <v>470.63633829062815</v>
      </c>
      <c r="D56" s="25">
        <f t="shared" si="2"/>
        <v>30.975093998863539</v>
      </c>
      <c r="E56" s="25">
        <f t="shared" si="3"/>
        <v>439.6612442917646</v>
      </c>
      <c r="F56" s="25">
        <f t="shared" si="4"/>
        <v>0</v>
      </c>
      <c r="G56" s="26">
        <f t="shared" si="5"/>
        <v>7146.0760615523668</v>
      </c>
    </row>
    <row r="57" spans="1:7" ht="15" customHeight="1" x14ac:dyDescent="0.25">
      <c r="A57" s="27">
        <f>IF(OR(38&gt;$C$10*$C$11,N(G56)&lt;=0.005),"",38)</f>
        <v>38</v>
      </c>
      <c r="B57" s="28">
        <f t="shared" si="1"/>
        <v>47178</v>
      </c>
      <c r="C57" s="29">
        <f t="shared" si="0"/>
        <v>470.63633829062815</v>
      </c>
      <c r="D57" s="29">
        <f t="shared" si="2"/>
        <v>29.179810584672165</v>
      </c>
      <c r="E57" s="29">
        <f t="shared" si="3"/>
        <v>441.45652770595598</v>
      </c>
      <c r="F57" s="29">
        <f t="shared" si="4"/>
        <v>0</v>
      </c>
      <c r="G57" s="30">
        <f t="shared" si="5"/>
        <v>6704.6195338464113</v>
      </c>
    </row>
    <row r="58" spans="1:7" ht="15" customHeight="1" x14ac:dyDescent="0.25">
      <c r="A58" s="23">
        <f>IF(OR(39&gt;$C$10*$C$11,N(G57)&lt;=0.005),"",39)</f>
        <v>39</v>
      </c>
      <c r="B58" s="24">
        <f t="shared" si="1"/>
        <v>47209</v>
      </c>
      <c r="C58" s="25">
        <f t="shared" si="0"/>
        <v>470.63633829062815</v>
      </c>
      <c r="D58" s="25">
        <f t="shared" si="2"/>
        <v>27.37719642987285</v>
      </c>
      <c r="E58" s="25">
        <f t="shared" si="3"/>
        <v>443.25914186075528</v>
      </c>
      <c r="F58" s="25">
        <f t="shared" si="4"/>
        <v>0</v>
      </c>
      <c r="G58" s="26">
        <f t="shared" si="5"/>
        <v>6261.360391985656</v>
      </c>
    </row>
    <row r="59" spans="1:7" ht="15" customHeight="1" x14ac:dyDescent="0.25">
      <c r="A59" s="27">
        <f>IF(OR(40&gt;$C$10*$C$11,N(G58)&lt;=0.005),"",40)</f>
        <v>40</v>
      </c>
      <c r="B59" s="28">
        <f t="shared" si="1"/>
        <v>47239</v>
      </c>
      <c r="C59" s="29">
        <f t="shared" si="0"/>
        <v>470.63633829062815</v>
      </c>
      <c r="D59" s="29">
        <f t="shared" si="2"/>
        <v>25.567221600608097</v>
      </c>
      <c r="E59" s="29">
        <f t="shared" si="3"/>
        <v>445.06911669002005</v>
      </c>
      <c r="F59" s="29">
        <f t="shared" si="4"/>
        <v>0</v>
      </c>
      <c r="G59" s="30">
        <f t="shared" si="5"/>
        <v>5816.2912752956363</v>
      </c>
    </row>
    <row r="60" spans="1:7" ht="15" customHeight="1" x14ac:dyDescent="0.25">
      <c r="A60" s="23">
        <f>IF(OR(41&gt;$C$10*$C$11,N(G59)&lt;=0.005),"",41)</f>
        <v>41</v>
      </c>
      <c r="B60" s="24">
        <f t="shared" si="1"/>
        <v>47270</v>
      </c>
      <c r="C60" s="25">
        <f t="shared" si="0"/>
        <v>470.63633829062815</v>
      </c>
      <c r="D60" s="25">
        <f t="shared" si="2"/>
        <v>23.749856040790515</v>
      </c>
      <c r="E60" s="25">
        <f t="shared" si="3"/>
        <v>446.88648224983763</v>
      </c>
      <c r="F60" s="25">
        <f t="shared" si="4"/>
        <v>0</v>
      </c>
      <c r="G60" s="26">
        <f t="shared" si="5"/>
        <v>5369.4047930457982</v>
      </c>
    </row>
    <row r="61" spans="1:7" ht="15" customHeight="1" x14ac:dyDescent="0.25">
      <c r="A61" s="27">
        <f>IF(OR(42&gt;$C$10*$C$11,N(G60)&lt;=0.005),"",42)</f>
        <v>42</v>
      </c>
      <c r="B61" s="28">
        <f t="shared" si="1"/>
        <v>47300</v>
      </c>
      <c r="C61" s="29">
        <f t="shared" si="0"/>
        <v>470.63633829062815</v>
      </c>
      <c r="D61" s="29">
        <f t="shared" si="2"/>
        <v>21.925069571603675</v>
      </c>
      <c r="E61" s="29">
        <f t="shared" si="3"/>
        <v>448.71126871902447</v>
      </c>
      <c r="F61" s="29">
        <f t="shared" si="4"/>
        <v>0</v>
      </c>
      <c r="G61" s="30">
        <f t="shared" si="5"/>
        <v>4920.6935243267735</v>
      </c>
    </row>
    <row r="62" spans="1:7" ht="15" customHeight="1" x14ac:dyDescent="0.25">
      <c r="A62" s="23">
        <f>IF(OR(43&gt;$C$10*$C$11,N(G61)&lt;=0.005),"",43)</f>
        <v>43</v>
      </c>
      <c r="B62" s="24">
        <f t="shared" si="1"/>
        <v>47331</v>
      </c>
      <c r="C62" s="25">
        <f t="shared" si="0"/>
        <v>470.63633829062815</v>
      </c>
      <c r="D62" s="25">
        <f t="shared" si="2"/>
        <v>20.092831891000994</v>
      </c>
      <c r="E62" s="25">
        <f t="shared" si="3"/>
        <v>450.54350639962718</v>
      </c>
      <c r="F62" s="25">
        <f t="shared" si="4"/>
        <v>0</v>
      </c>
      <c r="G62" s="26">
        <f t="shared" si="5"/>
        <v>4470.1500179271461</v>
      </c>
    </row>
    <row r="63" spans="1:7" ht="15" customHeight="1" x14ac:dyDescent="0.25">
      <c r="A63" s="27">
        <f>IF(OR(44&gt;$C$10*$C$11,N(G62)&lt;=0.005),"",44)</f>
        <v>44</v>
      </c>
      <c r="B63" s="28">
        <f t="shared" si="1"/>
        <v>47362</v>
      </c>
      <c r="C63" s="29">
        <f t="shared" si="0"/>
        <v>470.63633829062815</v>
      </c>
      <c r="D63" s="29">
        <f t="shared" si="2"/>
        <v>18.253112573202515</v>
      </c>
      <c r="E63" s="29">
        <f t="shared" si="3"/>
        <v>452.3832257174256</v>
      </c>
      <c r="F63" s="29">
        <f t="shared" si="4"/>
        <v>0</v>
      </c>
      <c r="G63" s="30">
        <f t="shared" si="5"/>
        <v>4017.7667922097207</v>
      </c>
    </row>
    <row r="64" spans="1:7" ht="15" customHeight="1" x14ac:dyDescent="0.25">
      <c r="A64" s="23">
        <f>IF(OR(45&gt;$C$10*$C$11,N(G63)&lt;=0.005),"",45)</f>
        <v>45</v>
      </c>
      <c r="B64" s="24">
        <f t="shared" si="1"/>
        <v>47392</v>
      </c>
      <c r="C64" s="25">
        <f t="shared" si="0"/>
        <v>470.63633829062815</v>
      </c>
      <c r="D64" s="25">
        <f t="shared" si="2"/>
        <v>16.405881068189693</v>
      </c>
      <c r="E64" s="25">
        <f t="shared" si="3"/>
        <v>454.23045722243847</v>
      </c>
      <c r="F64" s="25">
        <f t="shared" si="4"/>
        <v>0</v>
      </c>
      <c r="G64" s="26">
        <f t="shared" si="5"/>
        <v>3563.5363349872823</v>
      </c>
    </row>
    <row r="65" spans="1:7" ht="15" customHeight="1" x14ac:dyDescent="0.25">
      <c r="A65" s="27">
        <f>IF(OR(46&gt;$C$10*$C$11,N(G64)&lt;=0.005),"",46)</f>
        <v>46</v>
      </c>
      <c r="B65" s="28">
        <f t="shared" si="1"/>
        <v>47423</v>
      </c>
      <c r="C65" s="29">
        <f t="shared" si="0"/>
        <v>470.63633829062815</v>
      </c>
      <c r="D65" s="29">
        <f t="shared" si="2"/>
        <v>14.551106701198071</v>
      </c>
      <c r="E65" s="29">
        <f t="shared" si="3"/>
        <v>456.08523158943007</v>
      </c>
      <c r="F65" s="29">
        <f t="shared" si="4"/>
        <v>0</v>
      </c>
      <c r="G65" s="30">
        <f t="shared" si="5"/>
        <v>3107.4511033978524</v>
      </c>
    </row>
    <row r="66" spans="1:7" ht="15" customHeight="1" x14ac:dyDescent="0.25">
      <c r="A66" s="23">
        <f>IF(OR(47&gt;$C$10*$C$11,N(G65)&lt;=0.005),"",47)</f>
        <v>47</v>
      </c>
      <c r="B66" s="24">
        <f t="shared" si="1"/>
        <v>47453</v>
      </c>
      <c r="C66" s="25">
        <f t="shared" si="0"/>
        <v>470.63633829062815</v>
      </c>
      <c r="D66" s="25">
        <f t="shared" si="2"/>
        <v>12.688758672207898</v>
      </c>
      <c r="E66" s="25">
        <f t="shared" si="3"/>
        <v>457.94757961842026</v>
      </c>
      <c r="F66" s="25">
        <f t="shared" si="4"/>
        <v>0</v>
      </c>
      <c r="G66" s="26">
        <f t="shared" si="5"/>
        <v>2649.5035237794323</v>
      </c>
    </row>
    <row r="67" spans="1:7" ht="15" customHeight="1" x14ac:dyDescent="0.25">
      <c r="A67" s="27">
        <f>IF(OR(48&gt;$C$10*$C$11,N(G66)&lt;=0.005),"",48)</f>
        <v>48</v>
      </c>
      <c r="B67" s="28">
        <f t="shared" si="1"/>
        <v>47484</v>
      </c>
      <c r="C67" s="29">
        <f t="shared" si="0"/>
        <v>1470.6363382906281</v>
      </c>
      <c r="D67" s="29">
        <f t="shared" si="2"/>
        <v>10.818806055432681</v>
      </c>
      <c r="E67" s="29">
        <f t="shared" si="3"/>
        <v>459.81753223519547</v>
      </c>
      <c r="F67" s="29">
        <f t="shared" si="4"/>
        <v>1000</v>
      </c>
      <c r="G67" s="30">
        <f t="shared" si="5"/>
        <v>1189.6859915442369</v>
      </c>
    </row>
    <row r="68" spans="1:7" ht="15" customHeight="1" x14ac:dyDescent="0.25">
      <c r="A68" s="23">
        <f>IF(OR(49&gt;$C$10*$C$11,N(G67)&lt;=0.005),"",49)</f>
        <v>49</v>
      </c>
      <c r="B68" s="24">
        <f t="shared" si="1"/>
        <v>47515</v>
      </c>
      <c r="C68" s="25">
        <f t="shared" si="0"/>
        <v>470.63633829062815</v>
      </c>
      <c r="D68" s="25">
        <f t="shared" si="2"/>
        <v>4.857884465472301</v>
      </c>
      <c r="E68" s="25">
        <f t="shared" si="3"/>
        <v>465.77845382515585</v>
      </c>
      <c r="F68" s="25">
        <f t="shared" si="4"/>
        <v>0</v>
      </c>
      <c r="G68" s="26">
        <f t="shared" si="5"/>
        <v>723.90753771908112</v>
      </c>
    </row>
    <row r="69" spans="1:7" ht="15" customHeight="1" x14ac:dyDescent="0.25">
      <c r="A69" s="27">
        <f>IF(OR(50&gt;$C$10*$C$11,N(G68)&lt;=0.005),"",50)</f>
        <v>50</v>
      </c>
      <c r="B69" s="28">
        <f t="shared" si="1"/>
        <v>47543</v>
      </c>
      <c r="C69" s="29">
        <f t="shared" si="0"/>
        <v>470.63633829062815</v>
      </c>
      <c r="D69" s="29">
        <f t="shared" si="2"/>
        <v>2.9559557790195812</v>
      </c>
      <c r="E69" s="29">
        <f t="shared" si="3"/>
        <v>467.68038251160857</v>
      </c>
      <c r="F69" s="29">
        <f t="shared" si="4"/>
        <v>0</v>
      </c>
      <c r="G69" s="30">
        <f t="shared" si="5"/>
        <v>256.22715520747255</v>
      </c>
    </row>
    <row r="70" spans="1:7" ht="15" customHeight="1" x14ac:dyDescent="0.25">
      <c r="A70" s="23">
        <f>IF(OR(51&gt;$C$10*$C$11,N(G69)&lt;=0.005),"",51)</f>
        <v>51</v>
      </c>
      <c r="B70" s="24">
        <f t="shared" si="1"/>
        <v>47574</v>
      </c>
      <c r="C70" s="25">
        <f t="shared" si="0"/>
        <v>257.27341609123641</v>
      </c>
      <c r="D70" s="25">
        <f t="shared" si="2"/>
        <v>1.0462608837638463</v>
      </c>
      <c r="E70" s="25">
        <f t="shared" si="3"/>
        <v>256.22715520747255</v>
      </c>
      <c r="F70" s="25">
        <f t="shared" si="4"/>
        <v>0</v>
      </c>
      <c r="G70" s="26">
        <f t="shared" si="5"/>
        <v>0</v>
      </c>
    </row>
    <row r="71" spans="1:7" ht="15" customHeight="1" x14ac:dyDescent="0.25">
      <c r="A71" s="27" t="str">
        <f>IF(OR(52&gt;$C$10*$C$11,N(G70)&lt;=0.005),"",52)</f>
        <v/>
      </c>
      <c r="B71" s="28" t="str">
        <f t="shared" si="1"/>
        <v/>
      </c>
      <c r="C71" s="29" t="str">
        <f t="shared" si="0"/>
        <v/>
      </c>
      <c r="D71" s="29" t="str">
        <f t="shared" si="2"/>
        <v/>
      </c>
      <c r="E71" s="29" t="str">
        <f t="shared" si="3"/>
        <v/>
      </c>
      <c r="F71" s="29" t="str">
        <f t="shared" si="4"/>
        <v/>
      </c>
      <c r="G71" s="30" t="str">
        <f t="shared" si="5"/>
        <v/>
      </c>
    </row>
    <row r="72" spans="1:7" ht="15" customHeight="1" x14ac:dyDescent="0.25">
      <c r="A72" s="23" t="str">
        <f>IF(OR(53&gt;$C$10*$C$11,N(G71)&lt;=0.005),"",53)</f>
        <v/>
      </c>
      <c r="B72" s="24" t="str">
        <f t="shared" si="1"/>
        <v/>
      </c>
      <c r="C72" s="25" t="str">
        <f t="shared" si="0"/>
        <v/>
      </c>
      <c r="D72" s="25" t="str">
        <f t="shared" si="2"/>
        <v/>
      </c>
      <c r="E72" s="25" t="str">
        <f t="shared" si="3"/>
        <v/>
      </c>
      <c r="F72" s="25" t="str">
        <f t="shared" si="4"/>
        <v/>
      </c>
      <c r="G72" s="26" t="str">
        <f t="shared" si="5"/>
        <v/>
      </c>
    </row>
    <row r="73" spans="1:7" ht="15" customHeight="1" x14ac:dyDescent="0.25">
      <c r="A73" s="27" t="str">
        <f>IF(OR(54&gt;$C$10*$C$11,N(G72)&lt;=0.005),"",54)</f>
        <v/>
      </c>
      <c r="B73" s="28" t="str">
        <f t="shared" si="1"/>
        <v/>
      </c>
      <c r="C73" s="29" t="str">
        <f t="shared" si="0"/>
        <v/>
      </c>
      <c r="D73" s="29" t="str">
        <f t="shared" si="2"/>
        <v/>
      </c>
      <c r="E73" s="29" t="str">
        <f t="shared" si="3"/>
        <v/>
      </c>
      <c r="F73" s="29" t="str">
        <f t="shared" si="4"/>
        <v/>
      </c>
      <c r="G73" s="30" t="str">
        <f t="shared" si="5"/>
        <v/>
      </c>
    </row>
    <row r="74" spans="1:7" ht="15" customHeight="1" x14ac:dyDescent="0.25">
      <c r="A74" s="23" t="str">
        <f>IF(OR(55&gt;$C$10*$C$11,N(G73)&lt;=0.005),"",55)</f>
        <v/>
      </c>
      <c r="B74" s="24" t="str">
        <f t="shared" si="1"/>
        <v/>
      </c>
      <c r="C74" s="25" t="str">
        <f t="shared" si="0"/>
        <v/>
      </c>
      <c r="D74" s="25" t="str">
        <f t="shared" si="2"/>
        <v/>
      </c>
      <c r="E74" s="25" t="str">
        <f t="shared" si="3"/>
        <v/>
      </c>
      <c r="F74" s="25" t="str">
        <f t="shared" si="4"/>
        <v/>
      </c>
      <c r="G74" s="26" t="str">
        <f t="shared" si="5"/>
        <v/>
      </c>
    </row>
    <row r="75" spans="1:7" ht="15" customHeight="1" x14ac:dyDescent="0.25">
      <c r="A75" s="27" t="str">
        <f>IF(OR(56&gt;$C$10*$C$11,N(G74)&lt;=0.005),"",56)</f>
        <v/>
      </c>
      <c r="B75" s="28" t="str">
        <f t="shared" si="1"/>
        <v/>
      </c>
      <c r="C75" s="29" t="str">
        <f t="shared" si="0"/>
        <v/>
      </c>
      <c r="D75" s="29" t="str">
        <f t="shared" si="2"/>
        <v/>
      </c>
      <c r="E75" s="29" t="str">
        <f t="shared" si="3"/>
        <v/>
      </c>
      <c r="F75" s="29" t="str">
        <f t="shared" si="4"/>
        <v/>
      </c>
      <c r="G75" s="30" t="str">
        <f t="shared" si="5"/>
        <v/>
      </c>
    </row>
    <row r="76" spans="1:7" ht="15" customHeight="1" x14ac:dyDescent="0.25">
      <c r="A76" s="23" t="str">
        <f>IF(OR(57&gt;$C$10*$C$11,N(G75)&lt;=0.005),"",57)</f>
        <v/>
      </c>
      <c r="B76" s="24" t="str">
        <f t="shared" si="1"/>
        <v/>
      </c>
      <c r="C76" s="25" t="str">
        <f t="shared" si="0"/>
        <v/>
      </c>
      <c r="D76" s="25" t="str">
        <f t="shared" si="2"/>
        <v/>
      </c>
      <c r="E76" s="25" t="str">
        <f t="shared" si="3"/>
        <v/>
      </c>
      <c r="F76" s="25" t="str">
        <f t="shared" si="4"/>
        <v/>
      </c>
      <c r="G76" s="26" t="str">
        <f t="shared" si="5"/>
        <v/>
      </c>
    </row>
    <row r="77" spans="1:7" ht="15" customHeight="1" x14ac:dyDescent="0.25">
      <c r="A77" s="27" t="str">
        <f>IF(OR(58&gt;$C$10*$C$11,N(G76)&lt;=0.005),"",58)</f>
        <v/>
      </c>
      <c r="B77" s="28" t="str">
        <f t="shared" si="1"/>
        <v/>
      </c>
      <c r="C77" s="29" t="str">
        <f t="shared" si="0"/>
        <v/>
      </c>
      <c r="D77" s="29" t="str">
        <f t="shared" si="2"/>
        <v/>
      </c>
      <c r="E77" s="29" t="str">
        <f t="shared" si="3"/>
        <v/>
      </c>
      <c r="F77" s="29" t="str">
        <f t="shared" si="4"/>
        <v/>
      </c>
      <c r="G77" s="30" t="str">
        <f t="shared" si="5"/>
        <v/>
      </c>
    </row>
    <row r="78" spans="1:7" ht="15" customHeight="1" x14ac:dyDescent="0.25">
      <c r="A78" s="23" t="str">
        <f>IF(OR(59&gt;$C$10*$C$11,N(G77)&lt;=0.005),"",59)</f>
        <v/>
      </c>
      <c r="B78" s="24" t="str">
        <f t="shared" si="1"/>
        <v/>
      </c>
      <c r="C78" s="25" t="str">
        <f t="shared" si="0"/>
        <v/>
      </c>
      <c r="D78" s="25" t="str">
        <f t="shared" si="2"/>
        <v/>
      </c>
      <c r="E78" s="25" t="str">
        <f t="shared" si="3"/>
        <v/>
      </c>
      <c r="F78" s="25" t="str">
        <f t="shared" si="4"/>
        <v/>
      </c>
      <c r="G78" s="26" t="str">
        <f t="shared" si="5"/>
        <v/>
      </c>
    </row>
    <row r="79" spans="1:7" ht="15" customHeight="1" x14ac:dyDescent="0.25">
      <c r="A79" s="27" t="str">
        <f>IF(OR(60&gt;$C$10*$C$11,N(G78)&lt;=0.005),"",60)</f>
        <v/>
      </c>
      <c r="B79" s="28" t="str">
        <f t="shared" si="1"/>
        <v/>
      </c>
      <c r="C79" s="29" t="str">
        <f t="shared" si="0"/>
        <v/>
      </c>
      <c r="D79" s="29" t="str">
        <f t="shared" si="2"/>
        <v/>
      </c>
      <c r="E79" s="29" t="str">
        <f t="shared" si="3"/>
        <v/>
      </c>
      <c r="F79" s="29" t="str">
        <f t="shared" si="4"/>
        <v/>
      </c>
      <c r="G79" s="30" t="str">
        <f t="shared" si="5"/>
        <v/>
      </c>
    </row>
    <row r="80" spans="1:7" ht="15" customHeight="1" x14ac:dyDescent="0.25">
      <c r="A80" s="23" t="str">
        <f>IF(OR(61&gt;$C$10*$C$11,N(G79)&lt;=0.005),"",61)</f>
        <v/>
      </c>
      <c r="B80" s="24" t="str">
        <f t="shared" si="1"/>
        <v/>
      </c>
      <c r="C80" s="25" t="str">
        <f t="shared" si="0"/>
        <v/>
      </c>
      <c r="D80" s="25" t="str">
        <f t="shared" si="2"/>
        <v/>
      </c>
      <c r="E80" s="25" t="str">
        <f t="shared" si="3"/>
        <v/>
      </c>
      <c r="F80" s="25" t="str">
        <f t="shared" si="4"/>
        <v/>
      </c>
      <c r="G80" s="26" t="str">
        <f t="shared" si="5"/>
        <v/>
      </c>
    </row>
    <row r="81" spans="1:7" ht="15" customHeight="1" x14ac:dyDescent="0.25">
      <c r="A81" s="27" t="str">
        <f>IF(OR(62&gt;$C$10*$C$11,N(G80)&lt;=0.005),"",62)</f>
        <v/>
      </c>
      <c r="B81" s="28" t="str">
        <f t="shared" si="1"/>
        <v/>
      </c>
      <c r="C81" s="29" t="str">
        <f t="shared" si="0"/>
        <v/>
      </c>
      <c r="D81" s="29" t="str">
        <f t="shared" si="2"/>
        <v/>
      </c>
      <c r="E81" s="29" t="str">
        <f t="shared" si="3"/>
        <v/>
      </c>
      <c r="F81" s="29" t="str">
        <f t="shared" si="4"/>
        <v/>
      </c>
      <c r="G81" s="30" t="str">
        <f t="shared" si="5"/>
        <v/>
      </c>
    </row>
    <row r="82" spans="1:7" ht="15" customHeight="1" x14ac:dyDescent="0.25">
      <c r="A82" s="23" t="str">
        <f>IF(OR(63&gt;$C$10*$C$11,N(G81)&lt;=0.005),"",63)</f>
        <v/>
      </c>
      <c r="B82" s="24" t="str">
        <f t="shared" si="1"/>
        <v/>
      </c>
      <c r="C82" s="25" t="str">
        <f t="shared" si="0"/>
        <v/>
      </c>
      <c r="D82" s="25" t="str">
        <f t="shared" si="2"/>
        <v/>
      </c>
      <c r="E82" s="25" t="str">
        <f t="shared" si="3"/>
        <v/>
      </c>
      <c r="F82" s="25" t="str">
        <f t="shared" si="4"/>
        <v/>
      </c>
      <c r="G82" s="26" t="str">
        <f t="shared" si="5"/>
        <v/>
      </c>
    </row>
    <row r="83" spans="1:7" ht="15" customHeight="1" x14ac:dyDescent="0.25">
      <c r="A83" s="27" t="str">
        <f>IF(OR(64&gt;$C$10*$C$11,N(G82)&lt;=0.005),"",64)</f>
        <v/>
      </c>
      <c r="B83" s="28" t="str">
        <f t="shared" si="1"/>
        <v/>
      </c>
      <c r="C83" s="29" t="str">
        <f t="shared" si="0"/>
        <v/>
      </c>
      <c r="D83" s="29" t="str">
        <f t="shared" si="2"/>
        <v/>
      </c>
      <c r="E83" s="29" t="str">
        <f t="shared" si="3"/>
        <v/>
      </c>
      <c r="F83" s="29" t="str">
        <f t="shared" si="4"/>
        <v/>
      </c>
      <c r="G83" s="30" t="str">
        <f t="shared" si="5"/>
        <v/>
      </c>
    </row>
    <row r="84" spans="1:7" ht="15" customHeight="1" x14ac:dyDescent="0.25">
      <c r="A84" s="23" t="str">
        <f>IF(OR(65&gt;$C$10*$C$11,N(G83)&lt;=0.005),"",65)</f>
        <v/>
      </c>
      <c r="B84" s="24" t="str">
        <f t="shared" si="1"/>
        <v/>
      </c>
      <c r="C84" s="25" t="str">
        <f t="shared" ref="C84:C147" si="6">IF(A84="","",D84+E84+F84)</f>
        <v/>
      </c>
      <c r="D84" s="25" t="str">
        <f t="shared" si="2"/>
        <v/>
      </c>
      <c r="E84" s="25" t="str">
        <f t="shared" si="3"/>
        <v/>
      </c>
      <c r="F84" s="25" t="str">
        <f t="shared" si="4"/>
        <v/>
      </c>
      <c r="G84" s="26" t="str">
        <f t="shared" si="5"/>
        <v/>
      </c>
    </row>
    <row r="85" spans="1:7" ht="15" customHeight="1" x14ac:dyDescent="0.25">
      <c r="A85" s="27" t="str">
        <f>IF(OR(66&gt;$C$10*$C$11,N(G84)&lt;=0.005),"",66)</f>
        <v/>
      </c>
      <c r="B85" s="28" t="str">
        <f t="shared" ref="B85:B148" si="7">IF(A85="","",EDATE($C$12,(A85-1)*(12/$C$11)))</f>
        <v/>
      </c>
      <c r="C85" s="29" t="str">
        <f t="shared" si="6"/>
        <v/>
      </c>
      <c r="D85" s="29" t="str">
        <f t="shared" ref="D85:D148" si="8">IF(A85="","",N(G84)*$C$9/$C$11)</f>
        <v/>
      </c>
      <c r="E85" s="29" t="str">
        <f t="shared" ref="E85:E148" si="9">IF(A85="","",MIN($C$15-D85,N(G84)))</f>
        <v/>
      </c>
      <c r="F85" s="29" t="str">
        <f t="shared" ref="F85:F148" si="10">IF(A85="","",IF(AND($C$13&gt;0,MOD(A85,$C$11)=0),MIN($C$13,N(G84)-E85),0))</f>
        <v/>
      </c>
      <c r="G85" s="30" t="str">
        <f t="shared" ref="G85:G148" si="11">IF(A85="","",MAX(N(G84)-E85-F85,0))</f>
        <v/>
      </c>
    </row>
    <row r="86" spans="1:7" ht="15" customHeight="1" x14ac:dyDescent="0.25">
      <c r="A86" s="23" t="str">
        <f>IF(OR(67&gt;$C$10*$C$11,N(G85)&lt;=0.005),"",67)</f>
        <v/>
      </c>
      <c r="B86" s="24" t="str">
        <f t="shared" si="7"/>
        <v/>
      </c>
      <c r="C86" s="25" t="str">
        <f t="shared" si="6"/>
        <v/>
      </c>
      <c r="D86" s="25" t="str">
        <f t="shared" si="8"/>
        <v/>
      </c>
      <c r="E86" s="25" t="str">
        <f t="shared" si="9"/>
        <v/>
      </c>
      <c r="F86" s="25" t="str">
        <f t="shared" si="10"/>
        <v/>
      </c>
      <c r="G86" s="26" t="str">
        <f t="shared" si="11"/>
        <v/>
      </c>
    </row>
    <row r="87" spans="1:7" ht="15" customHeight="1" x14ac:dyDescent="0.25">
      <c r="A87" s="27" t="str">
        <f>IF(OR(68&gt;$C$10*$C$11,N(G86)&lt;=0.005),"",68)</f>
        <v/>
      </c>
      <c r="B87" s="28" t="str">
        <f t="shared" si="7"/>
        <v/>
      </c>
      <c r="C87" s="29" t="str">
        <f t="shared" si="6"/>
        <v/>
      </c>
      <c r="D87" s="29" t="str">
        <f t="shared" si="8"/>
        <v/>
      </c>
      <c r="E87" s="29" t="str">
        <f t="shared" si="9"/>
        <v/>
      </c>
      <c r="F87" s="29" t="str">
        <f t="shared" si="10"/>
        <v/>
      </c>
      <c r="G87" s="30" t="str">
        <f t="shared" si="11"/>
        <v/>
      </c>
    </row>
    <row r="88" spans="1:7" ht="15" customHeight="1" x14ac:dyDescent="0.25">
      <c r="A88" s="23" t="str">
        <f>IF(OR(69&gt;$C$10*$C$11,N(G87)&lt;=0.005),"",69)</f>
        <v/>
      </c>
      <c r="B88" s="24" t="str">
        <f t="shared" si="7"/>
        <v/>
      </c>
      <c r="C88" s="25" t="str">
        <f t="shared" si="6"/>
        <v/>
      </c>
      <c r="D88" s="25" t="str">
        <f t="shared" si="8"/>
        <v/>
      </c>
      <c r="E88" s="25" t="str">
        <f t="shared" si="9"/>
        <v/>
      </c>
      <c r="F88" s="25" t="str">
        <f t="shared" si="10"/>
        <v/>
      </c>
      <c r="G88" s="26" t="str">
        <f t="shared" si="11"/>
        <v/>
      </c>
    </row>
    <row r="89" spans="1:7" ht="15" customHeight="1" x14ac:dyDescent="0.25">
      <c r="A89" s="27" t="str">
        <f>IF(OR(70&gt;$C$10*$C$11,N(G88)&lt;=0.005),"",70)</f>
        <v/>
      </c>
      <c r="B89" s="28" t="str">
        <f t="shared" si="7"/>
        <v/>
      </c>
      <c r="C89" s="29" t="str">
        <f t="shared" si="6"/>
        <v/>
      </c>
      <c r="D89" s="29" t="str">
        <f t="shared" si="8"/>
        <v/>
      </c>
      <c r="E89" s="29" t="str">
        <f t="shared" si="9"/>
        <v/>
      </c>
      <c r="F89" s="29" t="str">
        <f t="shared" si="10"/>
        <v/>
      </c>
      <c r="G89" s="30" t="str">
        <f t="shared" si="11"/>
        <v/>
      </c>
    </row>
    <row r="90" spans="1:7" ht="15" customHeight="1" x14ac:dyDescent="0.25">
      <c r="A90" s="23" t="str">
        <f>IF(OR(71&gt;$C$10*$C$11,N(G89)&lt;=0.005),"",71)</f>
        <v/>
      </c>
      <c r="B90" s="24" t="str">
        <f t="shared" si="7"/>
        <v/>
      </c>
      <c r="C90" s="25" t="str">
        <f t="shared" si="6"/>
        <v/>
      </c>
      <c r="D90" s="25" t="str">
        <f t="shared" si="8"/>
        <v/>
      </c>
      <c r="E90" s="25" t="str">
        <f t="shared" si="9"/>
        <v/>
      </c>
      <c r="F90" s="25" t="str">
        <f t="shared" si="10"/>
        <v/>
      </c>
      <c r="G90" s="26" t="str">
        <f t="shared" si="11"/>
        <v/>
      </c>
    </row>
    <row r="91" spans="1:7" ht="15" customHeight="1" x14ac:dyDescent="0.25">
      <c r="A91" s="27" t="str">
        <f>IF(OR(72&gt;$C$10*$C$11,N(G90)&lt;=0.005),"",72)</f>
        <v/>
      </c>
      <c r="B91" s="28" t="str">
        <f t="shared" si="7"/>
        <v/>
      </c>
      <c r="C91" s="29" t="str">
        <f t="shared" si="6"/>
        <v/>
      </c>
      <c r="D91" s="29" t="str">
        <f t="shared" si="8"/>
        <v/>
      </c>
      <c r="E91" s="29" t="str">
        <f t="shared" si="9"/>
        <v/>
      </c>
      <c r="F91" s="29" t="str">
        <f t="shared" si="10"/>
        <v/>
      </c>
      <c r="G91" s="30" t="str">
        <f t="shared" si="11"/>
        <v/>
      </c>
    </row>
    <row r="92" spans="1:7" ht="15" customHeight="1" x14ac:dyDescent="0.25">
      <c r="A92" s="23" t="str">
        <f>IF(OR(73&gt;$C$10*$C$11,N(G91)&lt;=0.005),"",73)</f>
        <v/>
      </c>
      <c r="B92" s="24" t="str">
        <f t="shared" si="7"/>
        <v/>
      </c>
      <c r="C92" s="25" t="str">
        <f t="shared" si="6"/>
        <v/>
      </c>
      <c r="D92" s="25" t="str">
        <f t="shared" si="8"/>
        <v/>
      </c>
      <c r="E92" s="25" t="str">
        <f t="shared" si="9"/>
        <v/>
      </c>
      <c r="F92" s="25" t="str">
        <f t="shared" si="10"/>
        <v/>
      </c>
      <c r="G92" s="26" t="str">
        <f t="shared" si="11"/>
        <v/>
      </c>
    </row>
    <row r="93" spans="1:7" ht="15" customHeight="1" x14ac:dyDescent="0.25">
      <c r="A93" s="27" t="str">
        <f>IF(OR(74&gt;$C$10*$C$11,N(G92)&lt;=0.005),"",74)</f>
        <v/>
      </c>
      <c r="B93" s="28" t="str">
        <f t="shared" si="7"/>
        <v/>
      </c>
      <c r="C93" s="29" t="str">
        <f t="shared" si="6"/>
        <v/>
      </c>
      <c r="D93" s="29" t="str">
        <f t="shared" si="8"/>
        <v/>
      </c>
      <c r="E93" s="29" t="str">
        <f t="shared" si="9"/>
        <v/>
      </c>
      <c r="F93" s="29" t="str">
        <f t="shared" si="10"/>
        <v/>
      </c>
      <c r="G93" s="30" t="str">
        <f t="shared" si="11"/>
        <v/>
      </c>
    </row>
    <row r="94" spans="1:7" ht="15" customHeight="1" x14ac:dyDescent="0.25">
      <c r="A94" s="23" t="str">
        <f>IF(OR(75&gt;$C$10*$C$11,N(G93)&lt;=0.005),"",75)</f>
        <v/>
      </c>
      <c r="B94" s="24" t="str">
        <f t="shared" si="7"/>
        <v/>
      </c>
      <c r="C94" s="25" t="str">
        <f t="shared" si="6"/>
        <v/>
      </c>
      <c r="D94" s="25" t="str">
        <f t="shared" si="8"/>
        <v/>
      </c>
      <c r="E94" s="25" t="str">
        <f t="shared" si="9"/>
        <v/>
      </c>
      <c r="F94" s="25" t="str">
        <f t="shared" si="10"/>
        <v/>
      </c>
      <c r="G94" s="26" t="str">
        <f t="shared" si="11"/>
        <v/>
      </c>
    </row>
    <row r="95" spans="1:7" ht="15" customHeight="1" x14ac:dyDescent="0.25">
      <c r="A95" s="27" t="str">
        <f>IF(OR(76&gt;$C$10*$C$11,N(G94)&lt;=0.005),"",76)</f>
        <v/>
      </c>
      <c r="B95" s="28" t="str">
        <f t="shared" si="7"/>
        <v/>
      </c>
      <c r="C95" s="29" t="str">
        <f t="shared" si="6"/>
        <v/>
      </c>
      <c r="D95" s="29" t="str">
        <f t="shared" si="8"/>
        <v/>
      </c>
      <c r="E95" s="29" t="str">
        <f t="shared" si="9"/>
        <v/>
      </c>
      <c r="F95" s="29" t="str">
        <f t="shared" si="10"/>
        <v/>
      </c>
      <c r="G95" s="30" t="str">
        <f t="shared" si="11"/>
        <v/>
      </c>
    </row>
    <row r="96" spans="1:7" ht="15" customHeight="1" x14ac:dyDescent="0.25">
      <c r="A96" s="23" t="str">
        <f>IF(OR(77&gt;$C$10*$C$11,N(G95)&lt;=0.005),"",77)</f>
        <v/>
      </c>
      <c r="B96" s="24" t="str">
        <f t="shared" si="7"/>
        <v/>
      </c>
      <c r="C96" s="25" t="str">
        <f t="shared" si="6"/>
        <v/>
      </c>
      <c r="D96" s="25" t="str">
        <f t="shared" si="8"/>
        <v/>
      </c>
      <c r="E96" s="25" t="str">
        <f t="shared" si="9"/>
        <v/>
      </c>
      <c r="F96" s="25" t="str">
        <f t="shared" si="10"/>
        <v/>
      </c>
      <c r="G96" s="26" t="str">
        <f t="shared" si="11"/>
        <v/>
      </c>
    </row>
    <row r="97" spans="1:7" ht="15" customHeight="1" x14ac:dyDescent="0.25">
      <c r="A97" s="27" t="str">
        <f>IF(OR(78&gt;$C$10*$C$11,N(G96)&lt;=0.005),"",78)</f>
        <v/>
      </c>
      <c r="B97" s="28" t="str">
        <f t="shared" si="7"/>
        <v/>
      </c>
      <c r="C97" s="29" t="str">
        <f t="shared" si="6"/>
        <v/>
      </c>
      <c r="D97" s="29" t="str">
        <f t="shared" si="8"/>
        <v/>
      </c>
      <c r="E97" s="29" t="str">
        <f t="shared" si="9"/>
        <v/>
      </c>
      <c r="F97" s="29" t="str">
        <f t="shared" si="10"/>
        <v/>
      </c>
      <c r="G97" s="30" t="str">
        <f t="shared" si="11"/>
        <v/>
      </c>
    </row>
    <row r="98" spans="1:7" ht="15" customHeight="1" x14ac:dyDescent="0.25">
      <c r="A98" s="23" t="str">
        <f>IF(OR(79&gt;$C$10*$C$11,N(G97)&lt;=0.005),"",79)</f>
        <v/>
      </c>
      <c r="B98" s="24" t="str">
        <f t="shared" si="7"/>
        <v/>
      </c>
      <c r="C98" s="25" t="str">
        <f t="shared" si="6"/>
        <v/>
      </c>
      <c r="D98" s="25" t="str">
        <f t="shared" si="8"/>
        <v/>
      </c>
      <c r="E98" s="25" t="str">
        <f t="shared" si="9"/>
        <v/>
      </c>
      <c r="F98" s="25" t="str">
        <f t="shared" si="10"/>
        <v/>
      </c>
      <c r="G98" s="26" t="str">
        <f t="shared" si="11"/>
        <v/>
      </c>
    </row>
    <row r="99" spans="1:7" ht="15" customHeight="1" x14ac:dyDescent="0.25">
      <c r="A99" s="27" t="str">
        <f>IF(OR(80&gt;$C$10*$C$11,N(G98)&lt;=0.005),"",80)</f>
        <v/>
      </c>
      <c r="B99" s="28" t="str">
        <f t="shared" si="7"/>
        <v/>
      </c>
      <c r="C99" s="29" t="str">
        <f t="shared" si="6"/>
        <v/>
      </c>
      <c r="D99" s="29" t="str">
        <f t="shared" si="8"/>
        <v/>
      </c>
      <c r="E99" s="29" t="str">
        <f t="shared" si="9"/>
        <v/>
      </c>
      <c r="F99" s="29" t="str">
        <f t="shared" si="10"/>
        <v/>
      </c>
      <c r="G99" s="30" t="str">
        <f t="shared" si="11"/>
        <v/>
      </c>
    </row>
    <row r="100" spans="1:7" ht="15" customHeight="1" x14ac:dyDescent="0.25">
      <c r="A100" s="23" t="str">
        <f>IF(OR(81&gt;$C$10*$C$11,N(G99)&lt;=0.005),"",81)</f>
        <v/>
      </c>
      <c r="B100" s="24" t="str">
        <f t="shared" si="7"/>
        <v/>
      </c>
      <c r="C100" s="25" t="str">
        <f t="shared" si="6"/>
        <v/>
      </c>
      <c r="D100" s="25" t="str">
        <f t="shared" si="8"/>
        <v/>
      </c>
      <c r="E100" s="25" t="str">
        <f t="shared" si="9"/>
        <v/>
      </c>
      <c r="F100" s="25" t="str">
        <f t="shared" si="10"/>
        <v/>
      </c>
      <c r="G100" s="26" t="str">
        <f t="shared" si="11"/>
        <v/>
      </c>
    </row>
    <row r="101" spans="1:7" ht="15" customHeight="1" x14ac:dyDescent="0.25">
      <c r="A101" s="27" t="str">
        <f>IF(OR(82&gt;$C$10*$C$11,N(G100)&lt;=0.005),"",82)</f>
        <v/>
      </c>
      <c r="B101" s="28" t="str">
        <f t="shared" si="7"/>
        <v/>
      </c>
      <c r="C101" s="29" t="str">
        <f t="shared" si="6"/>
        <v/>
      </c>
      <c r="D101" s="29" t="str">
        <f t="shared" si="8"/>
        <v/>
      </c>
      <c r="E101" s="29" t="str">
        <f t="shared" si="9"/>
        <v/>
      </c>
      <c r="F101" s="29" t="str">
        <f t="shared" si="10"/>
        <v/>
      </c>
      <c r="G101" s="30" t="str">
        <f t="shared" si="11"/>
        <v/>
      </c>
    </row>
    <row r="102" spans="1:7" ht="15" customHeight="1" x14ac:dyDescent="0.25">
      <c r="A102" s="23" t="str">
        <f>IF(OR(83&gt;$C$10*$C$11,N(G101)&lt;=0.005),"",83)</f>
        <v/>
      </c>
      <c r="B102" s="24" t="str">
        <f t="shared" si="7"/>
        <v/>
      </c>
      <c r="C102" s="25" t="str">
        <f t="shared" si="6"/>
        <v/>
      </c>
      <c r="D102" s="25" t="str">
        <f t="shared" si="8"/>
        <v/>
      </c>
      <c r="E102" s="25" t="str">
        <f t="shared" si="9"/>
        <v/>
      </c>
      <c r="F102" s="25" t="str">
        <f t="shared" si="10"/>
        <v/>
      </c>
      <c r="G102" s="26" t="str">
        <f t="shared" si="11"/>
        <v/>
      </c>
    </row>
    <row r="103" spans="1:7" ht="15" customHeight="1" x14ac:dyDescent="0.25">
      <c r="A103" s="27" t="str">
        <f>IF(OR(84&gt;$C$10*$C$11,N(G102)&lt;=0.005),"",84)</f>
        <v/>
      </c>
      <c r="B103" s="28" t="str">
        <f t="shared" si="7"/>
        <v/>
      </c>
      <c r="C103" s="29" t="str">
        <f t="shared" si="6"/>
        <v/>
      </c>
      <c r="D103" s="29" t="str">
        <f t="shared" si="8"/>
        <v/>
      </c>
      <c r="E103" s="29" t="str">
        <f t="shared" si="9"/>
        <v/>
      </c>
      <c r="F103" s="29" t="str">
        <f t="shared" si="10"/>
        <v/>
      </c>
      <c r="G103" s="30" t="str">
        <f t="shared" si="11"/>
        <v/>
      </c>
    </row>
    <row r="104" spans="1:7" ht="15" customHeight="1" x14ac:dyDescent="0.25">
      <c r="A104" s="23" t="str">
        <f>IF(OR(85&gt;$C$10*$C$11,N(G103)&lt;=0.005),"",85)</f>
        <v/>
      </c>
      <c r="B104" s="24" t="str">
        <f t="shared" si="7"/>
        <v/>
      </c>
      <c r="C104" s="25" t="str">
        <f t="shared" si="6"/>
        <v/>
      </c>
      <c r="D104" s="25" t="str">
        <f t="shared" si="8"/>
        <v/>
      </c>
      <c r="E104" s="25" t="str">
        <f t="shared" si="9"/>
        <v/>
      </c>
      <c r="F104" s="25" t="str">
        <f t="shared" si="10"/>
        <v/>
      </c>
      <c r="G104" s="26" t="str">
        <f t="shared" si="11"/>
        <v/>
      </c>
    </row>
    <row r="105" spans="1:7" ht="15" customHeight="1" x14ac:dyDescent="0.25">
      <c r="A105" s="27" t="str">
        <f>IF(OR(86&gt;$C$10*$C$11,N(G104)&lt;=0.005),"",86)</f>
        <v/>
      </c>
      <c r="B105" s="28" t="str">
        <f t="shared" si="7"/>
        <v/>
      </c>
      <c r="C105" s="29" t="str">
        <f t="shared" si="6"/>
        <v/>
      </c>
      <c r="D105" s="29" t="str">
        <f t="shared" si="8"/>
        <v/>
      </c>
      <c r="E105" s="29" t="str">
        <f t="shared" si="9"/>
        <v/>
      </c>
      <c r="F105" s="29" t="str">
        <f t="shared" si="10"/>
        <v/>
      </c>
      <c r="G105" s="30" t="str">
        <f t="shared" si="11"/>
        <v/>
      </c>
    </row>
    <row r="106" spans="1:7" ht="15" customHeight="1" x14ac:dyDescent="0.25">
      <c r="A106" s="23" t="str">
        <f>IF(OR(87&gt;$C$10*$C$11,N(G105)&lt;=0.005),"",87)</f>
        <v/>
      </c>
      <c r="B106" s="24" t="str">
        <f t="shared" si="7"/>
        <v/>
      </c>
      <c r="C106" s="25" t="str">
        <f t="shared" si="6"/>
        <v/>
      </c>
      <c r="D106" s="25" t="str">
        <f t="shared" si="8"/>
        <v/>
      </c>
      <c r="E106" s="25" t="str">
        <f t="shared" si="9"/>
        <v/>
      </c>
      <c r="F106" s="25" t="str">
        <f t="shared" si="10"/>
        <v/>
      </c>
      <c r="G106" s="26" t="str">
        <f t="shared" si="11"/>
        <v/>
      </c>
    </row>
    <row r="107" spans="1:7" ht="15" customHeight="1" x14ac:dyDescent="0.25">
      <c r="A107" s="27" t="str">
        <f>IF(OR(88&gt;$C$10*$C$11,N(G106)&lt;=0.005),"",88)</f>
        <v/>
      </c>
      <c r="B107" s="28" t="str">
        <f t="shared" si="7"/>
        <v/>
      </c>
      <c r="C107" s="29" t="str">
        <f t="shared" si="6"/>
        <v/>
      </c>
      <c r="D107" s="29" t="str">
        <f t="shared" si="8"/>
        <v/>
      </c>
      <c r="E107" s="29" t="str">
        <f t="shared" si="9"/>
        <v/>
      </c>
      <c r="F107" s="29" t="str">
        <f t="shared" si="10"/>
        <v/>
      </c>
      <c r="G107" s="30" t="str">
        <f t="shared" si="11"/>
        <v/>
      </c>
    </row>
    <row r="108" spans="1:7" ht="15" customHeight="1" x14ac:dyDescent="0.25">
      <c r="A108" s="23" t="str">
        <f>IF(OR(89&gt;$C$10*$C$11,N(G107)&lt;=0.005),"",89)</f>
        <v/>
      </c>
      <c r="B108" s="24" t="str">
        <f t="shared" si="7"/>
        <v/>
      </c>
      <c r="C108" s="25" t="str">
        <f t="shared" si="6"/>
        <v/>
      </c>
      <c r="D108" s="25" t="str">
        <f t="shared" si="8"/>
        <v/>
      </c>
      <c r="E108" s="25" t="str">
        <f t="shared" si="9"/>
        <v/>
      </c>
      <c r="F108" s="25" t="str">
        <f t="shared" si="10"/>
        <v/>
      </c>
      <c r="G108" s="26" t="str">
        <f t="shared" si="11"/>
        <v/>
      </c>
    </row>
    <row r="109" spans="1:7" ht="15" customHeight="1" x14ac:dyDescent="0.25">
      <c r="A109" s="27" t="str">
        <f>IF(OR(90&gt;$C$10*$C$11,N(G108)&lt;=0.005),"",90)</f>
        <v/>
      </c>
      <c r="B109" s="28" t="str">
        <f t="shared" si="7"/>
        <v/>
      </c>
      <c r="C109" s="29" t="str">
        <f t="shared" si="6"/>
        <v/>
      </c>
      <c r="D109" s="29" t="str">
        <f t="shared" si="8"/>
        <v/>
      </c>
      <c r="E109" s="29" t="str">
        <f t="shared" si="9"/>
        <v/>
      </c>
      <c r="F109" s="29" t="str">
        <f t="shared" si="10"/>
        <v/>
      </c>
      <c r="G109" s="30" t="str">
        <f t="shared" si="11"/>
        <v/>
      </c>
    </row>
    <row r="110" spans="1:7" ht="15" customHeight="1" x14ac:dyDescent="0.25">
      <c r="A110" s="23" t="str">
        <f>IF(OR(91&gt;$C$10*$C$11,N(G109)&lt;=0.005),"",91)</f>
        <v/>
      </c>
      <c r="B110" s="24" t="str">
        <f t="shared" si="7"/>
        <v/>
      </c>
      <c r="C110" s="25" t="str">
        <f t="shared" si="6"/>
        <v/>
      </c>
      <c r="D110" s="25" t="str">
        <f t="shared" si="8"/>
        <v/>
      </c>
      <c r="E110" s="25" t="str">
        <f t="shared" si="9"/>
        <v/>
      </c>
      <c r="F110" s="25" t="str">
        <f t="shared" si="10"/>
        <v/>
      </c>
      <c r="G110" s="26" t="str">
        <f t="shared" si="11"/>
        <v/>
      </c>
    </row>
    <row r="111" spans="1:7" ht="15" customHeight="1" x14ac:dyDescent="0.25">
      <c r="A111" s="27" t="str">
        <f>IF(OR(92&gt;$C$10*$C$11,N(G110)&lt;=0.005),"",92)</f>
        <v/>
      </c>
      <c r="B111" s="28" t="str">
        <f t="shared" si="7"/>
        <v/>
      </c>
      <c r="C111" s="29" t="str">
        <f t="shared" si="6"/>
        <v/>
      </c>
      <c r="D111" s="29" t="str">
        <f t="shared" si="8"/>
        <v/>
      </c>
      <c r="E111" s="29" t="str">
        <f t="shared" si="9"/>
        <v/>
      </c>
      <c r="F111" s="29" t="str">
        <f t="shared" si="10"/>
        <v/>
      </c>
      <c r="G111" s="30" t="str">
        <f t="shared" si="11"/>
        <v/>
      </c>
    </row>
    <row r="112" spans="1:7" ht="15" customHeight="1" x14ac:dyDescent="0.25">
      <c r="A112" s="23" t="str">
        <f>IF(OR(93&gt;$C$10*$C$11,N(G111)&lt;=0.005),"",93)</f>
        <v/>
      </c>
      <c r="B112" s="24" t="str">
        <f t="shared" si="7"/>
        <v/>
      </c>
      <c r="C112" s="25" t="str">
        <f t="shared" si="6"/>
        <v/>
      </c>
      <c r="D112" s="25" t="str">
        <f t="shared" si="8"/>
        <v/>
      </c>
      <c r="E112" s="25" t="str">
        <f t="shared" si="9"/>
        <v/>
      </c>
      <c r="F112" s="25" t="str">
        <f t="shared" si="10"/>
        <v/>
      </c>
      <c r="G112" s="26" t="str">
        <f t="shared" si="11"/>
        <v/>
      </c>
    </row>
    <row r="113" spans="1:7" ht="15" customHeight="1" x14ac:dyDescent="0.25">
      <c r="A113" s="27" t="str">
        <f>IF(OR(94&gt;$C$10*$C$11,N(G112)&lt;=0.005),"",94)</f>
        <v/>
      </c>
      <c r="B113" s="28" t="str">
        <f t="shared" si="7"/>
        <v/>
      </c>
      <c r="C113" s="29" t="str">
        <f t="shared" si="6"/>
        <v/>
      </c>
      <c r="D113" s="29" t="str">
        <f t="shared" si="8"/>
        <v/>
      </c>
      <c r="E113" s="29" t="str">
        <f t="shared" si="9"/>
        <v/>
      </c>
      <c r="F113" s="29" t="str">
        <f t="shared" si="10"/>
        <v/>
      </c>
      <c r="G113" s="30" t="str">
        <f t="shared" si="11"/>
        <v/>
      </c>
    </row>
    <row r="114" spans="1:7" ht="15" customHeight="1" x14ac:dyDescent="0.25">
      <c r="A114" s="23" t="str">
        <f>IF(OR(95&gt;$C$10*$C$11,N(G113)&lt;=0.005),"",95)</f>
        <v/>
      </c>
      <c r="B114" s="24" t="str">
        <f t="shared" si="7"/>
        <v/>
      </c>
      <c r="C114" s="25" t="str">
        <f t="shared" si="6"/>
        <v/>
      </c>
      <c r="D114" s="25" t="str">
        <f t="shared" si="8"/>
        <v/>
      </c>
      <c r="E114" s="25" t="str">
        <f t="shared" si="9"/>
        <v/>
      </c>
      <c r="F114" s="25" t="str">
        <f t="shared" si="10"/>
        <v/>
      </c>
      <c r="G114" s="26" t="str">
        <f t="shared" si="11"/>
        <v/>
      </c>
    </row>
    <row r="115" spans="1:7" ht="15" customHeight="1" x14ac:dyDescent="0.25">
      <c r="A115" s="27" t="str">
        <f>IF(OR(96&gt;$C$10*$C$11,N(G114)&lt;=0.005),"",96)</f>
        <v/>
      </c>
      <c r="B115" s="28" t="str">
        <f t="shared" si="7"/>
        <v/>
      </c>
      <c r="C115" s="29" t="str">
        <f t="shared" si="6"/>
        <v/>
      </c>
      <c r="D115" s="29" t="str">
        <f t="shared" si="8"/>
        <v/>
      </c>
      <c r="E115" s="29" t="str">
        <f t="shared" si="9"/>
        <v/>
      </c>
      <c r="F115" s="29" t="str">
        <f t="shared" si="10"/>
        <v/>
      </c>
      <c r="G115" s="30" t="str">
        <f t="shared" si="11"/>
        <v/>
      </c>
    </row>
    <row r="116" spans="1:7" ht="15" customHeight="1" x14ac:dyDescent="0.25">
      <c r="A116" s="23" t="str">
        <f>IF(OR(97&gt;$C$10*$C$11,N(G115)&lt;=0.005),"",97)</f>
        <v/>
      </c>
      <c r="B116" s="24" t="str">
        <f t="shared" si="7"/>
        <v/>
      </c>
      <c r="C116" s="25" t="str">
        <f t="shared" si="6"/>
        <v/>
      </c>
      <c r="D116" s="25" t="str">
        <f t="shared" si="8"/>
        <v/>
      </c>
      <c r="E116" s="25" t="str">
        <f t="shared" si="9"/>
        <v/>
      </c>
      <c r="F116" s="25" t="str">
        <f t="shared" si="10"/>
        <v/>
      </c>
      <c r="G116" s="26" t="str">
        <f t="shared" si="11"/>
        <v/>
      </c>
    </row>
    <row r="117" spans="1:7" ht="15" customHeight="1" x14ac:dyDescent="0.25">
      <c r="A117" s="27" t="str">
        <f>IF(OR(98&gt;$C$10*$C$11,N(G116)&lt;=0.005),"",98)</f>
        <v/>
      </c>
      <c r="B117" s="28" t="str">
        <f t="shared" si="7"/>
        <v/>
      </c>
      <c r="C117" s="29" t="str">
        <f t="shared" si="6"/>
        <v/>
      </c>
      <c r="D117" s="29" t="str">
        <f t="shared" si="8"/>
        <v/>
      </c>
      <c r="E117" s="29" t="str">
        <f t="shared" si="9"/>
        <v/>
      </c>
      <c r="F117" s="29" t="str">
        <f t="shared" si="10"/>
        <v/>
      </c>
      <c r="G117" s="30" t="str">
        <f t="shared" si="11"/>
        <v/>
      </c>
    </row>
    <row r="118" spans="1:7" ht="15" customHeight="1" x14ac:dyDescent="0.25">
      <c r="A118" s="23" t="str">
        <f>IF(OR(99&gt;$C$10*$C$11,N(G117)&lt;=0.005),"",99)</f>
        <v/>
      </c>
      <c r="B118" s="24" t="str">
        <f t="shared" si="7"/>
        <v/>
      </c>
      <c r="C118" s="25" t="str">
        <f t="shared" si="6"/>
        <v/>
      </c>
      <c r="D118" s="25" t="str">
        <f t="shared" si="8"/>
        <v/>
      </c>
      <c r="E118" s="25" t="str">
        <f t="shared" si="9"/>
        <v/>
      </c>
      <c r="F118" s="25" t="str">
        <f t="shared" si="10"/>
        <v/>
      </c>
      <c r="G118" s="26" t="str">
        <f t="shared" si="11"/>
        <v/>
      </c>
    </row>
    <row r="119" spans="1:7" ht="15" customHeight="1" x14ac:dyDescent="0.25">
      <c r="A119" s="27" t="str">
        <f>IF(OR(100&gt;$C$10*$C$11,N(G118)&lt;=0.005),"",100)</f>
        <v/>
      </c>
      <c r="B119" s="28" t="str">
        <f t="shared" si="7"/>
        <v/>
      </c>
      <c r="C119" s="29" t="str">
        <f t="shared" si="6"/>
        <v/>
      </c>
      <c r="D119" s="29" t="str">
        <f t="shared" si="8"/>
        <v/>
      </c>
      <c r="E119" s="29" t="str">
        <f t="shared" si="9"/>
        <v/>
      </c>
      <c r="F119" s="29" t="str">
        <f t="shared" si="10"/>
        <v/>
      </c>
      <c r="G119" s="30" t="str">
        <f t="shared" si="11"/>
        <v/>
      </c>
    </row>
    <row r="120" spans="1:7" ht="15" customHeight="1" x14ac:dyDescent="0.25">
      <c r="A120" s="23" t="str">
        <f>IF(OR(101&gt;$C$10*$C$11,N(G119)&lt;=0.005),"",101)</f>
        <v/>
      </c>
      <c r="B120" s="24" t="str">
        <f t="shared" si="7"/>
        <v/>
      </c>
      <c r="C120" s="25" t="str">
        <f t="shared" si="6"/>
        <v/>
      </c>
      <c r="D120" s="25" t="str">
        <f t="shared" si="8"/>
        <v/>
      </c>
      <c r="E120" s="25" t="str">
        <f t="shared" si="9"/>
        <v/>
      </c>
      <c r="F120" s="25" t="str">
        <f t="shared" si="10"/>
        <v/>
      </c>
      <c r="G120" s="26" t="str">
        <f t="shared" si="11"/>
        <v/>
      </c>
    </row>
    <row r="121" spans="1:7" ht="15" customHeight="1" x14ac:dyDescent="0.25">
      <c r="A121" s="27" t="str">
        <f>IF(OR(102&gt;$C$10*$C$11,N(G120)&lt;=0.005),"",102)</f>
        <v/>
      </c>
      <c r="B121" s="28" t="str">
        <f t="shared" si="7"/>
        <v/>
      </c>
      <c r="C121" s="29" t="str">
        <f t="shared" si="6"/>
        <v/>
      </c>
      <c r="D121" s="29" t="str">
        <f t="shared" si="8"/>
        <v/>
      </c>
      <c r="E121" s="29" t="str">
        <f t="shared" si="9"/>
        <v/>
      </c>
      <c r="F121" s="29" t="str">
        <f t="shared" si="10"/>
        <v/>
      </c>
      <c r="G121" s="30" t="str">
        <f t="shared" si="11"/>
        <v/>
      </c>
    </row>
    <row r="122" spans="1:7" ht="15" customHeight="1" x14ac:dyDescent="0.25">
      <c r="A122" s="23" t="str">
        <f>IF(OR(103&gt;$C$10*$C$11,N(G121)&lt;=0.005),"",103)</f>
        <v/>
      </c>
      <c r="B122" s="24" t="str">
        <f t="shared" si="7"/>
        <v/>
      </c>
      <c r="C122" s="25" t="str">
        <f t="shared" si="6"/>
        <v/>
      </c>
      <c r="D122" s="25" t="str">
        <f t="shared" si="8"/>
        <v/>
      </c>
      <c r="E122" s="25" t="str">
        <f t="shared" si="9"/>
        <v/>
      </c>
      <c r="F122" s="25" t="str">
        <f t="shared" si="10"/>
        <v/>
      </c>
      <c r="G122" s="26" t="str">
        <f t="shared" si="11"/>
        <v/>
      </c>
    </row>
    <row r="123" spans="1:7" ht="15" customHeight="1" x14ac:dyDescent="0.25">
      <c r="A123" s="27" t="str">
        <f>IF(OR(104&gt;$C$10*$C$11,N(G122)&lt;=0.005),"",104)</f>
        <v/>
      </c>
      <c r="B123" s="28" t="str">
        <f t="shared" si="7"/>
        <v/>
      </c>
      <c r="C123" s="29" t="str">
        <f t="shared" si="6"/>
        <v/>
      </c>
      <c r="D123" s="29" t="str">
        <f t="shared" si="8"/>
        <v/>
      </c>
      <c r="E123" s="29" t="str">
        <f t="shared" si="9"/>
        <v/>
      </c>
      <c r="F123" s="29" t="str">
        <f t="shared" si="10"/>
        <v/>
      </c>
      <c r="G123" s="30" t="str">
        <f t="shared" si="11"/>
        <v/>
      </c>
    </row>
    <row r="124" spans="1:7" ht="15" customHeight="1" x14ac:dyDescent="0.25">
      <c r="A124" s="23" t="str">
        <f>IF(OR(105&gt;$C$10*$C$11,N(G123)&lt;=0.005),"",105)</f>
        <v/>
      </c>
      <c r="B124" s="24" t="str">
        <f t="shared" si="7"/>
        <v/>
      </c>
      <c r="C124" s="25" t="str">
        <f t="shared" si="6"/>
        <v/>
      </c>
      <c r="D124" s="25" t="str">
        <f t="shared" si="8"/>
        <v/>
      </c>
      <c r="E124" s="25" t="str">
        <f t="shared" si="9"/>
        <v/>
      </c>
      <c r="F124" s="25" t="str">
        <f t="shared" si="10"/>
        <v/>
      </c>
      <c r="G124" s="26" t="str">
        <f t="shared" si="11"/>
        <v/>
      </c>
    </row>
    <row r="125" spans="1:7" ht="15" customHeight="1" x14ac:dyDescent="0.25">
      <c r="A125" s="27" t="str">
        <f>IF(OR(106&gt;$C$10*$C$11,N(G124)&lt;=0.005),"",106)</f>
        <v/>
      </c>
      <c r="B125" s="28" t="str">
        <f t="shared" si="7"/>
        <v/>
      </c>
      <c r="C125" s="29" t="str">
        <f t="shared" si="6"/>
        <v/>
      </c>
      <c r="D125" s="29" t="str">
        <f t="shared" si="8"/>
        <v/>
      </c>
      <c r="E125" s="29" t="str">
        <f t="shared" si="9"/>
        <v/>
      </c>
      <c r="F125" s="29" t="str">
        <f t="shared" si="10"/>
        <v/>
      </c>
      <c r="G125" s="30" t="str">
        <f t="shared" si="11"/>
        <v/>
      </c>
    </row>
    <row r="126" spans="1:7" ht="15" customHeight="1" x14ac:dyDescent="0.25">
      <c r="A126" s="23" t="str">
        <f>IF(OR(107&gt;$C$10*$C$11,N(G125)&lt;=0.005),"",107)</f>
        <v/>
      </c>
      <c r="B126" s="24" t="str">
        <f t="shared" si="7"/>
        <v/>
      </c>
      <c r="C126" s="25" t="str">
        <f t="shared" si="6"/>
        <v/>
      </c>
      <c r="D126" s="25" t="str">
        <f t="shared" si="8"/>
        <v/>
      </c>
      <c r="E126" s="25" t="str">
        <f t="shared" si="9"/>
        <v/>
      </c>
      <c r="F126" s="25" t="str">
        <f t="shared" si="10"/>
        <v/>
      </c>
      <c r="G126" s="26" t="str">
        <f t="shared" si="11"/>
        <v/>
      </c>
    </row>
    <row r="127" spans="1:7" ht="15" customHeight="1" x14ac:dyDescent="0.25">
      <c r="A127" s="27" t="str">
        <f>IF(OR(108&gt;$C$10*$C$11,N(G126)&lt;=0.005),"",108)</f>
        <v/>
      </c>
      <c r="B127" s="28" t="str">
        <f t="shared" si="7"/>
        <v/>
      </c>
      <c r="C127" s="29" t="str">
        <f t="shared" si="6"/>
        <v/>
      </c>
      <c r="D127" s="29" t="str">
        <f t="shared" si="8"/>
        <v/>
      </c>
      <c r="E127" s="29" t="str">
        <f t="shared" si="9"/>
        <v/>
      </c>
      <c r="F127" s="29" t="str">
        <f t="shared" si="10"/>
        <v/>
      </c>
      <c r="G127" s="30" t="str">
        <f t="shared" si="11"/>
        <v/>
      </c>
    </row>
    <row r="128" spans="1:7" ht="15" customHeight="1" x14ac:dyDescent="0.25">
      <c r="A128" s="23" t="str">
        <f>IF(OR(109&gt;$C$10*$C$11,N(G127)&lt;=0.005),"",109)</f>
        <v/>
      </c>
      <c r="B128" s="24" t="str">
        <f t="shared" si="7"/>
        <v/>
      </c>
      <c r="C128" s="25" t="str">
        <f t="shared" si="6"/>
        <v/>
      </c>
      <c r="D128" s="25" t="str">
        <f t="shared" si="8"/>
        <v/>
      </c>
      <c r="E128" s="25" t="str">
        <f t="shared" si="9"/>
        <v/>
      </c>
      <c r="F128" s="25" t="str">
        <f t="shared" si="10"/>
        <v/>
      </c>
      <c r="G128" s="26" t="str">
        <f t="shared" si="11"/>
        <v/>
      </c>
    </row>
    <row r="129" spans="1:7" ht="15" customHeight="1" x14ac:dyDescent="0.25">
      <c r="A129" s="27" t="str">
        <f>IF(OR(110&gt;$C$10*$C$11,N(G128)&lt;=0.005),"",110)</f>
        <v/>
      </c>
      <c r="B129" s="28" t="str">
        <f t="shared" si="7"/>
        <v/>
      </c>
      <c r="C129" s="29" t="str">
        <f t="shared" si="6"/>
        <v/>
      </c>
      <c r="D129" s="29" t="str">
        <f t="shared" si="8"/>
        <v/>
      </c>
      <c r="E129" s="29" t="str">
        <f t="shared" si="9"/>
        <v/>
      </c>
      <c r="F129" s="29" t="str">
        <f t="shared" si="10"/>
        <v/>
      </c>
      <c r="G129" s="30" t="str">
        <f t="shared" si="11"/>
        <v/>
      </c>
    </row>
    <row r="130" spans="1:7" ht="15" customHeight="1" x14ac:dyDescent="0.25">
      <c r="A130" s="23" t="str">
        <f>IF(OR(111&gt;$C$10*$C$11,N(G129)&lt;=0.005),"",111)</f>
        <v/>
      </c>
      <c r="B130" s="24" t="str">
        <f t="shared" si="7"/>
        <v/>
      </c>
      <c r="C130" s="25" t="str">
        <f t="shared" si="6"/>
        <v/>
      </c>
      <c r="D130" s="25" t="str">
        <f t="shared" si="8"/>
        <v/>
      </c>
      <c r="E130" s="25" t="str">
        <f t="shared" si="9"/>
        <v/>
      </c>
      <c r="F130" s="25" t="str">
        <f t="shared" si="10"/>
        <v/>
      </c>
      <c r="G130" s="26" t="str">
        <f t="shared" si="11"/>
        <v/>
      </c>
    </row>
    <row r="131" spans="1:7" ht="15" customHeight="1" x14ac:dyDescent="0.25">
      <c r="A131" s="27" t="str">
        <f>IF(OR(112&gt;$C$10*$C$11,N(G130)&lt;=0.005),"",112)</f>
        <v/>
      </c>
      <c r="B131" s="28" t="str">
        <f t="shared" si="7"/>
        <v/>
      </c>
      <c r="C131" s="29" t="str">
        <f t="shared" si="6"/>
        <v/>
      </c>
      <c r="D131" s="29" t="str">
        <f t="shared" si="8"/>
        <v/>
      </c>
      <c r="E131" s="29" t="str">
        <f t="shared" si="9"/>
        <v/>
      </c>
      <c r="F131" s="29" t="str">
        <f t="shared" si="10"/>
        <v/>
      </c>
      <c r="G131" s="30" t="str">
        <f t="shared" si="11"/>
        <v/>
      </c>
    </row>
    <row r="132" spans="1:7" ht="15" customHeight="1" x14ac:dyDescent="0.25">
      <c r="A132" s="23" t="str">
        <f>IF(OR(113&gt;$C$10*$C$11,N(G131)&lt;=0.005),"",113)</f>
        <v/>
      </c>
      <c r="B132" s="24" t="str">
        <f t="shared" si="7"/>
        <v/>
      </c>
      <c r="C132" s="25" t="str">
        <f t="shared" si="6"/>
        <v/>
      </c>
      <c r="D132" s="25" t="str">
        <f t="shared" si="8"/>
        <v/>
      </c>
      <c r="E132" s="25" t="str">
        <f t="shared" si="9"/>
        <v/>
      </c>
      <c r="F132" s="25" t="str">
        <f t="shared" si="10"/>
        <v/>
      </c>
      <c r="G132" s="26" t="str">
        <f t="shared" si="11"/>
        <v/>
      </c>
    </row>
    <row r="133" spans="1:7" ht="15" customHeight="1" x14ac:dyDescent="0.25">
      <c r="A133" s="27" t="str">
        <f>IF(OR(114&gt;$C$10*$C$11,N(G132)&lt;=0.005),"",114)</f>
        <v/>
      </c>
      <c r="B133" s="28" t="str">
        <f t="shared" si="7"/>
        <v/>
      </c>
      <c r="C133" s="29" t="str">
        <f t="shared" si="6"/>
        <v/>
      </c>
      <c r="D133" s="29" t="str">
        <f t="shared" si="8"/>
        <v/>
      </c>
      <c r="E133" s="29" t="str">
        <f t="shared" si="9"/>
        <v/>
      </c>
      <c r="F133" s="29" t="str">
        <f t="shared" si="10"/>
        <v/>
      </c>
      <c r="G133" s="30" t="str">
        <f t="shared" si="11"/>
        <v/>
      </c>
    </row>
    <row r="134" spans="1:7" ht="15" customHeight="1" x14ac:dyDescent="0.25">
      <c r="A134" s="23" t="str">
        <f>IF(OR(115&gt;$C$10*$C$11,N(G133)&lt;=0.005),"",115)</f>
        <v/>
      </c>
      <c r="B134" s="24" t="str">
        <f t="shared" si="7"/>
        <v/>
      </c>
      <c r="C134" s="25" t="str">
        <f t="shared" si="6"/>
        <v/>
      </c>
      <c r="D134" s="25" t="str">
        <f t="shared" si="8"/>
        <v/>
      </c>
      <c r="E134" s="25" t="str">
        <f t="shared" si="9"/>
        <v/>
      </c>
      <c r="F134" s="25" t="str">
        <f t="shared" si="10"/>
        <v/>
      </c>
      <c r="G134" s="26" t="str">
        <f t="shared" si="11"/>
        <v/>
      </c>
    </row>
    <row r="135" spans="1:7" ht="15" customHeight="1" x14ac:dyDescent="0.25">
      <c r="A135" s="27" t="str">
        <f>IF(OR(116&gt;$C$10*$C$11,N(G134)&lt;=0.005),"",116)</f>
        <v/>
      </c>
      <c r="B135" s="28" t="str">
        <f t="shared" si="7"/>
        <v/>
      </c>
      <c r="C135" s="29" t="str">
        <f t="shared" si="6"/>
        <v/>
      </c>
      <c r="D135" s="29" t="str">
        <f t="shared" si="8"/>
        <v/>
      </c>
      <c r="E135" s="29" t="str">
        <f t="shared" si="9"/>
        <v/>
      </c>
      <c r="F135" s="29" t="str">
        <f t="shared" si="10"/>
        <v/>
      </c>
      <c r="G135" s="30" t="str">
        <f t="shared" si="11"/>
        <v/>
      </c>
    </row>
    <row r="136" spans="1:7" ht="15" customHeight="1" x14ac:dyDescent="0.25">
      <c r="A136" s="23" t="str">
        <f>IF(OR(117&gt;$C$10*$C$11,N(G135)&lt;=0.005),"",117)</f>
        <v/>
      </c>
      <c r="B136" s="24" t="str">
        <f t="shared" si="7"/>
        <v/>
      </c>
      <c r="C136" s="25" t="str">
        <f t="shared" si="6"/>
        <v/>
      </c>
      <c r="D136" s="25" t="str">
        <f t="shared" si="8"/>
        <v/>
      </c>
      <c r="E136" s="25" t="str">
        <f t="shared" si="9"/>
        <v/>
      </c>
      <c r="F136" s="25" t="str">
        <f t="shared" si="10"/>
        <v/>
      </c>
      <c r="G136" s="26" t="str">
        <f t="shared" si="11"/>
        <v/>
      </c>
    </row>
    <row r="137" spans="1:7" ht="15" customHeight="1" x14ac:dyDescent="0.25">
      <c r="A137" s="27" t="str">
        <f>IF(OR(118&gt;$C$10*$C$11,N(G136)&lt;=0.005),"",118)</f>
        <v/>
      </c>
      <c r="B137" s="28" t="str">
        <f t="shared" si="7"/>
        <v/>
      </c>
      <c r="C137" s="29" t="str">
        <f t="shared" si="6"/>
        <v/>
      </c>
      <c r="D137" s="29" t="str">
        <f t="shared" si="8"/>
        <v/>
      </c>
      <c r="E137" s="29" t="str">
        <f t="shared" si="9"/>
        <v/>
      </c>
      <c r="F137" s="29" t="str">
        <f t="shared" si="10"/>
        <v/>
      </c>
      <c r="G137" s="30" t="str">
        <f t="shared" si="11"/>
        <v/>
      </c>
    </row>
    <row r="138" spans="1:7" ht="15" customHeight="1" x14ac:dyDescent="0.25">
      <c r="A138" s="23" t="str">
        <f>IF(OR(119&gt;$C$10*$C$11,N(G137)&lt;=0.005),"",119)</f>
        <v/>
      </c>
      <c r="B138" s="24" t="str">
        <f t="shared" si="7"/>
        <v/>
      </c>
      <c r="C138" s="25" t="str">
        <f t="shared" si="6"/>
        <v/>
      </c>
      <c r="D138" s="25" t="str">
        <f t="shared" si="8"/>
        <v/>
      </c>
      <c r="E138" s="25" t="str">
        <f t="shared" si="9"/>
        <v/>
      </c>
      <c r="F138" s="25" t="str">
        <f t="shared" si="10"/>
        <v/>
      </c>
      <c r="G138" s="26" t="str">
        <f t="shared" si="11"/>
        <v/>
      </c>
    </row>
    <row r="139" spans="1:7" ht="15" customHeight="1" x14ac:dyDescent="0.25">
      <c r="A139" s="27" t="str">
        <f>IF(OR(120&gt;$C$10*$C$11,N(G138)&lt;=0.005),"",120)</f>
        <v/>
      </c>
      <c r="B139" s="28" t="str">
        <f t="shared" si="7"/>
        <v/>
      </c>
      <c r="C139" s="29" t="str">
        <f t="shared" si="6"/>
        <v/>
      </c>
      <c r="D139" s="29" t="str">
        <f t="shared" si="8"/>
        <v/>
      </c>
      <c r="E139" s="29" t="str">
        <f t="shared" si="9"/>
        <v/>
      </c>
      <c r="F139" s="29" t="str">
        <f t="shared" si="10"/>
        <v/>
      </c>
      <c r="G139" s="30" t="str">
        <f t="shared" si="11"/>
        <v/>
      </c>
    </row>
    <row r="140" spans="1:7" ht="15" customHeight="1" x14ac:dyDescent="0.25">
      <c r="A140" s="23" t="str">
        <f>IF(OR(121&gt;$C$10*$C$11,N(G139)&lt;=0.005),"",121)</f>
        <v/>
      </c>
      <c r="B140" s="24" t="str">
        <f t="shared" si="7"/>
        <v/>
      </c>
      <c r="C140" s="25" t="str">
        <f t="shared" si="6"/>
        <v/>
      </c>
      <c r="D140" s="25" t="str">
        <f t="shared" si="8"/>
        <v/>
      </c>
      <c r="E140" s="25" t="str">
        <f t="shared" si="9"/>
        <v/>
      </c>
      <c r="F140" s="25" t="str">
        <f t="shared" si="10"/>
        <v/>
      </c>
      <c r="G140" s="26" t="str">
        <f t="shared" si="11"/>
        <v/>
      </c>
    </row>
    <row r="141" spans="1:7" ht="15" customHeight="1" x14ac:dyDescent="0.25">
      <c r="A141" s="27" t="str">
        <f>IF(OR(122&gt;$C$10*$C$11,N(G140)&lt;=0.005),"",122)</f>
        <v/>
      </c>
      <c r="B141" s="28" t="str">
        <f t="shared" si="7"/>
        <v/>
      </c>
      <c r="C141" s="29" t="str">
        <f t="shared" si="6"/>
        <v/>
      </c>
      <c r="D141" s="29" t="str">
        <f t="shared" si="8"/>
        <v/>
      </c>
      <c r="E141" s="29" t="str">
        <f t="shared" si="9"/>
        <v/>
      </c>
      <c r="F141" s="29" t="str">
        <f t="shared" si="10"/>
        <v/>
      </c>
      <c r="G141" s="30" t="str">
        <f t="shared" si="11"/>
        <v/>
      </c>
    </row>
    <row r="142" spans="1:7" ht="15" customHeight="1" x14ac:dyDescent="0.25">
      <c r="A142" s="23" t="str">
        <f>IF(OR(123&gt;$C$10*$C$11,N(G141)&lt;=0.005),"",123)</f>
        <v/>
      </c>
      <c r="B142" s="24" t="str">
        <f t="shared" si="7"/>
        <v/>
      </c>
      <c r="C142" s="25" t="str">
        <f t="shared" si="6"/>
        <v/>
      </c>
      <c r="D142" s="25" t="str">
        <f t="shared" si="8"/>
        <v/>
      </c>
      <c r="E142" s="25" t="str">
        <f t="shared" si="9"/>
        <v/>
      </c>
      <c r="F142" s="25" t="str">
        <f t="shared" si="10"/>
        <v/>
      </c>
      <c r="G142" s="26" t="str">
        <f t="shared" si="11"/>
        <v/>
      </c>
    </row>
    <row r="143" spans="1:7" ht="15" customHeight="1" x14ac:dyDescent="0.25">
      <c r="A143" s="27" t="str">
        <f>IF(OR(124&gt;$C$10*$C$11,N(G142)&lt;=0.005),"",124)</f>
        <v/>
      </c>
      <c r="B143" s="28" t="str">
        <f t="shared" si="7"/>
        <v/>
      </c>
      <c r="C143" s="29" t="str">
        <f t="shared" si="6"/>
        <v/>
      </c>
      <c r="D143" s="29" t="str">
        <f t="shared" si="8"/>
        <v/>
      </c>
      <c r="E143" s="29" t="str">
        <f t="shared" si="9"/>
        <v/>
      </c>
      <c r="F143" s="29" t="str">
        <f t="shared" si="10"/>
        <v/>
      </c>
      <c r="G143" s="30" t="str">
        <f t="shared" si="11"/>
        <v/>
      </c>
    </row>
    <row r="144" spans="1:7" ht="15" customHeight="1" x14ac:dyDescent="0.25">
      <c r="A144" s="23" t="str">
        <f>IF(OR(125&gt;$C$10*$C$11,N(G143)&lt;=0.005),"",125)</f>
        <v/>
      </c>
      <c r="B144" s="24" t="str">
        <f t="shared" si="7"/>
        <v/>
      </c>
      <c r="C144" s="25" t="str">
        <f t="shared" si="6"/>
        <v/>
      </c>
      <c r="D144" s="25" t="str">
        <f t="shared" si="8"/>
        <v/>
      </c>
      <c r="E144" s="25" t="str">
        <f t="shared" si="9"/>
        <v/>
      </c>
      <c r="F144" s="25" t="str">
        <f t="shared" si="10"/>
        <v/>
      </c>
      <c r="G144" s="26" t="str">
        <f t="shared" si="11"/>
        <v/>
      </c>
    </row>
    <row r="145" spans="1:7" ht="15" customHeight="1" x14ac:dyDescent="0.25">
      <c r="A145" s="27" t="str">
        <f>IF(OR(126&gt;$C$10*$C$11,N(G144)&lt;=0.005),"",126)</f>
        <v/>
      </c>
      <c r="B145" s="28" t="str">
        <f t="shared" si="7"/>
        <v/>
      </c>
      <c r="C145" s="29" t="str">
        <f t="shared" si="6"/>
        <v/>
      </c>
      <c r="D145" s="29" t="str">
        <f t="shared" si="8"/>
        <v/>
      </c>
      <c r="E145" s="29" t="str">
        <f t="shared" si="9"/>
        <v/>
      </c>
      <c r="F145" s="29" t="str">
        <f t="shared" si="10"/>
        <v/>
      </c>
      <c r="G145" s="30" t="str">
        <f t="shared" si="11"/>
        <v/>
      </c>
    </row>
    <row r="146" spans="1:7" ht="15" customHeight="1" x14ac:dyDescent="0.25">
      <c r="A146" s="23" t="str">
        <f>IF(OR(127&gt;$C$10*$C$11,N(G145)&lt;=0.005),"",127)</f>
        <v/>
      </c>
      <c r="B146" s="24" t="str">
        <f t="shared" si="7"/>
        <v/>
      </c>
      <c r="C146" s="25" t="str">
        <f t="shared" si="6"/>
        <v/>
      </c>
      <c r="D146" s="25" t="str">
        <f t="shared" si="8"/>
        <v/>
      </c>
      <c r="E146" s="25" t="str">
        <f t="shared" si="9"/>
        <v/>
      </c>
      <c r="F146" s="25" t="str">
        <f t="shared" si="10"/>
        <v/>
      </c>
      <c r="G146" s="26" t="str">
        <f t="shared" si="11"/>
        <v/>
      </c>
    </row>
    <row r="147" spans="1:7" ht="15" customHeight="1" x14ac:dyDescent="0.25">
      <c r="A147" s="27" t="str">
        <f>IF(OR(128&gt;$C$10*$C$11,N(G146)&lt;=0.005),"",128)</f>
        <v/>
      </c>
      <c r="B147" s="28" t="str">
        <f t="shared" si="7"/>
        <v/>
      </c>
      <c r="C147" s="29" t="str">
        <f t="shared" si="6"/>
        <v/>
      </c>
      <c r="D147" s="29" t="str">
        <f t="shared" si="8"/>
        <v/>
      </c>
      <c r="E147" s="29" t="str">
        <f t="shared" si="9"/>
        <v/>
      </c>
      <c r="F147" s="29" t="str">
        <f t="shared" si="10"/>
        <v/>
      </c>
      <c r="G147" s="30" t="str">
        <f t="shared" si="11"/>
        <v/>
      </c>
    </row>
    <row r="148" spans="1:7" ht="15" customHeight="1" x14ac:dyDescent="0.25">
      <c r="A148" s="23" t="str">
        <f>IF(OR(129&gt;$C$10*$C$11,N(G147)&lt;=0.005),"",129)</f>
        <v/>
      </c>
      <c r="B148" s="24" t="str">
        <f t="shared" si="7"/>
        <v/>
      </c>
      <c r="C148" s="25" t="str">
        <f t="shared" ref="C148:C211" si="12">IF(A148="","",D148+E148+F148)</f>
        <v/>
      </c>
      <c r="D148" s="25" t="str">
        <f t="shared" si="8"/>
        <v/>
      </c>
      <c r="E148" s="25" t="str">
        <f t="shared" si="9"/>
        <v/>
      </c>
      <c r="F148" s="25" t="str">
        <f t="shared" si="10"/>
        <v/>
      </c>
      <c r="G148" s="26" t="str">
        <f t="shared" si="11"/>
        <v/>
      </c>
    </row>
    <row r="149" spans="1:7" ht="15" customHeight="1" x14ac:dyDescent="0.25">
      <c r="A149" s="27" t="str">
        <f>IF(OR(130&gt;$C$10*$C$11,N(G148)&lt;=0.005),"",130)</f>
        <v/>
      </c>
      <c r="B149" s="28" t="str">
        <f t="shared" ref="B149:B212" si="13">IF(A149="","",EDATE($C$12,(A149-1)*(12/$C$11)))</f>
        <v/>
      </c>
      <c r="C149" s="29" t="str">
        <f t="shared" si="12"/>
        <v/>
      </c>
      <c r="D149" s="29" t="str">
        <f t="shared" ref="D149:D212" si="14">IF(A149="","",N(G148)*$C$9/$C$11)</f>
        <v/>
      </c>
      <c r="E149" s="29" t="str">
        <f t="shared" ref="E149:E212" si="15">IF(A149="","",MIN($C$15-D149,N(G148)))</f>
        <v/>
      </c>
      <c r="F149" s="29" t="str">
        <f t="shared" ref="F149:F212" si="16">IF(A149="","",IF(AND($C$13&gt;0,MOD(A149,$C$11)=0),MIN($C$13,N(G148)-E149),0))</f>
        <v/>
      </c>
      <c r="G149" s="30" t="str">
        <f t="shared" ref="G149:G212" si="17">IF(A149="","",MAX(N(G148)-E149-F149,0))</f>
        <v/>
      </c>
    </row>
    <row r="150" spans="1:7" ht="15" customHeight="1" x14ac:dyDescent="0.25">
      <c r="A150" s="23" t="str">
        <f>IF(OR(131&gt;$C$10*$C$11,N(G149)&lt;=0.005),"",131)</f>
        <v/>
      </c>
      <c r="B150" s="24" t="str">
        <f t="shared" si="13"/>
        <v/>
      </c>
      <c r="C150" s="25" t="str">
        <f t="shared" si="12"/>
        <v/>
      </c>
      <c r="D150" s="25" t="str">
        <f t="shared" si="14"/>
        <v/>
      </c>
      <c r="E150" s="25" t="str">
        <f t="shared" si="15"/>
        <v/>
      </c>
      <c r="F150" s="25" t="str">
        <f t="shared" si="16"/>
        <v/>
      </c>
      <c r="G150" s="26" t="str">
        <f t="shared" si="17"/>
        <v/>
      </c>
    </row>
    <row r="151" spans="1:7" ht="15" customHeight="1" x14ac:dyDescent="0.25">
      <c r="A151" s="27" t="str">
        <f>IF(OR(132&gt;$C$10*$C$11,N(G150)&lt;=0.005),"",132)</f>
        <v/>
      </c>
      <c r="B151" s="28" t="str">
        <f t="shared" si="13"/>
        <v/>
      </c>
      <c r="C151" s="29" t="str">
        <f t="shared" si="12"/>
        <v/>
      </c>
      <c r="D151" s="29" t="str">
        <f t="shared" si="14"/>
        <v/>
      </c>
      <c r="E151" s="29" t="str">
        <f t="shared" si="15"/>
        <v/>
      </c>
      <c r="F151" s="29" t="str">
        <f t="shared" si="16"/>
        <v/>
      </c>
      <c r="G151" s="30" t="str">
        <f t="shared" si="17"/>
        <v/>
      </c>
    </row>
    <row r="152" spans="1:7" ht="15" customHeight="1" x14ac:dyDescent="0.25">
      <c r="A152" s="23" t="str">
        <f>IF(OR(133&gt;$C$10*$C$11,N(G151)&lt;=0.005),"",133)</f>
        <v/>
      </c>
      <c r="B152" s="24" t="str">
        <f t="shared" si="13"/>
        <v/>
      </c>
      <c r="C152" s="25" t="str">
        <f t="shared" si="12"/>
        <v/>
      </c>
      <c r="D152" s="25" t="str">
        <f t="shared" si="14"/>
        <v/>
      </c>
      <c r="E152" s="25" t="str">
        <f t="shared" si="15"/>
        <v/>
      </c>
      <c r="F152" s="25" t="str">
        <f t="shared" si="16"/>
        <v/>
      </c>
      <c r="G152" s="26" t="str">
        <f t="shared" si="17"/>
        <v/>
      </c>
    </row>
    <row r="153" spans="1:7" ht="15" customHeight="1" x14ac:dyDescent="0.25">
      <c r="A153" s="27" t="str">
        <f>IF(OR(134&gt;$C$10*$C$11,N(G152)&lt;=0.005),"",134)</f>
        <v/>
      </c>
      <c r="B153" s="28" t="str">
        <f t="shared" si="13"/>
        <v/>
      </c>
      <c r="C153" s="29" t="str">
        <f t="shared" si="12"/>
        <v/>
      </c>
      <c r="D153" s="29" t="str">
        <f t="shared" si="14"/>
        <v/>
      </c>
      <c r="E153" s="29" t="str">
        <f t="shared" si="15"/>
        <v/>
      </c>
      <c r="F153" s="29" t="str">
        <f t="shared" si="16"/>
        <v/>
      </c>
      <c r="G153" s="30" t="str">
        <f t="shared" si="17"/>
        <v/>
      </c>
    </row>
    <row r="154" spans="1:7" ht="15" customHeight="1" x14ac:dyDescent="0.25">
      <c r="A154" s="23" t="str">
        <f>IF(OR(135&gt;$C$10*$C$11,N(G153)&lt;=0.005),"",135)</f>
        <v/>
      </c>
      <c r="B154" s="24" t="str">
        <f t="shared" si="13"/>
        <v/>
      </c>
      <c r="C154" s="25" t="str">
        <f t="shared" si="12"/>
        <v/>
      </c>
      <c r="D154" s="25" t="str">
        <f t="shared" si="14"/>
        <v/>
      </c>
      <c r="E154" s="25" t="str">
        <f t="shared" si="15"/>
        <v/>
      </c>
      <c r="F154" s="25" t="str">
        <f t="shared" si="16"/>
        <v/>
      </c>
      <c r="G154" s="26" t="str">
        <f t="shared" si="17"/>
        <v/>
      </c>
    </row>
    <row r="155" spans="1:7" ht="15" customHeight="1" x14ac:dyDescent="0.25">
      <c r="A155" s="27" t="str">
        <f>IF(OR(136&gt;$C$10*$C$11,N(G154)&lt;=0.005),"",136)</f>
        <v/>
      </c>
      <c r="B155" s="28" t="str">
        <f t="shared" si="13"/>
        <v/>
      </c>
      <c r="C155" s="29" t="str">
        <f t="shared" si="12"/>
        <v/>
      </c>
      <c r="D155" s="29" t="str">
        <f t="shared" si="14"/>
        <v/>
      </c>
      <c r="E155" s="29" t="str">
        <f t="shared" si="15"/>
        <v/>
      </c>
      <c r="F155" s="29" t="str">
        <f t="shared" si="16"/>
        <v/>
      </c>
      <c r="G155" s="30" t="str">
        <f t="shared" si="17"/>
        <v/>
      </c>
    </row>
    <row r="156" spans="1:7" ht="15" customHeight="1" x14ac:dyDescent="0.25">
      <c r="A156" s="23" t="str">
        <f>IF(OR(137&gt;$C$10*$C$11,N(G155)&lt;=0.005),"",137)</f>
        <v/>
      </c>
      <c r="B156" s="24" t="str">
        <f t="shared" si="13"/>
        <v/>
      </c>
      <c r="C156" s="25" t="str">
        <f t="shared" si="12"/>
        <v/>
      </c>
      <c r="D156" s="25" t="str">
        <f t="shared" si="14"/>
        <v/>
      </c>
      <c r="E156" s="25" t="str">
        <f t="shared" si="15"/>
        <v/>
      </c>
      <c r="F156" s="25" t="str">
        <f t="shared" si="16"/>
        <v/>
      </c>
      <c r="G156" s="26" t="str">
        <f t="shared" si="17"/>
        <v/>
      </c>
    </row>
    <row r="157" spans="1:7" ht="15" customHeight="1" x14ac:dyDescent="0.25">
      <c r="A157" s="27" t="str">
        <f>IF(OR(138&gt;$C$10*$C$11,N(G156)&lt;=0.005),"",138)</f>
        <v/>
      </c>
      <c r="B157" s="28" t="str">
        <f t="shared" si="13"/>
        <v/>
      </c>
      <c r="C157" s="29" t="str">
        <f t="shared" si="12"/>
        <v/>
      </c>
      <c r="D157" s="29" t="str">
        <f t="shared" si="14"/>
        <v/>
      </c>
      <c r="E157" s="29" t="str">
        <f t="shared" si="15"/>
        <v/>
      </c>
      <c r="F157" s="29" t="str">
        <f t="shared" si="16"/>
        <v/>
      </c>
      <c r="G157" s="30" t="str">
        <f t="shared" si="17"/>
        <v/>
      </c>
    </row>
    <row r="158" spans="1:7" ht="15" customHeight="1" x14ac:dyDescent="0.25">
      <c r="A158" s="23" t="str">
        <f>IF(OR(139&gt;$C$10*$C$11,N(G157)&lt;=0.005),"",139)</f>
        <v/>
      </c>
      <c r="B158" s="24" t="str">
        <f t="shared" si="13"/>
        <v/>
      </c>
      <c r="C158" s="25" t="str">
        <f t="shared" si="12"/>
        <v/>
      </c>
      <c r="D158" s="25" t="str">
        <f t="shared" si="14"/>
        <v/>
      </c>
      <c r="E158" s="25" t="str">
        <f t="shared" si="15"/>
        <v/>
      </c>
      <c r="F158" s="25" t="str">
        <f t="shared" si="16"/>
        <v/>
      </c>
      <c r="G158" s="26" t="str">
        <f t="shared" si="17"/>
        <v/>
      </c>
    </row>
    <row r="159" spans="1:7" ht="15" customHeight="1" x14ac:dyDescent="0.25">
      <c r="A159" s="27" t="str">
        <f>IF(OR(140&gt;$C$10*$C$11,N(G158)&lt;=0.005),"",140)</f>
        <v/>
      </c>
      <c r="B159" s="28" t="str">
        <f t="shared" si="13"/>
        <v/>
      </c>
      <c r="C159" s="29" t="str">
        <f t="shared" si="12"/>
        <v/>
      </c>
      <c r="D159" s="29" t="str">
        <f t="shared" si="14"/>
        <v/>
      </c>
      <c r="E159" s="29" t="str">
        <f t="shared" si="15"/>
        <v/>
      </c>
      <c r="F159" s="29" t="str">
        <f t="shared" si="16"/>
        <v/>
      </c>
      <c r="G159" s="30" t="str">
        <f t="shared" si="17"/>
        <v/>
      </c>
    </row>
    <row r="160" spans="1:7" ht="15" customHeight="1" x14ac:dyDescent="0.25">
      <c r="A160" s="23" t="str">
        <f>IF(OR(141&gt;$C$10*$C$11,N(G159)&lt;=0.005),"",141)</f>
        <v/>
      </c>
      <c r="B160" s="24" t="str">
        <f t="shared" si="13"/>
        <v/>
      </c>
      <c r="C160" s="25" t="str">
        <f t="shared" si="12"/>
        <v/>
      </c>
      <c r="D160" s="25" t="str">
        <f t="shared" si="14"/>
        <v/>
      </c>
      <c r="E160" s="25" t="str">
        <f t="shared" si="15"/>
        <v/>
      </c>
      <c r="F160" s="25" t="str">
        <f t="shared" si="16"/>
        <v/>
      </c>
      <c r="G160" s="26" t="str">
        <f t="shared" si="17"/>
        <v/>
      </c>
    </row>
    <row r="161" spans="1:7" ht="15" customHeight="1" x14ac:dyDescent="0.25">
      <c r="A161" s="27" t="str">
        <f>IF(OR(142&gt;$C$10*$C$11,N(G160)&lt;=0.005),"",142)</f>
        <v/>
      </c>
      <c r="B161" s="28" t="str">
        <f t="shared" si="13"/>
        <v/>
      </c>
      <c r="C161" s="29" t="str">
        <f t="shared" si="12"/>
        <v/>
      </c>
      <c r="D161" s="29" t="str">
        <f t="shared" si="14"/>
        <v/>
      </c>
      <c r="E161" s="29" t="str">
        <f t="shared" si="15"/>
        <v/>
      </c>
      <c r="F161" s="29" t="str">
        <f t="shared" si="16"/>
        <v/>
      </c>
      <c r="G161" s="30" t="str">
        <f t="shared" si="17"/>
        <v/>
      </c>
    </row>
    <row r="162" spans="1:7" ht="15" customHeight="1" x14ac:dyDescent="0.25">
      <c r="A162" s="23" t="str">
        <f>IF(OR(143&gt;$C$10*$C$11,N(G161)&lt;=0.005),"",143)</f>
        <v/>
      </c>
      <c r="B162" s="24" t="str">
        <f t="shared" si="13"/>
        <v/>
      </c>
      <c r="C162" s="25" t="str">
        <f t="shared" si="12"/>
        <v/>
      </c>
      <c r="D162" s="25" t="str">
        <f t="shared" si="14"/>
        <v/>
      </c>
      <c r="E162" s="25" t="str">
        <f t="shared" si="15"/>
        <v/>
      </c>
      <c r="F162" s="25" t="str">
        <f t="shared" si="16"/>
        <v/>
      </c>
      <c r="G162" s="26" t="str">
        <f t="shared" si="17"/>
        <v/>
      </c>
    </row>
    <row r="163" spans="1:7" ht="15" customHeight="1" x14ac:dyDescent="0.25">
      <c r="A163" s="27" t="str">
        <f>IF(OR(144&gt;$C$10*$C$11,N(G162)&lt;=0.005),"",144)</f>
        <v/>
      </c>
      <c r="B163" s="28" t="str">
        <f t="shared" si="13"/>
        <v/>
      </c>
      <c r="C163" s="29" t="str">
        <f t="shared" si="12"/>
        <v/>
      </c>
      <c r="D163" s="29" t="str">
        <f t="shared" si="14"/>
        <v/>
      </c>
      <c r="E163" s="29" t="str">
        <f t="shared" si="15"/>
        <v/>
      </c>
      <c r="F163" s="29" t="str">
        <f t="shared" si="16"/>
        <v/>
      </c>
      <c r="G163" s="30" t="str">
        <f t="shared" si="17"/>
        <v/>
      </c>
    </row>
    <row r="164" spans="1:7" ht="15" customHeight="1" x14ac:dyDescent="0.25">
      <c r="A164" s="23" t="str">
        <f>IF(OR(145&gt;$C$10*$C$11,N(G163)&lt;=0.005),"",145)</f>
        <v/>
      </c>
      <c r="B164" s="24" t="str">
        <f t="shared" si="13"/>
        <v/>
      </c>
      <c r="C164" s="25" t="str">
        <f t="shared" si="12"/>
        <v/>
      </c>
      <c r="D164" s="25" t="str">
        <f t="shared" si="14"/>
        <v/>
      </c>
      <c r="E164" s="25" t="str">
        <f t="shared" si="15"/>
        <v/>
      </c>
      <c r="F164" s="25" t="str">
        <f t="shared" si="16"/>
        <v/>
      </c>
      <c r="G164" s="26" t="str">
        <f t="shared" si="17"/>
        <v/>
      </c>
    </row>
    <row r="165" spans="1:7" ht="15" customHeight="1" x14ac:dyDescent="0.25">
      <c r="A165" s="27" t="str">
        <f>IF(OR(146&gt;$C$10*$C$11,N(G164)&lt;=0.005),"",146)</f>
        <v/>
      </c>
      <c r="B165" s="28" t="str">
        <f t="shared" si="13"/>
        <v/>
      </c>
      <c r="C165" s="29" t="str">
        <f t="shared" si="12"/>
        <v/>
      </c>
      <c r="D165" s="29" t="str">
        <f t="shared" si="14"/>
        <v/>
      </c>
      <c r="E165" s="29" t="str">
        <f t="shared" si="15"/>
        <v/>
      </c>
      <c r="F165" s="29" t="str">
        <f t="shared" si="16"/>
        <v/>
      </c>
      <c r="G165" s="30" t="str">
        <f t="shared" si="17"/>
        <v/>
      </c>
    </row>
    <row r="166" spans="1:7" ht="15" customHeight="1" x14ac:dyDescent="0.25">
      <c r="A166" s="23" t="str">
        <f>IF(OR(147&gt;$C$10*$C$11,N(G165)&lt;=0.005),"",147)</f>
        <v/>
      </c>
      <c r="B166" s="24" t="str">
        <f t="shared" si="13"/>
        <v/>
      </c>
      <c r="C166" s="25" t="str">
        <f t="shared" si="12"/>
        <v/>
      </c>
      <c r="D166" s="25" t="str">
        <f t="shared" si="14"/>
        <v/>
      </c>
      <c r="E166" s="25" t="str">
        <f t="shared" si="15"/>
        <v/>
      </c>
      <c r="F166" s="25" t="str">
        <f t="shared" si="16"/>
        <v/>
      </c>
      <c r="G166" s="26" t="str">
        <f t="shared" si="17"/>
        <v/>
      </c>
    </row>
    <row r="167" spans="1:7" ht="15" customHeight="1" x14ac:dyDescent="0.25">
      <c r="A167" s="27" t="str">
        <f>IF(OR(148&gt;$C$10*$C$11,N(G166)&lt;=0.005),"",148)</f>
        <v/>
      </c>
      <c r="B167" s="28" t="str">
        <f t="shared" si="13"/>
        <v/>
      </c>
      <c r="C167" s="29" t="str">
        <f t="shared" si="12"/>
        <v/>
      </c>
      <c r="D167" s="29" t="str">
        <f t="shared" si="14"/>
        <v/>
      </c>
      <c r="E167" s="29" t="str">
        <f t="shared" si="15"/>
        <v/>
      </c>
      <c r="F167" s="29" t="str">
        <f t="shared" si="16"/>
        <v/>
      </c>
      <c r="G167" s="30" t="str">
        <f t="shared" si="17"/>
        <v/>
      </c>
    </row>
    <row r="168" spans="1:7" ht="15" customHeight="1" x14ac:dyDescent="0.25">
      <c r="A168" s="23" t="str">
        <f>IF(OR(149&gt;$C$10*$C$11,N(G167)&lt;=0.005),"",149)</f>
        <v/>
      </c>
      <c r="B168" s="24" t="str">
        <f t="shared" si="13"/>
        <v/>
      </c>
      <c r="C168" s="25" t="str">
        <f t="shared" si="12"/>
        <v/>
      </c>
      <c r="D168" s="25" t="str">
        <f t="shared" si="14"/>
        <v/>
      </c>
      <c r="E168" s="25" t="str">
        <f t="shared" si="15"/>
        <v/>
      </c>
      <c r="F168" s="25" t="str">
        <f t="shared" si="16"/>
        <v/>
      </c>
      <c r="G168" s="26" t="str">
        <f t="shared" si="17"/>
        <v/>
      </c>
    </row>
    <row r="169" spans="1:7" ht="15" customHeight="1" x14ac:dyDescent="0.25">
      <c r="A169" s="27" t="str">
        <f>IF(OR(150&gt;$C$10*$C$11,N(G168)&lt;=0.005),"",150)</f>
        <v/>
      </c>
      <c r="B169" s="28" t="str">
        <f t="shared" si="13"/>
        <v/>
      </c>
      <c r="C169" s="29" t="str">
        <f t="shared" si="12"/>
        <v/>
      </c>
      <c r="D169" s="29" t="str">
        <f t="shared" si="14"/>
        <v/>
      </c>
      <c r="E169" s="29" t="str">
        <f t="shared" si="15"/>
        <v/>
      </c>
      <c r="F169" s="29" t="str">
        <f t="shared" si="16"/>
        <v/>
      </c>
      <c r="G169" s="30" t="str">
        <f t="shared" si="17"/>
        <v/>
      </c>
    </row>
    <row r="170" spans="1:7" ht="15" customHeight="1" x14ac:dyDescent="0.25">
      <c r="A170" s="23" t="str">
        <f>IF(OR(151&gt;$C$10*$C$11,N(G169)&lt;=0.005),"",151)</f>
        <v/>
      </c>
      <c r="B170" s="24" t="str">
        <f t="shared" si="13"/>
        <v/>
      </c>
      <c r="C170" s="25" t="str">
        <f t="shared" si="12"/>
        <v/>
      </c>
      <c r="D170" s="25" t="str">
        <f t="shared" si="14"/>
        <v/>
      </c>
      <c r="E170" s="25" t="str">
        <f t="shared" si="15"/>
        <v/>
      </c>
      <c r="F170" s="25" t="str">
        <f t="shared" si="16"/>
        <v/>
      </c>
      <c r="G170" s="26" t="str">
        <f t="shared" si="17"/>
        <v/>
      </c>
    </row>
    <row r="171" spans="1:7" ht="15" customHeight="1" x14ac:dyDescent="0.25">
      <c r="A171" s="27" t="str">
        <f>IF(OR(152&gt;$C$10*$C$11,N(G170)&lt;=0.005),"",152)</f>
        <v/>
      </c>
      <c r="B171" s="28" t="str">
        <f t="shared" si="13"/>
        <v/>
      </c>
      <c r="C171" s="29" t="str">
        <f t="shared" si="12"/>
        <v/>
      </c>
      <c r="D171" s="29" t="str">
        <f t="shared" si="14"/>
        <v/>
      </c>
      <c r="E171" s="29" t="str">
        <f t="shared" si="15"/>
        <v/>
      </c>
      <c r="F171" s="29" t="str">
        <f t="shared" si="16"/>
        <v/>
      </c>
      <c r="G171" s="30" t="str">
        <f t="shared" si="17"/>
        <v/>
      </c>
    </row>
    <row r="172" spans="1:7" ht="15" customHeight="1" x14ac:dyDescent="0.25">
      <c r="A172" s="23" t="str">
        <f>IF(OR(153&gt;$C$10*$C$11,N(G171)&lt;=0.005),"",153)</f>
        <v/>
      </c>
      <c r="B172" s="24" t="str">
        <f t="shared" si="13"/>
        <v/>
      </c>
      <c r="C172" s="25" t="str">
        <f t="shared" si="12"/>
        <v/>
      </c>
      <c r="D172" s="25" t="str">
        <f t="shared" si="14"/>
        <v/>
      </c>
      <c r="E172" s="25" t="str">
        <f t="shared" si="15"/>
        <v/>
      </c>
      <c r="F172" s="25" t="str">
        <f t="shared" si="16"/>
        <v/>
      </c>
      <c r="G172" s="26" t="str">
        <f t="shared" si="17"/>
        <v/>
      </c>
    </row>
    <row r="173" spans="1:7" ht="15" customHeight="1" x14ac:dyDescent="0.25">
      <c r="A173" s="27" t="str">
        <f>IF(OR(154&gt;$C$10*$C$11,N(G172)&lt;=0.005),"",154)</f>
        <v/>
      </c>
      <c r="B173" s="28" t="str">
        <f t="shared" si="13"/>
        <v/>
      </c>
      <c r="C173" s="29" t="str">
        <f t="shared" si="12"/>
        <v/>
      </c>
      <c r="D173" s="29" t="str">
        <f t="shared" si="14"/>
        <v/>
      </c>
      <c r="E173" s="29" t="str">
        <f t="shared" si="15"/>
        <v/>
      </c>
      <c r="F173" s="29" t="str">
        <f t="shared" si="16"/>
        <v/>
      </c>
      <c r="G173" s="30" t="str">
        <f t="shared" si="17"/>
        <v/>
      </c>
    </row>
    <row r="174" spans="1:7" ht="15" customHeight="1" x14ac:dyDescent="0.25">
      <c r="A174" s="23" t="str">
        <f>IF(OR(155&gt;$C$10*$C$11,N(G173)&lt;=0.005),"",155)</f>
        <v/>
      </c>
      <c r="B174" s="24" t="str">
        <f t="shared" si="13"/>
        <v/>
      </c>
      <c r="C174" s="25" t="str">
        <f t="shared" si="12"/>
        <v/>
      </c>
      <c r="D174" s="25" t="str">
        <f t="shared" si="14"/>
        <v/>
      </c>
      <c r="E174" s="25" t="str">
        <f t="shared" si="15"/>
        <v/>
      </c>
      <c r="F174" s="25" t="str">
        <f t="shared" si="16"/>
        <v/>
      </c>
      <c r="G174" s="26" t="str">
        <f t="shared" si="17"/>
        <v/>
      </c>
    </row>
    <row r="175" spans="1:7" ht="15" customHeight="1" x14ac:dyDescent="0.25">
      <c r="A175" s="27" t="str">
        <f>IF(OR(156&gt;$C$10*$C$11,N(G174)&lt;=0.005),"",156)</f>
        <v/>
      </c>
      <c r="B175" s="28" t="str">
        <f t="shared" si="13"/>
        <v/>
      </c>
      <c r="C175" s="29" t="str">
        <f t="shared" si="12"/>
        <v/>
      </c>
      <c r="D175" s="29" t="str">
        <f t="shared" si="14"/>
        <v/>
      </c>
      <c r="E175" s="29" t="str">
        <f t="shared" si="15"/>
        <v/>
      </c>
      <c r="F175" s="29" t="str">
        <f t="shared" si="16"/>
        <v/>
      </c>
      <c r="G175" s="30" t="str">
        <f t="shared" si="17"/>
        <v/>
      </c>
    </row>
    <row r="176" spans="1:7" ht="15" customHeight="1" x14ac:dyDescent="0.25">
      <c r="A176" s="23" t="str">
        <f>IF(OR(157&gt;$C$10*$C$11,N(G175)&lt;=0.005),"",157)</f>
        <v/>
      </c>
      <c r="B176" s="24" t="str">
        <f t="shared" si="13"/>
        <v/>
      </c>
      <c r="C176" s="25" t="str">
        <f t="shared" si="12"/>
        <v/>
      </c>
      <c r="D176" s="25" t="str">
        <f t="shared" si="14"/>
        <v/>
      </c>
      <c r="E176" s="25" t="str">
        <f t="shared" si="15"/>
        <v/>
      </c>
      <c r="F176" s="25" t="str">
        <f t="shared" si="16"/>
        <v/>
      </c>
      <c r="G176" s="26" t="str">
        <f t="shared" si="17"/>
        <v/>
      </c>
    </row>
    <row r="177" spans="1:7" ht="15" customHeight="1" x14ac:dyDescent="0.25">
      <c r="A177" s="27" t="str">
        <f>IF(OR(158&gt;$C$10*$C$11,N(G176)&lt;=0.005),"",158)</f>
        <v/>
      </c>
      <c r="B177" s="28" t="str">
        <f t="shared" si="13"/>
        <v/>
      </c>
      <c r="C177" s="29" t="str">
        <f t="shared" si="12"/>
        <v/>
      </c>
      <c r="D177" s="29" t="str">
        <f t="shared" si="14"/>
        <v/>
      </c>
      <c r="E177" s="29" t="str">
        <f t="shared" si="15"/>
        <v/>
      </c>
      <c r="F177" s="29" t="str">
        <f t="shared" si="16"/>
        <v/>
      </c>
      <c r="G177" s="30" t="str">
        <f t="shared" si="17"/>
        <v/>
      </c>
    </row>
    <row r="178" spans="1:7" ht="15" customHeight="1" x14ac:dyDescent="0.25">
      <c r="A178" s="23" t="str">
        <f>IF(OR(159&gt;$C$10*$C$11,N(G177)&lt;=0.005),"",159)</f>
        <v/>
      </c>
      <c r="B178" s="24" t="str">
        <f t="shared" si="13"/>
        <v/>
      </c>
      <c r="C178" s="25" t="str">
        <f t="shared" si="12"/>
        <v/>
      </c>
      <c r="D178" s="25" t="str">
        <f t="shared" si="14"/>
        <v/>
      </c>
      <c r="E178" s="25" t="str">
        <f t="shared" si="15"/>
        <v/>
      </c>
      <c r="F178" s="25" t="str">
        <f t="shared" si="16"/>
        <v/>
      </c>
      <c r="G178" s="26" t="str">
        <f t="shared" si="17"/>
        <v/>
      </c>
    </row>
    <row r="179" spans="1:7" ht="15" customHeight="1" x14ac:dyDescent="0.25">
      <c r="A179" s="27" t="str">
        <f>IF(OR(160&gt;$C$10*$C$11,N(G178)&lt;=0.005),"",160)</f>
        <v/>
      </c>
      <c r="B179" s="28" t="str">
        <f t="shared" si="13"/>
        <v/>
      </c>
      <c r="C179" s="29" t="str">
        <f t="shared" si="12"/>
        <v/>
      </c>
      <c r="D179" s="29" t="str">
        <f t="shared" si="14"/>
        <v/>
      </c>
      <c r="E179" s="29" t="str">
        <f t="shared" si="15"/>
        <v/>
      </c>
      <c r="F179" s="29" t="str">
        <f t="shared" si="16"/>
        <v/>
      </c>
      <c r="G179" s="30" t="str">
        <f t="shared" si="17"/>
        <v/>
      </c>
    </row>
    <row r="180" spans="1:7" ht="15" customHeight="1" x14ac:dyDescent="0.25">
      <c r="A180" s="23" t="str">
        <f>IF(OR(161&gt;$C$10*$C$11,N(G179)&lt;=0.005),"",161)</f>
        <v/>
      </c>
      <c r="B180" s="24" t="str">
        <f t="shared" si="13"/>
        <v/>
      </c>
      <c r="C180" s="25" t="str">
        <f t="shared" si="12"/>
        <v/>
      </c>
      <c r="D180" s="25" t="str">
        <f t="shared" si="14"/>
        <v/>
      </c>
      <c r="E180" s="25" t="str">
        <f t="shared" si="15"/>
        <v/>
      </c>
      <c r="F180" s="25" t="str">
        <f t="shared" si="16"/>
        <v/>
      </c>
      <c r="G180" s="26" t="str">
        <f t="shared" si="17"/>
        <v/>
      </c>
    </row>
    <row r="181" spans="1:7" ht="15" customHeight="1" x14ac:dyDescent="0.25">
      <c r="A181" s="27" t="str">
        <f>IF(OR(162&gt;$C$10*$C$11,N(G180)&lt;=0.005),"",162)</f>
        <v/>
      </c>
      <c r="B181" s="28" t="str">
        <f t="shared" si="13"/>
        <v/>
      </c>
      <c r="C181" s="29" t="str">
        <f t="shared" si="12"/>
        <v/>
      </c>
      <c r="D181" s="29" t="str">
        <f t="shared" si="14"/>
        <v/>
      </c>
      <c r="E181" s="29" t="str">
        <f t="shared" si="15"/>
        <v/>
      </c>
      <c r="F181" s="29" t="str">
        <f t="shared" si="16"/>
        <v/>
      </c>
      <c r="G181" s="30" t="str">
        <f t="shared" si="17"/>
        <v/>
      </c>
    </row>
    <row r="182" spans="1:7" ht="15" customHeight="1" x14ac:dyDescent="0.25">
      <c r="A182" s="23" t="str">
        <f>IF(OR(163&gt;$C$10*$C$11,N(G181)&lt;=0.005),"",163)</f>
        <v/>
      </c>
      <c r="B182" s="24" t="str">
        <f t="shared" si="13"/>
        <v/>
      </c>
      <c r="C182" s="25" t="str">
        <f t="shared" si="12"/>
        <v/>
      </c>
      <c r="D182" s="25" t="str">
        <f t="shared" si="14"/>
        <v/>
      </c>
      <c r="E182" s="25" t="str">
        <f t="shared" si="15"/>
        <v/>
      </c>
      <c r="F182" s="25" t="str">
        <f t="shared" si="16"/>
        <v/>
      </c>
      <c r="G182" s="26" t="str">
        <f t="shared" si="17"/>
        <v/>
      </c>
    </row>
    <row r="183" spans="1:7" ht="15" customHeight="1" x14ac:dyDescent="0.25">
      <c r="A183" s="27" t="str">
        <f>IF(OR(164&gt;$C$10*$C$11,N(G182)&lt;=0.005),"",164)</f>
        <v/>
      </c>
      <c r="B183" s="28" t="str">
        <f t="shared" si="13"/>
        <v/>
      </c>
      <c r="C183" s="29" t="str">
        <f t="shared" si="12"/>
        <v/>
      </c>
      <c r="D183" s="29" t="str">
        <f t="shared" si="14"/>
        <v/>
      </c>
      <c r="E183" s="29" t="str">
        <f t="shared" si="15"/>
        <v/>
      </c>
      <c r="F183" s="29" t="str">
        <f t="shared" si="16"/>
        <v/>
      </c>
      <c r="G183" s="30" t="str">
        <f t="shared" si="17"/>
        <v/>
      </c>
    </row>
    <row r="184" spans="1:7" ht="15" customHeight="1" x14ac:dyDescent="0.25">
      <c r="A184" s="23" t="str">
        <f>IF(OR(165&gt;$C$10*$C$11,N(G183)&lt;=0.005),"",165)</f>
        <v/>
      </c>
      <c r="B184" s="24" t="str">
        <f t="shared" si="13"/>
        <v/>
      </c>
      <c r="C184" s="25" t="str">
        <f t="shared" si="12"/>
        <v/>
      </c>
      <c r="D184" s="25" t="str">
        <f t="shared" si="14"/>
        <v/>
      </c>
      <c r="E184" s="25" t="str">
        <f t="shared" si="15"/>
        <v/>
      </c>
      <c r="F184" s="25" t="str">
        <f t="shared" si="16"/>
        <v/>
      </c>
      <c r="G184" s="26" t="str">
        <f t="shared" si="17"/>
        <v/>
      </c>
    </row>
    <row r="185" spans="1:7" ht="15" customHeight="1" x14ac:dyDescent="0.25">
      <c r="A185" s="27" t="str">
        <f>IF(OR(166&gt;$C$10*$C$11,N(G184)&lt;=0.005),"",166)</f>
        <v/>
      </c>
      <c r="B185" s="28" t="str">
        <f t="shared" si="13"/>
        <v/>
      </c>
      <c r="C185" s="29" t="str">
        <f t="shared" si="12"/>
        <v/>
      </c>
      <c r="D185" s="29" t="str">
        <f t="shared" si="14"/>
        <v/>
      </c>
      <c r="E185" s="29" t="str">
        <f t="shared" si="15"/>
        <v/>
      </c>
      <c r="F185" s="29" t="str">
        <f t="shared" si="16"/>
        <v/>
      </c>
      <c r="G185" s="30" t="str">
        <f t="shared" si="17"/>
        <v/>
      </c>
    </row>
    <row r="186" spans="1:7" ht="15" customHeight="1" x14ac:dyDescent="0.25">
      <c r="A186" s="23" t="str">
        <f>IF(OR(167&gt;$C$10*$C$11,N(G185)&lt;=0.005),"",167)</f>
        <v/>
      </c>
      <c r="B186" s="24" t="str">
        <f t="shared" si="13"/>
        <v/>
      </c>
      <c r="C186" s="25" t="str">
        <f t="shared" si="12"/>
        <v/>
      </c>
      <c r="D186" s="25" t="str">
        <f t="shared" si="14"/>
        <v/>
      </c>
      <c r="E186" s="25" t="str">
        <f t="shared" si="15"/>
        <v/>
      </c>
      <c r="F186" s="25" t="str">
        <f t="shared" si="16"/>
        <v/>
      </c>
      <c r="G186" s="26" t="str">
        <f t="shared" si="17"/>
        <v/>
      </c>
    </row>
    <row r="187" spans="1:7" ht="15" customHeight="1" x14ac:dyDescent="0.25">
      <c r="A187" s="27" t="str">
        <f>IF(OR(168&gt;$C$10*$C$11,N(G186)&lt;=0.005),"",168)</f>
        <v/>
      </c>
      <c r="B187" s="28" t="str">
        <f t="shared" si="13"/>
        <v/>
      </c>
      <c r="C187" s="29" t="str">
        <f t="shared" si="12"/>
        <v/>
      </c>
      <c r="D187" s="29" t="str">
        <f t="shared" si="14"/>
        <v/>
      </c>
      <c r="E187" s="29" t="str">
        <f t="shared" si="15"/>
        <v/>
      </c>
      <c r="F187" s="29" t="str">
        <f t="shared" si="16"/>
        <v/>
      </c>
      <c r="G187" s="30" t="str">
        <f t="shared" si="17"/>
        <v/>
      </c>
    </row>
    <row r="188" spans="1:7" ht="15" customHeight="1" x14ac:dyDescent="0.25">
      <c r="A188" s="23" t="str">
        <f>IF(OR(169&gt;$C$10*$C$11,N(G187)&lt;=0.005),"",169)</f>
        <v/>
      </c>
      <c r="B188" s="24" t="str">
        <f t="shared" si="13"/>
        <v/>
      </c>
      <c r="C188" s="25" t="str">
        <f t="shared" si="12"/>
        <v/>
      </c>
      <c r="D188" s="25" t="str">
        <f t="shared" si="14"/>
        <v/>
      </c>
      <c r="E188" s="25" t="str">
        <f t="shared" si="15"/>
        <v/>
      </c>
      <c r="F188" s="25" t="str">
        <f t="shared" si="16"/>
        <v/>
      </c>
      <c r="G188" s="26" t="str">
        <f t="shared" si="17"/>
        <v/>
      </c>
    </row>
    <row r="189" spans="1:7" ht="15" customHeight="1" x14ac:dyDescent="0.25">
      <c r="A189" s="27" t="str">
        <f>IF(OR(170&gt;$C$10*$C$11,N(G188)&lt;=0.005),"",170)</f>
        <v/>
      </c>
      <c r="B189" s="28" t="str">
        <f t="shared" si="13"/>
        <v/>
      </c>
      <c r="C189" s="29" t="str">
        <f t="shared" si="12"/>
        <v/>
      </c>
      <c r="D189" s="29" t="str">
        <f t="shared" si="14"/>
        <v/>
      </c>
      <c r="E189" s="29" t="str">
        <f t="shared" si="15"/>
        <v/>
      </c>
      <c r="F189" s="29" t="str">
        <f t="shared" si="16"/>
        <v/>
      </c>
      <c r="G189" s="30" t="str">
        <f t="shared" si="17"/>
        <v/>
      </c>
    </row>
    <row r="190" spans="1:7" ht="15" customHeight="1" x14ac:dyDescent="0.25">
      <c r="A190" s="23" t="str">
        <f>IF(OR(171&gt;$C$10*$C$11,N(G189)&lt;=0.005),"",171)</f>
        <v/>
      </c>
      <c r="B190" s="24" t="str">
        <f t="shared" si="13"/>
        <v/>
      </c>
      <c r="C190" s="25" t="str">
        <f t="shared" si="12"/>
        <v/>
      </c>
      <c r="D190" s="25" t="str">
        <f t="shared" si="14"/>
        <v/>
      </c>
      <c r="E190" s="25" t="str">
        <f t="shared" si="15"/>
        <v/>
      </c>
      <c r="F190" s="25" t="str">
        <f t="shared" si="16"/>
        <v/>
      </c>
      <c r="G190" s="26" t="str">
        <f t="shared" si="17"/>
        <v/>
      </c>
    </row>
    <row r="191" spans="1:7" ht="15" customHeight="1" x14ac:dyDescent="0.25">
      <c r="A191" s="27" t="str">
        <f>IF(OR(172&gt;$C$10*$C$11,N(G190)&lt;=0.005),"",172)</f>
        <v/>
      </c>
      <c r="B191" s="28" t="str">
        <f t="shared" si="13"/>
        <v/>
      </c>
      <c r="C191" s="29" t="str">
        <f t="shared" si="12"/>
        <v/>
      </c>
      <c r="D191" s="29" t="str">
        <f t="shared" si="14"/>
        <v/>
      </c>
      <c r="E191" s="29" t="str">
        <f t="shared" si="15"/>
        <v/>
      </c>
      <c r="F191" s="29" t="str">
        <f t="shared" si="16"/>
        <v/>
      </c>
      <c r="G191" s="30" t="str">
        <f t="shared" si="17"/>
        <v/>
      </c>
    </row>
    <row r="192" spans="1:7" ht="15" customHeight="1" x14ac:dyDescent="0.25">
      <c r="A192" s="23" t="str">
        <f>IF(OR(173&gt;$C$10*$C$11,N(G191)&lt;=0.005),"",173)</f>
        <v/>
      </c>
      <c r="B192" s="24" t="str">
        <f t="shared" si="13"/>
        <v/>
      </c>
      <c r="C192" s="25" t="str">
        <f t="shared" si="12"/>
        <v/>
      </c>
      <c r="D192" s="25" t="str">
        <f t="shared" si="14"/>
        <v/>
      </c>
      <c r="E192" s="25" t="str">
        <f t="shared" si="15"/>
        <v/>
      </c>
      <c r="F192" s="25" t="str">
        <f t="shared" si="16"/>
        <v/>
      </c>
      <c r="G192" s="26" t="str">
        <f t="shared" si="17"/>
        <v/>
      </c>
    </row>
    <row r="193" spans="1:7" ht="15" customHeight="1" x14ac:dyDescent="0.25">
      <c r="A193" s="27" t="str">
        <f>IF(OR(174&gt;$C$10*$C$11,N(G192)&lt;=0.005),"",174)</f>
        <v/>
      </c>
      <c r="B193" s="28" t="str">
        <f t="shared" si="13"/>
        <v/>
      </c>
      <c r="C193" s="29" t="str">
        <f t="shared" si="12"/>
        <v/>
      </c>
      <c r="D193" s="29" t="str">
        <f t="shared" si="14"/>
        <v/>
      </c>
      <c r="E193" s="29" t="str">
        <f t="shared" si="15"/>
        <v/>
      </c>
      <c r="F193" s="29" t="str">
        <f t="shared" si="16"/>
        <v/>
      </c>
      <c r="G193" s="30" t="str">
        <f t="shared" si="17"/>
        <v/>
      </c>
    </row>
    <row r="194" spans="1:7" ht="15" customHeight="1" x14ac:dyDescent="0.25">
      <c r="A194" s="23" t="str">
        <f>IF(OR(175&gt;$C$10*$C$11,N(G193)&lt;=0.005),"",175)</f>
        <v/>
      </c>
      <c r="B194" s="24" t="str">
        <f t="shared" si="13"/>
        <v/>
      </c>
      <c r="C194" s="25" t="str">
        <f t="shared" si="12"/>
        <v/>
      </c>
      <c r="D194" s="25" t="str">
        <f t="shared" si="14"/>
        <v/>
      </c>
      <c r="E194" s="25" t="str">
        <f t="shared" si="15"/>
        <v/>
      </c>
      <c r="F194" s="25" t="str">
        <f t="shared" si="16"/>
        <v/>
      </c>
      <c r="G194" s="26" t="str">
        <f t="shared" si="17"/>
        <v/>
      </c>
    </row>
    <row r="195" spans="1:7" ht="15" customHeight="1" x14ac:dyDescent="0.25">
      <c r="A195" s="27" t="str">
        <f>IF(OR(176&gt;$C$10*$C$11,N(G194)&lt;=0.005),"",176)</f>
        <v/>
      </c>
      <c r="B195" s="28" t="str">
        <f t="shared" si="13"/>
        <v/>
      </c>
      <c r="C195" s="29" t="str">
        <f t="shared" si="12"/>
        <v/>
      </c>
      <c r="D195" s="29" t="str">
        <f t="shared" si="14"/>
        <v/>
      </c>
      <c r="E195" s="29" t="str">
        <f t="shared" si="15"/>
        <v/>
      </c>
      <c r="F195" s="29" t="str">
        <f t="shared" si="16"/>
        <v/>
      </c>
      <c r="G195" s="30" t="str">
        <f t="shared" si="17"/>
        <v/>
      </c>
    </row>
    <row r="196" spans="1:7" ht="15" customHeight="1" x14ac:dyDescent="0.25">
      <c r="A196" s="23" t="str">
        <f>IF(OR(177&gt;$C$10*$C$11,N(G195)&lt;=0.005),"",177)</f>
        <v/>
      </c>
      <c r="B196" s="24" t="str">
        <f t="shared" si="13"/>
        <v/>
      </c>
      <c r="C196" s="25" t="str">
        <f t="shared" si="12"/>
        <v/>
      </c>
      <c r="D196" s="25" t="str">
        <f t="shared" si="14"/>
        <v/>
      </c>
      <c r="E196" s="25" t="str">
        <f t="shared" si="15"/>
        <v/>
      </c>
      <c r="F196" s="25" t="str">
        <f t="shared" si="16"/>
        <v/>
      </c>
      <c r="G196" s="26" t="str">
        <f t="shared" si="17"/>
        <v/>
      </c>
    </row>
    <row r="197" spans="1:7" ht="15" customHeight="1" x14ac:dyDescent="0.25">
      <c r="A197" s="27" t="str">
        <f>IF(OR(178&gt;$C$10*$C$11,N(G196)&lt;=0.005),"",178)</f>
        <v/>
      </c>
      <c r="B197" s="28" t="str">
        <f t="shared" si="13"/>
        <v/>
      </c>
      <c r="C197" s="29" t="str">
        <f t="shared" si="12"/>
        <v/>
      </c>
      <c r="D197" s="29" t="str">
        <f t="shared" si="14"/>
        <v/>
      </c>
      <c r="E197" s="29" t="str">
        <f t="shared" si="15"/>
        <v/>
      </c>
      <c r="F197" s="29" t="str">
        <f t="shared" si="16"/>
        <v/>
      </c>
      <c r="G197" s="30" t="str">
        <f t="shared" si="17"/>
        <v/>
      </c>
    </row>
    <row r="198" spans="1:7" ht="15" customHeight="1" x14ac:dyDescent="0.25">
      <c r="A198" s="23" t="str">
        <f>IF(OR(179&gt;$C$10*$C$11,N(G197)&lt;=0.005),"",179)</f>
        <v/>
      </c>
      <c r="B198" s="24" t="str">
        <f t="shared" si="13"/>
        <v/>
      </c>
      <c r="C198" s="25" t="str">
        <f t="shared" si="12"/>
        <v/>
      </c>
      <c r="D198" s="25" t="str">
        <f t="shared" si="14"/>
        <v/>
      </c>
      <c r="E198" s="25" t="str">
        <f t="shared" si="15"/>
        <v/>
      </c>
      <c r="F198" s="25" t="str">
        <f t="shared" si="16"/>
        <v/>
      </c>
      <c r="G198" s="26" t="str">
        <f t="shared" si="17"/>
        <v/>
      </c>
    </row>
    <row r="199" spans="1:7" ht="15" customHeight="1" x14ac:dyDescent="0.25">
      <c r="A199" s="27" t="str">
        <f>IF(OR(180&gt;$C$10*$C$11,N(G198)&lt;=0.005),"",180)</f>
        <v/>
      </c>
      <c r="B199" s="28" t="str">
        <f t="shared" si="13"/>
        <v/>
      </c>
      <c r="C199" s="29" t="str">
        <f t="shared" si="12"/>
        <v/>
      </c>
      <c r="D199" s="29" t="str">
        <f t="shared" si="14"/>
        <v/>
      </c>
      <c r="E199" s="29" t="str">
        <f t="shared" si="15"/>
        <v/>
      </c>
      <c r="F199" s="29" t="str">
        <f t="shared" si="16"/>
        <v/>
      </c>
      <c r="G199" s="30" t="str">
        <f t="shared" si="17"/>
        <v/>
      </c>
    </row>
    <row r="200" spans="1:7" ht="15" customHeight="1" x14ac:dyDescent="0.25">
      <c r="A200" s="23" t="str">
        <f>IF(OR(181&gt;$C$10*$C$11,N(G199)&lt;=0.005),"",181)</f>
        <v/>
      </c>
      <c r="B200" s="24" t="str">
        <f t="shared" si="13"/>
        <v/>
      </c>
      <c r="C200" s="25" t="str">
        <f t="shared" si="12"/>
        <v/>
      </c>
      <c r="D200" s="25" t="str">
        <f t="shared" si="14"/>
        <v/>
      </c>
      <c r="E200" s="25" t="str">
        <f t="shared" si="15"/>
        <v/>
      </c>
      <c r="F200" s="25" t="str">
        <f t="shared" si="16"/>
        <v/>
      </c>
      <c r="G200" s="26" t="str">
        <f t="shared" si="17"/>
        <v/>
      </c>
    </row>
    <row r="201" spans="1:7" ht="15" customHeight="1" x14ac:dyDescent="0.25">
      <c r="A201" s="27" t="str">
        <f>IF(OR(182&gt;$C$10*$C$11,N(G200)&lt;=0.005),"",182)</f>
        <v/>
      </c>
      <c r="B201" s="28" t="str">
        <f t="shared" si="13"/>
        <v/>
      </c>
      <c r="C201" s="29" t="str">
        <f t="shared" si="12"/>
        <v/>
      </c>
      <c r="D201" s="29" t="str">
        <f t="shared" si="14"/>
        <v/>
      </c>
      <c r="E201" s="29" t="str">
        <f t="shared" si="15"/>
        <v/>
      </c>
      <c r="F201" s="29" t="str">
        <f t="shared" si="16"/>
        <v/>
      </c>
      <c r="G201" s="30" t="str">
        <f t="shared" si="17"/>
        <v/>
      </c>
    </row>
    <row r="202" spans="1:7" ht="15" customHeight="1" x14ac:dyDescent="0.25">
      <c r="A202" s="23" t="str">
        <f>IF(OR(183&gt;$C$10*$C$11,N(G201)&lt;=0.005),"",183)</f>
        <v/>
      </c>
      <c r="B202" s="24" t="str">
        <f t="shared" si="13"/>
        <v/>
      </c>
      <c r="C202" s="25" t="str">
        <f t="shared" si="12"/>
        <v/>
      </c>
      <c r="D202" s="25" t="str">
        <f t="shared" si="14"/>
        <v/>
      </c>
      <c r="E202" s="25" t="str">
        <f t="shared" si="15"/>
        <v/>
      </c>
      <c r="F202" s="25" t="str">
        <f t="shared" si="16"/>
        <v/>
      </c>
      <c r="G202" s="26" t="str">
        <f t="shared" si="17"/>
        <v/>
      </c>
    </row>
    <row r="203" spans="1:7" ht="15" customHeight="1" x14ac:dyDescent="0.25">
      <c r="A203" s="27" t="str">
        <f>IF(OR(184&gt;$C$10*$C$11,N(G202)&lt;=0.005),"",184)</f>
        <v/>
      </c>
      <c r="B203" s="28" t="str">
        <f t="shared" si="13"/>
        <v/>
      </c>
      <c r="C203" s="29" t="str">
        <f t="shared" si="12"/>
        <v/>
      </c>
      <c r="D203" s="29" t="str">
        <f t="shared" si="14"/>
        <v/>
      </c>
      <c r="E203" s="29" t="str">
        <f t="shared" si="15"/>
        <v/>
      </c>
      <c r="F203" s="29" t="str">
        <f t="shared" si="16"/>
        <v/>
      </c>
      <c r="G203" s="30" t="str">
        <f t="shared" si="17"/>
        <v/>
      </c>
    </row>
    <row r="204" spans="1:7" ht="15" customHeight="1" x14ac:dyDescent="0.25">
      <c r="A204" s="23" t="str">
        <f>IF(OR(185&gt;$C$10*$C$11,N(G203)&lt;=0.005),"",185)</f>
        <v/>
      </c>
      <c r="B204" s="24" t="str">
        <f t="shared" si="13"/>
        <v/>
      </c>
      <c r="C204" s="25" t="str">
        <f t="shared" si="12"/>
        <v/>
      </c>
      <c r="D204" s="25" t="str">
        <f t="shared" si="14"/>
        <v/>
      </c>
      <c r="E204" s="25" t="str">
        <f t="shared" si="15"/>
        <v/>
      </c>
      <c r="F204" s="25" t="str">
        <f t="shared" si="16"/>
        <v/>
      </c>
      <c r="G204" s="26" t="str">
        <f t="shared" si="17"/>
        <v/>
      </c>
    </row>
    <row r="205" spans="1:7" ht="15" customHeight="1" x14ac:dyDescent="0.25">
      <c r="A205" s="27" t="str">
        <f>IF(OR(186&gt;$C$10*$C$11,N(G204)&lt;=0.005),"",186)</f>
        <v/>
      </c>
      <c r="B205" s="28" t="str">
        <f t="shared" si="13"/>
        <v/>
      </c>
      <c r="C205" s="29" t="str">
        <f t="shared" si="12"/>
        <v/>
      </c>
      <c r="D205" s="29" t="str">
        <f t="shared" si="14"/>
        <v/>
      </c>
      <c r="E205" s="29" t="str">
        <f t="shared" si="15"/>
        <v/>
      </c>
      <c r="F205" s="29" t="str">
        <f t="shared" si="16"/>
        <v/>
      </c>
      <c r="G205" s="30" t="str">
        <f t="shared" si="17"/>
        <v/>
      </c>
    </row>
    <row r="206" spans="1:7" ht="15" customHeight="1" x14ac:dyDescent="0.25">
      <c r="A206" s="23" t="str">
        <f>IF(OR(187&gt;$C$10*$C$11,N(G205)&lt;=0.005),"",187)</f>
        <v/>
      </c>
      <c r="B206" s="24" t="str">
        <f t="shared" si="13"/>
        <v/>
      </c>
      <c r="C206" s="25" t="str">
        <f t="shared" si="12"/>
        <v/>
      </c>
      <c r="D206" s="25" t="str">
        <f t="shared" si="14"/>
        <v/>
      </c>
      <c r="E206" s="25" t="str">
        <f t="shared" si="15"/>
        <v/>
      </c>
      <c r="F206" s="25" t="str">
        <f t="shared" si="16"/>
        <v/>
      </c>
      <c r="G206" s="26" t="str">
        <f t="shared" si="17"/>
        <v/>
      </c>
    </row>
    <row r="207" spans="1:7" ht="15" customHeight="1" x14ac:dyDescent="0.25">
      <c r="A207" s="27" t="str">
        <f>IF(OR(188&gt;$C$10*$C$11,N(G206)&lt;=0.005),"",188)</f>
        <v/>
      </c>
      <c r="B207" s="28" t="str">
        <f t="shared" si="13"/>
        <v/>
      </c>
      <c r="C207" s="29" t="str">
        <f t="shared" si="12"/>
        <v/>
      </c>
      <c r="D207" s="29" t="str">
        <f t="shared" si="14"/>
        <v/>
      </c>
      <c r="E207" s="29" t="str">
        <f t="shared" si="15"/>
        <v/>
      </c>
      <c r="F207" s="29" t="str">
        <f t="shared" si="16"/>
        <v/>
      </c>
      <c r="G207" s="30" t="str">
        <f t="shared" si="17"/>
        <v/>
      </c>
    </row>
    <row r="208" spans="1:7" ht="15" customHeight="1" x14ac:dyDescent="0.25">
      <c r="A208" s="23" t="str">
        <f>IF(OR(189&gt;$C$10*$C$11,N(G207)&lt;=0.005),"",189)</f>
        <v/>
      </c>
      <c r="B208" s="24" t="str">
        <f t="shared" si="13"/>
        <v/>
      </c>
      <c r="C208" s="25" t="str">
        <f t="shared" si="12"/>
        <v/>
      </c>
      <c r="D208" s="25" t="str">
        <f t="shared" si="14"/>
        <v/>
      </c>
      <c r="E208" s="25" t="str">
        <f t="shared" si="15"/>
        <v/>
      </c>
      <c r="F208" s="25" t="str">
        <f t="shared" si="16"/>
        <v/>
      </c>
      <c r="G208" s="26" t="str">
        <f t="shared" si="17"/>
        <v/>
      </c>
    </row>
    <row r="209" spans="1:7" ht="15" customHeight="1" x14ac:dyDescent="0.25">
      <c r="A209" s="27" t="str">
        <f>IF(OR(190&gt;$C$10*$C$11,N(G208)&lt;=0.005),"",190)</f>
        <v/>
      </c>
      <c r="B209" s="28" t="str">
        <f t="shared" si="13"/>
        <v/>
      </c>
      <c r="C209" s="29" t="str">
        <f t="shared" si="12"/>
        <v/>
      </c>
      <c r="D209" s="29" t="str">
        <f t="shared" si="14"/>
        <v/>
      </c>
      <c r="E209" s="29" t="str">
        <f t="shared" si="15"/>
        <v/>
      </c>
      <c r="F209" s="29" t="str">
        <f t="shared" si="16"/>
        <v/>
      </c>
      <c r="G209" s="30" t="str">
        <f t="shared" si="17"/>
        <v/>
      </c>
    </row>
    <row r="210" spans="1:7" ht="15" customHeight="1" x14ac:dyDescent="0.25">
      <c r="A210" s="23" t="str">
        <f>IF(OR(191&gt;$C$10*$C$11,N(G209)&lt;=0.005),"",191)</f>
        <v/>
      </c>
      <c r="B210" s="24" t="str">
        <f t="shared" si="13"/>
        <v/>
      </c>
      <c r="C210" s="25" t="str">
        <f t="shared" si="12"/>
        <v/>
      </c>
      <c r="D210" s="25" t="str">
        <f t="shared" si="14"/>
        <v/>
      </c>
      <c r="E210" s="25" t="str">
        <f t="shared" si="15"/>
        <v/>
      </c>
      <c r="F210" s="25" t="str">
        <f t="shared" si="16"/>
        <v/>
      </c>
      <c r="G210" s="26" t="str">
        <f t="shared" si="17"/>
        <v/>
      </c>
    </row>
    <row r="211" spans="1:7" ht="15" customHeight="1" x14ac:dyDescent="0.25">
      <c r="A211" s="27" t="str">
        <f>IF(OR(192&gt;$C$10*$C$11,N(G210)&lt;=0.005),"",192)</f>
        <v/>
      </c>
      <c r="B211" s="28" t="str">
        <f t="shared" si="13"/>
        <v/>
      </c>
      <c r="C211" s="29" t="str">
        <f t="shared" si="12"/>
        <v/>
      </c>
      <c r="D211" s="29" t="str">
        <f t="shared" si="14"/>
        <v/>
      </c>
      <c r="E211" s="29" t="str">
        <f t="shared" si="15"/>
        <v/>
      </c>
      <c r="F211" s="29" t="str">
        <f t="shared" si="16"/>
        <v/>
      </c>
      <c r="G211" s="30" t="str">
        <f t="shared" si="17"/>
        <v/>
      </c>
    </row>
    <row r="212" spans="1:7" ht="15" customHeight="1" x14ac:dyDescent="0.25">
      <c r="A212" s="23" t="str">
        <f>IF(OR(193&gt;$C$10*$C$11,N(G211)&lt;=0.005),"",193)</f>
        <v/>
      </c>
      <c r="B212" s="24" t="str">
        <f t="shared" si="13"/>
        <v/>
      </c>
      <c r="C212" s="25" t="str">
        <f t="shared" ref="C212:C275" si="18">IF(A212="","",D212+E212+F212)</f>
        <v/>
      </c>
      <c r="D212" s="25" t="str">
        <f t="shared" si="14"/>
        <v/>
      </c>
      <c r="E212" s="25" t="str">
        <f t="shared" si="15"/>
        <v/>
      </c>
      <c r="F212" s="25" t="str">
        <f t="shared" si="16"/>
        <v/>
      </c>
      <c r="G212" s="26" t="str">
        <f t="shared" si="17"/>
        <v/>
      </c>
    </row>
    <row r="213" spans="1:7" ht="15" customHeight="1" x14ac:dyDescent="0.25">
      <c r="A213" s="27" t="str">
        <f>IF(OR(194&gt;$C$10*$C$11,N(G212)&lt;=0.005),"",194)</f>
        <v/>
      </c>
      <c r="B213" s="28" t="str">
        <f t="shared" ref="B213:B276" si="19">IF(A213="","",EDATE($C$12,(A213-1)*(12/$C$11)))</f>
        <v/>
      </c>
      <c r="C213" s="29" t="str">
        <f t="shared" si="18"/>
        <v/>
      </c>
      <c r="D213" s="29" t="str">
        <f t="shared" ref="D213:D276" si="20">IF(A213="","",N(G212)*$C$9/$C$11)</f>
        <v/>
      </c>
      <c r="E213" s="29" t="str">
        <f t="shared" ref="E213:E276" si="21">IF(A213="","",MIN($C$15-D213,N(G212)))</f>
        <v/>
      </c>
      <c r="F213" s="29" t="str">
        <f t="shared" ref="F213:F276" si="22">IF(A213="","",IF(AND($C$13&gt;0,MOD(A213,$C$11)=0),MIN($C$13,N(G212)-E213),0))</f>
        <v/>
      </c>
      <c r="G213" s="30" t="str">
        <f t="shared" ref="G213:G276" si="23">IF(A213="","",MAX(N(G212)-E213-F213,0))</f>
        <v/>
      </c>
    </row>
    <row r="214" spans="1:7" ht="15" customHeight="1" x14ac:dyDescent="0.25">
      <c r="A214" s="23" t="str">
        <f>IF(OR(195&gt;$C$10*$C$11,N(G213)&lt;=0.005),"",195)</f>
        <v/>
      </c>
      <c r="B214" s="24" t="str">
        <f t="shared" si="19"/>
        <v/>
      </c>
      <c r="C214" s="25" t="str">
        <f t="shared" si="18"/>
        <v/>
      </c>
      <c r="D214" s="25" t="str">
        <f t="shared" si="20"/>
        <v/>
      </c>
      <c r="E214" s="25" t="str">
        <f t="shared" si="21"/>
        <v/>
      </c>
      <c r="F214" s="25" t="str">
        <f t="shared" si="22"/>
        <v/>
      </c>
      <c r="G214" s="26" t="str">
        <f t="shared" si="23"/>
        <v/>
      </c>
    </row>
    <row r="215" spans="1:7" ht="15" customHeight="1" x14ac:dyDescent="0.25">
      <c r="A215" s="27" t="str">
        <f>IF(OR(196&gt;$C$10*$C$11,N(G214)&lt;=0.005),"",196)</f>
        <v/>
      </c>
      <c r="B215" s="28" t="str">
        <f t="shared" si="19"/>
        <v/>
      </c>
      <c r="C215" s="29" t="str">
        <f t="shared" si="18"/>
        <v/>
      </c>
      <c r="D215" s="29" t="str">
        <f t="shared" si="20"/>
        <v/>
      </c>
      <c r="E215" s="29" t="str">
        <f t="shared" si="21"/>
        <v/>
      </c>
      <c r="F215" s="29" t="str">
        <f t="shared" si="22"/>
        <v/>
      </c>
      <c r="G215" s="30" t="str">
        <f t="shared" si="23"/>
        <v/>
      </c>
    </row>
    <row r="216" spans="1:7" ht="15" customHeight="1" x14ac:dyDescent="0.25">
      <c r="A216" s="23" t="str">
        <f>IF(OR(197&gt;$C$10*$C$11,N(G215)&lt;=0.005),"",197)</f>
        <v/>
      </c>
      <c r="B216" s="24" t="str">
        <f t="shared" si="19"/>
        <v/>
      </c>
      <c r="C216" s="25" t="str">
        <f t="shared" si="18"/>
        <v/>
      </c>
      <c r="D216" s="25" t="str">
        <f t="shared" si="20"/>
        <v/>
      </c>
      <c r="E216" s="25" t="str">
        <f t="shared" si="21"/>
        <v/>
      </c>
      <c r="F216" s="25" t="str">
        <f t="shared" si="22"/>
        <v/>
      </c>
      <c r="G216" s="26" t="str">
        <f t="shared" si="23"/>
        <v/>
      </c>
    </row>
    <row r="217" spans="1:7" ht="15" customHeight="1" x14ac:dyDescent="0.25">
      <c r="A217" s="27" t="str">
        <f>IF(OR(198&gt;$C$10*$C$11,N(G216)&lt;=0.005),"",198)</f>
        <v/>
      </c>
      <c r="B217" s="28" t="str">
        <f t="shared" si="19"/>
        <v/>
      </c>
      <c r="C217" s="29" t="str">
        <f t="shared" si="18"/>
        <v/>
      </c>
      <c r="D217" s="29" t="str">
        <f t="shared" si="20"/>
        <v/>
      </c>
      <c r="E217" s="29" t="str">
        <f t="shared" si="21"/>
        <v/>
      </c>
      <c r="F217" s="29" t="str">
        <f t="shared" si="22"/>
        <v/>
      </c>
      <c r="G217" s="30" t="str">
        <f t="shared" si="23"/>
        <v/>
      </c>
    </row>
    <row r="218" spans="1:7" ht="15" customHeight="1" x14ac:dyDescent="0.25">
      <c r="A218" s="23" t="str">
        <f>IF(OR(199&gt;$C$10*$C$11,N(G217)&lt;=0.005),"",199)</f>
        <v/>
      </c>
      <c r="B218" s="24" t="str">
        <f t="shared" si="19"/>
        <v/>
      </c>
      <c r="C218" s="25" t="str">
        <f t="shared" si="18"/>
        <v/>
      </c>
      <c r="D218" s="25" t="str">
        <f t="shared" si="20"/>
        <v/>
      </c>
      <c r="E218" s="25" t="str">
        <f t="shared" si="21"/>
        <v/>
      </c>
      <c r="F218" s="25" t="str">
        <f t="shared" si="22"/>
        <v/>
      </c>
      <c r="G218" s="26" t="str">
        <f t="shared" si="23"/>
        <v/>
      </c>
    </row>
    <row r="219" spans="1:7" ht="15" customHeight="1" x14ac:dyDescent="0.25">
      <c r="A219" s="27" t="str">
        <f>IF(OR(200&gt;$C$10*$C$11,N(G218)&lt;=0.005),"",200)</f>
        <v/>
      </c>
      <c r="B219" s="28" t="str">
        <f t="shared" si="19"/>
        <v/>
      </c>
      <c r="C219" s="29" t="str">
        <f t="shared" si="18"/>
        <v/>
      </c>
      <c r="D219" s="29" t="str">
        <f t="shared" si="20"/>
        <v/>
      </c>
      <c r="E219" s="29" t="str">
        <f t="shared" si="21"/>
        <v/>
      </c>
      <c r="F219" s="29" t="str">
        <f t="shared" si="22"/>
        <v/>
      </c>
      <c r="G219" s="30" t="str">
        <f t="shared" si="23"/>
        <v/>
      </c>
    </row>
    <row r="220" spans="1:7" ht="15" customHeight="1" x14ac:dyDescent="0.25">
      <c r="A220" s="23" t="str">
        <f>IF(OR(201&gt;$C$10*$C$11,N(G219)&lt;=0.005),"",201)</f>
        <v/>
      </c>
      <c r="B220" s="24" t="str">
        <f t="shared" si="19"/>
        <v/>
      </c>
      <c r="C220" s="25" t="str">
        <f t="shared" si="18"/>
        <v/>
      </c>
      <c r="D220" s="25" t="str">
        <f t="shared" si="20"/>
        <v/>
      </c>
      <c r="E220" s="25" t="str">
        <f t="shared" si="21"/>
        <v/>
      </c>
      <c r="F220" s="25" t="str">
        <f t="shared" si="22"/>
        <v/>
      </c>
      <c r="G220" s="26" t="str">
        <f t="shared" si="23"/>
        <v/>
      </c>
    </row>
    <row r="221" spans="1:7" ht="15" customHeight="1" x14ac:dyDescent="0.25">
      <c r="A221" s="27" t="str">
        <f>IF(OR(202&gt;$C$10*$C$11,N(G220)&lt;=0.005),"",202)</f>
        <v/>
      </c>
      <c r="B221" s="28" t="str">
        <f t="shared" si="19"/>
        <v/>
      </c>
      <c r="C221" s="29" t="str">
        <f t="shared" si="18"/>
        <v/>
      </c>
      <c r="D221" s="29" t="str">
        <f t="shared" si="20"/>
        <v/>
      </c>
      <c r="E221" s="29" t="str">
        <f t="shared" si="21"/>
        <v/>
      </c>
      <c r="F221" s="29" t="str">
        <f t="shared" si="22"/>
        <v/>
      </c>
      <c r="G221" s="30" t="str">
        <f t="shared" si="23"/>
        <v/>
      </c>
    </row>
    <row r="222" spans="1:7" ht="15" customHeight="1" x14ac:dyDescent="0.25">
      <c r="A222" s="23" t="str">
        <f>IF(OR(203&gt;$C$10*$C$11,N(G221)&lt;=0.005),"",203)</f>
        <v/>
      </c>
      <c r="B222" s="24" t="str">
        <f t="shared" si="19"/>
        <v/>
      </c>
      <c r="C222" s="25" t="str">
        <f t="shared" si="18"/>
        <v/>
      </c>
      <c r="D222" s="25" t="str">
        <f t="shared" si="20"/>
        <v/>
      </c>
      <c r="E222" s="25" t="str">
        <f t="shared" si="21"/>
        <v/>
      </c>
      <c r="F222" s="25" t="str">
        <f t="shared" si="22"/>
        <v/>
      </c>
      <c r="G222" s="26" t="str">
        <f t="shared" si="23"/>
        <v/>
      </c>
    </row>
    <row r="223" spans="1:7" ht="15" customHeight="1" x14ac:dyDescent="0.25">
      <c r="A223" s="27" t="str">
        <f>IF(OR(204&gt;$C$10*$C$11,N(G222)&lt;=0.005),"",204)</f>
        <v/>
      </c>
      <c r="B223" s="28" t="str">
        <f t="shared" si="19"/>
        <v/>
      </c>
      <c r="C223" s="29" t="str">
        <f t="shared" si="18"/>
        <v/>
      </c>
      <c r="D223" s="29" t="str">
        <f t="shared" si="20"/>
        <v/>
      </c>
      <c r="E223" s="29" t="str">
        <f t="shared" si="21"/>
        <v/>
      </c>
      <c r="F223" s="29" t="str">
        <f t="shared" si="22"/>
        <v/>
      </c>
      <c r="G223" s="30" t="str">
        <f t="shared" si="23"/>
        <v/>
      </c>
    </row>
    <row r="224" spans="1:7" ht="15" customHeight="1" x14ac:dyDescent="0.25">
      <c r="A224" s="23" t="str">
        <f>IF(OR(205&gt;$C$10*$C$11,N(G223)&lt;=0.005),"",205)</f>
        <v/>
      </c>
      <c r="B224" s="24" t="str">
        <f t="shared" si="19"/>
        <v/>
      </c>
      <c r="C224" s="25" t="str">
        <f t="shared" si="18"/>
        <v/>
      </c>
      <c r="D224" s="25" t="str">
        <f t="shared" si="20"/>
        <v/>
      </c>
      <c r="E224" s="25" t="str">
        <f t="shared" si="21"/>
        <v/>
      </c>
      <c r="F224" s="25" t="str">
        <f t="shared" si="22"/>
        <v/>
      </c>
      <c r="G224" s="26" t="str">
        <f t="shared" si="23"/>
        <v/>
      </c>
    </row>
    <row r="225" spans="1:7" ht="15" customHeight="1" x14ac:dyDescent="0.25">
      <c r="A225" s="27" t="str">
        <f>IF(OR(206&gt;$C$10*$C$11,N(G224)&lt;=0.005),"",206)</f>
        <v/>
      </c>
      <c r="B225" s="28" t="str">
        <f t="shared" si="19"/>
        <v/>
      </c>
      <c r="C225" s="29" t="str">
        <f t="shared" si="18"/>
        <v/>
      </c>
      <c r="D225" s="29" t="str">
        <f t="shared" si="20"/>
        <v/>
      </c>
      <c r="E225" s="29" t="str">
        <f t="shared" si="21"/>
        <v/>
      </c>
      <c r="F225" s="29" t="str">
        <f t="shared" si="22"/>
        <v/>
      </c>
      <c r="G225" s="30" t="str">
        <f t="shared" si="23"/>
        <v/>
      </c>
    </row>
    <row r="226" spans="1:7" ht="15" customHeight="1" x14ac:dyDescent="0.25">
      <c r="A226" s="23" t="str">
        <f>IF(OR(207&gt;$C$10*$C$11,N(G225)&lt;=0.005),"",207)</f>
        <v/>
      </c>
      <c r="B226" s="24" t="str">
        <f t="shared" si="19"/>
        <v/>
      </c>
      <c r="C226" s="25" t="str">
        <f t="shared" si="18"/>
        <v/>
      </c>
      <c r="D226" s="25" t="str">
        <f t="shared" si="20"/>
        <v/>
      </c>
      <c r="E226" s="25" t="str">
        <f t="shared" si="21"/>
        <v/>
      </c>
      <c r="F226" s="25" t="str">
        <f t="shared" si="22"/>
        <v/>
      </c>
      <c r="G226" s="26" t="str">
        <f t="shared" si="23"/>
        <v/>
      </c>
    </row>
    <row r="227" spans="1:7" ht="15" customHeight="1" x14ac:dyDescent="0.25">
      <c r="A227" s="27" t="str">
        <f>IF(OR(208&gt;$C$10*$C$11,N(G226)&lt;=0.005),"",208)</f>
        <v/>
      </c>
      <c r="B227" s="28" t="str">
        <f t="shared" si="19"/>
        <v/>
      </c>
      <c r="C227" s="29" t="str">
        <f t="shared" si="18"/>
        <v/>
      </c>
      <c r="D227" s="29" t="str">
        <f t="shared" si="20"/>
        <v/>
      </c>
      <c r="E227" s="29" t="str">
        <f t="shared" si="21"/>
        <v/>
      </c>
      <c r="F227" s="29" t="str">
        <f t="shared" si="22"/>
        <v/>
      </c>
      <c r="G227" s="30" t="str">
        <f t="shared" si="23"/>
        <v/>
      </c>
    </row>
    <row r="228" spans="1:7" ht="15" customHeight="1" x14ac:dyDescent="0.25">
      <c r="A228" s="23" t="str">
        <f>IF(OR(209&gt;$C$10*$C$11,N(G227)&lt;=0.005),"",209)</f>
        <v/>
      </c>
      <c r="B228" s="24" t="str">
        <f t="shared" si="19"/>
        <v/>
      </c>
      <c r="C228" s="25" t="str">
        <f t="shared" si="18"/>
        <v/>
      </c>
      <c r="D228" s="25" t="str">
        <f t="shared" si="20"/>
        <v/>
      </c>
      <c r="E228" s="25" t="str">
        <f t="shared" si="21"/>
        <v/>
      </c>
      <c r="F228" s="25" t="str">
        <f t="shared" si="22"/>
        <v/>
      </c>
      <c r="G228" s="26" t="str">
        <f t="shared" si="23"/>
        <v/>
      </c>
    </row>
    <row r="229" spans="1:7" ht="15" customHeight="1" x14ac:dyDescent="0.25">
      <c r="A229" s="27" t="str">
        <f>IF(OR(210&gt;$C$10*$C$11,N(G228)&lt;=0.005),"",210)</f>
        <v/>
      </c>
      <c r="B229" s="28" t="str">
        <f t="shared" si="19"/>
        <v/>
      </c>
      <c r="C229" s="29" t="str">
        <f t="shared" si="18"/>
        <v/>
      </c>
      <c r="D229" s="29" t="str">
        <f t="shared" si="20"/>
        <v/>
      </c>
      <c r="E229" s="29" t="str">
        <f t="shared" si="21"/>
        <v/>
      </c>
      <c r="F229" s="29" t="str">
        <f t="shared" si="22"/>
        <v/>
      </c>
      <c r="G229" s="30" t="str">
        <f t="shared" si="23"/>
        <v/>
      </c>
    </row>
    <row r="230" spans="1:7" ht="15" customHeight="1" x14ac:dyDescent="0.25">
      <c r="A230" s="23" t="str">
        <f>IF(OR(211&gt;$C$10*$C$11,N(G229)&lt;=0.005),"",211)</f>
        <v/>
      </c>
      <c r="B230" s="24" t="str">
        <f t="shared" si="19"/>
        <v/>
      </c>
      <c r="C230" s="25" t="str">
        <f t="shared" si="18"/>
        <v/>
      </c>
      <c r="D230" s="25" t="str">
        <f t="shared" si="20"/>
        <v/>
      </c>
      <c r="E230" s="25" t="str">
        <f t="shared" si="21"/>
        <v/>
      </c>
      <c r="F230" s="25" t="str">
        <f t="shared" si="22"/>
        <v/>
      </c>
      <c r="G230" s="26" t="str">
        <f t="shared" si="23"/>
        <v/>
      </c>
    </row>
    <row r="231" spans="1:7" ht="15" customHeight="1" x14ac:dyDescent="0.25">
      <c r="A231" s="27" t="str">
        <f>IF(OR(212&gt;$C$10*$C$11,N(G230)&lt;=0.005),"",212)</f>
        <v/>
      </c>
      <c r="B231" s="28" t="str">
        <f t="shared" si="19"/>
        <v/>
      </c>
      <c r="C231" s="29" t="str">
        <f t="shared" si="18"/>
        <v/>
      </c>
      <c r="D231" s="29" t="str">
        <f t="shared" si="20"/>
        <v/>
      </c>
      <c r="E231" s="29" t="str">
        <f t="shared" si="21"/>
        <v/>
      </c>
      <c r="F231" s="29" t="str">
        <f t="shared" si="22"/>
        <v/>
      </c>
      <c r="G231" s="30" t="str">
        <f t="shared" si="23"/>
        <v/>
      </c>
    </row>
    <row r="232" spans="1:7" ht="15" customHeight="1" x14ac:dyDescent="0.25">
      <c r="A232" s="23" t="str">
        <f>IF(OR(213&gt;$C$10*$C$11,N(G231)&lt;=0.005),"",213)</f>
        <v/>
      </c>
      <c r="B232" s="24" t="str">
        <f t="shared" si="19"/>
        <v/>
      </c>
      <c r="C232" s="25" t="str">
        <f t="shared" si="18"/>
        <v/>
      </c>
      <c r="D232" s="25" t="str">
        <f t="shared" si="20"/>
        <v/>
      </c>
      <c r="E232" s="25" t="str">
        <f t="shared" si="21"/>
        <v/>
      </c>
      <c r="F232" s="25" t="str">
        <f t="shared" si="22"/>
        <v/>
      </c>
      <c r="G232" s="26" t="str">
        <f t="shared" si="23"/>
        <v/>
      </c>
    </row>
    <row r="233" spans="1:7" ht="15" customHeight="1" x14ac:dyDescent="0.25">
      <c r="A233" s="27" t="str">
        <f>IF(OR(214&gt;$C$10*$C$11,N(G232)&lt;=0.005),"",214)</f>
        <v/>
      </c>
      <c r="B233" s="28" t="str">
        <f t="shared" si="19"/>
        <v/>
      </c>
      <c r="C233" s="29" t="str">
        <f t="shared" si="18"/>
        <v/>
      </c>
      <c r="D233" s="29" t="str">
        <f t="shared" si="20"/>
        <v/>
      </c>
      <c r="E233" s="29" t="str">
        <f t="shared" si="21"/>
        <v/>
      </c>
      <c r="F233" s="29" t="str">
        <f t="shared" si="22"/>
        <v/>
      </c>
      <c r="G233" s="30" t="str">
        <f t="shared" si="23"/>
        <v/>
      </c>
    </row>
    <row r="234" spans="1:7" ht="15" customHeight="1" x14ac:dyDescent="0.25">
      <c r="A234" s="23" t="str">
        <f>IF(OR(215&gt;$C$10*$C$11,N(G233)&lt;=0.005),"",215)</f>
        <v/>
      </c>
      <c r="B234" s="24" t="str">
        <f t="shared" si="19"/>
        <v/>
      </c>
      <c r="C234" s="25" t="str">
        <f t="shared" si="18"/>
        <v/>
      </c>
      <c r="D234" s="25" t="str">
        <f t="shared" si="20"/>
        <v/>
      </c>
      <c r="E234" s="25" t="str">
        <f t="shared" si="21"/>
        <v/>
      </c>
      <c r="F234" s="25" t="str">
        <f t="shared" si="22"/>
        <v/>
      </c>
      <c r="G234" s="26" t="str">
        <f t="shared" si="23"/>
        <v/>
      </c>
    </row>
    <row r="235" spans="1:7" ht="15" customHeight="1" x14ac:dyDescent="0.25">
      <c r="A235" s="27" t="str">
        <f>IF(OR(216&gt;$C$10*$C$11,N(G234)&lt;=0.005),"",216)</f>
        <v/>
      </c>
      <c r="B235" s="28" t="str">
        <f t="shared" si="19"/>
        <v/>
      </c>
      <c r="C235" s="29" t="str">
        <f t="shared" si="18"/>
        <v/>
      </c>
      <c r="D235" s="29" t="str">
        <f t="shared" si="20"/>
        <v/>
      </c>
      <c r="E235" s="29" t="str">
        <f t="shared" si="21"/>
        <v/>
      </c>
      <c r="F235" s="29" t="str">
        <f t="shared" si="22"/>
        <v/>
      </c>
      <c r="G235" s="30" t="str">
        <f t="shared" si="23"/>
        <v/>
      </c>
    </row>
    <row r="236" spans="1:7" ht="15" customHeight="1" x14ac:dyDescent="0.25">
      <c r="A236" s="23" t="str">
        <f>IF(OR(217&gt;$C$10*$C$11,N(G235)&lt;=0.005),"",217)</f>
        <v/>
      </c>
      <c r="B236" s="24" t="str">
        <f t="shared" si="19"/>
        <v/>
      </c>
      <c r="C236" s="25" t="str">
        <f t="shared" si="18"/>
        <v/>
      </c>
      <c r="D236" s="25" t="str">
        <f t="shared" si="20"/>
        <v/>
      </c>
      <c r="E236" s="25" t="str">
        <f t="shared" si="21"/>
        <v/>
      </c>
      <c r="F236" s="25" t="str">
        <f t="shared" si="22"/>
        <v/>
      </c>
      <c r="G236" s="26" t="str">
        <f t="shared" si="23"/>
        <v/>
      </c>
    </row>
    <row r="237" spans="1:7" ht="15" customHeight="1" x14ac:dyDescent="0.25">
      <c r="A237" s="27" t="str">
        <f>IF(OR(218&gt;$C$10*$C$11,N(G236)&lt;=0.005),"",218)</f>
        <v/>
      </c>
      <c r="B237" s="28" t="str">
        <f t="shared" si="19"/>
        <v/>
      </c>
      <c r="C237" s="29" t="str">
        <f t="shared" si="18"/>
        <v/>
      </c>
      <c r="D237" s="29" t="str">
        <f t="shared" si="20"/>
        <v/>
      </c>
      <c r="E237" s="29" t="str">
        <f t="shared" si="21"/>
        <v/>
      </c>
      <c r="F237" s="29" t="str">
        <f t="shared" si="22"/>
        <v/>
      </c>
      <c r="G237" s="30" t="str">
        <f t="shared" si="23"/>
        <v/>
      </c>
    </row>
    <row r="238" spans="1:7" ht="15" customHeight="1" x14ac:dyDescent="0.25">
      <c r="A238" s="23" t="str">
        <f>IF(OR(219&gt;$C$10*$C$11,N(G237)&lt;=0.005),"",219)</f>
        <v/>
      </c>
      <c r="B238" s="24" t="str">
        <f t="shared" si="19"/>
        <v/>
      </c>
      <c r="C238" s="25" t="str">
        <f t="shared" si="18"/>
        <v/>
      </c>
      <c r="D238" s="25" t="str">
        <f t="shared" si="20"/>
        <v/>
      </c>
      <c r="E238" s="25" t="str">
        <f t="shared" si="21"/>
        <v/>
      </c>
      <c r="F238" s="25" t="str">
        <f t="shared" si="22"/>
        <v/>
      </c>
      <c r="G238" s="26" t="str">
        <f t="shared" si="23"/>
        <v/>
      </c>
    </row>
    <row r="239" spans="1:7" ht="15" customHeight="1" x14ac:dyDescent="0.25">
      <c r="A239" s="27" t="str">
        <f>IF(OR(220&gt;$C$10*$C$11,N(G238)&lt;=0.005),"",220)</f>
        <v/>
      </c>
      <c r="B239" s="28" t="str">
        <f t="shared" si="19"/>
        <v/>
      </c>
      <c r="C239" s="29" t="str">
        <f t="shared" si="18"/>
        <v/>
      </c>
      <c r="D239" s="29" t="str">
        <f t="shared" si="20"/>
        <v/>
      </c>
      <c r="E239" s="29" t="str">
        <f t="shared" si="21"/>
        <v/>
      </c>
      <c r="F239" s="29" t="str">
        <f t="shared" si="22"/>
        <v/>
      </c>
      <c r="G239" s="30" t="str">
        <f t="shared" si="23"/>
        <v/>
      </c>
    </row>
    <row r="240" spans="1:7" ht="15" customHeight="1" x14ac:dyDescent="0.25">
      <c r="A240" s="23" t="str">
        <f>IF(OR(221&gt;$C$10*$C$11,N(G239)&lt;=0.005),"",221)</f>
        <v/>
      </c>
      <c r="B240" s="24" t="str">
        <f t="shared" si="19"/>
        <v/>
      </c>
      <c r="C240" s="25" t="str">
        <f t="shared" si="18"/>
        <v/>
      </c>
      <c r="D240" s="25" t="str">
        <f t="shared" si="20"/>
        <v/>
      </c>
      <c r="E240" s="25" t="str">
        <f t="shared" si="21"/>
        <v/>
      </c>
      <c r="F240" s="25" t="str">
        <f t="shared" si="22"/>
        <v/>
      </c>
      <c r="G240" s="26" t="str">
        <f t="shared" si="23"/>
        <v/>
      </c>
    </row>
    <row r="241" spans="1:7" ht="15" customHeight="1" x14ac:dyDescent="0.25">
      <c r="A241" s="27" t="str">
        <f>IF(OR(222&gt;$C$10*$C$11,N(G240)&lt;=0.005),"",222)</f>
        <v/>
      </c>
      <c r="B241" s="28" t="str">
        <f t="shared" si="19"/>
        <v/>
      </c>
      <c r="C241" s="29" t="str">
        <f t="shared" si="18"/>
        <v/>
      </c>
      <c r="D241" s="29" t="str">
        <f t="shared" si="20"/>
        <v/>
      </c>
      <c r="E241" s="29" t="str">
        <f t="shared" si="21"/>
        <v/>
      </c>
      <c r="F241" s="29" t="str">
        <f t="shared" si="22"/>
        <v/>
      </c>
      <c r="G241" s="30" t="str">
        <f t="shared" si="23"/>
        <v/>
      </c>
    </row>
    <row r="242" spans="1:7" ht="15" customHeight="1" x14ac:dyDescent="0.25">
      <c r="A242" s="23" t="str">
        <f>IF(OR(223&gt;$C$10*$C$11,N(G241)&lt;=0.005),"",223)</f>
        <v/>
      </c>
      <c r="B242" s="24" t="str">
        <f t="shared" si="19"/>
        <v/>
      </c>
      <c r="C242" s="25" t="str">
        <f t="shared" si="18"/>
        <v/>
      </c>
      <c r="D242" s="25" t="str">
        <f t="shared" si="20"/>
        <v/>
      </c>
      <c r="E242" s="25" t="str">
        <f t="shared" si="21"/>
        <v/>
      </c>
      <c r="F242" s="25" t="str">
        <f t="shared" si="22"/>
        <v/>
      </c>
      <c r="G242" s="26" t="str">
        <f t="shared" si="23"/>
        <v/>
      </c>
    </row>
    <row r="243" spans="1:7" ht="15" customHeight="1" x14ac:dyDescent="0.25">
      <c r="A243" s="27" t="str">
        <f>IF(OR(224&gt;$C$10*$C$11,N(G242)&lt;=0.005),"",224)</f>
        <v/>
      </c>
      <c r="B243" s="28" t="str">
        <f t="shared" si="19"/>
        <v/>
      </c>
      <c r="C243" s="29" t="str">
        <f t="shared" si="18"/>
        <v/>
      </c>
      <c r="D243" s="29" t="str">
        <f t="shared" si="20"/>
        <v/>
      </c>
      <c r="E243" s="29" t="str">
        <f t="shared" si="21"/>
        <v/>
      </c>
      <c r="F243" s="29" t="str">
        <f t="shared" si="22"/>
        <v/>
      </c>
      <c r="G243" s="30" t="str">
        <f t="shared" si="23"/>
        <v/>
      </c>
    </row>
    <row r="244" spans="1:7" ht="15" customHeight="1" x14ac:dyDescent="0.25">
      <c r="A244" s="23" t="str">
        <f>IF(OR(225&gt;$C$10*$C$11,N(G243)&lt;=0.005),"",225)</f>
        <v/>
      </c>
      <c r="B244" s="24" t="str">
        <f t="shared" si="19"/>
        <v/>
      </c>
      <c r="C244" s="25" t="str">
        <f t="shared" si="18"/>
        <v/>
      </c>
      <c r="D244" s="25" t="str">
        <f t="shared" si="20"/>
        <v/>
      </c>
      <c r="E244" s="25" t="str">
        <f t="shared" si="21"/>
        <v/>
      </c>
      <c r="F244" s="25" t="str">
        <f t="shared" si="22"/>
        <v/>
      </c>
      <c r="G244" s="26" t="str">
        <f t="shared" si="23"/>
        <v/>
      </c>
    </row>
    <row r="245" spans="1:7" ht="15" customHeight="1" x14ac:dyDescent="0.25">
      <c r="A245" s="27" t="str">
        <f>IF(OR(226&gt;$C$10*$C$11,N(G244)&lt;=0.005),"",226)</f>
        <v/>
      </c>
      <c r="B245" s="28" t="str">
        <f t="shared" si="19"/>
        <v/>
      </c>
      <c r="C245" s="29" t="str">
        <f t="shared" si="18"/>
        <v/>
      </c>
      <c r="D245" s="29" t="str">
        <f t="shared" si="20"/>
        <v/>
      </c>
      <c r="E245" s="29" t="str">
        <f t="shared" si="21"/>
        <v/>
      </c>
      <c r="F245" s="29" t="str">
        <f t="shared" si="22"/>
        <v/>
      </c>
      <c r="G245" s="30" t="str">
        <f t="shared" si="23"/>
        <v/>
      </c>
    </row>
    <row r="246" spans="1:7" ht="15" customHeight="1" x14ac:dyDescent="0.25">
      <c r="A246" s="23" t="str">
        <f>IF(OR(227&gt;$C$10*$C$11,N(G245)&lt;=0.005),"",227)</f>
        <v/>
      </c>
      <c r="B246" s="24" t="str">
        <f t="shared" si="19"/>
        <v/>
      </c>
      <c r="C246" s="25" t="str">
        <f t="shared" si="18"/>
        <v/>
      </c>
      <c r="D246" s="25" t="str">
        <f t="shared" si="20"/>
        <v/>
      </c>
      <c r="E246" s="25" t="str">
        <f t="shared" si="21"/>
        <v/>
      </c>
      <c r="F246" s="25" t="str">
        <f t="shared" si="22"/>
        <v/>
      </c>
      <c r="G246" s="26" t="str">
        <f t="shared" si="23"/>
        <v/>
      </c>
    </row>
    <row r="247" spans="1:7" ht="15" customHeight="1" x14ac:dyDescent="0.25">
      <c r="A247" s="27" t="str">
        <f>IF(OR(228&gt;$C$10*$C$11,N(G246)&lt;=0.005),"",228)</f>
        <v/>
      </c>
      <c r="B247" s="28" t="str">
        <f t="shared" si="19"/>
        <v/>
      </c>
      <c r="C247" s="29" t="str">
        <f t="shared" si="18"/>
        <v/>
      </c>
      <c r="D247" s="29" t="str">
        <f t="shared" si="20"/>
        <v/>
      </c>
      <c r="E247" s="29" t="str">
        <f t="shared" si="21"/>
        <v/>
      </c>
      <c r="F247" s="29" t="str">
        <f t="shared" si="22"/>
        <v/>
      </c>
      <c r="G247" s="30" t="str">
        <f t="shared" si="23"/>
        <v/>
      </c>
    </row>
    <row r="248" spans="1:7" ht="15" customHeight="1" x14ac:dyDescent="0.25">
      <c r="A248" s="23" t="str">
        <f>IF(OR(229&gt;$C$10*$C$11,N(G247)&lt;=0.005),"",229)</f>
        <v/>
      </c>
      <c r="B248" s="24" t="str">
        <f t="shared" si="19"/>
        <v/>
      </c>
      <c r="C248" s="25" t="str">
        <f t="shared" si="18"/>
        <v/>
      </c>
      <c r="D248" s="25" t="str">
        <f t="shared" si="20"/>
        <v/>
      </c>
      <c r="E248" s="25" t="str">
        <f t="shared" si="21"/>
        <v/>
      </c>
      <c r="F248" s="25" t="str">
        <f t="shared" si="22"/>
        <v/>
      </c>
      <c r="G248" s="26" t="str">
        <f t="shared" si="23"/>
        <v/>
      </c>
    </row>
    <row r="249" spans="1:7" ht="15" customHeight="1" x14ac:dyDescent="0.25">
      <c r="A249" s="27" t="str">
        <f>IF(OR(230&gt;$C$10*$C$11,N(G248)&lt;=0.005),"",230)</f>
        <v/>
      </c>
      <c r="B249" s="28" t="str">
        <f t="shared" si="19"/>
        <v/>
      </c>
      <c r="C249" s="29" t="str">
        <f t="shared" si="18"/>
        <v/>
      </c>
      <c r="D249" s="29" t="str">
        <f t="shared" si="20"/>
        <v/>
      </c>
      <c r="E249" s="29" t="str">
        <f t="shared" si="21"/>
        <v/>
      </c>
      <c r="F249" s="29" t="str">
        <f t="shared" si="22"/>
        <v/>
      </c>
      <c r="G249" s="30" t="str">
        <f t="shared" si="23"/>
        <v/>
      </c>
    </row>
    <row r="250" spans="1:7" ht="15" customHeight="1" x14ac:dyDescent="0.25">
      <c r="A250" s="23" t="str">
        <f>IF(OR(231&gt;$C$10*$C$11,N(G249)&lt;=0.005),"",231)</f>
        <v/>
      </c>
      <c r="B250" s="24" t="str">
        <f t="shared" si="19"/>
        <v/>
      </c>
      <c r="C250" s="25" t="str">
        <f t="shared" si="18"/>
        <v/>
      </c>
      <c r="D250" s="25" t="str">
        <f t="shared" si="20"/>
        <v/>
      </c>
      <c r="E250" s="25" t="str">
        <f t="shared" si="21"/>
        <v/>
      </c>
      <c r="F250" s="25" t="str">
        <f t="shared" si="22"/>
        <v/>
      </c>
      <c r="G250" s="26" t="str">
        <f t="shared" si="23"/>
        <v/>
      </c>
    </row>
    <row r="251" spans="1:7" ht="15" customHeight="1" x14ac:dyDescent="0.25">
      <c r="A251" s="27" t="str">
        <f>IF(OR(232&gt;$C$10*$C$11,N(G250)&lt;=0.005),"",232)</f>
        <v/>
      </c>
      <c r="B251" s="28" t="str">
        <f t="shared" si="19"/>
        <v/>
      </c>
      <c r="C251" s="29" t="str">
        <f t="shared" si="18"/>
        <v/>
      </c>
      <c r="D251" s="29" t="str">
        <f t="shared" si="20"/>
        <v/>
      </c>
      <c r="E251" s="29" t="str">
        <f t="shared" si="21"/>
        <v/>
      </c>
      <c r="F251" s="29" t="str">
        <f t="shared" si="22"/>
        <v/>
      </c>
      <c r="G251" s="30" t="str">
        <f t="shared" si="23"/>
        <v/>
      </c>
    </row>
    <row r="252" spans="1:7" ht="15" customHeight="1" x14ac:dyDescent="0.25">
      <c r="A252" s="23" t="str">
        <f>IF(OR(233&gt;$C$10*$C$11,N(G251)&lt;=0.005),"",233)</f>
        <v/>
      </c>
      <c r="B252" s="24" t="str">
        <f t="shared" si="19"/>
        <v/>
      </c>
      <c r="C252" s="25" t="str">
        <f t="shared" si="18"/>
        <v/>
      </c>
      <c r="D252" s="25" t="str">
        <f t="shared" si="20"/>
        <v/>
      </c>
      <c r="E252" s="25" t="str">
        <f t="shared" si="21"/>
        <v/>
      </c>
      <c r="F252" s="25" t="str">
        <f t="shared" si="22"/>
        <v/>
      </c>
      <c r="G252" s="26" t="str">
        <f t="shared" si="23"/>
        <v/>
      </c>
    </row>
    <row r="253" spans="1:7" ht="15" customHeight="1" x14ac:dyDescent="0.25">
      <c r="A253" s="27" t="str">
        <f>IF(OR(234&gt;$C$10*$C$11,N(G252)&lt;=0.005),"",234)</f>
        <v/>
      </c>
      <c r="B253" s="28" t="str">
        <f t="shared" si="19"/>
        <v/>
      </c>
      <c r="C253" s="29" t="str">
        <f t="shared" si="18"/>
        <v/>
      </c>
      <c r="D253" s="29" t="str">
        <f t="shared" si="20"/>
        <v/>
      </c>
      <c r="E253" s="29" t="str">
        <f t="shared" si="21"/>
        <v/>
      </c>
      <c r="F253" s="29" t="str">
        <f t="shared" si="22"/>
        <v/>
      </c>
      <c r="G253" s="30" t="str">
        <f t="shared" si="23"/>
        <v/>
      </c>
    </row>
    <row r="254" spans="1:7" ht="15" customHeight="1" x14ac:dyDescent="0.25">
      <c r="A254" s="23" t="str">
        <f>IF(OR(235&gt;$C$10*$C$11,N(G253)&lt;=0.005),"",235)</f>
        <v/>
      </c>
      <c r="B254" s="24" t="str">
        <f t="shared" si="19"/>
        <v/>
      </c>
      <c r="C254" s="25" t="str">
        <f t="shared" si="18"/>
        <v/>
      </c>
      <c r="D254" s="25" t="str">
        <f t="shared" si="20"/>
        <v/>
      </c>
      <c r="E254" s="25" t="str">
        <f t="shared" si="21"/>
        <v/>
      </c>
      <c r="F254" s="25" t="str">
        <f t="shared" si="22"/>
        <v/>
      </c>
      <c r="G254" s="26" t="str">
        <f t="shared" si="23"/>
        <v/>
      </c>
    </row>
    <row r="255" spans="1:7" ht="15" customHeight="1" x14ac:dyDescent="0.25">
      <c r="A255" s="27" t="str">
        <f>IF(OR(236&gt;$C$10*$C$11,N(G254)&lt;=0.005),"",236)</f>
        <v/>
      </c>
      <c r="B255" s="28" t="str">
        <f t="shared" si="19"/>
        <v/>
      </c>
      <c r="C255" s="29" t="str">
        <f t="shared" si="18"/>
        <v/>
      </c>
      <c r="D255" s="29" t="str">
        <f t="shared" si="20"/>
        <v/>
      </c>
      <c r="E255" s="29" t="str">
        <f t="shared" si="21"/>
        <v/>
      </c>
      <c r="F255" s="29" t="str">
        <f t="shared" si="22"/>
        <v/>
      </c>
      <c r="G255" s="30" t="str">
        <f t="shared" si="23"/>
        <v/>
      </c>
    </row>
    <row r="256" spans="1:7" ht="15" customHeight="1" x14ac:dyDescent="0.25">
      <c r="A256" s="23" t="str">
        <f>IF(OR(237&gt;$C$10*$C$11,N(G255)&lt;=0.005),"",237)</f>
        <v/>
      </c>
      <c r="B256" s="24" t="str">
        <f t="shared" si="19"/>
        <v/>
      </c>
      <c r="C256" s="25" t="str">
        <f t="shared" si="18"/>
        <v/>
      </c>
      <c r="D256" s="25" t="str">
        <f t="shared" si="20"/>
        <v/>
      </c>
      <c r="E256" s="25" t="str">
        <f t="shared" si="21"/>
        <v/>
      </c>
      <c r="F256" s="25" t="str">
        <f t="shared" si="22"/>
        <v/>
      </c>
      <c r="G256" s="26" t="str">
        <f t="shared" si="23"/>
        <v/>
      </c>
    </row>
    <row r="257" spans="1:7" ht="15" customHeight="1" x14ac:dyDescent="0.25">
      <c r="A257" s="27" t="str">
        <f>IF(OR(238&gt;$C$10*$C$11,N(G256)&lt;=0.005),"",238)</f>
        <v/>
      </c>
      <c r="B257" s="28" t="str">
        <f t="shared" si="19"/>
        <v/>
      </c>
      <c r="C257" s="29" t="str">
        <f t="shared" si="18"/>
        <v/>
      </c>
      <c r="D257" s="29" t="str">
        <f t="shared" si="20"/>
        <v/>
      </c>
      <c r="E257" s="29" t="str">
        <f t="shared" si="21"/>
        <v/>
      </c>
      <c r="F257" s="29" t="str">
        <f t="shared" si="22"/>
        <v/>
      </c>
      <c r="G257" s="30" t="str">
        <f t="shared" si="23"/>
        <v/>
      </c>
    </row>
    <row r="258" spans="1:7" ht="15" customHeight="1" x14ac:dyDescent="0.25">
      <c r="A258" s="23" t="str">
        <f>IF(OR(239&gt;$C$10*$C$11,N(G257)&lt;=0.005),"",239)</f>
        <v/>
      </c>
      <c r="B258" s="24" t="str">
        <f t="shared" si="19"/>
        <v/>
      </c>
      <c r="C258" s="25" t="str">
        <f t="shared" si="18"/>
        <v/>
      </c>
      <c r="D258" s="25" t="str">
        <f t="shared" si="20"/>
        <v/>
      </c>
      <c r="E258" s="25" t="str">
        <f t="shared" si="21"/>
        <v/>
      </c>
      <c r="F258" s="25" t="str">
        <f t="shared" si="22"/>
        <v/>
      </c>
      <c r="G258" s="26" t="str">
        <f t="shared" si="23"/>
        <v/>
      </c>
    </row>
    <row r="259" spans="1:7" ht="15" customHeight="1" x14ac:dyDescent="0.25">
      <c r="A259" s="27" t="str">
        <f>IF(OR(240&gt;$C$10*$C$11,N(G258)&lt;=0.005),"",240)</f>
        <v/>
      </c>
      <c r="B259" s="28" t="str">
        <f t="shared" si="19"/>
        <v/>
      </c>
      <c r="C259" s="29" t="str">
        <f t="shared" si="18"/>
        <v/>
      </c>
      <c r="D259" s="29" t="str">
        <f t="shared" si="20"/>
        <v/>
      </c>
      <c r="E259" s="29" t="str">
        <f t="shared" si="21"/>
        <v/>
      </c>
      <c r="F259" s="29" t="str">
        <f t="shared" si="22"/>
        <v/>
      </c>
      <c r="G259" s="30" t="str">
        <f t="shared" si="23"/>
        <v/>
      </c>
    </row>
    <row r="260" spans="1:7" ht="15" customHeight="1" x14ac:dyDescent="0.25">
      <c r="A260" s="23" t="str">
        <f>IF(OR(241&gt;$C$10*$C$11,N(G259)&lt;=0.005),"",241)</f>
        <v/>
      </c>
      <c r="B260" s="24" t="str">
        <f t="shared" si="19"/>
        <v/>
      </c>
      <c r="C260" s="25" t="str">
        <f t="shared" si="18"/>
        <v/>
      </c>
      <c r="D260" s="25" t="str">
        <f t="shared" si="20"/>
        <v/>
      </c>
      <c r="E260" s="25" t="str">
        <f t="shared" si="21"/>
        <v/>
      </c>
      <c r="F260" s="25" t="str">
        <f t="shared" si="22"/>
        <v/>
      </c>
      <c r="G260" s="26" t="str">
        <f t="shared" si="23"/>
        <v/>
      </c>
    </row>
    <row r="261" spans="1:7" ht="15" customHeight="1" x14ac:dyDescent="0.25">
      <c r="A261" s="27" t="str">
        <f>IF(OR(242&gt;$C$10*$C$11,N(G260)&lt;=0.005),"",242)</f>
        <v/>
      </c>
      <c r="B261" s="28" t="str">
        <f t="shared" si="19"/>
        <v/>
      </c>
      <c r="C261" s="29" t="str">
        <f t="shared" si="18"/>
        <v/>
      </c>
      <c r="D261" s="29" t="str">
        <f t="shared" si="20"/>
        <v/>
      </c>
      <c r="E261" s="29" t="str">
        <f t="shared" si="21"/>
        <v/>
      </c>
      <c r="F261" s="29" t="str">
        <f t="shared" si="22"/>
        <v/>
      </c>
      <c r="G261" s="30" t="str">
        <f t="shared" si="23"/>
        <v/>
      </c>
    </row>
    <row r="262" spans="1:7" ht="15" customHeight="1" x14ac:dyDescent="0.25">
      <c r="A262" s="23" t="str">
        <f>IF(OR(243&gt;$C$10*$C$11,N(G261)&lt;=0.005),"",243)</f>
        <v/>
      </c>
      <c r="B262" s="24" t="str">
        <f t="shared" si="19"/>
        <v/>
      </c>
      <c r="C262" s="25" t="str">
        <f t="shared" si="18"/>
        <v/>
      </c>
      <c r="D262" s="25" t="str">
        <f t="shared" si="20"/>
        <v/>
      </c>
      <c r="E262" s="25" t="str">
        <f t="shared" si="21"/>
        <v/>
      </c>
      <c r="F262" s="25" t="str">
        <f t="shared" si="22"/>
        <v/>
      </c>
      <c r="G262" s="26" t="str">
        <f t="shared" si="23"/>
        <v/>
      </c>
    </row>
    <row r="263" spans="1:7" ht="15" customHeight="1" x14ac:dyDescent="0.25">
      <c r="A263" s="27" t="str">
        <f>IF(OR(244&gt;$C$10*$C$11,N(G262)&lt;=0.005),"",244)</f>
        <v/>
      </c>
      <c r="B263" s="28" t="str">
        <f t="shared" si="19"/>
        <v/>
      </c>
      <c r="C263" s="29" t="str">
        <f t="shared" si="18"/>
        <v/>
      </c>
      <c r="D263" s="29" t="str">
        <f t="shared" si="20"/>
        <v/>
      </c>
      <c r="E263" s="29" t="str">
        <f t="shared" si="21"/>
        <v/>
      </c>
      <c r="F263" s="29" t="str">
        <f t="shared" si="22"/>
        <v/>
      </c>
      <c r="G263" s="30" t="str">
        <f t="shared" si="23"/>
        <v/>
      </c>
    </row>
    <row r="264" spans="1:7" ht="15" customHeight="1" x14ac:dyDescent="0.25">
      <c r="A264" s="23" t="str">
        <f>IF(OR(245&gt;$C$10*$C$11,N(G263)&lt;=0.005),"",245)</f>
        <v/>
      </c>
      <c r="B264" s="24" t="str">
        <f t="shared" si="19"/>
        <v/>
      </c>
      <c r="C264" s="25" t="str">
        <f t="shared" si="18"/>
        <v/>
      </c>
      <c r="D264" s="25" t="str">
        <f t="shared" si="20"/>
        <v/>
      </c>
      <c r="E264" s="25" t="str">
        <f t="shared" si="21"/>
        <v/>
      </c>
      <c r="F264" s="25" t="str">
        <f t="shared" si="22"/>
        <v/>
      </c>
      <c r="G264" s="26" t="str">
        <f t="shared" si="23"/>
        <v/>
      </c>
    </row>
    <row r="265" spans="1:7" ht="15" customHeight="1" x14ac:dyDescent="0.25">
      <c r="A265" s="27" t="str">
        <f>IF(OR(246&gt;$C$10*$C$11,N(G264)&lt;=0.005),"",246)</f>
        <v/>
      </c>
      <c r="B265" s="28" t="str">
        <f t="shared" si="19"/>
        <v/>
      </c>
      <c r="C265" s="29" t="str">
        <f t="shared" si="18"/>
        <v/>
      </c>
      <c r="D265" s="29" t="str">
        <f t="shared" si="20"/>
        <v/>
      </c>
      <c r="E265" s="29" t="str">
        <f t="shared" si="21"/>
        <v/>
      </c>
      <c r="F265" s="29" t="str">
        <f t="shared" si="22"/>
        <v/>
      </c>
      <c r="G265" s="30" t="str">
        <f t="shared" si="23"/>
        <v/>
      </c>
    </row>
    <row r="266" spans="1:7" ht="15" customHeight="1" x14ac:dyDescent="0.25">
      <c r="A266" s="23" t="str">
        <f>IF(OR(247&gt;$C$10*$C$11,N(G265)&lt;=0.005),"",247)</f>
        <v/>
      </c>
      <c r="B266" s="24" t="str">
        <f t="shared" si="19"/>
        <v/>
      </c>
      <c r="C266" s="25" t="str">
        <f t="shared" si="18"/>
        <v/>
      </c>
      <c r="D266" s="25" t="str">
        <f t="shared" si="20"/>
        <v/>
      </c>
      <c r="E266" s="25" t="str">
        <f t="shared" si="21"/>
        <v/>
      </c>
      <c r="F266" s="25" t="str">
        <f t="shared" si="22"/>
        <v/>
      </c>
      <c r="G266" s="26" t="str">
        <f t="shared" si="23"/>
        <v/>
      </c>
    </row>
    <row r="267" spans="1:7" ht="15" customHeight="1" x14ac:dyDescent="0.25">
      <c r="A267" s="27" t="str">
        <f>IF(OR(248&gt;$C$10*$C$11,N(G266)&lt;=0.005),"",248)</f>
        <v/>
      </c>
      <c r="B267" s="28" t="str">
        <f t="shared" si="19"/>
        <v/>
      </c>
      <c r="C267" s="29" t="str">
        <f t="shared" si="18"/>
        <v/>
      </c>
      <c r="D267" s="29" t="str">
        <f t="shared" si="20"/>
        <v/>
      </c>
      <c r="E267" s="29" t="str">
        <f t="shared" si="21"/>
        <v/>
      </c>
      <c r="F267" s="29" t="str">
        <f t="shared" si="22"/>
        <v/>
      </c>
      <c r="G267" s="30" t="str">
        <f t="shared" si="23"/>
        <v/>
      </c>
    </row>
    <row r="268" spans="1:7" ht="15" customHeight="1" x14ac:dyDescent="0.25">
      <c r="A268" s="23" t="str">
        <f>IF(OR(249&gt;$C$10*$C$11,N(G267)&lt;=0.005),"",249)</f>
        <v/>
      </c>
      <c r="B268" s="24" t="str">
        <f t="shared" si="19"/>
        <v/>
      </c>
      <c r="C268" s="25" t="str">
        <f t="shared" si="18"/>
        <v/>
      </c>
      <c r="D268" s="25" t="str">
        <f t="shared" si="20"/>
        <v/>
      </c>
      <c r="E268" s="25" t="str">
        <f t="shared" si="21"/>
        <v/>
      </c>
      <c r="F268" s="25" t="str">
        <f t="shared" si="22"/>
        <v/>
      </c>
      <c r="G268" s="26" t="str">
        <f t="shared" si="23"/>
        <v/>
      </c>
    </row>
    <row r="269" spans="1:7" ht="15" customHeight="1" x14ac:dyDescent="0.25">
      <c r="A269" s="27" t="str">
        <f>IF(OR(250&gt;$C$10*$C$11,N(G268)&lt;=0.005),"",250)</f>
        <v/>
      </c>
      <c r="B269" s="28" t="str">
        <f t="shared" si="19"/>
        <v/>
      </c>
      <c r="C269" s="29" t="str">
        <f t="shared" si="18"/>
        <v/>
      </c>
      <c r="D269" s="29" t="str">
        <f t="shared" si="20"/>
        <v/>
      </c>
      <c r="E269" s="29" t="str">
        <f t="shared" si="21"/>
        <v/>
      </c>
      <c r="F269" s="29" t="str">
        <f t="shared" si="22"/>
        <v/>
      </c>
      <c r="G269" s="30" t="str">
        <f t="shared" si="23"/>
        <v/>
      </c>
    </row>
    <row r="270" spans="1:7" ht="15" customHeight="1" x14ac:dyDescent="0.25">
      <c r="A270" s="23" t="str">
        <f>IF(OR(251&gt;$C$10*$C$11,N(G269)&lt;=0.005),"",251)</f>
        <v/>
      </c>
      <c r="B270" s="24" t="str">
        <f t="shared" si="19"/>
        <v/>
      </c>
      <c r="C270" s="25" t="str">
        <f t="shared" si="18"/>
        <v/>
      </c>
      <c r="D270" s="25" t="str">
        <f t="shared" si="20"/>
        <v/>
      </c>
      <c r="E270" s="25" t="str">
        <f t="shared" si="21"/>
        <v/>
      </c>
      <c r="F270" s="25" t="str">
        <f t="shared" si="22"/>
        <v/>
      </c>
      <c r="G270" s="26" t="str">
        <f t="shared" si="23"/>
        <v/>
      </c>
    </row>
    <row r="271" spans="1:7" ht="15" customHeight="1" x14ac:dyDescent="0.25">
      <c r="A271" s="27" t="str">
        <f>IF(OR(252&gt;$C$10*$C$11,N(G270)&lt;=0.005),"",252)</f>
        <v/>
      </c>
      <c r="B271" s="28" t="str">
        <f t="shared" si="19"/>
        <v/>
      </c>
      <c r="C271" s="29" t="str">
        <f t="shared" si="18"/>
        <v/>
      </c>
      <c r="D271" s="29" t="str">
        <f t="shared" si="20"/>
        <v/>
      </c>
      <c r="E271" s="29" t="str">
        <f t="shared" si="21"/>
        <v/>
      </c>
      <c r="F271" s="29" t="str">
        <f t="shared" si="22"/>
        <v/>
      </c>
      <c r="G271" s="30" t="str">
        <f t="shared" si="23"/>
        <v/>
      </c>
    </row>
    <row r="272" spans="1:7" ht="15" customHeight="1" x14ac:dyDescent="0.25">
      <c r="A272" s="23" t="str">
        <f>IF(OR(253&gt;$C$10*$C$11,N(G271)&lt;=0.005),"",253)</f>
        <v/>
      </c>
      <c r="B272" s="24" t="str">
        <f t="shared" si="19"/>
        <v/>
      </c>
      <c r="C272" s="25" t="str">
        <f t="shared" si="18"/>
        <v/>
      </c>
      <c r="D272" s="25" t="str">
        <f t="shared" si="20"/>
        <v/>
      </c>
      <c r="E272" s="25" t="str">
        <f t="shared" si="21"/>
        <v/>
      </c>
      <c r="F272" s="25" t="str">
        <f t="shared" si="22"/>
        <v/>
      </c>
      <c r="G272" s="26" t="str">
        <f t="shared" si="23"/>
        <v/>
      </c>
    </row>
    <row r="273" spans="1:7" ht="15" customHeight="1" x14ac:dyDescent="0.25">
      <c r="A273" s="27" t="str">
        <f>IF(OR(254&gt;$C$10*$C$11,N(G272)&lt;=0.005),"",254)</f>
        <v/>
      </c>
      <c r="B273" s="28" t="str">
        <f t="shared" si="19"/>
        <v/>
      </c>
      <c r="C273" s="29" t="str">
        <f t="shared" si="18"/>
        <v/>
      </c>
      <c r="D273" s="29" t="str">
        <f t="shared" si="20"/>
        <v/>
      </c>
      <c r="E273" s="29" t="str">
        <f t="shared" si="21"/>
        <v/>
      </c>
      <c r="F273" s="29" t="str">
        <f t="shared" si="22"/>
        <v/>
      </c>
      <c r="G273" s="30" t="str">
        <f t="shared" si="23"/>
        <v/>
      </c>
    </row>
    <row r="274" spans="1:7" ht="15" customHeight="1" x14ac:dyDescent="0.25">
      <c r="A274" s="23" t="str">
        <f>IF(OR(255&gt;$C$10*$C$11,N(G273)&lt;=0.005),"",255)</f>
        <v/>
      </c>
      <c r="B274" s="24" t="str">
        <f t="shared" si="19"/>
        <v/>
      </c>
      <c r="C274" s="25" t="str">
        <f t="shared" si="18"/>
        <v/>
      </c>
      <c r="D274" s="25" t="str">
        <f t="shared" si="20"/>
        <v/>
      </c>
      <c r="E274" s="25" t="str">
        <f t="shared" si="21"/>
        <v/>
      </c>
      <c r="F274" s="25" t="str">
        <f t="shared" si="22"/>
        <v/>
      </c>
      <c r="G274" s="26" t="str">
        <f t="shared" si="23"/>
        <v/>
      </c>
    </row>
    <row r="275" spans="1:7" ht="15" customHeight="1" x14ac:dyDescent="0.25">
      <c r="A275" s="27" t="str">
        <f>IF(OR(256&gt;$C$10*$C$11,N(G274)&lt;=0.005),"",256)</f>
        <v/>
      </c>
      <c r="B275" s="28" t="str">
        <f t="shared" si="19"/>
        <v/>
      </c>
      <c r="C275" s="29" t="str">
        <f t="shared" si="18"/>
        <v/>
      </c>
      <c r="D275" s="29" t="str">
        <f t="shared" si="20"/>
        <v/>
      </c>
      <c r="E275" s="29" t="str">
        <f t="shared" si="21"/>
        <v/>
      </c>
      <c r="F275" s="29" t="str">
        <f t="shared" si="22"/>
        <v/>
      </c>
      <c r="G275" s="30" t="str">
        <f t="shared" si="23"/>
        <v/>
      </c>
    </row>
    <row r="276" spans="1:7" ht="15" customHeight="1" x14ac:dyDescent="0.25">
      <c r="A276" s="23" t="str">
        <f>IF(OR(257&gt;$C$10*$C$11,N(G275)&lt;=0.005),"",257)</f>
        <v/>
      </c>
      <c r="B276" s="24" t="str">
        <f t="shared" si="19"/>
        <v/>
      </c>
      <c r="C276" s="25" t="str">
        <f t="shared" ref="C276:C339" si="24">IF(A276="","",D276+E276+F276)</f>
        <v/>
      </c>
      <c r="D276" s="25" t="str">
        <f t="shared" si="20"/>
        <v/>
      </c>
      <c r="E276" s="25" t="str">
        <f t="shared" si="21"/>
        <v/>
      </c>
      <c r="F276" s="25" t="str">
        <f t="shared" si="22"/>
        <v/>
      </c>
      <c r="G276" s="26" t="str">
        <f t="shared" si="23"/>
        <v/>
      </c>
    </row>
    <row r="277" spans="1:7" ht="15" customHeight="1" x14ac:dyDescent="0.25">
      <c r="A277" s="27" t="str">
        <f>IF(OR(258&gt;$C$10*$C$11,N(G276)&lt;=0.005),"",258)</f>
        <v/>
      </c>
      <c r="B277" s="28" t="str">
        <f t="shared" ref="B277:B340" si="25">IF(A277="","",EDATE($C$12,(A277-1)*(12/$C$11)))</f>
        <v/>
      </c>
      <c r="C277" s="29" t="str">
        <f t="shared" si="24"/>
        <v/>
      </c>
      <c r="D277" s="29" t="str">
        <f t="shared" ref="D277:D340" si="26">IF(A277="","",N(G276)*$C$9/$C$11)</f>
        <v/>
      </c>
      <c r="E277" s="29" t="str">
        <f t="shared" ref="E277:E340" si="27">IF(A277="","",MIN($C$15-D277,N(G276)))</f>
        <v/>
      </c>
      <c r="F277" s="29" t="str">
        <f t="shared" ref="F277:F340" si="28">IF(A277="","",IF(AND($C$13&gt;0,MOD(A277,$C$11)=0),MIN($C$13,N(G276)-E277),0))</f>
        <v/>
      </c>
      <c r="G277" s="30" t="str">
        <f t="shared" ref="G277:G340" si="29">IF(A277="","",MAX(N(G276)-E277-F277,0))</f>
        <v/>
      </c>
    </row>
    <row r="278" spans="1:7" ht="15" customHeight="1" x14ac:dyDescent="0.25">
      <c r="A278" s="23" t="str">
        <f>IF(OR(259&gt;$C$10*$C$11,N(G277)&lt;=0.005),"",259)</f>
        <v/>
      </c>
      <c r="B278" s="24" t="str">
        <f t="shared" si="25"/>
        <v/>
      </c>
      <c r="C278" s="25" t="str">
        <f t="shared" si="24"/>
        <v/>
      </c>
      <c r="D278" s="25" t="str">
        <f t="shared" si="26"/>
        <v/>
      </c>
      <c r="E278" s="25" t="str">
        <f t="shared" si="27"/>
        <v/>
      </c>
      <c r="F278" s="25" t="str">
        <f t="shared" si="28"/>
        <v/>
      </c>
      <c r="G278" s="26" t="str">
        <f t="shared" si="29"/>
        <v/>
      </c>
    </row>
    <row r="279" spans="1:7" ht="15" customHeight="1" x14ac:dyDescent="0.25">
      <c r="A279" s="27" t="str">
        <f>IF(OR(260&gt;$C$10*$C$11,N(G278)&lt;=0.005),"",260)</f>
        <v/>
      </c>
      <c r="B279" s="28" t="str">
        <f t="shared" si="25"/>
        <v/>
      </c>
      <c r="C279" s="29" t="str">
        <f t="shared" si="24"/>
        <v/>
      </c>
      <c r="D279" s="29" t="str">
        <f t="shared" si="26"/>
        <v/>
      </c>
      <c r="E279" s="29" t="str">
        <f t="shared" si="27"/>
        <v/>
      </c>
      <c r="F279" s="29" t="str">
        <f t="shared" si="28"/>
        <v/>
      </c>
      <c r="G279" s="30" t="str">
        <f t="shared" si="29"/>
        <v/>
      </c>
    </row>
    <row r="280" spans="1:7" ht="15" customHeight="1" x14ac:dyDescent="0.25">
      <c r="A280" s="23" t="str">
        <f>IF(OR(261&gt;$C$10*$C$11,N(G279)&lt;=0.005),"",261)</f>
        <v/>
      </c>
      <c r="B280" s="24" t="str">
        <f t="shared" si="25"/>
        <v/>
      </c>
      <c r="C280" s="25" t="str">
        <f t="shared" si="24"/>
        <v/>
      </c>
      <c r="D280" s="25" t="str">
        <f t="shared" si="26"/>
        <v/>
      </c>
      <c r="E280" s="25" t="str">
        <f t="shared" si="27"/>
        <v/>
      </c>
      <c r="F280" s="25" t="str">
        <f t="shared" si="28"/>
        <v/>
      </c>
      <c r="G280" s="26" t="str">
        <f t="shared" si="29"/>
        <v/>
      </c>
    </row>
    <row r="281" spans="1:7" ht="15" customHeight="1" x14ac:dyDescent="0.25">
      <c r="A281" s="27" t="str">
        <f>IF(OR(262&gt;$C$10*$C$11,N(G280)&lt;=0.005),"",262)</f>
        <v/>
      </c>
      <c r="B281" s="28" t="str">
        <f t="shared" si="25"/>
        <v/>
      </c>
      <c r="C281" s="29" t="str">
        <f t="shared" si="24"/>
        <v/>
      </c>
      <c r="D281" s="29" t="str">
        <f t="shared" si="26"/>
        <v/>
      </c>
      <c r="E281" s="29" t="str">
        <f t="shared" si="27"/>
        <v/>
      </c>
      <c r="F281" s="29" t="str">
        <f t="shared" si="28"/>
        <v/>
      </c>
      <c r="G281" s="30" t="str">
        <f t="shared" si="29"/>
        <v/>
      </c>
    </row>
    <row r="282" spans="1:7" ht="15" customHeight="1" x14ac:dyDescent="0.25">
      <c r="A282" s="23" t="str">
        <f>IF(OR(263&gt;$C$10*$C$11,N(G281)&lt;=0.005),"",263)</f>
        <v/>
      </c>
      <c r="B282" s="24" t="str">
        <f t="shared" si="25"/>
        <v/>
      </c>
      <c r="C282" s="25" t="str">
        <f t="shared" si="24"/>
        <v/>
      </c>
      <c r="D282" s="25" t="str">
        <f t="shared" si="26"/>
        <v/>
      </c>
      <c r="E282" s="25" t="str">
        <f t="shared" si="27"/>
        <v/>
      </c>
      <c r="F282" s="25" t="str">
        <f t="shared" si="28"/>
        <v/>
      </c>
      <c r="G282" s="26" t="str">
        <f t="shared" si="29"/>
        <v/>
      </c>
    </row>
    <row r="283" spans="1:7" ht="15" customHeight="1" x14ac:dyDescent="0.25">
      <c r="A283" s="27" t="str">
        <f>IF(OR(264&gt;$C$10*$C$11,N(G282)&lt;=0.005),"",264)</f>
        <v/>
      </c>
      <c r="B283" s="28" t="str">
        <f t="shared" si="25"/>
        <v/>
      </c>
      <c r="C283" s="29" t="str">
        <f t="shared" si="24"/>
        <v/>
      </c>
      <c r="D283" s="29" t="str">
        <f t="shared" si="26"/>
        <v/>
      </c>
      <c r="E283" s="29" t="str">
        <f t="shared" si="27"/>
        <v/>
      </c>
      <c r="F283" s="29" t="str">
        <f t="shared" si="28"/>
        <v/>
      </c>
      <c r="G283" s="30" t="str">
        <f t="shared" si="29"/>
        <v/>
      </c>
    </row>
    <row r="284" spans="1:7" ht="15" customHeight="1" x14ac:dyDescent="0.25">
      <c r="A284" s="23" t="str">
        <f>IF(OR(265&gt;$C$10*$C$11,N(G283)&lt;=0.005),"",265)</f>
        <v/>
      </c>
      <c r="B284" s="24" t="str">
        <f t="shared" si="25"/>
        <v/>
      </c>
      <c r="C284" s="25" t="str">
        <f t="shared" si="24"/>
        <v/>
      </c>
      <c r="D284" s="25" t="str">
        <f t="shared" si="26"/>
        <v/>
      </c>
      <c r="E284" s="25" t="str">
        <f t="shared" si="27"/>
        <v/>
      </c>
      <c r="F284" s="25" t="str">
        <f t="shared" si="28"/>
        <v/>
      </c>
      <c r="G284" s="26" t="str">
        <f t="shared" si="29"/>
        <v/>
      </c>
    </row>
    <row r="285" spans="1:7" ht="15" customHeight="1" x14ac:dyDescent="0.25">
      <c r="A285" s="27" t="str">
        <f>IF(OR(266&gt;$C$10*$C$11,N(G284)&lt;=0.005),"",266)</f>
        <v/>
      </c>
      <c r="B285" s="28" t="str">
        <f t="shared" si="25"/>
        <v/>
      </c>
      <c r="C285" s="29" t="str">
        <f t="shared" si="24"/>
        <v/>
      </c>
      <c r="D285" s="29" t="str">
        <f t="shared" si="26"/>
        <v/>
      </c>
      <c r="E285" s="29" t="str">
        <f t="shared" si="27"/>
        <v/>
      </c>
      <c r="F285" s="29" t="str">
        <f t="shared" si="28"/>
        <v/>
      </c>
      <c r="G285" s="30" t="str">
        <f t="shared" si="29"/>
        <v/>
      </c>
    </row>
    <row r="286" spans="1:7" ht="15" customHeight="1" x14ac:dyDescent="0.25">
      <c r="A286" s="23" t="str">
        <f>IF(OR(267&gt;$C$10*$C$11,N(G285)&lt;=0.005),"",267)</f>
        <v/>
      </c>
      <c r="B286" s="24" t="str">
        <f t="shared" si="25"/>
        <v/>
      </c>
      <c r="C286" s="25" t="str">
        <f t="shared" si="24"/>
        <v/>
      </c>
      <c r="D286" s="25" t="str">
        <f t="shared" si="26"/>
        <v/>
      </c>
      <c r="E286" s="25" t="str">
        <f t="shared" si="27"/>
        <v/>
      </c>
      <c r="F286" s="25" t="str">
        <f t="shared" si="28"/>
        <v/>
      </c>
      <c r="G286" s="26" t="str">
        <f t="shared" si="29"/>
        <v/>
      </c>
    </row>
    <row r="287" spans="1:7" ht="15" customHeight="1" x14ac:dyDescent="0.25">
      <c r="A287" s="27" t="str">
        <f>IF(OR(268&gt;$C$10*$C$11,N(G286)&lt;=0.005),"",268)</f>
        <v/>
      </c>
      <c r="B287" s="28" t="str">
        <f t="shared" si="25"/>
        <v/>
      </c>
      <c r="C287" s="29" t="str">
        <f t="shared" si="24"/>
        <v/>
      </c>
      <c r="D287" s="29" t="str">
        <f t="shared" si="26"/>
        <v/>
      </c>
      <c r="E287" s="29" t="str">
        <f t="shared" si="27"/>
        <v/>
      </c>
      <c r="F287" s="29" t="str">
        <f t="shared" si="28"/>
        <v/>
      </c>
      <c r="G287" s="30" t="str">
        <f t="shared" si="29"/>
        <v/>
      </c>
    </row>
    <row r="288" spans="1:7" ht="15" customHeight="1" x14ac:dyDescent="0.25">
      <c r="A288" s="23" t="str">
        <f>IF(OR(269&gt;$C$10*$C$11,N(G287)&lt;=0.005),"",269)</f>
        <v/>
      </c>
      <c r="B288" s="24" t="str">
        <f t="shared" si="25"/>
        <v/>
      </c>
      <c r="C288" s="25" t="str">
        <f t="shared" si="24"/>
        <v/>
      </c>
      <c r="D288" s="25" t="str">
        <f t="shared" si="26"/>
        <v/>
      </c>
      <c r="E288" s="25" t="str">
        <f t="shared" si="27"/>
        <v/>
      </c>
      <c r="F288" s="25" t="str">
        <f t="shared" si="28"/>
        <v/>
      </c>
      <c r="G288" s="26" t="str">
        <f t="shared" si="29"/>
        <v/>
      </c>
    </row>
    <row r="289" spans="1:7" ht="15" customHeight="1" x14ac:dyDescent="0.25">
      <c r="A289" s="27" t="str">
        <f>IF(OR(270&gt;$C$10*$C$11,N(G288)&lt;=0.005),"",270)</f>
        <v/>
      </c>
      <c r="B289" s="28" t="str">
        <f t="shared" si="25"/>
        <v/>
      </c>
      <c r="C289" s="29" t="str">
        <f t="shared" si="24"/>
        <v/>
      </c>
      <c r="D289" s="29" t="str">
        <f t="shared" si="26"/>
        <v/>
      </c>
      <c r="E289" s="29" t="str">
        <f t="shared" si="27"/>
        <v/>
      </c>
      <c r="F289" s="29" t="str">
        <f t="shared" si="28"/>
        <v/>
      </c>
      <c r="G289" s="30" t="str">
        <f t="shared" si="29"/>
        <v/>
      </c>
    </row>
    <row r="290" spans="1:7" ht="15" customHeight="1" x14ac:dyDescent="0.25">
      <c r="A290" s="23" t="str">
        <f>IF(OR(271&gt;$C$10*$C$11,N(G289)&lt;=0.005),"",271)</f>
        <v/>
      </c>
      <c r="B290" s="24" t="str">
        <f t="shared" si="25"/>
        <v/>
      </c>
      <c r="C290" s="25" t="str">
        <f t="shared" si="24"/>
        <v/>
      </c>
      <c r="D290" s="25" t="str">
        <f t="shared" si="26"/>
        <v/>
      </c>
      <c r="E290" s="25" t="str">
        <f t="shared" si="27"/>
        <v/>
      </c>
      <c r="F290" s="25" t="str">
        <f t="shared" si="28"/>
        <v/>
      </c>
      <c r="G290" s="26" t="str">
        <f t="shared" si="29"/>
        <v/>
      </c>
    </row>
    <row r="291" spans="1:7" ht="15" customHeight="1" x14ac:dyDescent="0.25">
      <c r="A291" s="27" t="str">
        <f>IF(OR(272&gt;$C$10*$C$11,N(G290)&lt;=0.005),"",272)</f>
        <v/>
      </c>
      <c r="B291" s="28" t="str">
        <f t="shared" si="25"/>
        <v/>
      </c>
      <c r="C291" s="29" t="str">
        <f t="shared" si="24"/>
        <v/>
      </c>
      <c r="D291" s="29" t="str">
        <f t="shared" si="26"/>
        <v/>
      </c>
      <c r="E291" s="29" t="str">
        <f t="shared" si="27"/>
        <v/>
      </c>
      <c r="F291" s="29" t="str">
        <f t="shared" si="28"/>
        <v/>
      </c>
      <c r="G291" s="30" t="str">
        <f t="shared" si="29"/>
        <v/>
      </c>
    </row>
    <row r="292" spans="1:7" ht="15" customHeight="1" x14ac:dyDescent="0.25">
      <c r="A292" s="23" t="str">
        <f>IF(OR(273&gt;$C$10*$C$11,N(G291)&lt;=0.005),"",273)</f>
        <v/>
      </c>
      <c r="B292" s="24" t="str">
        <f t="shared" si="25"/>
        <v/>
      </c>
      <c r="C292" s="25" t="str">
        <f t="shared" si="24"/>
        <v/>
      </c>
      <c r="D292" s="25" t="str">
        <f t="shared" si="26"/>
        <v/>
      </c>
      <c r="E292" s="25" t="str">
        <f t="shared" si="27"/>
        <v/>
      </c>
      <c r="F292" s="25" t="str">
        <f t="shared" si="28"/>
        <v/>
      </c>
      <c r="G292" s="26" t="str">
        <f t="shared" si="29"/>
        <v/>
      </c>
    </row>
    <row r="293" spans="1:7" ht="15" customHeight="1" x14ac:dyDescent="0.25">
      <c r="A293" s="27" t="str">
        <f>IF(OR(274&gt;$C$10*$C$11,N(G292)&lt;=0.005),"",274)</f>
        <v/>
      </c>
      <c r="B293" s="28" t="str">
        <f t="shared" si="25"/>
        <v/>
      </c>
      <c r="C293" s="29" t="str">
        <f t="shared" si="24"/>
        <v/>
      </c>
      <c r="D293" s="29" t="str">
        <f t="shared" si="26"/>
        <v/>
      </c>
      <c r="E293" s="29" t="str">
        <f t="shared" si="27"/>
        <v/>
      </c>
      <c r="F293" s="29" t="str">
        <f t="shared" si="28"/>
        <v/>
      </c>
      <c r="G293" s="30" t="str">
        <f t="shared" si="29"/>
        <v/>
      </c>
    </row>
    <row r="294" spans="1:7" ht="15" customHeight="1" x14ac:dyDescent="0.25">
      <c r="A294" s="23" t="str">
        <f>IF(OR(275&gt;$C$10*$C$11,N(G293)&lt;=0.005),"",275)</f>
        <v/>
      </c>
      <c r="B294" s="24" t="str">
        <f t="shared" si="25"/>
        <v/>
      </c>
      <c r="C294" s="25" t="str">
        <f t="shared" si="24"/>
        <v/>
      </c>
      <c r="D294" s="25" t="str">
        <f t="shared" si="26"/>
        <v/>
      </c>
      <c r="E294" s="25" t="str">
        <f t="shared" si="27"/>
        <v/>
      </c>
      <c r="F294" s="25" t="str">
        <f t="shared" si="28"/>
        <v/>
      </c>
      <c r="G294" s="26" t="str">
        <f t="shared" si="29"/>
        <v/>
      </c>
    </row>
    <row r="295" spans="1:7" ht="15" customHeight="1" x14ac:dyDescent="0.25">
      <c r="A295" s="27" t="str">
        <f>IF(OR(276&gt;$C$10*$C$11,N(G294)&lt;=0.005),"",276)</f>
        <v/>
      </c>
      <c r="B295" s="28" t="str">
        <f t="shared" si="25"/>
        <v/>
      </c>
      <c r="C295" s="29" t="str">
        <f t="shared" si="24"/>
        <v/>
      </c>
      <c r="D295" s="29" t="str">
        <f t="shared" si="26"/>
        <v/>
      </c>
      <c r="E295" s="29" t="str">
        <f t="shared" si="27"/>
        <v/>
      </c>
      <c r="F295" s="29" t="str">
        <f t="shared" si="28"/>
        <v/>
      </c>
      <c r="G295" s="30" t="str">
        <f t="shared" si="29"/>
        <v/>
      </c>
    </row>
    <row r="296" spans="1:7" ht="15" customHeight="1" x14ac:dyDescent="0.25">
      <c r="A296" s="23" t="str">
        <f>IF(OR(277&gt;$C$10*$C$11,N(G295)&lt;=0.005),"",277)</f>
        <v/>
      </c>
      <c r="B296" s="24" t="str">
        <f t="shared" si="25"/>
        <v/>
      </c>
      <c r="C296" s="25" t="str">
        <f t="shared" si="24"/>
        <v/>
      </c>
      <c r="D296" s="25" t="str">
        <f t="shared" si="26"/>
        <v/>
      </c>
      <c r="E296" s="25" t="str">
        <f t="shared" si="27"/>
        <v/>
      </c>
      <c r="F296" s="25" t="str">
        <f t="shared" si="28"/>
        <v/>
      </c>
      <c r="G296" s="26" t="str">
        <f t="shared" si="29"/>
        <v/>
      </c>
    </row>
    <row r="297" spans="1:7" ht="15" customHeight="1" x14ac:dyDescent="0.25">
      <c r="A297" s="27" t="str">
        <f>IF(OR(278&gt;$C$10*$C$11,N(G296)&lt;=0.005),"",278)</f>
        <v/>
      </c>
      <c r="B297" s="28" t="str">
        <f t="shared" si="25"/>
        <v/>
      </c>
      <c r="C297" s="29" t="str">
        <f t="shared" si="24"/>
        <v/>
      </c>
      <c r="D297" s="29" t="str">
        <f t="shared" si="26"/>
        <v/>
      </c>
      <c r="E297" s="29" t="str">
        <f t="shared" si="27"/>
        <v/>
      </c>
      <c r="F297" s="29" t="str">
        <f t="shared" si="28"/>
        <v/>
      </c>
      <c r="G297" s="30" t="str">
        <f t="shared" si="29"/>
        <v/>
      </c>
    </row>
    <row r="298" spans="1:7" ht="15" customHeight="1" x14ac:dyDescent="0.25">
      <c r="A298" s="23" t="str">
        <f>IF(OR(279&gt;$C$10*$C$11,N(G297)&lt;=0.005),"",279)</f>
        <v/>
      </c>
      <c r="B298" s="24" t="str">
        <f t="shared" si="25"/>
        <v/>
      </c>
      <c r="C298" s="25" t="str">
        <f t="shared" si="24"/>
        <v/>
      </c>
      <c r="D298" s="25" t="str">
        <f t="shared" si="26"/>
        <v/>
      </c>
      <c r="E298" s="25" t="str">
        <f t="shared" si="27"/>
        <v/>
      </c>
      <c r="F298" s="25" t="str">
        <f t="shared" si="28"/>
        <v/>
      </c>
      <c r="G298" s="26" t="str">
        <f t="shared" si="29"/>
        <v/>
      </c>
    </row>
    <row r="299" spans="1:7" ht="15" customHeight="1" x14ac:dyDescent="0.25">
      <c r="A299" s="27" t="str">
        <f>IF(OR(280&gt;$C$10*$C$11,N(G298)&lt;=0.005),"",280)</f>
        <v/>
      </c>
      <c r="B299" s="28" t="str">
        <f t="shared" si="25"/>
        <v/>
      </c>
      <c r="C299" s="29" t="str">
        <f t="shared" si="24"/>
        <v/>
      </c>
      <c r="D299" s="29" t="str">
        <f t="shared" si="26"/>
        <v/>
      </c>
      <c r="E299" s="29" t="str">
        <f t="shared" si="27"/>
        <v/>
      </c>
      <c r="F299" s="29" t="str">
        <f t="shared" si="28"/>
        <v/>
      </c>
      <c r="G299" s="30" t="str">
        <f t="shared" si="29"/>
        <v/>
      </c>
    </row>
    <row r="300" spans="1:7" ht="15" customHeight="1" x14ac:dyDescent="0.25">
      <c r="A300" s="23" t="str">
        <f>IF(OR(281&gt;$C$10*$C$11,N(G299)&lt;=0.005),"",281)</f>
        <v/>
      </c>
      <c r="B300" s="24" t="str">
        <f t="shared" si="25"/>
        <v/>
      </c>
      <c r="C300" s="25" t="str">
        <f t="shared" si="24"/>
        <v/>
      </c>
      <c r="D300" s="25" t="str">
        <f t="shared" si="26"/>
        <v/>
      </c>
      <c r="E300" s="25" t="str">
        <f t="shared" si="27"/>
        <v/>
      </c>
      <c r="F300" s="25" t="str">
        <f t="shared" si="28"/>
        <v/>
      </c>
      <c r="G300" s="26" t="str">
        <f t="shared" si="29"/>
        <v/>
      </c>
    </row>
    <row r="301" spans="1:7" ht="15" customHeight="1" x14ac:dyDescent="0.25">
      <c r="A301" s="27" t="str">
        <f>IF(OR(282&gt;$C$10*$C$11,N(G300)&lt;=0.005),"",282)</f>
        <v/>
      </c>
      <c r="B301" s="28" t="str">
        <f t="shared" si="25"/>
        <v/>
      </c>
      <c r="C301" s="29" t="str">
        <f t="shared" si="24"/>
        <v/>
      </c>
      <c r="D301" s="29" t="str">
        <f t="shared" si="26"/>
        <v/>
      </c>
      <c r="E301" s="29" t="str">
        <f t="shared" si="27"/>
        <v/>
      </c>
      <c r="F301" s="29" t="str">
        <f t="shared" si="28"/>
        <v/>
      </c>
      <c r="G301" s="30" t="str">
        <f t="shared" si="29"/>
        <v/>
      </c>
    </row>
    <row r="302" spans="1:7" ht="15" customHeight="1" x14ac:dyDescent="0.25">
      <c r="A302" s="23" t="str">
        <f>IF(OR(283&gt;$C$10*$C$11,N(G301)&lt;=0.005),"",283)</f>
        <v/>
      </c>
      <c r="B302" s="24" t="str">
        <f t="shared" si="25"/>
        <v/>
      </c>
      <c r="C302" s="25" t="str">
        <f t="shared" si="24"/>
        <v/>
      </c>
      <c r="D302" s="25" t="str">
        <f t="shared" si="26"/>
        <v/>
      </c>
      <c r="E302" s="25" t="str">
        <f t="shared" si="27"/>
        <v/>
      </c>
      <c r="F302" s="25" t="str">
        <f t="shared" si="28"/>
        <v/>
      </c>
      <c r="G302" s="26" t="str">
        <f t="shared" si="29"/>
        <v/>
      </c>
    </row>
    <row r="303" spans="1:7" ht="15" customHeight="1" x14ac:dyDescent="0.25">
      <c r="A303" s="27" t="str">
        <f>IF(OR(284&gt;$C$10*$C$11,N(G302)&lt;=0.005),"",284)</f>
        <v/>
      </c>
      <c r="B303" s="28" t="str">
        <f t="shared" si="25"/>
        <v/>
      </c>
      <c r="C303" s="29" t="str">
        <f t="shared" si="24"/>
        <v/>
      </c>
      <c r="D303" s="29" t="str">
        <f t="shared" si="26"/>
        <v/>
      </c>
      <c r="E303" s="29" t="str">
        <f t="shared" si="27"/>
        <v/>
      </c>
      <c r="F303" s="29" t="str">
        <f t="shared" si="28"/>
        <v/>
      </c>
      <c r="G303" s="30" t="str">
        <f t="shared" si="29"/>
        <v/>
      </c>
    </row>
    <row r="304" spans="1:7" ht="15" customHeight="1" x14ac:dyDescent="0.25">
      <c r="A304" s="23" t="str">
        <f>IF(OR(285&gt;$C$10*$C$11,N(G303)&lt;=0.005),"",285)</f>
        <v/>
      </c>
      <c r="B304" s="24" t="str">
        <f t="shared" si="25"/>
        <v/>
      </c>
      <c r="C304" s="25" t="str">
        <f t="shared" si="24"/>
        <v/>
      </c>
      <c r="D304" s="25" t="str">
        <f t="shared" si="26"/>
        <v/>
      </c>
      <c r="E304" s="25" t="str">
        <f t="shared" si="27"/>
        <v/>
      </c>
      <c r="F304" s="25" t="str">
        <f t="shared" si="28"/>
        <v/>
      </c>
      <c r="G304" s="26" t="str">
        <f t="shared" si="29"/>
        <v/>
      </c>
    </row>
    <row r="305" spans="1:7" ht="15" customHeight="1" x14ac:dyDescent="0.25">
      <c r="A305" s="27" t="str">
        <f>IF(OR(286&gt;$C$10*$C$11,N(G304)&lt;=0.005),"",286)</f>
        <v/>
      </c>
      <c r="B305" s="28" t="str">
        <f t="shared" si="25"/>
        <v/>
      </c>
      <c r="C305" s="29" t="str">
        <f t="shared" si="24"/>
        <v/>
      </c>
      <c r="D305" s="29" t="str">
        <f t="shared" si="26"/>
        <v/>
      </c>
      <c r="E305" s="29" t="str">
        <f t="shared" si="27"/>
        <v/>
      </c>
      <c r="F305" s="29" t="str">
        <f t="shared" si="28"/>
        <v/>
      </c>
      <c r="G305" s="30" t="str">
        <f t="shared" si="29"/>
        <v/>
      </c>
    </row>
    <row r="306" spans="1:7" ht="15" customHeight="1" x14ac:dyDescent="0.25">
      <c r="A306" s="23" t="str">
        <f>IF(OR(287&gt;$C$10*$C$11,N(G305)&lt;=0.005),"",287)</f>
        <v/>
      </c>
      <c r="B306" s="24" t="str">
        <f t="shared" si="25"/>
        <v/>
      </c>
      <c r="C306" s="25" t="str">
        <f t="shared" si="24"/>
        <v/>
      </c>
      <c r="D306" s="25" t="str">
        <f t="shared" si="26"/>
        <v/>
      </c>
      <c r="E306" s="25" t="str">
        <f t="shared" si="27"/>
        <v/>
      </c>
      <c r="F306" s="25" t="str">
        <f t="shared" si="28"/>
        <v/>
      </c>
      <c r="G306" s="26" t="str">
        <f t="shared" si="29"/>
        <v/>
      </c>
    </row>
    <row r="307" spans="1:7" ht="15" customHeight="1" x14ac:dyDescent="0.25">
      <c r="A307" s="27" t="str">
        <f>IF(OR(288&gt;$C$10*$C$11,N(G306)&lt;=0.005),"",288)</f>
        <v/>
      </c>
      <c r="B307" s="28" t="str">
        <f t="shared" si="25"/>
        <v/>
      </c>
      <c r="C307" s="29" t="str">
        <f t="shared" si="24"/>
        <v/>
      </c>
      <c r="D307" s="29" t="str">
        <f t="shared" si="26"/>
        <v/>
      </c>
      <c r="E307" s="29" t="str">
        <f t="shared" si="27"/>
        <v/>
      </c>
      <c r="F307" s="29" t="str">
        <f t="shared" si="28"/>
        <v/>
      </c>
      <c r="G307" s="30" t="str">
        <f t="shared" si="29"/>
        <v/>
      </c>
    </row>
    <row r="308" spans="1:7" ht="15" customHeight="1" x14ac:dyDescent="0.25">
      <c r="A308" s="23" t="str">
        <f>IF(OR(289&gt;$C$10*$C$11,N(G307)&lt;=0.005),"",289)</f>
        <v/>
      </c>
      <c r="B308" s="24" t="str">
        <f t="shared" si="25"/>
        <v/>
      </c>
      <c r="C308" s="25" t="str">
        <f t="shared" si="24"/>
        <v/>
      </c>
      <c r="D308" s="25" t="str">
        <f t="shared" si="26"/>
        <v/>
      </c>
      <c r="E308" s="25" t="str">
        <f t="shared" si="27"/>
        <v/>
      </c>
      <c r="F308" s="25" t="str">
        <f t="shared" si="28"/>
        <v/>
      </c>
      <c r="G308" s="26" t="str">
        <f t="shared" si="29"/>
        <v/>
      </c>
    </row>
    <row r="309" spans="1:7" ht="15" customHeight="1" x14ac:dyDescent="0.25">
      <c r="A309" s="27" t="str">
        <f>IF(OR(290&gt;$C$10*$C$11,N(G308)&lt;=0.005),"",290)</f>
        <v/>
      </c>
      <c r="B309" s="28" t="str">
        <f t="shared" si="25"/>
        <v/>
      </c>
      <c r="C309" s="29" t="str">
        <f t="shared" si="24"/>
        <v/>
      </c>
      <c r="D309" s="29" t="str">
        <f t="shared" si="26"/>
        <v/>
      </c>
      <c r="E309" s="29" t="str">
        <f t="shared" si="27"/>
        <v/>
      </c>
      <c r="F309" s="29" t="str">
        <f t="shared" si="28"/>
        <v/>
      </c>
      <c r="G309" s="30" t="str">
        <f t="shared" si="29"/>
        <v/>
      </c>
    </row>
    <row r="310" spans="1:7" ht="15" customHeight="1" x14ac:dyDescent="0.25">
      <c r="A310" s="23" t="str">
        <f>IF(OR(291&gt;$C$10*$C$11,N(G309)&lt;=0.005),"",291)</f>
        <v/>
      </c>
      <c r="B310" s="24" t="str">
        <f t="shared" si="25"/>
        <v/>
      </c>
      <c r="C310" s="25" t="str">
        <f t="shared" si="24"/>
        <v/>
      </c>
      <c r="D310" s="25" t="str">
        <f t="shared" si="26"/>
        <v/>
      </c>
      <c r="E310" s="25" t="str">
        <f t="shared" si="27"/>
        <v/>
      </c>
      <c r="F310" s="25" t="str">
        <f t="shared" si="28"/>
        <v/>
      </c>
      <c r="G310" s="26" t="str">
        <f t="shared" si="29"/>
        <v/>
      </c>
    </row>
    <row r="311" spans="1:7" ht="15" customHeight="1" x14ac:dyDescent="0.25">
      <c r="A311" s="27" t="str">
        <f>IF(OR(292&gt;$C$10*$C$11,N(G310)&lt;=0.005),"",292)</f>
        <v/>
      </c>
      <c r="B311" s="28" t="str">
        <f t="shared" si="25"/>
        <v/>
      </c>
      <c r="C311" s="29" t="str">
        <f t="shared" si="24"/>
        <v/>
      </c>
      <c r="D311" s="29" t="str">
        <f t="shared" si="26"/>
        <v/>
      </c>
      <c r="E311" s="29" t="str">
        <f t="shared" si="27"/>
        <v/>
      </c>
      <c r="F311" s="29" t="str">
        <f t="shared" si="28"/>
        <v/>
      </c>
      <c r="G311" s="30" t="str">
        <f t="shared" si="29"/>
        <v/>
      </c>
    </row>
    <row r="312" spans="1:7" ht="15" customHeight="1" x14ac:dyDescent="0.25">
      <c r="A312" s="23" t="str">
        <f>IF(OR(293&gt;$C$10*$C$11,N(G311)&lt;=0.005),"",293)</f>
        <v/>
      </c>
      <c r="B312" s="24" t="str">
        <f t="shared" si="25"/>
        <v/>
      </c>
      <c r="C312" s="25" t="str">
        <f t="shared" si="24"/>
        <v/>
      </c>
      <c r="D312" s="25" t="str">
        <f t="shared" si="26"/>
        <v/>
      </c>
      <c r="E312" s="25" t="str">
        <f t="shared" si="27"/>
        <v/>
      </c>
      <c r="F312" s="25" t="str">
        <f t="shared" si="28"/>
        <v/>
      </c>
      <c r="G312" s="26" t="str">
        <f t="shared" si="29"/>
        <v/>
      </c>
    </row>
    <row r="313" spans="1:7" ht="15" customHeight="1" x14ac:dyDescent="0.25">
      <c r="A313" s="27" t="str">
        <f>IF(OR(294&gt;$C$10*$C$11,N(G312)&lt;=0.005),"",294)</f>
        <v/>
      </c>
      <c r="B313" s="28" t="str">
        <f t="shared" si="25"/>
        <v/>
      </c>
      <c r="C313" s="29" t="str">
        <f t="shared" si="24"/>
        <v/>
      </c>
      <c r="D313" s="29" t="str">
        <f t="shared" si="26"/>
        <v/>
      </c>
      <c r="E313" s="29" t="str">
        <f t="shared" si="27"/>
        <v/>
      </c>
      <c r="F313" s="29" t="str">
        <f t="shared" si="28"/>
        <v/>
      </c>
      <c r="G313" s="30" t="str">
        <f t="shared" si="29"/>
        <v/>
      </c>
    </row>
    <row r="314" spans="1:7" ht="15" customHeight="1" x14ac:dyDescent="0.25">
      <c r="A314" s="23" t="str">
        <f>IF(OR(295&gt;$C$10*$C$11,N(G313)&lt;=0.005),"",295)</f>
        <v/>
      </c>
      <c r="B314" s="24" t="str">
        <f t="shared" si="25"/>
        <v/>
      </c>
      <c r="C314" s="25" t="str">
        <f t="shared" si="24"/>
        <v/>
      </c>
      <c r="D314" s="25" t="str">
        <f t="shared" si="26"/>
        <v/>
      </c>
      <c r="E314" s="25" t="str">
        <f t="shared" si="27"/>
        <v/>
      </c>
      <c r="F314" s="25" t="str">
        <f t="shared" si="28"/>
        <v/>
      </c>
      <c r="G314" s="26" t="str">
        <f t="shared" si="29"/>
        <v/>
      </c>
    </row>
    <row r="315" spans="1:7" ht="15" customHeight="1" x14ac:dyDescent="0.25">
      <c r="A315" s="27" t="str">
        <f>IF(OR(296&gt;$C$10*$C$11,N(G314)&lt;=0.005),"",296)</f>
        <v/>
      </c>
      <c r="B315" s="28" t="str">
        <f t="shared" si="25"/>
        <v/>
      </c>
      <c r="C315" s="29" t="str">
        <f t="shared" si="24"/>
        <v/>
      </c>
      <c r="D315" s="29" t="str">
        <f t="shared" si="26"/>
        <v/>
      </c>
      <c r="E315" s="29" t="str">
        <f t="shared" si="27"/>
        <v/>
      </c>
      <c r="F315" s="29" t="str">
        <f t="shared" si="28"/>
        <v/>
      </c>
      <c r="G315" s="30" t="str">
        <f t="shared" si="29"/>
        <v/>
      </c>
    </row>
    <row r="316" spans="1:7" ht="15" customHeight="1" x14ac:dyDescent="0.25">
      <c r="A316" s="23" t="str">
        <f>IF(OR(297&gt;$C$10*$C$11,N(G315)&lt;=0.005),"",297)</f>
        <v/>
      </c>
      <c r="B316" s="24" t="str">
        <f t="shared" si="25"/>
        <v/>
      </c>
      <c r="C316" s="25" t="str">
        <f t="shared" si="24"/>
        <v/>
      </c>
      <c r="D316" s="25" t="str">
        <f t="shared" si="26"/>
        <v/>
      </c>
      <c r="E316" s="25" t="str">
        <f t="shared" si="27"/>
        <v/>
      </c>
      <c r="F316" s="25" t="str">
        <f t="shared" si="28"/>
        <v/>
      </c>
      <c r="G316" s="26" t="str">
        <f t="shared" si="29"/>
        <v/>
      </c>
    </row>
    <row r="317" spans="1:7" ht="15" customHeight="1" x14ac:dyDescent="0.25">
      <c r="A317" s="27" t="str">
        <f>IF(OR(298&gt;$C$10*$C$11,N(G316)&lt;=0.005),"",298)</f>
        <v/>
      </c>
      <c r="B317" s="28" t="str">
        <f t="shared" si="25"/>
        <v/>
      </c>
      <c r="C317" s="29" t="str">
        <f t="shared" si="24"/>
        <v/>
      </c>
      <c r="D317" s="29" t="str">
        <f t="shared" si="26"/>
        <v/>
      </c>
      <c r="E317" s="29" t="str">
        <f t="shared" si="27"/>
        <v/>
      </c>
      <c r="F317" s="29" t="str">
        <f t="shared" si="28"/>
        <v/>
      </c>
      <c r="G317" s="30" t="str">
        <f t="shared" si="29"/>
        <v/>
      </c>
    </row>
    <row r="318" spans="1:7" ht="15" customHeight="1" x14ac:dyDescent="0.25">
      <c r="A318" s="23" t="str">
        <f>IF(OR(299&gt;$C$10*$C$11,N(G317)&lt;=0.005),"",299)</f>
        <v/>
      </c>
      <c r="B318" s="24" t="str">
        <f t="shared" si="25"/>
        <v/>
      </c>
      <c r="C318" s="25" t="str">
        <f t="shared" si="24"/>
        <v/>
      </c>
      <c r="D318" s="25" t="str">
        <f t="shared" si="26"/>
        <v/>
      </c>
      <c r="E318" s="25" t="str">
        <f t="shared" si="27"/>
        <v/>
      </c>
      <c r="F318" s="25" t="str">
        <f t="shared" si="28"/>
        <v/>
      </c>
      <c r="G318" s="26" t="str">
        <f t="shared" si="29"/>
        <v/>
      </c>
    </row>
    <row r="319" spans="1:7" ht="15" customHeight="1" x14ac:dyDescent="0.25">
      <c r="A319" s="27" t="str">
        <f>IF(OR(300&gt;$C$10*$C$11,N(G318)&lt;=0.005),"",300)</f>
        <v/>
      </c>
      <c r="B319" s="28" t="str">
        <f t="shared" si="25"/>
        <v/>
      </c>
      <c r="C319" s="29" t="str">
        <f t="shared" si="24"/>
        <v/>
      </c>
      <c r="D319" s="29" t="str">
        <f t="shared" si="26"/>
        <v/>
      </c>
      <c r="E319" s="29" t="str">
        <f t="shared" si="27"/>
        <v/>
      </c>
      <c r="F319" s="29" t="str">
        <f t="shared" si="28"/>
        <v/>
      </c>
      <c r="G319" s="30" t="str">
        <f t="shared" si="29"/>
        <v/>
      </c>
    </row>
    <row r="320" spans="1:7" ht="15" customHeight="1" x14ac:dyDescent="0.25">
      <c r="A320" s="23" t="str">
        <f>IF(OR(301&gt;$C$10*$C$11,N(G319)&lt;=0.005),"",301)</f>
        <v/>
      </c>
      <c r="B320" s="24" t="str">
        <f t="shared" si="25"/>
        <v/>
      </c>
      <c r="C320" s="25" t="str">
        <f t="shared" si="24"/>
        <v/>
      </c>
      <c r="D320" s="25" t="str">
        <f t="shared" si="26"/>
        <v/>
      </c>
      <c r="E320" s="25" t="str">
        <f t="shared" si="27"/>
        <v/>
      </c>
      <c r="F320" s="25" t="str">
        <f t="shared" si="28"/>
        <v/>
      </c>
      <c r="G320" s="26" t="str">
        <f t="shared" si="29"/>
        <v/>
      </c>
    </row>
    <row r="321" spans="1:7" ht="15" customHeight="1" x14ac:dyDescent="0.25">
      <c r="A321" s="27" t="str">
        <f>IF(OR(302&gt;$C$10*$C$11,N(G320)&lt;=0.005),"",302)</f>
        <v/>
      </c>
      <c r="B321" s="28" t="str">
        <f t="shared" si="25"/>
        <v/>
      </c>
      <c r="C321" s="29" t="str">
        <f t="shared" si="24"/>
        <v/>
      </c>
      <c r="D321" s="29" t="str">
        <f t="shared" si="26"/>
        <v/>
      </c>
      <c r="E321" s="29" t="str">
        <f t="shared" si="27"/>
        <v/>
      </c>
      <c r="F321" s="29" t="str">
        <f t="shared" si="28"/>
        <v/>
      </c>
      <c r="G321" s="30" t="str">
        <f t="shared" si="29"/>
        <v/>
      </c>
    </row>
    <row r="322" spans="1:7" ht="15" customHeight="1" x14ac:dyDescent="0.25">
      <c r="A322" s="23" t="str">
        <f>IF(OR(303&gt;$C$10*$C$11,N(G321)&lt;=0.005),"",303)</f>
        <v/>
      </c>
      <c r="B322" s="24" t="str">
        <f t="shared" si="25"/>
        <v/>
      </c>
      <c r="C322" s="25" t="str">
        <f t="shared" si="24"/>
        <v/>
      </c>
      <c r="D322" s="25" t="str">
        <f t="shared" si="26"/>
        <v/>
      </c>
      <c r="E322" s="25" t="str">
        <f t="shared" si="27"/>
        <v/>
      </c>
      <c r="F322" s="25" t="str">
        <f t="shared" si="28"/>
        <v/>
      </c>
      <c r="G322" s="26" t="str">
        <f t="shared" si="29"/>
        <v/>
      </c>
    </row>
    <row r="323" spans="1:7" ht="15" customHeight="1" x14ac:dyDescent="0.25">
      <c r="A323" s="27" t="str">
        <f>IF(OR(304&gt;$C$10*$C$11,N(G322)&lt;=0.005),"",304)</f>
        <v/>
      </c>
      <c r="B323" s="28" t="str">
        <f t="shared" si="25"/>
        <v/>
      </c>
      <c r="C323" s="29" t="str">
        <f t="shared" si="24"/>
        <v/>
      </c>
      <c r="D323" s="29" t="str">
        <f t="shared" si="26"/>
        <v/>
      </c>
      <c r="E323" s="29" t="str">
        <f t="shared" si="27"/>
        <v/>
      </c>
      <c r="F323" s="29" t="str">
        <f t="shared" si="28"/>
        <v/>
      </c>
      <c r="G323" s="30" t="str">
        <f t="shared" si="29"/>
        <v/>
      </c>
    </row>
    <row r="324" spans="1:7" ht="15" customHeight="1" x14ac:dyDescent="0.25">
      <c r="A324" s="23" t="str">
        <f>IF(OR(305&gt;$C$10*$C$11,N(G323)&lt;=0.005),"",305)</f>
        <v/>
      </c>
      <c r="B324" s="24" t="str">
        <f t="shared" si="25"/>
        <v/>
      </c>
      <c r="C324" s="25" t="str">
        <f t="shared" si="24"/>
        <v/>
      </c>
      <c r="D324" s="25" t="str">
        <f t="shared" si="26"/>
        <v/>
      </c>
      <c r="E324" s="25" t="str">
        <f t="shared" si="27"/>
        <v/>
      </c>
      <c r="F324" s="25" t="str">
        <f t="shared" si="28"/>
        <v/>
      </c>
      <c r="G324" s="26" t="str">
        <f t="shared" si="29"/>
        <v/>
      </c>
    </row>
    <row r="325" spans="1:7" ht="15" customHeight="1" x14ac:dyDescent="0.25">
      <c r="A325" s="27" t="str">
        <f>IF(OR(306&gt;$C$10*$C$11,N(G324)&lt;=0.005),"",306)</f>
        <v/>
      </c>
      <c r="B325" s="28" t="str">
        <f t="shared" si="25"/>
        <v/>
      </c>
      <c r="C325" s="29" t="str">
        <f t="shared" si="24"/>
        <v/>
      </c>
      <c r="D325" s="29" t="str">
        <f t="shared" si="26"/>
        <v/>
      </c>
      <c r="E325" s="29" t="str">
        <f t="shared" si="27"/>
        <v/>
      </c>
      <c r="F325" s="29" t="str">
        <f t="shared" si="28"/>
        <v/>
      </c>
      <c r="G325" s="30" t="str">
        <f t="shared" si="29"/>
        <v/>
      </c>
    </row>
    <row r="326" spans="1:7" ht="15" customHeight="1" x14ac:dyDescent="0.25">
      <c r="A326" s="23" t="str">
        <f>IF(OR(307&gt;$C$10*$C$11,N(G325)&lt;=0.005),"",307)</f>
        <v/>
      </c>
      <c r="B326" s="24" t="str">
        <f t="shared" si="25"/>
        <v/>
      </c>
      <c r="C326" s="25" t="str">
        <f t="shared" si="24"/>
        <v/>
      </c>
      <c r="D326" s="25" t="str">
        <f t="shared" si="26"/>
        <v/>
      </c>
      <c r="E326" s="25" t="str">
        <f t="shared" si="27"/>
        <v/>
      </c>
      <c r="F326" s="25" t="str">
        <f t="shared" si="28"/>
        <v/>
      </c>
      <c r="G326" s="26" t="str">
        <f t="shared" si="29"/>
        <v/>
      </c>
    </row>
    <row r="327" spans="1:7" ht="15" customHeight="1" x14ac:dyDescent="0.25">
      <c r="A327" s="27" t="str">
        <f>IF(OR(308&gt;$C$10*$C$11,N(G326)&lt;=0.005),"",308)</f>
        <v/>
      </c>
      <c r="B327" s="28" t="str">
        <f t="shared" si="25"/>
        <v/>
      </c>
      <c r="C327" s="29" t="str">
        <f t="shared" si="24"/>
        <v/>
      </c>
      <c r="D327" s="29" t="str">
        <f t="shared" si="26"/>
        <v/>
      </c>
      <c r="E327" s="29" t="str">
        <f t="shared" si="27"/>
        <v/>
      </c>
      <c r="F327" s="29" t="str">
        <f t="shared" si="28"/>
        <v/>
      </c>
      <c r="G327" s="30" t="str">
        <f t="shared" si="29"/>
        <v/>
      </c>
    </row>
    <row r="328" spans="1:7" ht="15" customHeight="1" x14ac:dyDescent="0.25">
      <c r="A328" s="23" t="str">
        <f>IF(OR(309&gt;$C$10*$C$11,N(G327)&lt;=0.005),"",309)</f>
        <v/>
      </c>
      <c r="B328" s="24" t="str">
        <f t="shared" si="25"/>
        <v/>
      </c>
      <c r="C328" s="25" t="str">
        <f t="shared" si="24"/>
        <v/>
      </c>
      <c r="D328" s="25" t="str">
        <f t="shared" si="26"/>
        <v/>
      </c>
      <c r="E328" s="25" t="str">
        <f t="shared" si="27"/>
        <v/>
      </c>
      <c r="F328" s="25" t="str">
        <f t="shared" si="28"/>
        <v/>
      </c>
      <c r="G328" s="26" t="str">
        <f t="shared" si="29"/>
        <v/>
      </c>
    </row>
    <row r="329" spans="1:7" ht="15" customHeight="1" x14ac:dyDescent="0.25">
      <c r="A329" s="27" t="str">
        <f>IF(OR(310&gt;$C$10*$C$11,N(G328)&lt;=0.005),"",310)</f>
        <v/>
      </c>
      <c r="B329" s="28" t="str">
        <f t="shared" si="25"/>
        <v/>
      </c>
      <c r="C329" s="29" t="str">
        <f t="shared" si="24"/>
        <v/>
      </c>
      <c r="D329" s="29" t="str">
        <f t="shared" si="26"/>
        <v/>
      </c>
      <c r="E329" s="29" t="str">
        <f t="shared" si="27"/>
        <v/>
      </c>
      <c r="F329" s="29" t="str">
        <f t="shared" si="28"/>
        <v/>
      </c>
      <c r="G329" s="30" t="str">
        <f t="shared" si="29"/>
        <v/>
      </c>
    </row>
    <row r="330" spans="1:7" ht="15" customHeight="1" x14ac:dyDescent="0.25">
      <c r="A330" s="23" t="str">
        <f>IF(OR(311&gt;$C$10*$C$11,N(G329)&lt;=0.005),"",311)</f>
        <v/>
      </c>
      <c r="B330" s="24" t="str">
        <f t="shared" si="25"/>
        <v/>
      </c>
      <c r="C330" s="25" t="str">
        <f t="shared" si="24"/>
        <v/>
      </c>
      <c r="D330" s="25" t="str">
        <f t="shared" si="26"/>
        <v/>
      </c>
      <c r="E330" s="25" t="str">
        <f t="shared" si="27"/>
        <v/>
      </c>
      <c r="F330" s="25" t="str">
        <f t="shared" si="28"/>
        <v/>
      </c>
      <c r="G330" s="26" t="str">
        <f t="shared" si="29"/>
        <v/>
      </c>
    </row>
    <row r="331" spans="1:7" ht="15" customHeight="1" x14ac:dyDescent="0.25">
      <c r="A331" s="27" t="str">
        <f>IF(OR(312&gt;$C$10*$C$11,N(G330)&lt;=0.005),"",312)</f>
        <v/>
      </c>
      <c r="B331" s="28" t="str">
        <f t="shared" si="25"/>
        <v/>
      </c>
      <c r="C331" s="29" t="str">
        <f t="shared" si="24"/>
        <v/>
      </c>
      <c r="D331" s="29" t="str">
        <f t="shared" si="26"/>
        <v/>
      </c>
      <c r="E331" s="29" t="str">
        <f t="shared" si="27"/>
        <v/>
      </c>
      <c r="F331" s="29" t="str">
        <f t="shared" si="28"/>
        <v/>
      </c>
      <c r="G331" s="30" t="str">
        <f t="shared" si="29"/>
        <v/>
      </c>
    </row>
    <row r="332" spans="1:7" ht="15" customHeight="1" x14ac:dyDescent="0.25">
      <c r="A332" s="23" t="str">
        <f>IF(OR(313&gt;$C$10*$C$11,N(G331)&lt;=0.005),"",313)</f>
        <v/>
      </c>
      <c r="B332" s="24" t="str">
        <f t="shared" si="25"/>
        <v/>
      </c>
      <c r="C332" s="25" t="str">
        <f t="shared" si="24"/>
        <v/>
      </c>
      <c r="D332" s="25" t="str">
        <f t="shared" si="26"/>
        <v/>
      </c>
      <c r="E332" s="25" t="str">
        <f t="shared" si="27"/>
        <v/>
      </c>
      <c r="F332" s="25" t="str">
        <f t="shared" si="28"/>
        <v/>
      </c>
      <c r="G332" s="26" t="str">
        <f t="shared" si="29"/>
        <v/>
      </c>
    </row>
    <row r="333" spans="1:7" ht="15" customHeight="1" x14ac:dyDescent="0.25">
      <c r="A333" s="27" t="str">
        <f>IF(OR(314&gt;$C$10*$C$11,N(G332)&lt;=0.005),"",314)</f>
        <v/>
      </c>
      <c r="B333" s="28" t="str">
        <f t="shared" si="25"/>
        <v/>
      </c>
      <c r="C333" s="29" t="str">
        <f t="shared" si="24"/>
        <v/>
      </c>
      <c r="D333" s="29" t="str">
        <f t="shared" si="26"/>
        <v/>
      </c>
      <c r="E333" s="29" t="str">
        <f t="shared" si="27"/>
        <v/>
      </c>
      <c r="F333" s="29" t="str">
        <f t="shared" si="28"/>
        <v/>
      </c>
      <c r="G333" s="30" t="str">
        <f t="shared" si="29"/>
        <v/>
      </c>
    </row>
    <row r="334" spans="1:7" ht="15" customHeight="1" x14ac:dyDescent="0.25">
      <c r="A334" s="23" t="str">
        <f>IF(OR(315&gt;$C$10*$C$11,N(G333)&lt;=0.005),"",315)</f>
        <v/>
      </c>
      <c r="B334" s="24" t="str">
        <f t="shared" si="25"/>
        <v/>
      </c>
      <c r="C334" s="25" t="str">
        <f t="shared" si="24"/>
        <v/>
      </c>
      <c r="D334" s="25" t="str">
        <f t="shared" si="26"/>
        <v/>
      </c>
      <c r="E334" s="25" t="str">
        <f t="shared" si="27"/>
        <v/>
      </c>
      <c r="F334" s="25" t="str">
        <f t="shared" si="28"/>
        <v/>
      </c>
      <c r="G334" s="26" t="str">
        <f t="shared" si="29"/>
        <v/>
      </c>
    </row>
    <row r="335" spans="1:7" ht="15" customHeight="1" x14ac:dyDescent="0.25">
      <c r="A335" s="27" t="str">
        <f>IF(OR(316&gt;$C$10*$C$11,N(G334)&lt;=0.005),"",316)</f>
        <v/>
      </c>
      <c r="B335" s="28" t="str">
        <f t="shared" si="25"/>
        <v/>
      </c>
      <c r="C335" s="29" t="str">
        <f t="shared" si="24"/>
        <v/>
      </c>
      <c r="D335" s="29" t="str">
        <f t="shared" si="26"/>
        <v/>
      </c>
      <c r="E335" s="29" t="str">
        <f t="shared" si="27"/>
        <v/>
      </c>
      <c r="F335" s="29" t="str">
        <f t="shared" si="28"/>
        <v/>
      </c>
      <c r="G335" s="30" t="str">
        <f t="shared" si="29"/>
        <v/>
      </c>
    </row>
    <row r="336" spans="1:7" ht="15" customHeight="1" x14ac:dyDescent="0.25">
      <c r="A336" s="23" t="str">
        <f>IF(OR(317&gt;$C$10*$C$11,N(G335)&lt;=0.005),"",317)</f>
        <v/>
      </c>
      <c r="B336" s="24" t="str">
        <f t="shared" si="25"/>
        <v/>
      </c>
      <c r="C336" s="25" t="str">
        <f t="shared" si="24"/>
        <v/>
      </c>
      <c r="D336" s="25" t="str">
        <f t="shared" si="26"/>
        <v/>
      </c>
      <c r="E336" s="25" t="str">
        <f t="shared" si="27"/>
        <v/>
      </c>
      <c r="F336" s="25" t="str">
        <f t="shared" si="28"/>
        <v/>
      </c>
      <c r="G336" s="26" t="str">
        <f t="shared" si="29"/>
        <v/>
      </c>
    </row>
    <row r="337" spans="1:7" ht="15" customHeight="1" x14ac:dyDescent="0.25">
      <c r="A337" s="27" t="str">
        <f>IF(OR(318&gt;$C$10*$C$11,N(G336)&lt;=0.005),"",318)</f>
        <v/>
      </c>
      <c r="B337" s="28" t="str">
        <f t="shared" si="25"/>
        <v/>
      </c>
      <c r="C337" s="29" t="str">
        <f t="shared" si="24"/>
        <v/>
      </c>
      <c r="D337" s="29" t="str">
        <f t="shared" si="26"/>
        <v/>
      </c>
      <c r="E337" s="29" t="str">
        <f t="shared" si="27"/>
        <v/>
      </c>
      <c r="F337" s="29" t="str">
        <f t="shared" si="28"/>
        <v/>
      </c>
      <c r="G337" s="30" t="str">
        <f t="shared" si="29"/>
        <v/>
      </c>
    </row>
    <row r="338" spans="1:7" ht="15" customHeight="1" x14ac:dyDescent="0.25">
      <c r="A338" s="23" t="str">
        <f>IF(OR(319&gt;$C$10*$C$11,N(G337)&lt;=0.005),"",319)</f>
        <v/>
      </c>
      <c r="B338" s="24" t="str">
        <f t="shared" si="25"/>
        <v/>
      </c>
      <c r="C338" s="25" t="str">
        <f t="shared" si="24"/>
        <v/>
      </c>
      <c r="D338" s="25" t="str">
        <f t="shared" si="26"/>
        <v/>
      </c>
      <c r="E338" s="25" t="str">
        <f t="shared" si="27"/>
        <v/>
      </c>
      <c r="F338" s="25" t="str">
        <f t="shared" si="28"/>
        <v/>
      </c>
      <c r="G338" s="26" t="str">
        <f t="shared" si="29"/>
        <v/>
      </c>
    </row>
    <row r="339" spans="1:7" ht="15" customHeight="1" x14ac:dyDescent="0.25">
      <c r="A339" s="27" t="str">
        <f>IF(OR(320&gt;$C$10*$C$11,N(G338)&lt;=0.005),"",320)</f>
        <v/>
      </c>
      <c r="B339" s="28" t="str">
        <f t="shared" si="25"/>
        <v/>
      </c>
      <c r="C339" s="29" t="str">
        <f t="shared" si="24"/>
        <v/>
      </c>
      <c r="D339" s="29" t="str">
        <f t="shared" si="26"/>
        <v/>
      </c>
      <c r="E339" s="29" t="str">
        <f t="shared" si="27"/>
        <v/>
      </c>
      <c r="F339" s="29" t="str">
        <f t="shared" si="28"/>
        <v/>
      </c>
      <c r="G339" s="30" t="str">
        <f t="shared" si="29"/>
        <v/>
      </c>
    </row>
    <row r="340" spans="1:7" ht="15" customHeight="1" x14ac:dyDescent="0.25">
      <c r="A340" s="23" t="str">
        <f>IF(OR(321&gt;$C$10*$C$11,N(G339)&lt;=0.005),"",321)</f>
        <v/>
      </c>
      <c r="B340" s="24" t="str">
        <f t="shared" si="25"/>
        <v/>
      </c>
      <c r="C340" s="25" t="str">
        <f t="shared" ref="C340:C403" si="30">IF(A340="","",D340+E340+F340)</f>
        <v/>
      </c>
      <c r="D340" s="25" t="str">
        <f t="shared" si="26"/>
        <v/>
      </c>
      <c r="E340" s="25" t="str">
        <f t="shared" si="27"/>
        <v/>
      </c>
      <c r="F340" s="25" t="str">
        <f t="shared" si="28"/>
        <v/>
      </c>
      <c r="G340" s="26" t="str">
        <f t="shared" si="29"/>
        <v/>
      </c>
    </row>
    <row r="341" spans="1:7" ht="15" customHeight="1" x14ac:dyDescent="0.25">
      <c r="A341" s="27" t="str">
        <f>IF(OR(322&gt;$C$10*$C$11,N(G340)&lt;=0.005),"",322)</f>
        <v/>
      </c>
      <c r="B341" s="28" t="str">
        <f t="shared" ref="B341:B404" si="31">IF(A341="","",EDATE($C$12,(A341-1)*(12/$C$11)))</f>
        <v/>
      </c>
      <c r="C341" s="29" t="str">
        <f t="shared" si="30"/>
        <v/>
      </c>
      <c r="D341" s="29" t="str">
        <f t="shared" ref="D341:D404" si="32">IF(A341="","",N(G340)*$C$9/$C$11)</f>
        <v/>
      </c>
      <c r="E341" s="29" t="str">
        <f t="shared" ref="E341:E404" si="33">IF(A341="","",MIN($C$15-D341,N(G340)))</f>
        <v/>
      </c>
      <c r="F341" s="29" t="str">
        <f t="shared" ref="F341:F404" si="34">IF(A341="","",IF(AND($C$13&gt;0,MOD(A341,$C$11)=0),MIN($C$13,N(G340)-E341),0))</f>
        <v/>
      </c>
      <c r="G341" s="30" t="str">
        <f t="shared" ref="G341:G404" si="35">IF(A341="","",MAX(N(G340)-E341-F341,0))</f>
        <v/>
      </c>
    </row>
    <row r="342" spans="1:7" ht="15" customHeight="1" x14ac:dyDescent="0.25">
      <c r="A342" s="23" t="str">
        <f>IF(OR(323&gt;$C$10*$C$11,N(G341)&lt;=0.005),"",323)</f>
        <v/>
      </c>
      <c r="B342" s="24" t="str">
        <f t="shared" si="31"/>
        <v/>
      </c>
      <c r="C342" s="25" t="str">
        <f t="shared" si="30"/>
        <v/>
      </c>
      <c r="D342" s="25" t="str">
        <f t="shared" si="32"/>
        <v/>
      </c>
      <c r="E342" s="25" t="str">
        <f t="shared" si="33"/>
        <v/>
      </c>
      <c r="F342" s="25" t="str">
        <f t="shared" si="34"/>
        <v/>
      </c>
      <c r="G342" s="26" t="str">
        <f t="shared" si="35"/>
        <v/>
      </c>
    </row>
    <row r="343" spans="1:7" ht="15" customHeight="1" x14ac:dyDescent="0.25">
      <c r="A343" s="27" t="str">
        <f>IF(OR(324&gt;$C$10*$C$11,N(G342)&lt;=0.005),"",324)</f>
        <v/>
      </c>
      <c r="B343" s="28" t="str">
        <f t="shared" si="31"/>
        <v/>
      </c>
      <c r="C343" s="29" t="str">
        <f t="shared" si="30"/>
        <v/>
      </c>
      <c r="D343" s="29" t="str">
        <f t="shared" si="32"/>
        <v/>
      </c>
      <c r="E343" s="29" t="str">
        <f t="shared" si="33"/>
        <v/>
      </c>
      <c r="F343" s="29" t="str">
        <f t="shared" si="34"/>
        <v/>
      </c>
      <c r="G343" s="30" t="str">
        <f t="shared" si="35"/>
        <v/>
      </c>
    </row>
    <row r="344" spans="1:7" ht="15" customHeight="1" x14ac:dyDescent="0.25">
      <c r="A344" s="23" t="str">
        <f>IF(OR(325&gt;$C$10*$C$11,N(G343)&lt;=0.005),"",325)</f>
        <v/>
      </c>
      <c r="B344" s="24" t="str">
        <f t="shared" si="31"/>
        <v/>
      </c>
      <c r="C344" s="25" t="str">
        <f t="shared" si="30"/>
        <v/>
      </c>
      <c r="D344" s="25" t="str">
        <f t="shared" si="32"/>
        <v/>
      </c>
      <c r="E344" s="25" t="str">
        <f t="shared" si="33"/>
        <v/>
      </c>
      <c r="F344" s="25" t="str">
        <f t="shared" si="34"/>
        <v/>
      </c>
      <c r="G344" s="26" t="str">
        <f t="shared" si="35"/>
        <v/>
      </c>
    </row>
    <row r="345" spans="1:7" ht="15" customHeight="1" x14ac:dyDescent="0.25">
      <c r="A345" s="27" t="str">
        <f>IF(OR(326&gt;$C$10*$C$11,N(G344)&lt;=0.005),"",326)</f>
        <v/>
      </c>
      <c r="B345" s="28" t="str">
        <f t="shared" si="31"/>
        <v/>
      </c>
      <c r="C345" s="29" t="str">
        <f t="shared" si="30"/>
        <v/>
      </c>
      <c r="D345" s="29" t="str">
        <f t="shared" si="32"/>
        <v/>
      </c>
      <c r="E345" s="29" t="str">
        <f t="shared" si="33"/>
        <v/>
      </c>
      <c r="F345" s="29" t="str">
        <f t="shared" si="34"/>
        <v/>
      </c>
      <c r="G345" s="30" t="str">
        <f t="shared" si="35"/>
        <v/>
      </c>
    </row>
    <row r="346" spans="1:7" ht="15" customHeight="1" x14ac:dyDescent="0.25">
      <c r="A346" s="23" t="str">
        <f>IF(OR(327&gt;$C$10*$C$11,N(G345)&lt;=0.005),"",327)</f>
        <v/>
      </c>
      <c r="B346" s="24" t="str">
        <f t="shared" si="31"/>
        <v/>
      </c>
      <c r="C346" s="25" t="str">
        <f t="shared" si="30"/>
        <v/>
      </c>
      <c r="D346" s="25" t="str">
        <f t="shared" si="32"/>
        <v/>
      </c>
      <c r="E346" s="25" t="str">
        <f t="shared" si="33"/>
        <v/>
      </c>
      <c r="F346" s="25" t="str">
        <f t="shared" si="34"/>
        <v/>
      </c>
      <c r="G346" s="26" t="str">
        <f t="shared" si="35"/>
        <v/>
      </c>
    </row>
    <row r="347" spans="1:7" ht="15" customHeight="1" x14ac:dyDescent="0.25">
      <c r="A347" s="27" t="str">
        <f>IF(OR(328&gt;$C$10*$C$11,N(G346)&lt;=0.005),"",328)</f>
        <v/>
      </c>
      <c r="B347" s="28" t="str">
        <f t="shared" si="31"/>
        <v/>
      </c>
      <c r="C347" s="29" t="str">
        <f t="shared" si="30"/>
        <v/>
      </c>
      <c r="D347" s="29" t="str">
        <f t="shared" si="32"/>
        <v/>
      </c>
      <c r="E347" s="29" t="str">
        <f t="shared" si="33"/>
        <v/>
      </c>
      <c r="F347" s="29" t="str">
        <f t="shared" si="34"/>
        <v/>
      </c>
      <c r="G347" s="30" t="str">
        <f t="shared" si="35"/>
        <v/>
      </c>
    </row>
    <row r="348" spans="1:7" ht="15" customHeight="1" x14ac:dyDescent="0.25">
      <c r="A348" s="23" t="str">
        <f>IF(OR(329&gt;$C$10*$C$11,N(G347)&lt;=0.005),"",329)</f>
        <v/>
      </c>
      <c r="B348" s="24" t="str">
        <f t="shared" si="31"/>
        <v/>
      </c>
      <c r="C348" s="25" t="str">
        <f t="shared" si="30"/>
        <v/>
      </c>
      <c r="D348" s="25" t="str">
        <f t="shared" si="32"/>
        <v/>
      </c>
      <c r="E348" s="25" t="str">
        <f t="shared" si="33"/>
        <v/>
      </c>
      <c r="F348" s="25" t="str">
        <f t="shared" si="34"/>
        <v/>
      </c>
      <c r="G348" s="26" t="str">
        <f t="shared" si="35"/>
        <v/>
      </c>
    </row>
    <row r="349" spans="1:7" ht="15" customHeight="1" x14ac:dyDescent="0.25">
      <c r="A349" s="27" t="str">
        <f>IF(OR(330&gt;$C$10*$C$11,N(G348)&lt;=0.005),"",330)</f>
        <v/>
      </c>
      <c r="B349" s="28" t="str">
        <f t="shared" si="31"/>
        <v/>
      </c>
      <c r="C349" s="29" t="str">
        <f t="shared" si="30"/>
        <v/>
      </c>
      <c r="D349" s="29" t="str">
        <f t="shared" si="32"/>
        <v/>
      </c>
      <c r="E349" s="29" t="str">
        <f t="shared" si="33"/>
        <v/>
      </c>
      <c r="F349" s="29" t="str">
        <f t="shared" si="34"/>
        <v/>
      </c>
      <c r="G349" s="30" t="str">
        <f t="shared" si="35"/>
        <v/>
      </c>
    </row>
    <row r="350" spans="1:7" ht="15" customHeight="1" x14ac:dyDescent="0.25">
      <c r="A350" s="23" t="str">
        <f>IF(OR(331&gt;$C$10*$C$11,N(G349)&lt;=0.005),"",331)</f>
        <v/>
      </c>
      <c r="B350" s="24" t="str">
        <f t="shared" si="31"/>
        <v/>
      </c>
      <c r="C350" s="25" t="str">
        <f t="shared" si="30"/>
        <v/>
      </c>
      <c r="D350" s="25" t="str">
        <f t="shared" si="32"/>
        <v/>
      </c>
      <c r="E350" s="25" t="str">
        <f t="shared" si="33"/>
        <v/>
      </c>
      <c r="F350" s="25" t="str">
        <f t="shared" si="34"/>
        <v/>
      </c>
      <c r="G350" s="26" t="str">
        <f t="shared" si="35"/>
        <v/>
      </c>
    </row>
    <row r="351" spans="1:7" ht="15" customHeight="1" x14ac:dyDescent="0.25">
      <c r="A351" s="27" t="str">
        <f>IF(OR(332&gt;$C$10*$C$11,N(G350)&lt;=0.005),"",332)</f>
        <v/>
      </c>
      <c r="B351" s="28" t="str">
        <f t="shared" si="31"/>
        <v/>
      </c>
      <c r="C351" s="29" t="str">
        <f t="shared" si="30"/>
        <v/>
      </c>
      <c r="D351" s="29" t="str">
        <f t="shared" si="32"/>
        <v/>
      </c>
      <c r="E351" s="29" t="str">
        <f t="shared" si="33"/>
        <v/>
      </c>
      <c r="F351" s="29" t="str">
        <f t="shared" si="34"/>
        <v/>
      </c>
      <c r="G351" s="30" t="str">
        <f t="shared" si="35"/>
        <v/>
      </c>
    </row>
    <row r="352" spans="1:7" ht="15" customHeight="1" x14ac:dyDescent="0.25">
      <c r="A352" s="23" t="str">
        <f>IF(OR(333&gt;$C$10*$C$11,N(G351)&lt;=0.005),"",333)</f>
        <v/>
      </c>
      <c r="B352" s="24" t="str">
        <f t="shared" si="31"/>
        <v/>
      </c>
      <c r="C352" s="25" t="str">
        <f t="shared" si="30"/>
        <v/>
      </c>
      <c r="D352" s="25" t="str">
        <f t="shared" si="32"/>
        <v/>
      </c>
      <c r="E352" s="25" t="str">
        <f t="shared" si="33"/>
        <v/>
      </c>
      <c r="F352" s="25" t="str">
        <f t="shared" si="34"/>
        <v/>
      </c>
      <c r="G352" s="26" t="str">
        <f t="shared" si="35"/>
        <v/>
      </c>
    </row>
    <row r="353" spans="1:7" ht="15" customHeight="1" x14ac:dyDescent="0.25">
      <c r="A353" s="27" t="str">
        <f>IF(OR(334&gt;$C$10*$C$11,N(G352)&lt;=0.005),"",334)</f>
        <v/>
      </c>
      <c r="B353" s="28" t="str">
        <f t="shared" si="31"/>
        <v/>
      </c>
      <c r="C353" s="29" t="str">
        <f t="shared" si="30"/>
        <v/>
      </c>
      <c r="D353" s="29" t="str">
        <f t="shared" si="32"/>
        <v/>
      </c>
      <c r="E353" s="29" t="str">
        <f t="shared" si="33"/>
        <v/>
      </c>
      <c r="F353" s="29" t="str">
        <f t="shared" si="34"/>
        <v/>
      </c>
      <c r="G353" s="30" t="str">
        <f t="shared" si="35"/>
        <v/>
      </c>
    </row>
    <row r="354" spans="1:7" ht="15" customHeight="1" x14ac:dyDescent="0.25">
      <c r="A354" s="23" t="str">
        <f>IF(OR(335&gt;$C$10*$C$11,N(G353)&lt;=0.005),"",335)</f>
        <v/>
      </c>
      <c r="B354" s="24" t="str">
        <f t="shared" si="31"/>
        <v/>
      </c>
      <c r="C354" s="25" t="str">
        <f t="shared" si="30"/>
        <v/>
      </c>
      <c r="D354" s="25" t="str">
        <f t="shared" si="32"/>
        <v/>
      </c>
      <c r="E354" s="25" t="str">
        <f t="shared" si="33"/>
        <v/>
      </c>
      <c r="F354" s="25" t="str">
        <f t="shared" si="34"/>
        <v/>
      </c>
      <c r="G354" s="26" t="str">
        <f t="shared" si="35"/>
        <v/>
      </c>
    </row>
    <row r="355" spans="1:7" ht="15" customHeight="1" x14ac:dyDescent="0.25">
      <c r="A355" s="27" t="str">
        <f>IF(OR(336&gt;$C$10*$C$11,N(G354)&lt;=0.005),"",336)</f>
        <v/>
      </c>
      <c r="B355" s="28" t="str">
        <f t="shared" si="31"/>
        <v/>
      </c>
      <c r="C355" s="29" t="str">
        <f t="shared" si="30"/>
        <v/>
      </c>
      <c r="D355" s="29" t="str">
        <f t="shared" si="32"/>
        <v/>
      </c>
      <c r="E355" s="29" t="str">
        <f t="shared" si="33"/>
        <v/>
      </c>
      <c r="F355" s="29" t="str">
        <f t="shared" si="34"/>
        <v/>
      </c>
      <c r="G355" s="30" t="str">
        <f t="shared" si="35"/>
        <v/>
      </c>
    </row>
    <row r="356" spans="1:7" ht="15" customHeight="1" x14ac:dyDescent="0.25">
      <c r="A356" s="23" t="str">
        <f>IF(OR(337&gt;$C$10*$C$11,N(G355)&lt;=0.005),"",337)</f>
        <v/>
      </c>
      <c r="B356" s="24" t="str">
        <f t="shared" si="31"/>
        <v/>
      </c>
      <c r="C356" s="25" t="str">
        <f t="shared" si="30"/>
        <v/>
      </c>
      <c r="D356" s="25" t="str">
        <f t="shared" si="32"/>
        <v/>
      </c>
      <c r="E356" s="25" t="str">
        <f t="shared" si="33"/>
        <v/>
      </c>
      <c r="F356" s="25" t="str">
        <f t="shared" si="34"/>
        <v/>
      </c>
      <c r="G356" s="26" t="str">
        <f t="shared" si="35"/>
        <v/>
      </c>
    </row>
    <row r="357" spans="1:7" ht="15" customHeight="1" x14ac:dyDescent="0.25">
      <c r="A357" s="27" t="str">
        <f>IF(OR(338&gt;$C$10*$C$11,N(G356)&lt;=0.005),"",338)</f>
        <v/>
      </c>
      <c r="B357" s="28" t="str">
        <f t="shared" si="31"/>
        <v/>
      </c>
      <c r="C357" s="29" t="str">
        <f t="shared" si="30"/>
        <v/>
      </c>
      <c r="D357" s="29" t="str">
        <f t="shared" si="32"/>
        <v/>
      </c>
      <c r="E357" s="29" t="str">
        <f t="shared" si="33"/>
        <v/>
      </c>
      <c r="F357" s="29" t="str">
        <f t="shared" si="34"/>
        <v/>
      </c>
      <c r="G357" s="30" t="str">
        <f t="shared" si="35"/>
        <v/>
      </c>
    </row>
    <row r="358" spans="1:7" ht="15" customHeight="1" x14ac:dyDescent="0.25">
      <c r="A358" s="23" t="str">
        <f>IF(OR(339&gt;$C$10*$C$11,N(G357)&lt;=0.005),"",339)</f>
        <v/>
      </c>
      <c r="B358" s="24" t="str">
        <f t="shared" si="31"/>
        <v/>
      </c>
      <c r="C358" s="25" t="str">
        <f t="shared" si="30"/>
        <v/>
      </c>
      <c r="D358" s="25" t="str">
        <f t="shared" si="32"/>
        <v/>
      </c>
      <c r="E358" s="25" t="str">
        <f t="shared" si="33"/>
        <v/>
      </c>
      <c r="F358" s="25" t="str">
        <f t="shared" si="34"/>
        <v/>
      </c>
      <c r="G358" s="26" t="str">
        <f t="shared" si="35"/>
        <v/>
      </c>
    </row>
    <row r="359" spans="1:7" ht="15" customHeight="1" x14ac:dyDescent="0.25">
      <c r="A359" s="27" t="str">
        <f>IF(OR(340&gt;$C$10*$C$11,N(G358)&lt;=0.005),"",340)</f>
        <v/>
      </c>
      <c r="B359" s="28" t="str">
        <f t="shared" si="31"/>
        <v/>
      </c>
      <c r="C359" s="29" t="str">
        <f t="shared" si="30"/>
        <v/>
      </c>
      <c r="D359" s="29" t="str">
        <f t="shared" si="32"/>
        <v/>
      </c>
      <c r="E359" s="29" t="str">
        <f t="shared" si="33"/>
        <v/>
      </c>
      <c r="F359" s="29" t="str">
        <f t="shared" si="34"/>
        <v/>
      </c>
      <c r="G359" s="30" t="str">
        <f t="shared" si="35"/>
        <v/>
      </c>
    </row>
    <row r="360" spans="1:7" ht="15" customHeight="1" x14ac:dyDescent="0.25">
      <c r="A360" s="23" t="str">
        <f>IF(OR(341&gt;$C$10*$C$11,N(G359)&lt;=0.005),"",341)</f>
        <v/>
      </c>
      <c r="B360" s="24" t="str">
        <f t="shared" si="31"/>
        <v/>
      </c>
      <c r="C360" s="25" t="str">
        <f t="shared" si="30"/>
        <v/>
      </c>
      <c r="D360" s="25" t="str">
        <f t="shared" si="32"/>
        <v/>
      </c>
      <c r="E360" s="25" t="str">
        <f t="shared" si="33"/>
        <v/>
      </c>
      <c r="F360" s="25" t="str">
        <f t="shared" si="34"/>
        <v/>
      </c>
      <c r="G360" s="26" t="str">
        <f t="shared" si="35"/>
        <v/>
      </c>
    </row>
    <row r="361" spans="1:7" ht="15" customHeight="1" x14ac:dyDescent="0.25">
      <c r="A361" s="27" t="str">
        <f>IF(OR(342&gt;$C$10*$C$11,N(G360)&lt;=0.005),"",342)</f>
        <v/>
      </c>
      <c r="B361" s="28" t="str">
        <f t="shared" si="31"/>
        <v/>
      </c>
      <c r="C361" s="29" t="str">
        <f t="shared" si="30"/>
        <v/>
      </c>
      <c r="D361" s="29" t="str">
        <f t="shared" si="32"/>
        <v/>
      </c>
      <c r="E361" s="29" t="str">
        <f t="shared" si="33"/>
        <v/>
      </c>
      <c r="F361" s="29" t="str">
        <f t="shared" si="34"/>
        <v/>
      </c>
      <c r="G361" s="30" t="str">
        <f t="shared" si="35"/>
        <v/>
      </c>
    </row>
    <row r="362" spans="1:7" ht="15" customHeight="1" x14ac:dyDescent="0.25">
      <c r="A362" s="23" t="str">
        <f>IF(OR(343&gt;$C$10*$C$11,N(G361)&lt;=0.005),"",343)</f>
        <v/>
      </c>
      <c r="B362" s="24" t="str">
        <f t="shared" si="31"/>
        <v/>
      </c>
      <c r="C362" s="25" t="str">
        <f t="shared" si="30"/>
        <v/>
      </c>
      <c r="D362" s="25" t="str">
        <f t="shared" si="32"/>
        <v/>
      </c>
      <c r="E362" s="25" t="str">
        <f t="shared" si="33"/>
        <v/>
      </c>
      <c r="F362" s="25" t="str">
        <f t="shared" si="34"/>
        <v/>
      </c>
      <c r="G362" s="26" t="str">
        <f t="shared" si="35"/>
        <v/>
      </c>
    </row>
    <row r="363" spans="1:7" ht="15" customHeight="1" x14ac:dyDescent="0.25">
      <c r="A363" s="27" t="str">
        <f>IF(OR(344&gt;$C$10*$C$11,N(G362)&lt;=0.005),"",344)</f>
        <v/>
      </c>
      <c r="B363" s="28" t="str">
        <f t="shared" si="31"/>
        <v/>
      </c>
      <c r="C363" s="29" t="str">
        <f t="shared" si="30"/>
        <v/>
      </c>
      <c r="D363" s="29" t="str">
        <f t="shared" si="32"/>
        <v/>
      </c>
      <c r="E363" s="29" t="str">
        <f t="shared" si="33"/>
        <v/>
      </c>
      <c r="F363" s="29" t="str">
        <f t="shared" si="34"/>
        <v/>
      </c>
      <c r="G363" s="30" t="str">
        <f t="shared" si="35"/>
        <v/>
      </c>
    </row>
    <row r="364" spans="1:7" ht="15" customHeight="1" x14ac:dyDescent="0.25">
      <c r="A364" s="23" t="str">
        <f>IF(OR(345&gt;$C$10*$C$11,N(G363)&lt;=0.005),"",345)</f>
        <v/>
      </c>
      <c r="B364" s="24" t="str">
        <f t="shared" si="31"/>
        <v/>
      </c>
      <c r="C364" s="25" t="str">
        <f t="shared" si="30"/>
        <v/>
      </c>
      <c r="D364" s="25" t="str">
        <f t="shared" si="32"/>
        <v/>
      </c>
      <c r="E364" s="25" t="str">
        <f t="shared" si="33"/>
        <v/>
      </c>
      <c r="F364" s="25" t="str">
        <f t="shared" si="34"/>
        <v/>
      </c>
      <c r="G364" s="26" t="str">
        <f t="shared" si="35"/>
        <v/>
      </c>
    </row>
    <row r="365" spans="1:7" ht="15" customHeight="1" x14ac:dyDescent="0.25">
      <c r="A365" s="27" t="str">
        <f>IF(OR(346&gt;$C$10*$C$11,N(G364)&lt;=0.005),"",346)</f>
        <v/>
      </c>
      <c r="B365" s="28" t="str">
        <f t="shared" si="31"/>
        <v/>
      </c>
      <c r="C365" s="29" t="str">
        <f t="shared" si="30"/>
        <v/>
      </c>
      <c r="D365" s="29" t="str">
        <f t="shared" si="32"/>
        <v/>
      </c>
      <c r="E365" s="29" t="str">
        <f t="shared" si="33"/>
        <v/>
      </c>
      <c r="F365" s="29" t="str">
        <f t="shared" si="34"/>
        <v/>
      </c>
      <c r="G365" s="30" t="str">
        <f t="shared" si="35"/>
        <v/>
      </c>
    </row>
    <row r="366" spans="1:7" ht="15" customHeight="1" x14ac:dyDescent="0.25">
      <c r="A366" s="23" t="str">
        <f>IF(OR(347&gt;$C$10*$C$11,N(G365)&lt;=0.005),"",347)</f>
        <v/>
      </c>
      <c r="B366" s="24" t="str">
        <f t="shared" si="31"/>
        <v/>
      </c>
      <c r="C366" s="25" t="str">
        <f t="shared" si="30"/>
        <v/>
      </c>
      <c r="D366" s="25" t="str">
        <f t="shared" si="32"/>
        <v/>
      </c>
      <c r="E366" s="25" t="str">
        <f t="shared" si="33"/>
        <v/>
      </c>
      <c r="F366" s="25" t="str">
        <f t="shared" si="34"/>
        <v/>
      </c>
      <c r="G366" s="26" t="str">
        <f t="shared" si="35"/>
        <v/>
      </c>
    </row>
    <row r="367" spans="1:7" ht="15" customHeight="1" x14ac:dyDescent="0.25">
      <c r="A367" s="27" t="str">
        <f>IF(OR(348&gt;$C$10*$C$11,N(G366)&lt;=0.005),"",348)</f>
        <v/>
      </c>
      <c r="B367" s="28" t="str">
        <f t="shared" si="31"/>
        <v/>
      </c>
      <c r="C367" s="29" t="str">
        <f t="shared" si="30"/>
        <v/>
      </c>
      <c r="D367" s="29" t="str">
        <f t="shared" si="32"/>
        <v/>
      </c>
      <c r="E367" s="29" t="str">
        <f t="shared" si="33"/>
        <v/>
      </c>
      <c r="F367" s="29" t="str">
        <f t="shared" si="34"/>
        <v/>
      </c>
      <c r="G367" s="30" t="str">
        <f t="shared" si="35"/>
        <v/>
      </c>
    </row>
    <row r="368" spans="1:7" ht="15" customHeight="1" x14ac:dyDescent="0.25">
      <c r="A368" s="23" t="str">
        <f>IF(OR(349&gt;$C$10*$C$11,N(G367)&lt;=0.005),"",349)</f>
        <v/>
      </c>
      <c r="B368" s="24" t="str">
        <f t="shared" si="31"/>
        <v/>
      </c>
      <c r="C368" s="25" t="str">
        <f t="shared" si="30"/>
        <v/>
      </c>
      <c r="D368" s="25" t="str">
        <f t="shared" si="32"/>
        <v/>
      </c>
      <c r="E368" s="25" t="str">
        <f t="shared" si="33"/>
        <v/>
      </c>
      <c r="F368" s="25" t="str">
        <f t="shared" si="34"/>
        <v/>
      </c>
      <c r="G368" s="26" t="str">
        <f t="shared" si="35"/>
        <v/>
      </c>
    </row>
    <row r="369" spans="1:7" ht="15" customHeight="1" x14ac:dyDescent="0.25">
      <c r="A369" s="27" t="str">
        <f>IF(OR(350&gt;$C$10*$C$11,N(G368)&lt;=0.005),"",350)</f>
        <v/>
      </c>
      <c r="B369" s="28" t="str">
        <f t="shared" si="31"/>
        <v/>
      </c>
      <c r="C369" s="29" t="str">
        <f t="shared" si="30"/>
        <v/>
      </c>
      <c r="D369" s="29" t="str">
        <f t="shared" si="32"/>
        <v/>
      </c>
      <c r="E369" s="29" t="str">
        <f t="shared" si="33"/>
        <v/>
      </c>
      <c r="F369" s="29" t="str">
        <f t="shared" si="34"/>
        <v/>
      </c>
      <c r="G369" s="30" t="str">
        <f t="shared" si="35"/>
        <v/>
      </c>
    </row>
    <row r="370" spans="1:7" ht="15" customHeight="1" x14ac:dyDescent="0.25">
      <c r="A370" s="23" t="str">
        <f>IF(OR(351&gt;$C$10*$C$11,N(G369)&lt;=0.005),"",351)</f>
        <v/>
      </c>
      <c r="B370" s="24" t="str">
        <f t="shared" si="31"/>
        <v/>
      </c>
      <c r="C370" s="25" t="str">
        <f t="shared" si="30"/>
        <v/>
      </c>
      <c r="D370" s="25" t="str">
        <f t="shared" si="32"/>
        <v/>
      </c>
      <c r="E370" s="25" t="str">
        <f t="shared" si="33"/>
        <v/>
      </c>
      <c r="F370" s="25" t="str">
        <f t="shared" si="34"/>
        <v/>
      </c>
      <c r="G370" s="26" t="str">
        <f t="shared" si="35"/>
        <v/>
      </c>
    </row>
    <row r="371" spans="1:7" ht="15" customHeight="1" x14ac:dyDescent="0.25">
      <c r="A371" s="27" t="str">
        <f>IF(OR(352&gt;$C$10*$C$11,N(G370)&lt;=0.005),"",352)</f>
        <v/>
      </c>
      <c r="B371" s="28" t="str">
        <f t="shared" si="31"/>
        <v/>
      </c>
      <c r="C371" s="29" t="str">
        <f t="shared" si="30"/>
        <v/>
      </c>
      <c r="D371" s="29" t="str">
        <f t="shared" si="32"/>
        <v/>
      </c>
      <c r="E371" s="29" t="str">
        <f t="shared" si="33"/>
        <v/>
      </c>
      <c r="F371" s="29" t="str">
        <f t="shared" si="34"/>
        <v/>
      </c>
      <c r="G371" s="30" t="str">
        <f t="shared" si="35"/>
        <v/>
      </c>
    </row>
    <row r="372" spans="1:7" ht="15" customHeight="1" x14ac:dyDescent="0.25">
      <c r="A372" s="23" t="str">
        <f>IF(OR(353&gt;$C$10*$C$11,N(G371)&lt;=0.005),"",353)</f>
        <v/>
      </c>
      <c r="B372" s="24" t="str">
        <f t="shared" si="31"/>
        <v/>
      </c>
      <c r="C372" s="25" t="str">
        <f t="shared" si="30"/>
        <v/>
      </c>
      <c r="D372" s="25" t="str">
        <f t="shared" si="32"/>
        <v/>
      </c>
      <c r="E372" s="25" t="str">
        <f t="shared" si="33"/>
        <v/>
      </c>
      <c r="F372" s="25" t="str">
        <f t="shared" si="34"/>
        <v/>
      </c>
      <c r="G372" s="26" t="str">
        <f t="shared" si="35"/>
        <v/>
      </c>
    </row>
    <row r="373" spans="1:7" ht="15" customHeight="1" x14ac:dyDescent="0.25">
      <c r="A373" s="27" t="str">
        <f>IF(OR(354&gt;$C$10*$C$11,N(G372)&lt;=0.005),"",354)</f>
        <v/>
      </c>
      <c r="B373" s="28" t="str">
        <f t="shared" si="31"/>
        <v/>
      </c>
      <c r="C373" s="29" t="str">
        <f t="shared" si="30"/>
        <v/>
      </c>
      <c r="D373" s="29" t="str">
        <f t="shared" si="32"/>
        <v/>
      </c>
      <c r="E373" s="29" t="str">
        <f t="shared" si="33"/>
        <v/>
      </c>
      <c r="F373" s="29" t="str">
        <f t="shared" si="34"/>
        <v/>
      </c>
      <c r="G373" s="30" t="str">
        <f t="shared" si="35"/>
        <v/>
      </c>
    </row>
    <row r="374" spans="1:7" ht="15" customHeight="1" x14ac:dyDescent="0.25">
      <c r="A374" s="23" t="str">
        <f>IF(OR(355&gt;$C$10*$C$11,N(G373)&lt;=0.005),"",355)</f>
        <v/>
      </c>
      <c r="B374" s="24" t="str">
        <f t="shared" si="31"/>
        <v/>
      </c>
      <c r="C374" s="25" t="str">
        <f t="shared" si="30"/>
        <v/>
      </c>
      <c r="D374" s="25" t="str">
        <f t="shared" si="32"/>
        <v/>
      </c>
      <c r="E374" s="25" t="str">
        <f t="shared" si="33"/>
        <v/>
      </c>
      <c r="F374" s="25" t="str">
        <f t="shared" si="34"/>
        <v/>
      </c>
      <c r="G374" s="26" t="str">
        <f t="shared" si="35"/>
        <v/>
      </c>
    </row>
    <row r="375" spans="1:7" ht="15" customHeight="1" x14ac:dyDescent="0.25">
      <c r="A375" s="27" t="str">
        <f>IF(OR(356&gt;$C$10*$C$11,N(G374)&lt;=0.005),"",356)</f>
        <v/>
      </c>
      <c r="B375" s="28" t="str">
        <f t="shared" si="31"/>
        <v/>
      </c>
      <c r="C375" s="29" t="str">
        <f t="shared" si="30"/>
        <v/>
      </c>
      <c r="D375" s="29" t="str">
        <f t="shared" si="32"/>
        <v/>
      </c>
      <c r="E375" s="29" t="str">
        <f t="shared" si="33"/>
        <v/>
      </c>
      <c r="F375" s="29" t="str">
        <f t="shared" si="34"/>
        <v/>
      </c>
      <c r="G375" s="30" t="str">
        <f t="shared" si="35"/>
        <v/>
      </c>
    </row>
    <row r="376" spans="1:7" ht="15" customHeight="1" x14ac:dyDescent="0.25">
      <c r="A376" s="23" t="str">
        <f>IF(OR(357&gt;$C$10*$C$11,N(G375)&lt;=0.005),"",357)</f>
        <v/>
      </c>
      <c r="B376" s="24" t="str">
        <f t="shared" si="31"/>
        <v/>
      </c>
      <c r="C376" s="25" t="str">
        <f t="shared" si="30"/>
        <v/>
      </c>
      <c r="D376" s="25" t="str">
        <f t="shared" si="32"/>
        <v/>
      </c>
      <c r="E376" s="25" t="str">
        <f t="shared" si="33"/>
        <v/>
      </c>
      <c r="F376" s="25" t="str">
        <f t="shared" si="34"/>
        <v/>
      </c>
      <c r="G376" s="26" t="str">
        <f t="shared" si="35"/>
        <v/>
      </c>
    </row>
    <row r="377" spans="1:7" ht="15" customHeight="1" x14ac:dyDescent="0.25">
      <c r="A377" s="27" t="str">
        <f>IF(OR(358&gt;$C$10*$C$11,N(G376)&lt;=0.005),"",358)</f>
        <v/>
      </c>
      <c r="B377" s="28" t="str">
        <f t="shared" si="31"/>
        <v/>
      </c>
      <c r="C377" s="29" t="str">
        <f t="shared" si="30"/>
        <v/>
      </c>
      <c r="D377" s="29" t="str">
        <f t="shared" si="32"/>
        <v/>
      </c>
      <c r="E377" s="29" t="str">
        <f t="shared" si="33"/>
        <v/>
      </c>
      <c r="F377" s="29" t="str">
        <f t="shared" si="34"/>
        <v/>
      </c>
      <c r="G377" s="30" t="str">
        <f t="shared" si="35"/>
        <v/>
      </c>
    </row>
    <row r="378" spans="1:7" ht="15" customHeight="1" x14ac:dyDescent="0.25">
      <c r="A378" s="23" t="str">
        <f>IF(OR(359&gt;$C$10*$C$11,N(G377)&lt;=0.005),"",359)</f>
        <v/>
      </c>
      <c r="B378" s="24" t="str">
        <f t="shared" si="31"/>
        <v/>
      </c>
      <c r="C378" s="25" t="str">
        <f t="shared" si="30"/>
        <v/>
      </c>
      <c r="D378" s="25" t="str">
        <f t="shared" si="32"/>
        <v/>
      </c>
      <c r="E378" s="25" t="str">
        <f t="shared" si="33"/>
        <v/>
      </c>
      <c r="F378" s="25" t="str">
        <f t="shared" si="34"/>
        <v/>
      </c>
      <c r="G378" s="26" t="str">
        <f t="shared" si="35"/>
        <v/>
      </c>
    </row>
    <row r="379" spans="1:7" ht="15" customHeight="1" x14ac:dyDescent="0.25">
      <c r="A379" s="27" t="str">
        <f>IF(OR(360&gt;$C$10*$C$11,N(G378)&lt;=0.005),"",360)</f>
        <v/>
      </c>
      <c r="B379" s="28" t="str">
        <f t="shared" si="31"/>
        <v/>
      </c>
      <c r="C379" s="29" t="str">
        <f t="shared" si="30"/>
        <v/>
      </c>
      <c r="D379" s="29" t="str">
        <f t="shared" si="32"/>
        <v/>
      </c>
      <c r="E379" s="29" t="str">
        <f t="shared" si="33"/>
        <v/>
      </c>
      <c r="F379" s="29" t="str">
        <f t="shared" si="34"/>
        <v/>
      </c>
      <c r="G379" s="30" t="str">
        <f t="shared" si="35"/>
        <v/>
      </c>
    </row>
    <row r="380" spans="1:7" ht="15" customHeight="1" x14ac:dyDescent="0.25">
      <c r="A380" s="23" t="str">
        <f>IF(OR(361&gt;$C$10*$C$11,N(G379)&lt;=0.005),"",361)</f>
        <v/>
      </c>
      <c r="B380" s="24" t="str">
        <f t="shared" si="31"/>
        <v/>
      </c>
      <c r="C380" s="25" t="str">
        <f t="shared" si="30"/>
        <v/>
      </c>
      <c r="D380" s="25" t="str">
        <f t="shared" si="32"/>
        <v/>
      </c>
      <c r="E380" s="25" t="str">
        <f t="shared" si="33"/>
        <v/>
      </c>
      <c r="F380" s="25" t="str">
        <f t="shared" si="34"/>
        <v/>
      </c>
      <c r="G380" s="26" t="str">
        <f t="shared" si="35"/>
        <v/>
      </c>
    </row>
    <row r="381" spans="1:7" ht="15" customHeight="1" x14ac:dyDescent="0.25">
      <c r="A381" s="27" t="str">
        <f>IF(OR(362&gt;$C$10*$C$11,N(G380)&lt;=0.005),"",362)</f>
        <v/>
      </c>
      <c r="B381" s="28" t="str">
        <f t="shared" si="31"/>
        <v/>
      </c>
      <c r="C381" s="29" t="str">
        <f t="shared" si="30"/>
        <v/>
      </c>
      <c r="D381" s="29" t="str">
        <f t="shared" si="32"/>
        <v/>
      </c>
      <c r="E381" s="29" t="str">
        <f t="shared" si="33"/>
        <v/>
      </c>
      <c r="F381" s="29" t="str">
        <f t="shared" si="34"/>
        <v/>
      </c>
      <c r="G381" s="30" t="str">
        <f t="shared" si="35"/>
        <v/>
      </c>
    </row>
    <row r="382" spans="1:7" ht="15" customHeight="1" x14ac:dyDescent="0.25">
      <c r="A382" s="23" t="str">
        <f>IF(OR(363&gt;$C$10*$C$11,N(G381)&lt;=0.005),"",363)</f>
        <v/>
      </c>
      <c r="B382" s="24" t="str">
        <f t="shared" si="31"/>
        <v/>
      </c>
      <c r="C382" s="25" t="str">
        <f t="shared" si="30"/>
        <v/>
      </c>
      <c r="D382" s="25" t="str">
        <f t="shared" si="32"/>
        <v/>
      </c>
      <c r="E382" s="25" t="str">
        <f t="shared" si="33"/>
        <v/>
      </c>
      <c r="F382" s="25" t="str">
        <f t="shared" si="34"/>
        <v/>
      </c>
      <c r="G382" s="26" t="str">
        <f t="shared" si="35"/>
        <v/>
      </c>
    </row>
    <row r="383" spans="1:7" ht="15" customHeight="1" x14ac:dyDescent="0.25">
      <c r="A383" s="27" t="str">
        <f>IF(OR(364&gt;$C$10*$C$11,N(G382)&lt;=0.005),"",364)</f>
        <v/>
      </c>
      <c r="B383" s="28" t="str">
        <f t="shared" si="31"/>
        <v/>
      </c>
      <c r="C383" s="29" t="str">
        <f t="shared" si="30"/>
        <v/>
      </c>
      <c r="D383" s="29" t="str">
        <f t="shared" si="32"/>
        <v/>
      </c>
      <c r="E383" s="29" t="str">
        <f t="shared" si="33"/>
        <v/>
      </c>
      <c r="F383" s="29" t="str">
        <f t="shared" si="34"/>
        <v/>
      </c>
      <c r="G383" s="30" t="str">
        <f t="shared" si="35"/>
        <v/>
      </c>
    </row>
    <row r="384" spans="1:7" ht="15" customHeight="1" x14ac:dyDescent="0.25">
      <c r="A384" s="23" t="str">
        <f>IF(OR(365&gt;$C$10*$C$11,N(G383)&lt;=0.005),"",365)</f>
        <v/>
      </c>
      <c r="B384" s="24" t="str">
        <f t="shared" si="31"/>
        <v/>
      </c>
      <c r="C384" s="25" t="str">
        <f t="shared" si="30"/>
        <v/>
      </c>
      <c r="D384" s="25" t="str">
        <f t="shared" si="32"/>
        <v/>
      </c>
      <c r="E384" s="25" t="str">
        <f t="shared" si="33"/>
        <v/>
      </c>
      <c r="F384" s="25" t="str">
        <f t="shared" si="34"/>
        <v/>
      </c>
      <c r="G384" s="26" t="str">
        <f t="shared" si="35"/>
        <v/>
      </c>
    </row>
    <row r="385" spans="1:7" ht="15" customHeight="1" x14ac:dyDescent="0.25">
      <c r="A385" s="27" t="str">
        <f>IF(OR(366&gt;$C$10*$C$11,N(G384)&lt;=0.005),"",366)</f>
        <v/>
      </c>
      <c r="B385" s="28" t="str">
        <f t="shared" si="31"/>
        <v/>
      </c>
      <c r="C385" s="29" t="str">
        <f t="shared" si="30"/>
        <v/>
      </c>
      <c r="D385" s="29" t="str">
        <f t="shared" si="32"/>
        <v/>
      </c>
      <c r="E385" s="29" t="str">
        <f t="shared" si="33"/>
        <v/>
      </c>
      <c r="F385" s="29" t="str">
        <f t="shared" si="34"/>
        <v/>
      </c>
      <c r="G385" s="30" t="str">
        <f t="shared" si="35"/>
        <v/>
      </c>
    </row>
    <row r="386" spans="1:7" ht="15" customHeight="1" x14ac:dyDescent="0.25">
      <c r="A386" s="23" t="str">
        <f>IF(OR(367&gt;$C$10*$C$11,N(G385)&lt;=0.005),"",367)</f>
        <v/>
      </c>
      <c r="B386" s="24" t="str">
        <f t="shared" si="31"/>
        <v/>
      </c>
      <c r="C386" s="25" t="str">
        <f t="shared" si="30"/>
        <v/>
      </c>
      <c r="D386" s="25" t="str">
        <f t="shared" si="32"/>
        <v/>
      </c>
      <c r="E386" s="25" t="str">
        <f t="shared" si="33"/>
        <v/>
      </c>
      <c r="F386" s="25" t="str">
        <f t="shared" si="34"/>
        <v/>
      </c>
      <c r="G386" s="26" t="str">
        <f t="shared" si="35"/>
        <v/>
      </c>
    </row>
    <row r="387" spans="1:7" ht="15" customHeight="1" x14ac:dyDescent="0.25">
      <c r="A387" s="27" t="str">
        <f>IF(OR(368&gt;$C$10*$C$11,N(G386)&lt;=0.005),"",368)</f>
        <v/>
      </c>
      <c r="B387" s="28" t="str">
        <f t="shared" si="31"/>
        <v/>
      </c>
      <c r="C387" s="29" t="str">
        <f t="shared" si="30"/>
        <v/>
      </c>
      <c r="D387" s="29" t="str">
        <f t="shared" si="32"/>
        <v/>
      </c>
      <c r="E387" s="29" t="str">
        <f t="shared" si="33"/>
        <v/>
      </c>
      <c r="F387" s="29" t="str">
        <f t="shared" si="34"/>
        <v/>
      </c>
      <c r="G387" s="30" t="str">
        <f t="shared" si="35"/>
        <v/>
      </c>
    </row>
    <row r="388" spans="1:7" ht="15" customHeight="1" x14ac:dyDescent="0.25">
      <c r="A388" s="23" t="str">
        <f>IF(OR(369&gt;$C$10*$C$11,N(G387)&lt;=0.005),"",369)</f>
        <v/>
      </c>
      <c r="B388" s="24" t="str">
        <f t="shared" si="31"/>
        <v/>
      </c>
      <c r="C388" s="25" t="str">
        <f t="shared" si="30"/>
        <v/>
      </c>
      <c r="D388" s="25" t="str">
        <f t="shared" si="32"/>
        <v/>
      </c>
      <c r="E388" s="25" t="str">
        <f t="shared" si="33"/>
        <v/>
      </c>
      <c r="F388" s="25" t="str">
        <f t="shared" si="34"/>
        <v/>
      </c>
      <c r="G388" s="26" t="str">
        <f t="shared" si="35"/>
        <v/>
      </c>
    </row>
    <row r="389" spans="1:7" ht="15" customHeight="1" x14ac:dyDescent="0.25">
      <c r="A389" s="27" t="str">
        <f>IF(OR(370&gt;$C$10*$C$11,N(G388)&lt;=0.005),"",370)</f>
        <v/>
      </c>
      <c r="B389" s="28" t="str">
        <f t="shared" si="31"/>
        <v/>
      </c>
      <c r="C389" s="29" t="str">
        <f t="shared" si="30"/>
        <v/>
      </c>
      <c r="D389" s="29" t="str">
        <f t="shared" si="32"/>
        <v/>
      </c>
      <c r="E389" s="29" t="str">
        <f t="shared" si="33"/>
        <v/>
      </c>
      <c r="F389" s="29" t="str">
        <f t="shared" si="34"/>
        <v/>
      </c>
      <c r="G389" s="30" t="str">
        <f t="shared" si="35"/>
        <v/>
      </c>
    </row>
    <row r="390" spans="1:7" ht="15" customHeight="1" x14ac:dyDescent="0.25">
      <c r="A390" s="23" t="str">
        <f>IF(OR(371&gt;$C$10*$C$11,N(G389)&lt;=0.005),"",371)</f>
        <v/>
      </c>
      <c r="B390" s="24" t="str">
        <f t="shared" si="31"/>
        <v/>
      </c>
      <c r="C390" s="25" t="str">
        <f t="shared" si="30"/>
        <v/>
      </c>
      <c r="D390" s="25" t="str">
        <f t="shared" si="32"/>
        <v/>
      </c>
      <c r="E390" s="25" t="str">
        <f t="shared" si="33"/>
        <v/>
      </c>
      <c r="F390" s="25" t="str">
        <f t="shared" si="34"/>
        <v/>
      </c>
      <c r="G390" s="26" t="str">
        <f t="shared" si="35"/>
        <v/>
      </c>
    </row>
    <row r="391" spans="1:7" ht="15" customHeight="1" x14ac:dyDescent="0.25">
      <c r="A391" s="27" t="str">
        <f>IF(OR(372&gt;$C$10*$C$11,N(G390)&lt;=0.005),"",372)</f>
        <v/>
      </c>
      <c r="B391" s="28" t="str">
        <f t="shared" si="31"/>
        <v/>
      </c>
      <c r="C391" s="29" t="str">
        <f t="shared" si="30"/>
        <v/>
      </c>
      <c r="D391" s="29" t="str">
        <f t="shared" si="32"/>
        <v/>
      </c>
      <c r="E391" s="29" t="str">
        <f t="shared" si="33"/>
        <v/>
      </c>
      <c r="F391" s="29" t="str">
        <f t="shared" si="34"/>
        <v/>
      </c>
      <c r="G391" s="30" t="str">
        <f t="shared" si="35"/>
        <v/>
      </c>
    </row>
    <row r="392" spans="1:7" ht="15" customHeight="1" x14ac:dyDescent="0.25">
      <c r="A392" s="23" t="str">
        <f>IF(OR(373&gt;$C$10*$C$11,N(G391)&lt;=0.005),"",373)</f>
        <v/>
      </c>
      <c r="B392" s="24" t="str">
        <f t="shared" si="31"/>
        <v/>
      </c>
      <c r="C392" s="25" t="str">
        <f t="shared" si="30"/>
        <v/>
      </c>
      <c r="D392" s="25" t="str">
        <f t="shared" si="32"/>
        <v/>
      </c>
      <c r="E392" s="25" t="str">
        <f t="shared" si="33"/>
        <v/>
      </c>
      <c r="F392" s="25" t="str">
        <f t="shared" si="34"/>
        <v/>
      </c>
      <c r="G392" s="26" t="str">
        <f t="shared" si="35"/>
        <v/>
      </c>
    </row>
    <row r="393" spans="1:7" ht="15" customHeight="1" x14ac:dyDescent="0.25">
      <c r="A393" s="27" t="str">
        <f>IF(OR(374&gt;$C$10*$C$11,N(G392)&lt;=0.005),"",374)</f>
        <v/>
      </c>
      <c r="B393" s="28" t="str">
        <f t="shared" si="31"/>
        <v/>
      </c>
      <c r="C393" s="29" t="str">
        <f t="shared" si="30"/>
        <v/>
      </c>
      <c r="D393" s="29" t="str">
        <f t="shared" si="32"/>
        <v/>
      </c>
      <c r="E393" s="29" t="str">
        <f t="shared" si="33"/>
        <v/>
      </c>
      <c r="F393" s="29" t="str">
        <f t="shared" si="34"/>
        <v/>
      </c>
      <c r="G393" s="30" t="str">
        <f t="shared" si="35"/>
        <v/>
      </c>
    </row>
    <row r="394" spans="1:7" ht="15" customHeight="1" x14ac:dyDescent="0.25">
      <c r="A394" s="23" t="str">
        <f>IF(OR(375&gt;$C$10*$C$11,N(G393)&lt;=0.005),"",375)</f>
        <v/>
      </c>
      <c r="B394" s="24" t="str">
        <f t="shared" si="31"/>
        <v/>
      </c>
      <c r="C394" s="25" t="str">
        <f t="shared" si="30"/>
        <v/>
      </c>
      <c r="D394" s="25" t="str">
        <f t="shared" si="32"/>
        <v/>
      </c>
      <c r="E394" s="25" t="str">
        <f t="shared" si="33"/>
        <v/>
      </c>
      <c r="F394" s="25" t="str">
        <f t="shared" si="34"/>
        <v/>
      </c>
      <c r="G394" s="26" t="str">
        <f t="shared" si="35"/>
        <v/>
      </c>
    </row>
    <row r="395" spans="1:7" ht="15" customHeight="1" x14ac:dyDescent="0.25">
      <c r="A395" s="27" t="str">
        <f>IF(OR(376&gt;$C$10*$C$11,N(G394)&lt;=0.005),"",376)</f>
        <v/>
      </c>
      <c r="B395" s="28" t="str">
        <f t="shared" si="31"/>
        <v/>
      </c>
      <c r="C395" s="29" t="str">
        <f t="shared" si="30"/>
        <v/>
      </c>
      <c r="D395" s="29" t="str">
        <f t="shared" si="32"/>
        <v/>
      </c>
      <c r="E395" s="29" t="str">
        <f t="shared" si="33"/>
        <v/>
      </c>
      <c r="F395" s="29" t="str">
        <f t="shared" si="34"/>
        <v/>
      </c>
      <c r="G395" s="30" t="str">
        <f t="shared" si="35"/>
        <v/>
      </c>
    </row>
    <row r="396" spans="1:7" ht="15" customHeight="1" x14ac:dyDescent="0.25">
      <c r="A396" s="23" t="str">
        <f>IF(OR(377&gt;$C$10*$C$11,N(G395)&lt;=0.005),"",377)</f>
        <v/>
      </c>
      <c r="B396" s="24" t="str">
        <f t="shared" si="31"/>
        <v/>
      </c>
      <c r="C396" s="25" t="str">
        <f t="shared" si="30"/>
        <v/>
      </c>
      <c r="D396" s="25" t="str">
        <f t="shared" si="32"/>
        <v/>
      </c>
      <c r="E396" s="25" t="str">
        <f t="shared" si="33"/>
        <v/>
      </c>
      <c r="F396" s="25" t="str">
        <f t="shared" si="34"/>
        <v/>
      </c>
      <c r="G396" s="26" t="str">
        <f t="shared" si="35"/>
        <v/>
      </c>
    </row>
    <row r="397" spans="1:7" ht="15" customHeight="1" x14ac:dyDescent="0.25">
      <c r="A397" s="27" t="str">
        <f>IF(OR(378&gt;$C$10*$C$11,N(G396)&lt;=0.005),"",378)</f>
        <v/>
      </c>
      <c r="B397" s="28" t="str">
        <f t="shared" si="31"/>
        <v/>
      </c>
      <c r="C397" s="29" t="str">
        <f t="shared" si="30"/>
        <v/>
      </c>
      <c r="D397" s="29" t="str">
        <f t="shared" si="32"/>
        <v/>
      </c>
      <c r="E397" s="29" t="str">
        <f t="shared" si="33"/>
        <v/>
      </c>
      <c r="F397" s="29" t="str">
        <f t="shared" si="34"/>
        <v/>
      </c>
      <c r="G397" s="30" t="str">
        <f t="shared" si="35"/>
        <v/>
      </c>
    </row>
    <row r="398" spans="1:7" ht="15" customHeight="1" x14ac:dyDescent="0.25">
      <c r="A398" s="23" t="str">
        <f>IF(OR(379&gt;$C$10*$C$11,N(G397)&lt;=0.005),"",379)</f>
        <v/>
      </c>
      <c r="B398" s="24" t="str">
        <f t="shared" si="31"/>
        <v/>
      </c>
      <c r="C398" s="25" t="str">
        <f t="shared" si="30"/>
        <v/>
      </c>
      <c r="D398" s="25" t="str">
        <f t="shared" si="32"/>
        <v/>
      </c>
      <c r="E398" s="25" t="str">
        <f t="shared" si="33"/>
        <v/>
      </c>
      <c r="F398" s="25" t="str">
        <f t="shared" si="34"/>
        <v/>
      </c>
      <c r="G398" s="26" t="str">
        <f t="shared" si="35"/>
        <v/>
      </c>
    </row>
    <row r="399" spans="1:7" ht="15" customHeight="1" x14ac:dyDescent="0.25">
      <c r="A399" s="27" t="str">
        <f>IF(OR(380&gt;$C$10*$C$11,N(G398)&lt;=0.005),"",380)</f>
        <v/>
      </c>
      <c r="B399" s="28" t="str">
        <f t="shared" si="31"/>
        <v/>
      </c>
      <c r="C399" s="29" t="str">
        <f t="shared" si="30"/>
        <v/>
      </c>
      <c r="D399" s="29" t="str">
        <f t="shared" si="32"/>
        <v/>
      </c>
      <c r="E399" s="29" t="str">
        <f t="shared" si="33"/>
        <v/>
      </c>
      <c r="F399" s="29" t="str">
        <f t="shared" si="34"/>
        <v/>
      </c>
      <c r="G399" s="30" t="str">
        <f t="shared" si="35"/>
        <v/>
      </c>
    </row>
    <row r="400" spans="1:7" ht="15" customHeight="1" x14ac:dyDescent="0.25">
      <c r="A400" s="23" t="str">
        <f>IF(OR(381&gt;$C$10*$C$11,N(G399)&lt;=0.005),"",381)</f>
        <v/>
      </c>
      <c r="B400" s="24" t="str">
        <f t="shared" si="31"/>
        <v/>
      </c>
      <c r="C400" s="25" t="str">
        <f t="shared" si="30"/>
        <v/>
      </c>
      <c r="D400" s="25" t="str">
        <f t="shared" si="32"/>
        <v/>
      </c>
      <c r="E400" s="25" t="str">
        <f t="shared" si="33"/>
        <v/>
      </c>
      <c r="F400" s="25" t="str">
        <f t="shared" si="34"/>
        <v/>
      </c>
      <c r="G400" s="26" t="str">
        <f t="shared" si="35"/>
        <v/>
      </c>
    </row>
    <row r="401" spans="1:7" ht="15" customHeight="1" x14ac:dyDescent="0.25">
      <c r="A401" s="27" t="str">
        <f>IF(OR(382&gt;$C$10*$C$11,N(G400)&lt;=0.005),"",382)</f>
        <v/>
      </c>
      <c r="B401" s="28" t="str">
        <f t="shared" si="31"/>
        <v/>
      </c>
      <c r="C401" s="29" t="str">
        <f t="shared" si="30"/>
        <v/>
      </c>
      <c r="D401" s="29" t="str">
        <f t="shared" si="32"/>
        <v/>
      </c>
      <c r="E401" s="29" t="str">
        <f t="shared" si="33"/>
        <v/>
      </c>
      <c r="F401" s="29" t="str">
        <f t="shared" si="34"/>
        <v/>
      </c>
      <c r="G401" s="30" t="str">
        <f t="shared" si="35"/>
        <v/>
      </c>
    </row>
    <row r="402" spans="1:7" ht="15" customHeight="1" x14ac:dyDescent="0.25">
      <c r="A402" s="23" t="str">
        <f>IF(OR(383&gt;$C$10*$C$11,N(G401)&lt;=0.005),"",383)</f>
        <v/>
      </c>
      <c r="B402" s="24" t="str">
        <f t="shared" si="31"/>
        <v/>
      </c>
      <c r="C402" s="25" t="str">
        <f t="shared" si="30"/>
        <v/>
      </c>
      <c r="D402" s="25" t="str">
        <f t="shared" si="32"/>
        <v/>
      </c>
      <c r="E402" s="25" t="str">
        <f t="shared" si="33"/>
        <v/>
      </c>
      <c r="F402" s="25" t="str">
        <f t="shared" si="34"/>
        <v/>
      </c>
      <c r="G402" s="26" t="str">
        <f t="shared" si="35"/>
        <v/>
      </c>
    </row>
    <row r="403" spans="1:7" ht="15" customHeight="1" x14ac:dyDescent="0.25">
      <c r="A403" s="27" t="str">
        <f>IF(OR(384&gt;$C$10*$C$11,N(G402)&lt;=0.005),"",384)</f>
        <v/>
      </c>
      <c r="B403" s="28" t="str">
        <f t="shared" si="31"/>
        <v/>
      </c>
      <c r="C403" s="29" t="str">
        <f t="shared" si="30"/>
        <v/>
      </c>
      <c r="D403" s="29" t="str">
        <f t="shared" si="32"/>
        <v/>
      </c>
      <c r="E403" s="29" t="str">
        <f t="shared" si="33"/>
        <v/>
      </c>
      <c r="F403" s="29" t="str">
        <f t="shared" si="34"/>
        <v/>
      </c>
      <c r="G403" s="30" t="str">
        <f t="shared" si="35"/>
        <v/>
      </c>
    </row>
    <row r="404" spans="1:7" ht="15" customHeight="1" x14ac:dyDescent="0.25">
      <c r="A404" s="23" t="str">
        <f>IF(OR(385&gt;$C$10*$C$11,N(G403)&lt;=0.005),"",385)</f>
        <v/>
      </c>
      <c r="B404" s="24" t="str">
        <f t="shared" si="31"/>
        <v/>
      </c>
      <c r="C404" s="25" t="str">
        <f t="shared" ref="C404:C467" si="36">IF(A404="","",D404+E404+F404)</f>
        <v/>
      </c>
      <c r="D404" s="25" t="str">
        <f t="shared" si="32"/>
        <v/>
      </c>
      <c r="E404" s="25" t="str">
        <f t="shared" si="33"/>
        <v/>
      </c>
      <c r="F404" s="25" t="str">
        <f t="shared" si="34"/>
        <v/>
      </c>
      <c r="G404" s="26" t="str">
        <f t="shared" si="35"/>
        <v/>
      </c>
    </row>
    <row r="405" spans="1:7" ht="15" customHeight="1" x14ac:dyDescent="0.25">
      <c r="A405" s="27" t="str">
        <f>IF(OR(386&gt;$C$10*$C$11,N(G404)&lt;=0.005),"",386)</f>
        <v/>
      </c>
      <c r="B405" s="28" t="str">
        <f t="shared" ref="B405:B468" si="37">IF(A405="","",EDATE($C$12,(A405-1)*(12/$C$11)))</f>
        <v/>
      </c>
      <c r="C405" s="29" t="str">
        <f t="shared" si="36"/>
        <v/>
      </c>
      <c r="D405" s="29" t="str">
        <f t="shared" ref="D405:D468" si="38">IF(A405="","",N(G404)*$C$9/$C$11)</f>
        <v/>
      </c>
      <c r="E405" s="29" t="str">
        <f t="shared" ref="E405:E468" si="39">IF(A405="","",MIN($C$15-D405,N(G404)))</f>
        <v/>
      </c>
      <c r="F405" s="29" t="str">
        <f t="shared" ref="F405:F468" si="40">IF(A405="","",IF(AND($C$13&gt;0,MOD(A405,$C$11)=0),MIN($C$13,N(G404)-E405),0))</f>
        <v/>
      </c>
      <c r="G405" s="30" t="str">
        <f t="shared" ref="G405:G468" si="41">IF(A405="","",MAX(N(G404)-E405-F405,0))</f>
        <v/>
      </c>
    </row>
    <row r="406" spans="1:7" ht="15" customHeight="1" x14ac:dyDescent="0.25">
      <c r="A406" s="23" t="str">
        <f>IF(OR(387&gt;$C$10*$C$11,N(G405)&lt;=0.005),"",387)</f>
        <v/>
      </c>
      <c r="B406" s="24" t="str">
        <f t="shared" si="37"/>
        <v/>
      </c>
      <c r="C406" s="25" t="str">
        <f t="shared" si="36"/>
        <v/>
      </c>
      <c r="D406" s="25" t="str">
        <f t="shared" si="38"/>
        <v/>
      </c>
      <c r="E406" s="25" t="str">
        <f t="shared" si="39"/>
        <v/>
      </c>
      <c r="F406" s="25" t="str">
        <f t="shared" si="40"/>
        <v/>
      </c>
      <c r="G406" s="26" t="str">
        <f t="shared" si="41"/>
        <v/>
      </c>
    </row>
    <row r="407" spans="1:7" ht="15" customHeight="1" x14ac:dyDescent="0.25">
      <c r="A407" s="27" t="str">
        <f>IF(OR(388&gt;$C$10*$C$11,N(G406)&lt;=0.005),"",388)</f>
        <v/>
      </c>
      <c r="B407" s="28" t="str">
        <f t="shared" si="37"/>
        <v/>
      </c>
      <c r="C407" s="29" t="str">
        <f t="shared" si="36"/>
        <v/>
      </c>
      <c r="D407" s="29" t="str">
        <f t="shared" si="38"/>
        <v/>
      </c>
      <c r="E407" s="29" t="str">
        <f t="shared" si="39"/>
        <v/>
      </c>
      <c r="F407" s="29" t="str">
        <f t="shared" si="40"/>
        <v/>
      </c>
      <c r="G407" s="30" t="str">
        <f t="shared" si="41"/>
        <v/>
      </c>
    </row>
    <row r="408" spans="1:7" ht="15" customHeight="1" x14ac:dyDescent="0.25">
      <c r="A408" s="23" t="str">
        <f>IF(OR(389&gt;$C$10*$C$11,N(G407)&lt;=0.005),"",389)</f>
        <v/>
      </c>
      <c r="B408" s="24" t="str">
        <f t="shared" si="37"/>
        <v/>
      </c>
      <c r="C408" s="25" t="str">
        <f t="shared" si="36"/>
        <v/>
      </c>
      <c r="D408" s="25" t="str">
        <f t="shared" si="38"/>
        <v/>
      </c>
      <c r="E408" s="25" t="str">
        <f t="shared" si="39"/>
        <v/>
      </c>
      <c r="F408" s="25" t="str">
        <f t="shared" si="40"/>
        <v/>
      </c>
      <c r="G408" s="26" t="str">
        <f t="shared" si="41"/>
        <v/>
      </c>
    </row>
    <row r="409" spans="1:7" ht="15" customHeight="1" x14ac:dyDescent="0.25">
      <c r="A409" s="27" t="str">
        <f>IF(OR(390&gt;$C$10*$C$11,N(G408)&lt;=0.005),"",390)</f>
        <v/>
      </c>
      <c r="B409" s="28" t="str">
        <f t="shared" si="37"/>
        <v/>
      </c>
      <c r="C409" s="29" t="str">
        <f t="shared" si="36"/>
        <v/>
      </c>
      <c r="D409" s="29" t="str">
        <f t="shared" si="38"/>
        <v/>
      </c>
      <c r="E409" s="29" t="str">
        <f t="shared" si="39"/>
        <v/>
      </c>
      <c r="F409" s="29" t="str">
        <f t="shared" si="40"/>
        <v/>
      </c>
      <c r="G409" s="30" t="str">
        <f t="shared" si="41"/>
        <v/>
      </c>
    </row>
    <row r="410" spans="1:7" ht="15" customHeight="1" x14ac:dyDescent="0.25">
      <c r="A410" s="23" t="str">
        <f>IF(OR(391&gt;$C$10*$C$11,N(G409)&lt;=0.005),"",391)</f>
        <v/>
      </c>
      <c r="B410" s="24" t="str">
        <f t="shared" si="37"/>
        <v/>
      </c>
      <c r="C410" s="25" t="str">
        <f t="shared" si="36"/>
        <v/>
      </c>
      <c r="D410" s="25" t="str">
        <f t="shared" si="38"/>
        <v/>
      </c>
      <c r="E410" s="25" t="str">
        <f t="shared" si="39"/>
        <v/>
      </c>
      <c r="F410" s="25" t="str">
        <f t="shared" si="40"/>
        <v/>
      </c>
      <c r="G410" s="26" t="str">
        <f t="shared" si="41"/>
        <v/>
      </c>
    </row>
    <row r="411" spans="1:7" ht="15" customHeight="1" x14ac:dyDescent="0.25">
      <c r="A411" s="27" t="str">
        <f>IF(OR(392&gt;$C$10*$C$11,N(G410)&lt;=0.005),"",392)</f>
        <v/>
      </c>
      <c r="B411" s="28" t="str">
        <f t="shared" si="37"/>
        <v/>
      </c>
      <c r="C411" s="29" t="str">
        <f t="shared" si="36"/>
        <v/>
      </c>
      <c r="D411" s="29" t="str">
        <f t="shared" si="38"/>
        <v/>
      </c>
      <c r="E411" s="29" t="str">
        <f t="shared" si="39"/>
        <v/>
      </c>
      <c r="F411" s="29" t="str">
        <f t="shared" si="40"/>
        <v/>
      </c>
      <c r="G411" s="30" t="str">
        <f t="shared" si="41"/>
        <v/>
      </c>
    </row>
    <row r="412" spans="1:7" ht="15" customHeight="1" x14ac:dyDescent="0.25">
      <c r="A412" s="23" t="str">
        <f>IF(OR(393&gt;$C$10*$C$11,N(G411)&lt;=0.005),"",393)</f>
        <v/>
      </c>
      <c r="B412" s="24" t="str">
        <f t="shared" si="37"/>
        <v/>
      </c>
      <c r="C412" s="25" t="str">
        <f t="shared" si="36"/>
        <v/>
      </c>
      <c r="D412" s="25" t="str">
        <f t="shared" si="38"/>
        <v/>
      </c>
      <c r="E412" s="25" t="str">
        <f t="shared" si="39"/>
        <v/>
      </c>
      <c r="F412" s="25" t="str">
        <f t="shared" si="40"/>
        <v/>
      </c>
      <c r="G412" s="26" t="str">
        <f t="shared" si="41"/>
        <v/>
      </c>
    </row>
    <row r="413" spans="1:7" ht="15" customHeight="1" x14ac:dyDescent="0.25">
      <c r="A413" s="27" t="str">
        <f>IF(OR(394&gt;$C$10*$C$11,N(G412)&lt;=0.005),"",394)</f>
        <v/>
      </c>
      <c r="B413" s="28" t="str">
        <f t="shared" si="37"/>
        <v/>
      </c>
      <c r="C413" s="29" t="str">
        <f t="shared" si="36"/>
        <v/>
      </c>
      <c r="D413" s="29" t="str">
        <f t="shared" si="38"/>
        <v/>
      </c>
      <c r="E413" s="29" t="str">
        <f t="shared" si="39"/>
        <v/>
      </c>
      <c r="F413" s="29" t="str">
        <f t="shared" si="40"/>
        <v/>
      </c>
      <c r="G413" s="30" t="str">
        <f t="shared" si="41"/>
        <v/>
      </c>
    </row>
    <row r="414" spans="1:7" ht="15" customHeight="1" x14ac:dyDescent="0.25">
      <c r="A414" s="23" t="str">
        <f>IF(OR(395&gt;$C$10*$C$11,N(G413)&lt;=0.005),"",395)</f>
        <v/>
      </c>
      <c r="B414" s="24" t="str">
        <f t="shared" si="37"/>
        <v/>
      </c>
      <c r="C414" s="25" t="str">
        <f t="shared" si="36"/>
        <v/>
      </c>
      <c r="D414" s="25" t="str">
        <f t="shared" si="38"/>
        <v/>
      </c>
      <c r="E414" s="25" t="str">
        <f t="shared" si="39"/>
        <v/>
      </c>
      <c r="F414" s="25" t="str">
        <f t="shared" si="40"/>
        <v/>
      </c>
      <c r="G414" s="26" t="str">
        <f t="shared" si="41"/>
        <v/>
      </c>
    </row>
    <row r="415" spans="1:7" ht="15" customHeight="1" x14ac:dyDescent="0.25">
      <c r="A415" s="27" t="str">
        <f>IF(OR(396&gt;$C$10*$C$11,N(G414)&lt;=0.005),"",396)</f>
        <v/>
      </c>
      <c r="B415" s="28" t="str">
        <f t="shared" si="37"/>
        <v/>
      </c>
      <c r="C415" s="29" t="str">
        <f t="shared" si="36"/>
        <v/>
      </c>
      <c r="D415" s="29" t="str">
        <f t="shared" si="38"/>
        <v/>
      </c>
      <c r="E415" s="29" t="str">
        <f t="shared" si="39"/>
        <v/>
      </c>
      <c r="F415" s="29" t="str">
        <f t="shared" si="40"/>
        <v/>
      </c>
      <c r="G415" s="30" t="str">
        <f t="shared" si="41"/>
        <v/>
      </c>
    </row>
    <row r="416" spans="1:7" ht="15" customHeight="1" x14ac:dyDescent="0.25">
      <c r="A416" s="23" t="str">
        <f>IF(OR(397&gt;$C$10*$C$11,N(G415)&lt;=0.005),"",397)</f>
        <v/>
      </c>
      <c r="B416" s="24" t="str">
        <f t="shared" si="37"/>
        <v/>
      </c>
      <c r="C416" s="25" t="str">
        <f t="shared" si="36"/>
        <v/>
      </c>
      <c r="D416" s="25" t="str">
        <f t="shared" si="38"/>
        <v/>
      </c>
      <c r="E416" s="25" t="str">
        <f t="shared" si="39"/>
        <v/>
      </c>
      <c r="F416" s="25" t="str">
        <f t="shared" si="40"/>
        <v/>
      </c>
      <c r="G416" s="26" t="str">
        <f t="shared" si="41"/>
        <v/>
      </c>
    </row>
    <row r="417" spans="1:7" ht="15" customHeight="1" x14ac:dyDescent="0.25">
      <c r="A417" s="27" t="str">
        <f>IF(OR(398&gt;$C$10*$C$11,N(G416)&lt;=0.005),"",398)</f>
        <v/>
      </c>
      <c r="B417" s="28" t="str">
        <f t="shared" si="37"/>
        <v/>
      </c>
      <c r="C417" s="29" t="str">
        <f t="shared" si="36"/>
        <v/>
      </c>
      <c r="D417" s="29" t="str">
        <f t="shared" si="38"/>
        <v/>
      </c>
      <c r="E417" s="29" t="str">
        <f t="shared" si="39"/>
        <v/>
      </c>
      <c r="F417" s="29" t="str">
        <f t="shared" si="40"/>
        <v/>
      </c>
      <c r="G417" s="30" t="str">
        <f t="shared" si="41"/>
        <v/>
      </c>
    </row>
    <row r="418" spans="1:7" ht="15" customHeight="1" x14ac:dyDescent="0.25">
      <c r="A418" s="23" t="str">
        <f>IF(OR(399&gt;$C$10*$C$11,N(G417)&lt;=0.005),"",399)</f>
        <v/>
      </c>
      <c r="B418" s="24" t="str">
        <f t="shared" si="37"/>
        <v/>
      </c>
      <c r="C418" s="25" t="str">
        <f t="shared" si="36"/>
        <v/>
      </c>
      <c r="D418" s="25" t="str">
        <f t="shared" si="38"/>
        <v/>
      </c>
      <c r="E418" s="25" t="str">
        <f t="shared" si="39"/>
        <v/>
      </c>
      <c r="F418" s="25" t="str">
        <f t="shared" si="40"/>
        <v/>
      </c>
      <c r="G418" s="26" t="str">
        <f t="shared" si="41"/>
        <v/>
      </c>
    </row>
    <row r="419" spans="1:7" ht="15" customHeight="1" x14ac:dyDescent="0.25">
      <c r="A419" s="27" t="str">
        <f>IF(OR(400&gt;$C$10*$C$11,N(G418)&lt;=0.005),"",400)</f>
        <v/>
      </c>
      <c r="B419" s="28" t="str">
        <f t="shared" si="37"/>
        <v/>
      </c>
      <c r="C419" s="29" t="str">
        <f t="shared" si="36"/>
        <v/>
      </c>
      <c r="D419" s="29" t="str">
        <f t="shared" si="38"/>
        <v/>
      </c>
      <c r="E419" s="29" t="str">
        <f t="shared" si="39"/>
        <v/>
      </c>
      <c r="F419" s="29" t="str">
        <f t="shared" si="40"/>
        <v/>
      </c>
      <c r="G419" s="30" t="str">
        <f t="shared" si="41"/>
        <v/>
      </c>
    </row>
    <row r="420" spans="1:7" ht="15" customHeight="1" x14ac:dyDescent="0.25">
      <c r="A420" s="23" t="str">
        <f>IF(OR(401&gt;$C$10*$C$11,N(G419)&lt;=0.005),"",401)</f>
        <v/>
      </c>
      <c r="B420" s="24" t="str">
        <f t="shared" si="37"/>
        <v/>
      </c>
      <c r="C420" s="25" t="str">
        <f t="shared" si="36"/>
        <v/>
      </c>
      <c r="D420" s="25" t="str">
        <f t="shared" si="38"/>
        <v/>
      </c>
      <c r="E420" s="25" t="str">
        <f t="shared" si="39"/>
        <v/>
      </c>
      <c r="F420" s="25" t="str">
        <f t="shared" si="40"/>
        <v/>
      </c>
      <c r="G420" s="26" t="str">
        <f t="shared" si="41"/>
        <v/>
      </c>
    </row>
    <row r="421" spans="1:7" ht="15" customHeight="1" x14ac:dyDescent="0.25">
      <c r="A421" s="27" t="str">
        <f>IF(OR(402&gt;$C$10*$C$11,N(G420)&lt;=0.005),"",402)</f>
        <v/>
      </c>
      <c r="B421" s="28" t="str">
        <f t="shared" si="37"/>
        <v/>
      </c>
      <c r="C421" s="29" t="str">
        <f t="shared" si="36"/>
        <v/>
      </c>
      <c r="D421" s="29" t="str">
        <f t="shared" si="38"/>
        <v/>
      </c>
      <c r="E421" s="29" t="str">
        <f t="shared" si="39"/>
        <v/>
      </c>
      <c r="F421" s="29" t="str">
        <f t="shared" si="40"/>
        <v/>
      </c>
      <c r="G421" s="30" t="str">
        <f t="shared" si="41"/>
        <v/>
      </c>
    </row>
    <row r="422" spans="1:7" ht="15" customHeight="1" x14ac:dyDescent="0.25">
      <c r="A422" s="23" t="str">
        <f>IF(OR(403&gt;$C$10*$C$11,N(G421)&lt;=0.005),"",403)</f>
        <v/>
      </c>
      <c r="B422" s="24" t="str">
        <f t="shared" si="37"/>
        <v/>
      </c>
      <c r="C422" s="25" t="str">
        <f t="shared" si="36"/>
        <v/>
      </c>
      <c r="D422" s="25" t="str">
        <f t="shared" si="38"/>
        <v/>
      </c>
      <c r="E422" s="25" t="str">
        <f t="shared" si="39"/>
        <v/>
      </c>
      <c r="F422" s="25" t="str">
        <f t="shared" si="40"/>
        <v/>
      </c>
      <c r="G422" s="26" t="str">
        <f t="shared" si="41"/>
        <v/>
      </c>
    </row>
    <row r="423" spans="1:7" ht="15" customHeight="1" x14ac:dyDescent="0.25">
      <c r="A423" s="27" t="str">
        <f>IF(OR(404&gt;$C$10*$C$11,N(G422)&lt;=0.005),"",404)</f>
        <v/>
      </c>
      <c r="B423" s="28" t="str">
        <f t="shared" si="37"/>
        <v/>
      </c>
      <c r="C423" s="29" t="str">
        <f t="shared" si="36"/>
        <v/>
      </c>
      <c r="D423" s="29" t="str">
        <f t="shared" si="38"/>
        <v/>
      </c>
      <c r="E423" s="29" t="str">
        <f t="shared" si="39"/>
        <v/>
      </c>
      <c r="F423" s="29" t="str">
        <f t="shared" si="40"/>
        <v/>
      </c>
      <c r="G423" s="30" t="str">
        <f t="shared" si="41"/>
        <v/>
      </c>
    </row>
    <row r="424" spans="1:7" ht="15" customHeight="1" x14ac:dyDescent="0.25">
      <c r="A424" s="23" t="str">
        <f>IF(OR(405&gt;$C$10*$C$11,N(G423)&lt;=0.005),"",405)</f>
        <v/>
      </c>
      <c r="B424" s="24" t="str">
        <f t="shared" si="37"/>
        <v/>
      </c>
      <c r="C424" s="25" t="str">
        <f t="shared" si="36"/>
        <v/>
      </c>
      <c r="D424" s="25" t="str">
        <f t="shared" si="38"/>
        <v/>
      </c>
      <c r="E424" s="25" t="str">
        <f t="shared" si="39"/>
        <v/>
      </c>
      <c r="F424" s="25" t="str">
        <f t="shared" si="40"/>
        <v/>
      </c>
      <c r="G424" s="26" t="str">
        <f t="shared" si="41"/>
        <v/>
      </c>
    </row>
    <row r="425" spans="1:7" ht="15" customHeight="1" x14ac:dyDescent="0.25">
      <c r="A425" s="27" t="str">
        <f>IF(OR(406&gt;$C$10*$C$11,N(G424)&lt;=0.005),"",406)</f>
        <v/>
      </c>
      <c r="B425" s="28" t="str">
        <f t="shared" si="37"/>
        <v/>
      </c>
      <c r="C425" s="29" t="str">
        <f t="shared" si="36"/>
        <v/>
      </c>
      <c r="D425" s="29" t="str">
        <f t="shared" si="38"/>
        <v/>
      </c>
      <c r="E425" s="29" t="str">
        <f t="shared" si="39"/>
        <v/>
      </c>
      <c r="F425" s="29" t="str">
        <f t="shared" si="40"/>
        <v/>
      </c>
      <c r="G425" s="30" t="str">
        <f t="shared" si="41"/>
        <v/>
      </c>
    </row>
    <row r="426" spans="1:7" ht="15" customHeight="1" x14ac:dyDescent="0.25">
      <c r="A426" s="23" t="str">
        <f>IF(OR(407&gt;$C$10*$C$11,N(G425)&lt;=0.005),"",407)</f>
        <v/>
      </c>
      <c r="B426" s="24" t="str">
        <f t="shared" si="37"/>
        <v/>
      </c>
      <c r="C426" s="25" t="str">
        <f t="shared" si="36"/>
        <v/>
      </c>
      <c r="D426" s="25" t="str">
        <f t="shared" si="38"/>
        <v/>
      </c>
      <c r="E426" s="25" t="str">
        <f t="shared" si="39"/>
        <v/>
      </c>
      <c r="F426" s="25" t="str">
        <f t="shared" si="40"/>
        <v/>
      </c>
      <c r="G426" s="26" t="str">
        <f t="shared" si="41"/>
        <v/>
      </c>
    </row>
    <row r="427" spans="1:7" ht="15" customHeight="1" x14ac:dyDescent="0.25">
      <c r="A427" s="27" t="str">
        <f>IF(OR(408&gt;$C$10*$C$11,N(G426)&lt;=0.005),"",408)</f>
        <v/>
      </c>
      <c r="B427" s="28" t="str">
        <f t="shared" si="37"/>
        <v/>
      </c>
      <c r="C427" s="29" t="str">
        <f t="shared" si="36"/>
        <v/>
      </c>
      <c r="D427" s="29" t="str">
        <f t="shared" si="38"/>
        <v/>
      </c>
      <c r="E427" s="29" t="str">
        <f t="shared" si="39"/>
        <v/>
      </c>
      <c r="F427" s="29" t="str">
        <f t="shared" si="40"/>
        <v/>
      </c>
      <c r="G427" s="30" t="str">
        <f t="shared" si="41"/>
        <v/>
      </c>
    </row>
    <row r="428" spans="1:7" ht="15" customHeight="1" x14ac:dyDescent="0.25">
      <c r="A428" s="23" t="str">
        <f>IF(OR(409&gt;$C$10*$C$11,N(G427)&lt;=0.005),"",409)</f>
        <v/>
      </c>
      <c r="B428" s="24" t="str">
        <f t="shared" si="37"/>
        <v/>
      </c>
      <c r="C428" s="25" t="str">
        <f t="shared" si="36"/>
        <v/>
      </c>
      <c r="D428" s="25" t="str">
        <f t="shared" si="38"/>
        <v/>
      </c>
      <c r="E428" s="25" t="str">
        <f t="shared" si="39"/>
        <v/>
      </c>
      <c r="F428" s="25" t="str">
        <f t="shared" si="40"/>
        <v/>
      </c>
      <c r="G428" s="26" t="str">
        <f t="shared" si="41"/>
        <v/>
      </c>
    </row>
    <row r="429" spans="1:7" ht="15" customHeight="1" x14ac:dyDescent="0.25">
      <c r="A429" s="27" t="str">
        <f>IF(OR(410&gt;$C$10*$C$11,N(G428)&lt;=0.005),"",410)</f>
        <v/>
      </c>
      <c r="B429" s="28" t="str">
        <f t="shared" si="37"/>
        <v/>
      </c>
      <c r="C429" s="29" t="str">
        <f t="shared" si="36"/>
        <v/>
      </c>
      <c r="D429" s="29" t="str">
        <f t="shared" si="38"/>
        <v/>
      </c>
      <c r="E429" s="29" t="str">
        <f t="shared" si="39"/>
        <v/>
      </c>
      <c r="F429" s="29" t="str">
        <f t="shared" si="40"/>
        <v/>
      </c>
      <c r="G429" s="30" t="str">
        <f t="shared" si="41"/>
        <v/>
      </c>
    </row>
    <row r="430" spans="1:7" ht="15" customHeight="1" x14ac:dyDescent="0.25">
      <c r="A430" s="23" t="str">
        <f>IF(OR(411&gt;$C$10*$C$11,N(G429)&lt;=0.005),"",411)</f>
        <v/>
      </c>
      <c r="B430" s="24" t="str">
        <f t="shared" si="37"/>
        <v/>
      </c>
      <c r="C430" s="25" t="str">
        <f t="shared" si="36"/>
        <v/>
      </c>
      <c r="D430" s="25" t="str">
        <f t="shared" si="38"/>
        <v/>
      </c>
      <c r="E430" s="25" t="str">
        <f t="shared" si="39"/>
        <v/>
      </c>
      <c r="F430" s="25" t="str">
        <f t="shared" si="40"/>
        <v/>
      </c>
      <c r="G430" s="26" t="str">
        <f t="shared" si="41"/>
        <v/>
      </c>
    </row>
    <row r="431" spans="1:7" ht="15" customHeight="1" x14ac:dyDescent="0.25">
      <c r="A431" s="27" t="str">
        <f>IF(OR(412&gt;$C$10*$C$11,N(G430)&lt;=0.005),"",412)</f>
        <v/>
      </c>
      <c r="B431" s="28" t="str">
        <f t="shared" si="37"/>
        <v/>
      </c>
      <c r="C431" s="29" t="str">
        <f t="shared" si="36"/>
        <v/>
      </c>
      <c r="D431" s="29" t="str">
        <f t="shared" si="38"/>
        <v/>
      </c>
      <c r="E431" s="29" t="str">
        <f t="shared" si="39"/>
        <v/>
      </c>
      <c r="F431" s="29" t="str">
        <f t="shared" si="40"/>
        <v/>
      </c>
      <c r="G431" s="30" t="str">
        <f t="shared" si="41"/>
        <v/>
      </c>
    </row>
    <row r="432" spans="1:7" ht="15" customHeight="1" x14ac:dyDescent="0.25">
      <c r="A432" s="23" t="str">
        <f>IF(OR(413&gt;$C$10*$C$11,N(G431)&lt;=0.005),"",413)</f>
        <v/>
      </c>
      <c r="B432" s="24" t="str">
        <f t="shared" si="37"/>
        <v/>
      </c>
      <c r="C432" s="25" t="str">
        <f t="shared" si="36"/>
        <v/>
      </c>
      <c r="D432" s="25" t="str">
        <f t="shared" si="38"/>
        <v/>
      </c>
      <c r="E432" s="25" t="str">
        <f t="shared" si="39"/>
        <v/>
      </c>
      <c r="F432" s="25" t="str">
        <f t="shared" si="40"/>
        <v/>
      </c>
      <c r="G432" s="26" t="str">
        <f t="shared" si="41"/>
        <v/>
      </c>
    </row>
    <row r="433" spans="1:7" ht="15" customHeight="1" x14ac:dyDescent="0.25">
      <c r="A433" s="27" t="str">
        <f>IF(OR(414&gt;$C$10*$C$11,N(G432)&lt;=0.005),"",414)</f>
        <v/>
      </c>
      <c r="B433" s="28" t="str">
        <f t="shared" si="37"/>
        <v/>
      </c>
      <c r="C433" s="29" t="str">
        <f t="shared" si="36"/>
        <v/>
      </c>
      <c r="D433" s="29" t="str">
        <f t="shared" si="38"/>
        <v/>
      </c>
      <c r="E433" s="29" t="str">
        <f t="shared" si="39"/>
        <v/>
      </c>
      <c r="F433" s="29" t="str">
        <f t="shared" si="40"/>
        <v/>
      </c>
      <c r="G433" s="30" t="str">
        <f t="shared" si="41"/>
        <v/>
      </c>
    </row>
    <row r="434" spans="1:7" ht="15" customHeight="1" x14ac:dyDescent="0.25">
      <c r="A434" s="23" t="str">
        <f>IF(OR(415&gt;$C$10*$C$11,N(G433)&lt;=0.005),"",415)</f>
        <v/>
      </c>
      <c r="B434" s="24" t="str">
        <f t="shared" si="37"/>
        <v/>
      </c>
      <c r="C434" s="25" t="str">
        <f t="shared" si="36"/>
        <v/>
      </c>
      <c r="D434" s="25" t="str">
        <f t="shared" si="38"/>
        <v/>
      </c>
      <c r="E434" s="25" t="str">
        <f t="shared" si="39"/>
        <v/>
      </c>
      <c r="F434" s="25" t="str">
        <f t="shared" si="40"/>
        <v/>
      </c>
      <c r="G434" s="26" t="str">
        <f t="shared" si="41"/>
        <v/>
      </c>
    </row>
    <row r="435" spans="1:7" ht="15" customHeight="1" x14ac:dyDescent="0.25">
      <c r="A435" s="27" t="str">
        <f>IF(OR(416&gt;$C$10*$C$11,N(G434)&lt;=0.005),"",416)</f>
        <v/>
      </c>
      <c r="B435" s="28" t="str">
        <f t="shared" si="37"/>
        <v/>
      </c>
      <c r="C435" s="29" t="str">
        <f t="shared" si="36"/>
        <v/>
      </c>
      <c r="D435" s="29" t="str">
        <f t="shared" si="38"/>
        <v/>
      </c>
      <c r="E435" s="29" t="str">
        <f t="shared" si="39"/>
        <v/>
      </c>
      <c r="F435" s="29" t="str">
        <f t="shared" si="40"/>
        <v/>
      </c>
      <c r="G435" s="30" t="str">
        <f t="shared" si="41"/>
        <v/>
      </c>
    </row>
    <row r="436" spans="1:7" ht="15" customHeight="1" x14ac:dyDescent="0.25">
      <c r="A436" s="23" t="str">
        <f>IF(OR(417&gt;$C$10*$C$11,N(G435)&lt;=0.005),"",417)</f>
        <v/>
      </c>
      <c r="B436" s="24" t="str">
        <f t="shared" si="37"/>
        <v/>
      </c>
      <c r="C436" s="25" t="str">
        <f t="shared" si="36"/>
        <v/>
      </c>
      <c r="D436" s="25" t="str">
        <f t="shared" si="38"/>
        <v/>
      </c>
      <c r="E436" s="25" t="str">
        <f t="shared" si="39"/>
        <v/>
      </c>
      <c r="F436" s="25" t="str">
        <f t="shared" si="40"/>
        <v/>
      </c>
      <c r="G436" s="26" t="str">
        <f t="shared" si="41"/>
        <v/>
      </c>
    </row>
    <row r="437" spans="1:7" ht="15" customHeight="1" x14ac:dyDescent="0.25">
      <c r="A437" s="27" t="str">
        <f>IF(OR(418&gt;$C$10*$C$11,N(G436)&lt;=0.005),"",418)</f>
        <v/>
      </c>
      <c r="B437" s="28" t="str">
        <f t="shared" si="37"/>
        <v/>
      </c>
      <c r="C437" s="29" t="str">
        <f t="shared" si="36"/>
        <v/>
      </c>
      <c r="D437" s="29" t="str">
        <f t="shared" si="38"/>
        <v/>
      </c>
      <c r="E437" s="29" t="str">
        <f t="shared" si="39"/>
        <v/>
      </c>
      <c r="F437" s="29" t="str">
        <f t="shared" si="40"/>
        <v/>
      </c>
      <c r="G437" s="30" t="str">
        <f t="shared" si="41"/>
        <v/>
      </c>
    </row>
    <row r="438" spans="1:7" ht="15" customHeight="1" x14ac:dyDescent="0.25">
      <c r="A438" s="23" t="str">
        <f>IF(OR(419&gt;$C$10*$C$11,N(G437)&lt;=0.005),"",419)</f>
        <v/>
      </c>
      <c r="B438" s="24" t="str">
        <f t="shared" si="37"/>
        <v/>
      </c>
      <c r="C438" s="25" t="str">
        <f t="shared" si="36"/>
        <v/>
      </c>
      <c r="D438" s="25" t="str">
        <f t="shared" si="38"/>
        <v/>
      </c>
      <c r="E438" s="25" t="str">
        <f t="shared" si="39"/>
        <v/>
      </c>
      <c r="F438" s="25" t="str">
        <f t="shared" si="40"/>
        <v/>
      </c>
      <c r="G438" s="26" t="str">
        <f t="shared" si="41"/>
        <v/>
      </c>
    </row>
    <row r="439" spans="1:7" ht="15" customHeight="1" x14ac:dyDescent="0.25">
      <c r="A439" s="27" t="str">
        <f>IF(OR(420&gt;$C$10*$C$11,N(G438)&lt;=0.005),"",420)</f>
        <v/>
      </c>
      <c r="B439" s="28" t="str">
        <f t="shared" si="37"/>
        <v/>
      </c>
      <c r="C439" s="29" t="str">
        <f t="shared" si="36"/>
        <v/>
      </c>
      <c r="D439" s="29" t="str">
        <f t="shared" si="38"/>
        <v/>
      </c>
      <c r="E439" s="29" t="str">
        <f t="shared" si="39"/>
        <v/>
      </c>
      <c r="F439" s="29" t="str">
        <f t="shared" si="40"/>
        <v/>
      </c>
      <c r="G439" s="30" t="str">
        <f t="shared" si="41"/>
        <v/>
      </c>
    </row>
    <row r="440" spans="1:7" ht="15" customHeight="1" x14ac:dyDescent="0.25">
      <c r="A440" s="23" t="str">
        <f>IF(OR(421&gt;$C$10*$C$11,N(G439)&lt;=0.005),"",421)</f>
        <v/>
      </c>
      <c r="B440" s="24" t="str">
        <f t="shared" si="37"/>
        <v/>
      </c>
      <c r="C440" s="25" t="str">
        <f t="shared" si="36"/>
        <v/>
      </c>
      <c r="D440" s="25" t="str">
        <f t="shared" si="38"/>
        <v/>
      </c>
      <c r="E440" s="25" t="str">
        <f t="shared" si="39"/>
        <v/>
      </c>
      <c r="F440" s="25" t="str">
        <f t="shared" si="40"/>
        <v/>
      </c>
      <c r="G440" s="26" t="str">
        <f t="shared" si="41"/>
        <v/>
      </c>
    </row>
    <row r="441" spans="1:7" ht="15" customHeight="1" x14ac:dyDescent="0.25">
      <c r="A441" s="27" t="str">
        <f>IF(OR(422&gt;$C$10*$C$11,N(G440)&lt;=0.005),"",422)</f>
        <v/>
      </c>
      <c r="B441" s="28" t="str">
        <f t="shared" si="37"/>
        <v/>
      </c>
      <c r="C441" s="29" t="str">
        <f t="shared" si="36"/>
        <v/>
      </c>
      <c r="D441" s="29" t="str">
        <f t="shared" si="38"/>
        <v/>
      </c>
      <c r="E441" s="29" t="str">
        <f t="shared" si="39"/>
        <v/>
      </c>
      <c r="F441" s="29" t="str">
        <f t="shared" si="40"/>
        <v/>
      </c>
      <c r="G441" s="30" t="str">
        <f t="shared" si="41"/>
        <v/>
      </c>
    </row>
    <row r="442" spans="1:7" ht="15" customHeight="1" x14ac:dyDescent="0.25">
      <c r="A442" s="23" t="str">
        <f>IF(OR(423&gt;$C$10*$C$11,N(G441)&lt;=0.005),"",423)</f>
        <v/>
      </c>
      <c r="B442" s="24" t="str">
        <f t="shared" si="37"/>
        <v/>
      </c>
      <c r="C442" s="25" t="str">
        <f t="shared" si="36"/>
        <v/>
      </c>
      <c r="D442" s="25" t="str">
        <f t="shared" si="38"/>
        <v/>
      </c>
      <c r="E442" s="25" t="str">
        <f t="shared" si="39"/>
        <v/>
      </c>
      <c r="F442" s="25" t="str">
        <f t="shared" si="40"/>
        <v/>
      </c>
      <c r="G442" s="26" t="str">
        <f t="shared" si="41"/>
        <v/>
      </c>
    </row>
    <row r="443" spans="1:7" ht="15" customHeight="1" x14ac:dyDescent="0.25">
      <c r="A443" s="27" t="str">
        <f>IF(OR(424&gt;$C$10*$C$11,N(G442)&lt;=0.005),"",424)</f>
        <v/>
      </c>
      <c r="B443" s="28" t="str">
        <f t="shared" si="37"/>
        <v/>
      </c>
      <c r="C443" s="29" t="str">
        <f t="shared" si="36"/>
        <v/>
      </c>
      <c r="D443" s="29" t="str">
        <f t="shared" si="38"/>
        <v/>
      </c>
      <c r="E443" s="29" t="str">
        <f t="shared" si="39"/>
        <v/>
      </c>
      <c r="F443" s="29" t="str">
        <f t="shared" si="40"/>
        <v/>
      </c>
      <c r="G443" s="30" t="str">
        <f t="shared" si="41"/>
        <v/>
      </c>
    </row>
    <row r="444" spans="1:7" ht="15" customHeight="1" x14ac:dyDescent="0.25">
      <c r="A444" s="23" t="str">
        <f>IF(OR(425&gt;$C$10*$C$11,N(G443)&lt;=0.005),"",425)</f>
        <v/>
      </c>
      <c r="B444" s="24" t="str">
        <f t="shared" si="37"/>
        <v/>
      </c>
      <c r="C444" s="25" t="str">
        <f t="shared" si="36"/>
        <v/>
      </c>
      <c r="D444" s="25" t="str">
        <f t="shared" si="38"/>
        <v/>
      </c>
      <c r="E444" s="25" t="str">
        <f t="shared" si="39"/>
        <v/>
      </c>
      <c r="F444" s="25" t="str">
        <f t="shared" si="40"/>
        <v/>
      </c>
      <c r="G444" s="26" t="str">
        <f t="shared" si="41"/>
        <v/>
      </c>
    </row>
    <row r="445" spans="1:7" ht="15" customHeight="1" x14ac:dyDescent="0.25">
      <c r="A445" s="27" t="str">
        <f>IF(OR(426&gt;$C$10*$C$11,N(G444)&lt;=0.005),"",426)</f>
        <v/>
      </c>
      <c r="B445" s="28" t="str">
        <f t="shared" si="37"/>
        <v/>
      </c>
      <c r="C445" s="29" t="str">
        <f t="shared" si="36"/>
        <v/>
      </c>
      <c r="D445" s="29" t="str">
        <f t="shared" si="38"/>
        <v/>
      </c>
      <c r="E445" s="29" t="str">
        <f t="shared" si="39"/>
        <v/>
      </c>
      <c r="F445" s="29" t="str">
        <f t="shared" si="40"/>
        <v/>
      </c>
      <c r="G445" s="30" t="str">
        <f t="shared" si="41"/>
        <v/>
      </c>
    </row>
    <row r="446" spans="1:7" ht="15" customHeight="1" x14ac:dyDescent="0.25">
      <c r="A446" s="23" t="str">
        <f>IF(OR(427&gt;$C$10*$C$11,N(G445)&lt;=0.005),"",427)</f>
        <v/>
      </c>
      <c r="B446" s="24" t="str">
        <f t="shared" si="37"/>
        <v/>
      </c>
      <c r="C446" s="25" t="str">
        <f t="shared" si="36"/>
        <v/>
      </c>
      <c r="D446" s="25" t="str">
        <f t="shared" si="38"/>
        <v/>
      </c>
      <c r="E446" s="25" t="str">
        <f t="shared" si="39"/>
        <v/>
      </c>
      <c r="F446" s="25" t="str">
        <f t="shared" si="40"/>
        <v/>
      </c>
      <c r="G446" s="26" t="str">
        <f t="shared" si="41"/>
        <v/>
      </c>
    </row>
    <row r="447" spans="1:7" ht="15" customHeight="1" x14ac:dyDescent="0.25">
      <c r="A447" s="27" t="str">
        <f>IF(OR(428&gt;$C$10*$C$11,N(G446)&lt;=0.005),"",428)</f>
        <v/>
      </c>
      <c r="B447" s="28" t="str">
        <f t="shared" si="37"/>
        <v/>
      </c>
      <c r="C447" s="29" t="str">
        <f t="shared" si="36"/>
        <v/>
      </c>
      <c r="D447" s="29" t="str">
        <f t="shared" si="38"/>
        <v/>
      </c>
      <c r="E447" s="29" t="str">
        <f t="shared" si="39"/>
        <v/>
      </c>
      <c r="F447" s="29" t="str">
        <f t="shared" si="40"/>
        <v/>
      </c>
      <c r="G447" s="30" t="str">
        <f t="shared" si="41"/>
        <v/>
      </c>
    </row>
    <row r="448" spans="1:7" ht="15" customHeight="1" x14ac:dyDescent="0.25">
      <c r="A448" s="23" t="str">
        <f>IF(OR(429&gt;$C$10*$C$11,N(G447)&lt;=0.005),"",429)</f>
        <v/>
      </c>
      <c r="B448" s="24" t="str">
        <f t="shared" si="37"/>
        <v/>
      </c>
      <c r="C448" s="25" t="str">
        <f t="shared" si="36"/>
        <v/>
      </c>
      <c r="D448" s="25" t="str">
        <f t="shared" si="38"/>
        <v/>
      </c>
      <c r="E448" s="25" t="str">
        <f t="shared" si="39"/>
        <v/>
      </c>
      <c r="F448" s="25" t="str">
        <f t="shared" si="40"/>
        <v/>
      </c>
      <c r="G448" s="26" t="str">
        <f t="shared" si="41"/>
        <v/>
      </c>
    </row>
    <row r="449" spans="1:7" ht="15" customHeight="1" x14ac:dyDescent="0.25">
      <c r="A449" s="27" t="str">
        <f>IF(OR(430&gt;$C$10*$C$11,N(G448)&lt;=0.005),"",430)</f>
        <v/>
      </c>
      <c r="B449" s="28" t="str">
        <f t="shared" si="37"/>
        <v/>
      </c>
      <c r="C449" s="29" t="str">
        <f t="shared" si="36"/>
        <v/>
      </c>
      <c r="D449" s="29" t="str">
        <f t="shared" si="38"/>
        <v/>
      </c>
      <c r="E449" s="29" t="str">
        <f t="shared" si="39"/>
        <v/>
      </c>
      <c r="F449" s="29" t="str">
        <f t="shared" si="40"/>
        <v/>
      </c>
      <c r="G449" s="30" t="str">
        <f t="shared" si="41"/>
        <v/>
      </c>
    </row>
    <row r="450" spans="1:7" ht="15" customHeight="1" x14ac:dyDescent="0.25">
      <c r="A450" s="23" t="str">
        <f>IF(OR(431&gt;$C$10*$C$11,N(G449)&lt;=0.005),"",431)</f>
        <v/>
      </c>
      <c r="B450" s="24" t="str">
        <f t="shared" si="37"/>
        <v/>
      </c>
      <c r="C450" s="25" t="str">
        <f t="shared" si="36"/>
        <v/>
      </c>
      <c r="D450" s="25" t="str">
        <f t="shared" si="38"/>
        <v/>
      </c>
      <c r="E450" s="25" t="str">
        <f t="shared" si="39"/>
        <v/>
      </c>
      <c r="F450" s="25" t="str">
        <f t="shared" si="40"/>
        <v/>
      </c>
      <c r="G450" s="26" t="str">
        <f t="shared" si="41"/>
        <v/>
      </c>
    </row>
    <row r="451" spans="1:7" ht="15" customHeight="1" x14ac:dyDescent="0.25">
      <c r="A451" s="27" t="str">
        <f>IF(OR(432&gt;$C$10*$C$11,N(G450)&lt;=0.005),"",432)</f>
        <v/>
      </c>
      <c r="B451" s="28" t="str">
        <f t="shared" si="37"/>
        <v/>
      </c>
      <c r="C451" s="29" t="str">
        <f t="shared" si="36"/>
        <v/>
      </c>
      <c r="D451" s="29" t="str">
        <f t="shared" si="38"/>
        <v/>
      </c>
      <c r="E451" s="29" t="str">
        <f t="shared" si="39"/>
        <v/>
      </c>
      <c r="F451" s="29" t="str">
        <f t="shared" si="40"/>
        <v/>
      </c>
      <c r="G451" s="30" t="str">
        <f t="shared" si="41"/>
        <v/>
      </c>
    </row>
    <row r="452" spans="1:7" ht="15" customHeight="1" x14ac:dyDescent="0.25">
      <c r="A452" s="23" t="str">
        <f>IF(OR(433&gt;$C$10*$C$11,N(G451)&lt;=0.005),"",433)</f>
        <v/>
      </c>
      <c r="B452" s="24" t="str">
        <f t="shared" si="37"/>
        <v/>
      </c>
      <c r="C452" s="25" t="str">
        <f t="shared" si="36"/>
        <v/>
      </c>
      <c r="D452" s="25" t="str">
        <f t="shared" si="38"/>
        <v/>
      </c>
      <c r="E452" s="25" t="str">
        <f t="shared" si="39"/>
        <v/>
      </c>
      <c r="F452" s="25" t="str">
        <f t="shared" si="40"/>
        <v/>
      </c>
      <c r="G452" s="26" t="str">
        <f t="shared" si="41"/>
        <v/>
      </c>
    </row>
    <row r="453" spans="1:7" ht="15" customHeight="1" x14ac:dyDescent="0.25">
      <c r="A453" s="27" t="str">
        <f>IF(OR(434&gt;$C$10*$C$11,N(G452)&lt;=0.005),"",434)</f>
        <v/>
      </c>
      <c r="B453" s="28" t="str">
        <f t="shared" si="37"/>
        <v/>
      </c>
      <c r="C453" s="29" t="str">
        <f t="shared" si="36"/>
        <v/>
      </c>
      <c r="D453" s="29" t="str">
        <f t="shared" si="38"/>
        <v/>
      </c>
      <c r="E453" s="29" t="str">
        <f t="shared" si="39"/>
        <v/>
      </c>
      <c r="F453" s="29" t="str">
        <f t="shared" si="40"/>
        <v/>
      </c>
      <c r="G453" s="30" t="str">
        <f t="shared" si="41"/>
        <v/>
      </c>
    </row>
    <row r="454" spans="1:7" ht="15" customHeight="1" x14ac:dyDescent="0.25">
      <c r="A454" s="23" t="str">
        <f>IF(OR(435&gt;$C$10*$C$11,N(G453)&lt;=0.005),"",435)</f>
        <v/>
      </c>
      <c r="B454" s="24" t="str">
        <f t="shared" si="37"/>
        <v/>
      </c>
      <c r="C454" s="25" t="str">
        <f t="shared" si="36"/>
        <v/>
      </c>
      <c r="D454" s="25" t="str">
        <f t="shared" si="38"/>
        <v/>
      </c>
      <c r="E454" s="25" t="str">
        <f t="shared" si="39"/>
        <v/>
      </c>
      <c r="F454" s="25" t="str">
        <f t="shared" si="40"/>
        <v/>
      </c>
      <c r="G454" s="26" t="str">
        <f t="shared" si="41"/>
        <v/>
      </c>
    </row>
    <row r="455" spans="1:7" ht="15" customHeight="1" x14ac:dyDescent="0.25">
      <c r="A455" s="27" t="str">
        <f>IF(OR(436&gt;$C$10*$C$11,N(G454)&lt;=0.005),"",436)</f>
        <v/>
      </c>
      <c r="B455" s="28" t="str">
        <f t="shared" si="37"/>
        <v/>
      </c>
      <c r="C455" s="29" t="str">
        <f t="shared" si="36"/>
        <v/>
      </c>
      <c r="D455" s="29" t="str">
        <f t="shared" si="38"/>
        <v/>
      </c>
      <c r="E455" s="29" t="str">
        <f t="shared" si="39"/>
        <v/>
      </c>
      <c r="F455" s="29" t="str">
        <f t="shared" si="40"/>
        <v/>
      </c>
      <c r="G455" s="30" t="str">
        <f t="shared" si="41"/>
        <v/>
      </c>
    </row>
    <row r="456" spans="1:7" ht="15" customHeight="1" x14ac:dyDescent="0.25">
      <c r="A456" s="23" t="str">
        <f>IF(OR(437&gt;$C$10*$C$11,N(G455)&lt;=0.005),"",437)</f>
        <v/>
      </c>
      <c r="B456" s="24" t="str">
        <f t="shared" si="37"/>
        <v/>
      </c>
      <c r="C456" s="25" t="str">
        <f t="shared" si="36"/>
        <v/>
      </c>
      <c r="D456" s="25" t="str">
        <f t="shared" si="38"/>
        <v/>
      </c>
      <c r="E456" s="25" t="str">
        <f t="shared" si="39"/>
        <v/>
      </c>
      <c r="F456" s="25" t="str">
        <f t="shared" si="40"/>
        <v/>
      </c>
      <c r="G456" s="26" t="str">
        <f t="shared" si="41"/>
        <v/>
      </c>
    </row>
    <row r="457" spans="1:7" ht="15" customHeight="1" x14ac:dyDescent="0.25">
      <c r="A457" s="27" t="str">
        <f>IF(OR(438&gt;$C$10*$C$11,N(G456)&lt;=0.005),"",438)</f>
        <v/>
      </c>
      <c r="B457" s="28" t="str">
        <f t="shared" si="37"/>
        <v/>
      </c>
      <c r="C457" s="29" t="str">
        <f t="shared" si="36"/>
        <v/>
      </c>
      <c r="D457" s="29" t="str">
        <f t="shared" si="38"/>
        <v/>
      </c>
      <c r="E457" s="29" t="str">
        <f t="shared" si="39"/>
        <v/>
      </c>
      <c r="F457" s="29" t="str">
        <f t="shared" si="40"/>
        <v/>
      </c>
      <c r="G457" s="30" t="str">
        <f t="shared" si="41"/>
        <v/>
      </c>
    </row>
    <row r="458" spans="1:7" ht="15" customHeight="1" x14ac:dyDescent="0.25">
      <c r="A458" s="23" t="str">
        <f>IF(OR(439&gt;$C$10*$C$11,N(G457)&lt;=0.005),"",439)</f>
        <v/>
      </c>
      <c r="B458" s="24" t="str">
        <f t="shared" si="37"/>
        <v/>
      </c>
      <c r="C458" s="25" t="str">
        <f t="shared" si="36"/>
        <v/>
      </c>
      <c r="D458" s="25" t="str">
        <f t="shared" si="38"/>
        <v/>
      </c>
      <c r="E458" s="25" t="str">
        <f t="shared" si="39"/>
        <v/>
      </c>
      <c r="F458" s="25" t="str">
        <f t="shared" si="40"/>
        <v/>
      </c>
      <c r="G458" s="26" t="str">
        <f t="shared" si="41"/>
        <v/>
      </c>
    </row>
    <row r="459" spans="1:7" ht="15" customHeight="1" x14ac:dyDescent="0.25">
      <c r="A459" s="27" t="str">
        <f>IF(OR(440&gt;$C$10*$C$11,N(G458)&lt;=0.005),"",440)</f>
        <v/>
      </c>
      <c r="B459" s="28" t="str">
        <f t="shared" si="37"/>
        <v/>
      </c>
      <c r="C459" s="29" t="str">
        <f t="shared" si="36"/>
        <v/>
      </c>
      <c r="D459" s="29" t="str">
        <f t="shared" si="38"/>
        <v/>
      </c>
      <c r="E459" s="29" t="str">
        <f t="shared" si="39"/>
        <v/>
      </c>
      <c r="F459" s="29" t="str">
        <f t="shared" si="40"/>
        <v/>
      </c>
      <c r="G459" s="30" t="str">
        <f t="shared" si="41"/>
        <v/>
      </c>
    </row>
    <row r="460" spans="1:7" ht="15" customHeight="1" x14ac:dyDescent="0.25">
      <c r="A460" s="23" t="str">
        <f>IF(OR(441&gt;$C$10*$C$11,N(G459)&lt;=0.005),"",441)</f>
        <v/>
      </c>
      <c r="B460" s="24" t="str">
        <f t="shared" si="37"/>
        <v/>
      </c>
      <c r="C460" s="25" t="str">
        <f t="shared" si="36"/>
        <v/>
      </c>
      <c r="D460" s="25" t="str">
        <f t="shared" si="38"/>
        <v/>
      </c>
      <c r="E460" s="25" t="str">
        <f t="shared" si="39"/>
        <v/>
      </c>
      <c r="F460" s="25" t="str">
        <f t="shared" si="40"/>
        <v/>
      </c>
      <c r="G460" s="26" t="str">
        <f t="shared" si="41"/>
        <v/>
      </c>
    </row>
    <row r="461" spans="1:7" ht="15" customHeight="1" x14ac:dyDescent="0.25">
      <c r="A461" s="27" t="str">
        <f>IF(OR(442&gt;$C$10*$C$11,N(G460)&lt;=0.005),"",442)</f>
        <v/>
      </c>
      <c r="B461" s="28" t="str">
        <f t="shared" si="37"/>
        <v/>
      </c>
      <c r="C461" s="29" t="str">
        <f t="shared" si="36"/>
        <v/>
      </c>
      <c r="D461" s="29" t="str">
        <f t="shared" si="38"/>
        <v/>
      </c>
      <c r="E461" s="29" t="str">
        <f t="shared" si="39"/>
        <v/>
      </c>
      <c r="F461" s="29" t="str">
        <f t="shared" si="40"/>
        <v/>
      </c>
      <c r="G461" s="30" t="str">
        <f t="shared" si="41"/>
        <v/>
      </c>
    </row>
    <row r="462" spans="1:7" ht="15" customHeight="1" x14ac:dyDescent="0.25">
      <c r="A462" s="23" t="str">
        <f>IF(OR(443&gt;$C$10*$C$11,N(G461)&lt;=0.005),"",443)</f>
        <v/>
      </c>
      <c r="B462" s="24" t="str">
        <f t="shared" si="37"/>
        <v/>
      </c>
      <c r="C462" s="25" t="str">
        <f t="shared" si="36"/>
        <v/>
      </c>
      <c r="D462" s="25" t="str">
        <f t="shared" si="38"/>
        <v/>
      </c>
      <c r="E462" s="25" t="str">
        <f t="shared" si="39"/>
        <v/>
      </c>
      <c r="F462" s="25" t="str">
        <f t="shared" si="40"/>
        <v/>
      </c>
      <c r="G462" s="26" t="str">
        <f t="shared" si="41"/>
        <v/>
      </c>
    </row>
    <row r="463" spans="1:7" ht="15" customHeight="1" x14ac:dyDescent="0.25">
      <c r="A463" s="27" t="str">
        <f>IF(OR(444&gt;$C$10*$C$11,N(G462)&lt;=0.005),"",444)</f>
        <v/>
      </c>
      <c r="B463" s="28" t="str">
        <f t="shared" si="37"/>
        <v/>
      </c>
      <c r="C463" s="29" t="str">
        <f t="shared" si="36"/>
        <v/>
      </c>
      <c r="D463" s="29" t="str">
        <f t="shared" si="38"/>
        <v/>
      </c>
      <c r="E463" s="29" t="str">
        <f t="shared" si="39"/>
        <v/>
      </c>
      <c r="F463" s="29" t="str">
        <f t="shared" si="40"/>
        <v/>
      </c>
      <c r="G463" s="30" t="str">
        <f t="shared" si="41"/>
        <v/>
      </c>
    </row>
    <row r="464" spans="1:7" ht="15" customHeight="1" x14ac:dyDescent="0.25">
      <c r="A464" s="23" t="str">
        <f>IF(OR(445&gt;$C$10*$C$11,N(G463)&lt;=0.005),"",445)</f>
        <v/>
      </c>
      <c r="B464" s="24" t="str">
        <f t="shared" si="37"/>
        <v/>
      </c>
      <c r="C464" s="25" t="str">
        <f t="shared" si="36"/>
        <v/>
      </c>
      <c r="D464" s="25" t="str">
        <f t="shared" si="38"/>
        <v/>
      </c>
      <c r="E464" s="25" t="str">
        <f t="shared" si="39"/>
        <v/>
      </c>
      <c r="F464" s="25" t="str">
        <f t="shared" si="40"/>
        <v/>
      </c>
      <c r="G464" s="26" t="str">
        <f t="shared" si="41"/>
        <v/>
      </c>
    </row>
    <row r="465" spans="1:7" ht="15" customHeight="1" x14ac:dyDescent="0.25">
      <c r="A465" s="27" t="str">
        <f>IF(OR(446&gt;$C$10*$C$11,N(G464)&lt;=0.005),"",446)</f>
        <v/>
      </c>
      <c r="B465" s="28" t="str">
        <f t="shared" si="37"/>
        <v/>
      </c>
      <c r="C465" s="29" t="str">
        <f t="shared" si="36"/>
        <v/>
      </c>
      <c r="D465" s="29" t="str">
        <f t="shared" si="38"/>
        <v/>
      </c>
      <c r="E465" s="29" t="str">
        <f t="shared" si="39"/>
        <v/>
      </c>
      <c r="F465" s="29" t="str">
        <f t="shared" si="40"/>
        <v/>
      </c>
      <c r="G465" s="30" t="str">
        <f t="shared" si="41"/>
        <v/>
      </c>
    </row>
    <row r="466" spans="1:7" ht="15" customHeight="1" x14ac:dyDescent="0.25">
      <c r="A466" s="23" t="str">
        <f>IF(OR(447&gt;$C$10*$C$11,N(G465)&lt;=0.005),"",447)</f>
        <v/>
      </c>
      <c r="B466" s="24" t="str">
        <f t="shared" si="37"/>
        <v/>
      </c>
      <c r="C466" s="25" t="str">
        <f t="shared" si="36"/>
        <v/>
      </c>
      <c r="D466" s="25" t="str">
        <f t="shared" si="38"/>
        <v/>
      </c>
      <c r="E466" s="25" t="str">
        <f t="shared" si="39"/>
        <v/>
      </c>
      <c r="F466" s="25" t="str">
        <f t="shared" si="40"/>
        <v/>
      </c>
      <c r="G466" s="26" t="str">
        <f t="shared" si="41"/>
        <v/>
      </c>
    </row>
    <row r="467" spans="1:7" ht="15" customHeight="1" x14ac:dyDescent="0.25">
      <c r="A467" s="27" t="str">
        <f>IF(OR(448&gt;$C$10*$C$11,N(G466)&lt;=0.005),"",448)</f>
        <v/>
      </c>
      <c r="B467" s="28" t="str">
        <f t="shared" si="37"/>
        <v/>
      </c>
      <c r="C467" s="29" t="str">
        <f t="shared" si="36"/>
        <v/>
      </c>
      <c r="D467" s="29" t="str">
        <f t="shared" si="38"/>
        <v/>
      </c>
      <c r="E467" s="29" t="str">
        <f t="shared" si="39"/>
        <v/>
      </c>
      <c r="F467" s="29" t="str">
        <f t="shared" si="40"/>
        <v/>
      </c>
      <c r="G467" s="30" t="str">
        <f t="shared" si="41"/>
        <v/>
      </c>
    </row>
    <row r="468" spans="1:7" ht="15" customHeight="1" x14ac:dyDescent="0.25">
      <c r="A468" s="23" t="str">
        <f>IF(OR(449&gt;$C$10*$C$11,N(G467)&lt;=0.005),"",449)</f>
        <v/>
      </c>
      <c r="B468" s="24" t="str">
        <f t="shared" si="37"/>
        <v/>
      </c>
      <c r="C468" s="25" t="str">
        <f t="shared" ref="C468:C531" si="42">IF(A468="","",D468+E468+F468)</f>
        <v/>
      </c>
      <c r="D468" s="25" t="str">
        <f t="shared" si="38"/>
        <v/>
      </c>
      <c r="E468" s="25" t="str">
        <f t="shared" si="39"/>
        <v/>
      </c>
      <c r="F468" s="25" t="str">
        <f t="shared" si="40"/>
        <v/>
      </c>
      <c r="G468" s="26" t="str">
        <f t="shared" si="41"/>
        <v/>
      </c>
    </row>
    <row r="469" spans="1:7" ht="15" customHeight="1" x14ac:dyDescent="0.25">
      <c r="A469" s="27" t="str">
        <f>IF(OR(450&gt;$C$10*$C$11,N(G468)&lt;=0.005),"",450)</f>
        <v/>
      </c>
      <c r="B469" s="28" t="str">
        <f t="shared" ref="B469:B532" si="43">IF(A469="","",EDATE($C$12,(A469-1)*(12/$C$11)))</f>
        <v/>
      </c>
      <c r="C469" s="29" t="str">
        <f t="shared" si="42"/>
        <v/>
      </c>
      <c r="D469" s="29" t="str">
        <f t="shared" ref="D469:D499" si="44">IF(A469="","",N(G468)*$C$9/$C$11)</f>
        <v/>
      </c>
      <c r="E469" s="29" t="str">
        <f t="shared" ref="E469:E532" si="45">IF(A469="","",MIN($C$15-D469,N(G468)))</f>
        <v/>
      </c>
      <c r="F469" s="29" t="str">
        <f t="shared" ref="F469:F532" si="46">IF(A469="","",IF(AND($C$13&gt;0,MOD(A469,$C$11)=0),MIN($C$13,N(G468)-E469),0))</f>
        <v/>
      </c>
      <c r="G469" s="30" t="str">
        <f t="shared" ref="G469:G532" si="47">IF(A469="","",MAX(N(G468)-E469-F469,0))</f>
        <v/>
      </c>
    </row>
    <row r="470" spans="1:7" ht="15" customHeight="1" x14ac:dyDescent="0.25">
      <c r="A470" s="23" t="str">
        <f>IF(OR(451&gt;$C$10*$C$11,N(G469)&lt;=0.005),"",451)</f>
        <v/>
      </c>
      <c r="B470" s="24" t="str">
        <f t="shared" si="43"/>
        <v/>
      </c>
      <c r="C470" s="25" t="str">
        <f t="shared" si="42"/>
        <v/>
      </c>
      <c r="D470" s="25" t="str">
        <f t="shared" si="44"/>
        <v/>
      </c>
      <c r="E470" s="25" t="str">
        <f t="shared" si="45"/>
        <v/>
      </c>
      <c r="F470" s="25" t="str">
        <f t="shared" si="46"/>
        <v/>
      </c>
      <c r="G470" s="26" t="str">
        <f t="shared" si="47"/>
        <v/>
      </c>
    </row>
    <row r="471" spans="1:7" ht="15" customHeight="1" x14ac:dyDescent="0.25">
      <c r="A471" s="27" t="str">
        <f>IF(OR(452&gt;$C$10*$C$11,N(G470)&lt;=0.005),"",452)</f>
        <v/>
      </c>
      <c r="B471" s="28" t="str">
        <f t="shared" si="43"/>
        <v/>
      </c>
      <c r="C471" s="29" t="str">
        <f t="shared" si="42"/>
        <v/>
      </c>
      <c r="D471" s="29" t="str">
        <f t="shared" si="44"/>
        <v/>
      </c>
      <c r="E471" s="29" t="str">
        <f t="shared" si="45"/>
        <v/>
      </c>
      <c r="F471" s="29" t="str">
        <f t="shared" si="46"/>
        <v/>
      </c>
      <c r="G471" s="30" t="str">
        <f t="shared" si="47"/>
        <v/>
      </c>
    </row>
    <row r="472" spans="1:7" ht="15" customHeight="1" x14ac:dyDescent="0.25">
      <c r="A472" s="23" t="str">
        <f>IF(OR(453&gt;$C$10*$C$11,N(G471)&lt;=0.005),"",453)</f>
        <v/>
      </c>
      <c r="B472" s="24" t="str">
        <f t="shared" si="43"/>
        <v/>
      </c>
      <c r="C472" s="25" t="str">
        <f t="shared" si="42"/>
        <v/>
      </c>
      <c r="D472" s="25" t="str">
        <f t="shared" si="44"/>
        <v/>
      </c>
      <c r="E472" s="25" t="str">
        <f t="shared" si="45"/>
        <v/>
      </c>
      <c r="F472" s="25" t="str">
        <f t="shared" si="46"/>
        <v/>
      </c>
      <c r="G472" s="26" t="str">
        <f t="shared" si="47"/>
        <v/>
      </c>
    </row>
    <row r="473" spans="1:7" ht="15" customHeight="1" x14ac:dyDescent="0.25">
      <c r="A473" s="27" t="str">
        <f>IF(OR(454&gt;$C$10*$C$11,N(G472)&lt;=0.005),"",454)</f>
        <v/>
      </c>
      <c r="B473" s="28" t="str">
        <f t="shared" si="43"/>
        <v/>
      </c>
      <c r="C473" s="29" t="str">
        <f t="shared" si="42"/>
        <v/>
      </c>
      <c r="D473" s="29" t="str">
        <f t="shared" si="44"/>
        <v/>
      </c>
      <c r="E473" s="29" t="str">
        <f t="shared" si="45"/>
        <v/>
      </c>
      <c r="F473" s="29" t="str">
        <f t="shared" si="46"/>
        <v/>
      </c>
      <c r="G473" s="30" t="str">
        <f t="shared" si="47"/>
        <v/>
      </c>
    </row>
    <row r="474" spans="1:7" ht="15" customHeight="1" x14ac:dyDescent="0.25">
      <c r="A474" s="23" t="str">
        <f>IF(OR(455&gt;$C$10*$C$11,N(G473)&lt;=0.005),"",455)</f>
        <v/>
      </c>
      <c r="B474" s="24" t="str">
        <f t="shared" si="43"/>
        <v/>
      </c>
      <c r="C474" s="25" t="str">
        <f t="shared" si="42"/>
        <v/>
      </c>
      <c r="D474" s="25" t="str">
        <f t="shared" si="44"/>
        <v/>
      </c>
      <c r="E474" s="25" t="str">
        <f t="shared" si="45"/>
        <v/>
      </c>
      <c r="F474" s="25" t="str">
        <f t="shared" si="46"/>
        <v/>
      </c>
      <c r="G474" s="26" t="str">
        <f t="shared" si="47"/>
        <v/>
      </c>
    </row>
    <row r="475" spans="1:7" ht="15" customHeight="1" x14ac:dyDescent="0.25">
      <c r="A475" s="27" t="str">
        <f>IF(OR(456&gt;$C$10*$C$11,N(G474)&lt;=0.005),"",456)</f>
        <v/>
      </c>
      <c r="B475" s="28" t="str">
        <f t="shared" si="43"/>
        <v/>
      </c>
      <c r="C475" s="29" t="str">
        <f t="shared" si="42"/>
        <v/>
      </c>
      <c r="D475" s="29" t="str">
        <f t="shared" si="44"/>
        <v/>
      </c>
      <c r="E475" s="29" t="str">
        <f t="shared" si="45"/>
        <v/>
      </c>
      <c r="F475" s="29" t="str">
        <f t="shared" si="46"/>
        <v/>
      </c>
      <c r="G475" s="30" t="str">
        <f t="shared" si="47"/>
        <v/>
      </c>
    </row>
    <row r="476" spans="1:7" ht="15" customHeight="1" x14ac:dyDescent="0.25">
      <c r="A476" s="23" t="str">
        <f>IF(OR(457&gt;$C$10*$C$11,N(G475)&lt;=0.005),"",457)</f>
        <v/>
      </c>
      <c r="B476" s="24" t="str">
        <f t="shared" si="43"/>
        <v/>
      </c>
      <c r="C476" s="25" t="str">
        <f t="shared" si="42"/>
        <v/>
      </c>
      <c r="D476" s="25" t="str">
        <f t="shared" si="44"/>
        <v/>
      </c>
      <c r="E476" s="25" t="str">
        <f t="shared" si="45"/>
        <v/>
      </c>
      <c r="F476" s="25" t="str">
        <f t="shared" si="46"/>
        <v/>
      </c>
      <c r="G476" s="26" t="str">
        <f t="shared" si="47"/>
        <v/>
      </c>
    </row>
    <row r="477" spans="1:7" ht="15" customHeight="1" x14ac:dyDescent="0.25">
      <c r="A477" s="27" t="str">
        <f>IF(OR(458&gt;$C$10*$C$11,N(G476)&lt;=0.005),"",458)</f>
        <v/>
      </c>
      <c r="B477" s="28" t="str">
        <f t="shared" si="43"/>
        <v/>
      </c>
      <c r="C477" s="29" t="str">
        <f t="shared" si="42"/>
        <v/>
      </c>
      <c r="D477" s="29" t="str">
        <f t="shared" si="44"/>
        <v/>
      </c>
      <c r="E477" s="29" t="str">
        <f t="shared" si="45"/>
        <v/>
      </c>
      <c r="F477" s="29" t="str">
        <f t="shared" si="46"/>
        <v/>
      </c>
      <c r="G477" s="30" t="str">
        <f t="shared" si="47"/>
        <v/>
      </c>
    </row>
    <row r="478" spans="1:7" ht="15" customHeight="1" x14ac:dyDescent="0.25">
      <c r="A478" s="23" t="str">
        <f>IF(OR(459&gt;$C$10*$C$11,N(G477)&lt;=0.005),"",459)</f>
        <v/>
      </c>
      <c r="B478" s="24" t="str">
        <f t="shared" si="43"/>
        <v/>
      </c>
      <c r="C478" s="25" t="str">
        <f t="shared" si="42"/>
        <v/>
      </c>
      <c r="D478" s="25" t="str">
        <f t="shared" si="44"/>
        <v/>
      </c>
      <c r="E478" s="25" t="str">
        <f t="shared" si="45"/>
        <v/>
      </c>
      <c r="F478" s="25" t="str">
        <f t="shared" si="46"/>
        <v/>
      </c>
      <c r="G478" s="26" t="str">
        <f t="shared" si="47"/>
        <v/>
      </c>
    </row>
    <row r="479" spans="1:7" ht="15" customHeight="1" x14ac:dyDescent="0.25">
      <c r="A479" s="27" t="str">
        <f>IF(OR(460&gt;$C$10*$C$11,N(G478)&lt;=0.005),"",460)</f>
        <v/>
      </c>
      <c r="B479" s="28" t="str">
        <f t="shared" si="43"/>
        <v/>
      </c>
      <c r="C479" s="29" t="str">
        <f t="shared" si="42"/>
        <v/>
      </c>
      <c r="D479" s="29" t="str">
        <f t="shared" si="44"/>
        <v/>
      </c>
      <c r="E479" s="29" t="str">
        <f t="shared" si="45"/>
        <v/>
      </c>
      <c r="F479" s="29" t="str">
        <f t="shared" si="46"/>
        <v/>
      </c>
      <c r="G479" s="30" t="str">
        <f t="shared" si="47"/>
        <v/>
      </c>
    </row>
    <row r="480" spans="1:7" ht="15" customHeight="1" x14ac:dyDescent="0.25">
      <c r="A480" s="23" t="str">
        <f>IF(OR(461&gt;$C$10*$C$11,N(G479)&lt;=0.005),"",461)</f>
        <v/>
      </c>
      <c r="B480" s="24" t="str">
        <f t="shared" si="43"/>
        <v/>
      </c>
      <c r="C480" s="25" t="str">
        <f t="shared" si="42"/>
        <v/>
      </c>
      <c r="D480" s="25" t="str">
        <f t="shared" si="44"/>
        <v/>
      </c>
      <c r="E480" s="25" t="str">
        <f t="shared" si="45"/>
        <v/>
      </c>
      <c r="F480" s="25" t="str">
        <f t="shared" si="46"/>
        <v/>
      </c>
      <c r="G480" s="26" t="str">
        <f t="shared" si="47"/>
        <v/>
      </c>
    </row>
    <row r="481" spans="1:7" ht="15" customHeight="1" x14ac:dyDescent="0.25">
      <c r="A481" s="27" t="str">
        <f>IF(OR(462&gt;$C$10*$C$11,N(G480)&lt;=0.005),"",462)</f>
        <v/>
      </c>
      <c r="B481" s="28" t="str">
        <f t="shared" si="43"/>
        <v/>
      </c>
      <c r="C481" s="29" t="str">
        <f t="shared" si="42"/>
        <v/>
      </c>
      <c r="D481" s="29" t="str">
        <f t="shared" si="44"/>
        <v/>
      </c>
      <c r="E481" s="29" t="str">
        <f t="shared" si="45"/>
        <v/>
      </c>
      <c r="F481" s="29" t="str">
        <f t="shared" si="46"/>
        <v/>
      </c>
      <c r="G481" s="30" t="str">
        <f t="shared" si="47"/>
        <v/>
      </c>
    </row>
    <row r="482" spans="1:7" ht="15" customHeight="1" x14ac:dyDescent="0.25">
      <c r="A482" s="23" t="str">
        <f>IF(OR(463&gt;$C$10*$C$11,N(G481)&lt;=0.005),"",463)</f>
        <v/>
      </c>
      <c r="B482" s="24" t="str">
        <f t="shared" si="43"/>
        <v/>
      </c>
      <c r="C482" s="25" t="str">
        <f t="shared" si="42"/>
        <v/>
      </c>
      <c r="D482" s="25" t="str">
        <f t="shared" si="44"/>
        <v/>
      </c>
      <c r="E482" s="25" t="str">
        <f t="shared" si="45"/>
        <v/>
      </c>
      <c r="F482" s="25" t="str">
        <f t="shared" si="46"/>
        <v/>
      </c>
      <c r="G482" s="26" t="str">
        <f t="shared" si="47"/>
        <v/>
      </c>
    </row>
    <row r="483" spans="1:7" ht="15" customHeight="1" x14ac:dyDescent="0.25">
      <c r="A483" s="27" t="str">
        <f>IF(OR(464&gt;$C$10*$C$11,N(G482)&lt;=0.005),"",464)</f>
        <v/>
      </c>
      <c r="B483" s="28" t="str">
        <f t="shared" si="43"/>
        <v/>
      </c>
      <c r="C483" s="29" t="str">
        <f t="shared" si="42"/>
        <v/>
      </c>
      <c r="D483" s="29" t="str">
        <f t="shared" si="44"/>
        <v/>
      </c>
      <c r="E483" s="29" t="str">
        <f t="shared" si="45"/>
        <v/>
      </c>
      <c r="F483" s="29" t="str">
        <f t="shared" si="46"/>
        <v/>
      </c>
      <c r="G483" s="30" t="str">
        <f t="shared" si="47"/>
        <v/>
      </c>
    </row>
    <row r="484" spans="1:7" ht="15" customHeight="1" x14ac:dyDescent="0.25">
      <c r="A484" s="23" t="str">
        <f>IF(OR(465&gt;$C$10*$C$11,N(G483)&lt;=0.005),"",465)</f>
        <v/>
      </c>
      <c r="B484" s="24" t="str">
        <f t="shared" si="43"/>
        <v/>
      </c>
      <c r="C484" s="25" t="str">
        <f t="shared" si="42"/>
        <v/>
      </c>
      <c r="D484" s="25" t="str">
        <f t="shared" si="44"/>
        <v/>
      </c>
      <c r="E484" s="25" t="str">
        <f t="shared" si="45"/>
        <v/>
      </c>
      <c r="F484" s="25" t="str">
        <f t="shared" si="46"/>
        <v/>
      </c>
      <c r="G484" s="26" t="str">
        <f t="shared" si="47"/>
        <v/>
      </c>
    </row>
    <row r="485" spans="1:7" ht="15" customHeight="1" x14ac:dyDescent="0.25">
      <c r="A485" s="27" t="str">
        <f>IF(OR(466&gt;$C$10*$C$11,N(G484)&lt;=0.005),"",466)</f>
        <v/>
      </c>
      <c r="B485" s="28" t="str">
        <f t="shared" si="43"/>
        <v/>
      </c>
      <c r="C485" s="29" t="str">
        <f t="shared" si="42"/>
        <v/>
      </c>
      <c r="D485" s="29" t="str">
        <f t="shared" si="44"/>
        <v/>
      </c>
      <c r="E485" s="29" t="str">
        <f t="shared" si="45"/>
        <v/>
      </c>
      <c r="F485" s="29" t="str">
        <f t="shared" si="46"/>
        <v/>
      </c>
      <c r="G485" s="30" t="str">
        <f t="shared" si="47"/>
        <v/>
      </c>
    </row>
    <row r="486" spans="1:7" ht="15" customHeight="1" x14ac:dyDescent="0.25">
      <c r="A486" s="23" t="str">
        <f>IF(OR(467&gt;$C$10*$C$11,N(G485)&lt;=0.005),"",467)</f>
        <v/>
      </c>
      <c r="B486" s="24" t="str">
        <f t="shared" si="43"/>
        <v/>
      </c>
      <c r="C486" s="25" t="str">
        <f t="shared" si="42"/>
        <v/>
      </c>
      <c r="D486" s="25" t="str">
        <f t="shared" si="44"/>
        <v/>
      </c>
      <c r="E486" s="25" t="str">
        <f t="shared" si="45"/>
        <v/>
      </c>
      <c r="F486" s="25" t="str">
        <f t="shared" si="46"/>
        <v/>
      </c>
      <c r="G486" s="26" t="str">
        <f t="shared" si="47"/>
        <v/>
      </c>
    </row>
    <row r="487" spans="1:7" ht="15" customHeight="1" x14ac:dyDescent="0.25">
      <c r="A487" s="27" t="str">
        <f>IF(OR(468&gt;$C$10*$C$11,N(G486)&lt;=0.005),"",468)</f>
        <v/>
      </c>
      <c r="B487" s="28" t="str">
        <f t="shared" si="43"/>
        <v/>
      </c>
      <c r="C487" s="29" t="str">
        <f t="shared" si="42"/>
        <v/>
      </c>
      <c r="D487" s="29" t="str">
        <f t="shared" si="44"/>
        <v/>
      </c>
      <c r="E487" s="29" t="str">
        <f t="shared" si="45"/>
        <v/>
      </c>
      <c r="F487" s="29" t="str">
        <f t="shared" si="46"/>
        <v/>
      </c>
      <c r="G487" s="30" t="str">
        <f t="shared" si="47"/>
        <v/>
      </c>
    </row>
    <row r="488" spans="1:7" ht="15" customHeight="1" x14ac:dyDescent="0.25">
      <c r="A488" s="23" t="str">
        <f>IF(OR(469&gt;$C$10*$C$11,N(G487)&lt;=0.005),"",469)</f>
        <v/>
      </c>
      <c r="B488" s="24" t="str">
        <f t="shared" si="43"/>
        <v/>
      </c>
      <c r="C488" s="25" t="str">
        <f t="shared" si="42"/>
        <v/>
      </c>
      <c r="D488" s="25" t="str">
        <f t="shared" si="44"/>
        <v/>
      </c>
      <c r="E488" s="25" t="str">
        <f t="shared" si="45"/>
        <v/>
      </c>
      <c r="F488" s="25" t="str">
        <f t="shared" si="46"/>
        <v/>
      </c>
      <c r="G488" s="26" t="str">
        <f t="shared" si="47"/>
        <v/>
      </c>
    </row>
    <row r="489" spans="1:7" ht="15" customHeight="1" x14ac:dyDescent="0.25">
      <c r="A489" s="27" t="str">
        <f>IF(OR(470&gt;$C$10*$C$11,N(G488)&lt;=0.005),"",470)</f>
        <v/>
      </c>
      <c r="B489" s="28" t="str">
        <f t="shared" si="43"/>
        <v/>
      </c>
      <c r="C489" s="29" t="str">
        <f t="shared" si="42"/>
        <v/>
      </c>
      <c r="D489" s="29" t="str">
        <f t="shared" si="44"/>
        <v/>
      </c>
      <c r="E489" s="29" t="str">
        <f t="shared" si="45"/>
        <v/>
      </c>
      <c r="F489" s="29" t="str">
        <f t="shared" si="46"/>
        <v/>
      </c>
      <c r="G489" s="30" t="str">
        <f t="shared" si="47"/>
        <v/>
      </c>
    </row>
    <row r="490" spans="1:7" ht="15" customHeight="1" x14ac:dyDescent="0.25">
      <c r="A490" s="23" t="str">
        <f>IF(OR(471&gt;$C$10*$C$11,N(G489)&lt;=0.005),"",471)</f>
        <v/>
      </c>
      <c r="B490" s="24" t="str">
        <f t="shared" si="43"/>
        <v/>
      </c>
      <c r="C490" s="25" t="str">
        <f t="shared" si="42"/>
        <v/>
      </c>
      <c r="D490" s="25" t="str">
        <f t="shared" si="44"/>
        <v/>
      </c>
      <c r="E490" s="25" t="str">
        <f t="shared" si="45"/>
        <v/>
      </c>
      <c r="F490" s="25" t="str">
        <f t="shared" si="46"/>
        <v/>
      </c>
      <c r="G490" s="26" t="str">
        <f t="shared" si="47"/>
        <v/>
      </c>
    </row>
    <row r="491" spans="1:7" ht="15" customHeight="1" x14ac:dyDescent="0.25">
      <c r="A491" s="27" t="str">
        <f>IF(OR(472&gt;$C$10*$C$11,N(G490)&lt;=0.005),"",472)</f>
        <v/>
      </c>
      <c r="B491" s="28" t="str">
        <f t="shared" si="43"/>
        <v/>
      </c>
      <c r="C491" s="29" t="str">
        <f t="shared" si="42"/>
        <v/>
      </c>
      <c r="D491" s="29" t="str">
        <f t="shared" si="44"/>
        <v/>
      </c>
      <c r="E491" s="29" t="str">
        <f t="shared" si="45"/>
        <v/>
      </c>
      <c r="F491" s="29" t="str">
        <f t="shared" si="46"/>
        <v/>
      </c>
      <c r="G491" s="30" t="str">
        <f t="shared" si="47"/>
        <v/>
      </c>
    </row>
    <row r="492" spans="1:7" ht="15" customHeight="1" x14ac:dyDescent="0.25">
      <c r="A492" s="23" t="str">
        <f>IF(OR(473&gt;$C$10*$C$11,N(G491)&lt;=0.005),"",473)</f>
        <v/>
      </c>
      <c r="B492" s="24" t="str">
        <f t="shared" si="43"/>
        <v/>
      </c>
      <c r="C492" s="25" t="str">
        <f t="shared" si="42"/>
        <v/>
      </c>
      <c r="D492" s="25" t="str">
        <f t="shared" si="44"/>
        <v/>
      </c>
      <c r="E492" s="25" t="str">
        <f t="shared" si="45"/>
        <v/>
      </c>
      <c r="F492" s="25" t="str">
        <f t="shared" si="46"/>
        <v/>
      </c>
      <c r="G492" s="26" t="str">
        <f t="shared" si="47"/>
        <v/>
      </c>
    </row>
    <row r="493" spans="1:7" ht="15" customHeight="1" x14ac:dyDescent="0.25">
      <c r="A493" s="27" t="str">
        <f>IF(OR(474&gt;$C$10*$C$11,N(G492)&lt;=0.005),"",474)</f>
        <v/>
      </c>
      <c r="B493" s="28" t="str">
        <f t="shared" si="43"/>
        <v/>
      </c>
      <c r="C493" s="29" t="str">
        <f t="shared" si="42"/>
        <v/>
      </c>
      <c r="D493" s="29" t="str">
        <f t="shared" si="44"/>
        <v/>
      </c>
      <c r="E493" s="29" t="str">
        <f t="shared" si="45"/>
        <v/>
      </c>
      <c r="F493" s="29" t="str">
        <f t="shared" si="46"/>
        <v/>
      </c>
      <c r="G493" s="30" t="str">
        <f t="shared" si="47"/>
        <v/>
      </c>
    </row>
    <row r="494" spans="1:7" ht="15" customHeight="1" x14ac:dyDescent="0.25">
      <c r="A494" s="23" t="str">
        <f>IF(OR(475&gt;$C$10*$C$11,N(G493)&lt;=0.005),"",475)</f>
        <v/>
      </c>
      <c r="B494" s="24" t="str">
        <f t="shared" si="43"/>
        <v/>
      </c>
      <c r="C494" s="25" t="str">
        <f t="shared" si="42"/>
        <v/>
      </c>
      <c r="D494" s="25" t="str">
        <f t="shared" si="44"/>
        <v/>
      </c>
      <c r="E494" s="25" t="str">
        <f t="shared" si="45"/>
        <v/>
      </c>
      <c r="F494" s="25" t="str">
        <f t="shared" si="46"/>
        <v/>
      </c>
      <c r="G494" s="26" t="str">
        <f t="shared" si="47"/>
        <v/>
      </c>
    </row>
    <row r="495" spans="1:7" ht="15" customHeight="1" x14ac:dyDescent="0.25">
      <c r="A495" s="27" t="str">
        <f>IF(OR(476&gt;$C$10*$C$11,N(G494)&lt;=0.005),"",476)</f>
        <v/>
      </c>
      <c r="B495" s="28" t="str">
        <f t="shared" si="43"/>
        <v/>
      </c>
      <c r="C495" s="29" t="str">
        <f t="shared" si="42"/>
        <v/>
      </c>
      <c r="D495" s="29" t="str">
        <f t="shared" si="44"/>
        <v/>
      </c>
      <c r="E495" s="29" t="str">
        <f t="shared" si="45"/>
        <v/>
      </c>
      <c r="F495" s="29" t="str">
        <f t="shared" si="46"/>
        <v/>
      </c>
      <c r="G495" s="30" t="str">
        <f t="shared" si="47"/>
        <v/>
      </c>
    </row>
    <row r="496" spans="1:7" ht="15" customHeight="1" x14ac:dyDescent="0.25">
      <c r="A496" s="23" t="str">
        <f>IF(OR(477&gt;$C$10*$C$11,N(G495)&lt;=0.005),"",477)</f>
        <v/>
      </c>
      <c r="B496" s="24" t="str">
        <f t="shared" si="43"/>
        <v/>
      </c>
      <c r="C496" s="25" t="str">
        <f t="shared" si="42"/>
        <v/>
      </c>
      <c r="D496" s="25" t="str">
        <f t="shared" si="44"/>
        <v/>
      </c>
      <c r="E496" s="25" t="str">
        <f t="shared" si="45"/>
        <v/>
      </c>
      <c r="F496" s="25" t="str">
        <f t="shared" si="46"/>
        <v/>
      </c>
      <c r="G496" s="26" t="str">
        <f t="shared" si="47"/>
        <v/>
      </c>
    </row>
    <row r="497" spans="1:7" ht="15" customHeight="1" x14ac:dyDescent="0.25">
      <c r="A497" s="27" t="str">
        <f>IF(OR(478&gt;$C$10*$C$11,N(G496)&lt;=0.005),"",478)</f>
        <v/>
      </c>
      <c r="B497" s="28" t="str">
        <f t="shared" si="43"/>
        <v/>
      </c>
      <c r="C497" s="29" t="str">
        <f t="shared" si="42"/>
        <v/>
      </c>
      <c r="D497" s="29" t="str">
        <f t="shared" si="44"/>
        <v/>
      </c>
      <c r="E497" s="29" t="str">
        <f t="shared" si="45"/>
        <v/>
      </c>
      <c r="F497" s="29" t="str">
        <f t="shared" si="46"/>
        <v/>
      </c>
      <c r="G497" s="30" t="str">
        <f t="shared" si="47"/>
        <v/>
      </c>
    </row>
    <row r="498" spans="1:7" ht="15" customHeight="1" x14ac:dyDescent="0.25">
      <c r="A498" s="23" t="str">
        <f>IF(OR(479&gt;$C$10*$C$11,N(G497)&lt;=0.005),"",479)</f>
        <v/>
      </c>
      <c r="B498" s="24" t="str">
        <f t="shared" si="43"/>
        <v/>
      </c>
      <c r="C498" s="25" t="str">
        <f t="shared" si="42"/>
        <v/>
      </c>
      <c r="D498" s="25" t="str">
        <f t="shared" si="44"/>
        <v/>
      </c>
      <c r="E498" s="25" t="str">
        <f t="shared" si="45"/>
        <v/>
      </c>
      <c r="F498" s="25" t="str">
        <f t="shared" si="46"/>
        <v/>
      </c>
      <c r="G498" s="26" t="str">
        <f t="shared" si="47"/>
        <v/>
      </c>
    </row>
    <row r="499" spans="1:7" ht="15" customHeight="1" x14ac:dyDescent="0.25">
      <c r="A499" s="31" t="str">
        <f>IF(OR(480&gt;$C$10*$C$11,N(G498)&lt;=0.005),"",480)</f>
        <v/>
      </c>
      <c r="B499" s="32" t="str">
        <f t="shared" si="43"/>
        <v/>
      </c>
      <c r="C499" s="33" t="str">
        <f t="shared" si="42"/>
        <v/>
      </c>
      <c r="D499" s="33" t="str">
        <f t="shared" si="44"/>
        <v/>
      </c>
      <c r="E499" s="33" t="str">
        <f t="shared" si="45"/>
        <v/>
      </c>
      <c r="F499" s="33" t="str">
        <f t="shared" si="46"/>
        <v/>
      </c>
      <c r="G499" s="34" t="str">
        <f t="shared" si="47"/>
        <v/>
      </c>
    </row>
    <row r="501" spans="1:7" ht="30" customHeight="1" x14ac:dyDescent="0.25">
      <c r="A501" s="1" t="s">
        <v>25</v>
      </c>
      <c r="B501" s="1"/>
      <c r="C501" s="1"/>
      <c r="D501" s="1"/>
      <c r="E501" s="1"/>
      <c r="F501" s="1"/>
      <c r="G501" s="1"/>
    </row>
  </sheetData>
  <mergeCells count="27">
    <mergeCell ref="H1:S1"/>
    <mergeCell ref="I5:S5"/>
    <mergeCell ref="J4:S4"/>
    <mergeCell ref="A15:B15"/>
    <mergeCell ref="D15:G15"/>
    <mergeCell ref="A17:G17"/>
    <mergeCell ref="A501:G501"/>
    <mergeCell ref="H2:S3"/>
    <mergeCell ref="A12:B12"/>
    <mergeCell ref="D12:E12"/>
    <mergeCell ref="F12:G12"/>
    <mergeCell ref="A13:B13"/>
    <mergeCell ref="D13:E14"/>
    <mergeCell ref="F13:G14"/>
    <mergeCell ref="A14:C14"/>
    <mergeCell ref="A9:B9"/>
    <mergeCell ref="D9:E10"/>
    <mergeCell ref="F9:G10"/>
    <mergeCell ref="A10:B10"/>
    <mergeCell ref="A11:B11"/>
    <mergeCell ref="A2:G3"/>
    <mergeCell ref="A5:G5"/>
    <mergeCell ref="A7:C7"/>
    <mergeCell ref="D7:G7"/>
    <mergeCell ref="A8:B8"/>
    <mergeCell ref="D8:E8"/>
    <mergeCell ref="F8:G8"/>
  </mergeCells>
  <dataValidations count="3">
    <dataValidation type="list" sqref="C11" xr:uid="{00000000-0002-0000-0000-000000000000}">
      <formula1>"12,4,2,1"</formula1>
      <formula2>0</formula2>
    </dataValidation>
    <dataValidation type="decimal" operator="greaterThanOrEqual" sqref="C8 C13" xr:uid="{00000000-0002-0000-0000-000001000000}">
      <formula1>0</formula1>
      <formula2>0</formula2>
    </dataValidation>
    <dataValidation type="decimal" sqref="C9" xr:uid="{00000000-0002-0000-0000-000002000000}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Kreditrechner</vt:lpstr>
      <vt:lpstr>Kreditrechner!Druckbereich</vt:lpstr>
      <vt:lpstr>Kreditrechner!Drucktitel</vt:lpstr>
      <vt:lpstr>Zahlung</vt:lpstr>
      <vt:lpstr>Zins_Sp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2026-08-13T10:07:44Z</dcterms:created>
  <dcterms:modified xsi:type="dcterms:W3CDTF">2026-08-13T10:28:49Z</dcterms:modified>
  <dc:language>en-US</dc:language>
</cp:coreProperties>
</file>