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F1081171-C45C-4624-8122-DD00BB21120A}" xr6:coauthVersionLast="47" xr6:coauthVersionMax="47" xr10:uidLastSave="{00000000-0000-0000-0000-000000000000}"/>
  <bookViews>
    <workbookView xWindow="1035" yWindow="1035" windowWidth="25500" windowHeight="13500" tabRatio="500" activeTab="1" xr2:uid="{00000000-000D-0000-FFFF-FFFF00000000}"/>
  </bookViews>
  <sheets>
    <sheet name="Einstellungen" sheetId="1" r:id="rId1"/>
    <sheet name="Kilometerabrechnung" sheetId="2" r:id="rId2"/>
    <sheet name="Auswertung" sheetId="3" r:id="rId3"/>
  </sheets>
  <definedNames>
    <definedName name="_xlnm.Print_Area" localSheetId="1">Kilometerabrechnung!$A$1:$O$39</definedName>
    <definedName name="_xlnm.Print_Titles" localSheetId="1">Kilometerabrechnung!$12:$12</definedName>
    <definedName name="Fahrtart_Liste">Einstellungen!$I$18:$I$21</definedName>
    <definedName name="Fahrzeug_Kennzeichen">Einstellungen!$B$18:$B$23</definedName>
    <definedName name="Fahrzeug_Tabelle">Einstellungen!$B$18:$E$23</definedName>
    <definedName name="L_Beginn">Kilometerabrechnung!$H$13:$H$38</definedName>
    <definedName name="L_Betrag">Kilometerabrechnung!$M$13:$M$38</definedName>
    <definedName name="L_Datum">Kilometerabrechnung!$B$13:$B$38</definedName>
    <definedName name="L_Ende">Kilometerabrechnung!$I$13:$I$38</definedName>
    <definedName name="L_Fahrtart">Kilometerabrechnung!$F$13:$F$38</definedName>
    <definedName name="L_Fahrzeug">Kilometerabrechnung!$G$13:$G$38</definedName>
    <definedName name="L_Satz">Kilometerabrechnung!$L$13:$L$38</definedName>
    <definedName name="L_Status">Kilometerabrechnung!$N$13:$N$38</definedName>
    <definedName name="L_Strecke">Kilometerabrechnung!$K$13:$K$38</definedName>
    <definedName name="Satz_Arbeitsweg">Einstellungen!$G$9</definedName>
    <definedName name="Satz_Motorrad">Einstellungen!$G$8</definedName>
    <definedName name="Satz_Privat">Einstellungen!$G$10</definedName>
    <definedName name="Satz_Standard">Einstellungen!$G$7</definedName>
    <definedName name="Status_Liste">Einstellungen!$J$18:$J$20</definedName>
    <definedName name="Wirtschaftsjahr">Einstellungen!$C$13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9" i="3" l="1"/>
  <c r="E29" i="3" s="1"/>
  <c r="D28" i="3"/>
  <c r="E28" i="3" s="1"/>
  <c r="D27" i="3"/>
  <c r="E27" i="3" s="1"/>
  <c r="I24" i="3"/>
  <c r="H24" i="3"/>
  <c r="G24" i="3"/>
  <c r="K24" i="3" s="1"/>
  <c r="G23" i="3"/>
  <c r="K23" i="3" s="1"/>
  <c r="Q22" i="3"/>
  <c r="P22" i="3"/>
  <c r="J22" i="3"/>
  <c r="I22" i="3"/>
  <c r="K22" i="3" s="1"/>
  <c r="H22" i="3"/>
  <c r="G22" i="3"/>
  <c r="E22" i="3"/>
  <c r="D22" i="3"/>
  <c r="C22" i="3"/>
  <c r="Q21" i="3"/>
  <c r="P21" i="3"/>
  <c r="C21" i="3" s="1"/>
  <c r="G21" i="3"/>
  <c r="E21" i="3"/>
  <c r="D21" i="3"/>
  <c r="Q20" i="3"/>
  <c r="P20" i="3"/>
  <c r="H20" i="3"/>
  <c r="G20" i="3"/>
  <c r="E20" i="3"/>
  <c r="D20" i="3"/>
  <c r="C20" i="3"/>
  <c r="Q19" i="3"/>
  <c r="P19" i="3"/>
  <c r="C19" i="3" s="1"/>
  <c r="G19" i="3"/>
  <c r="E19" i="3"/>
  <c r="D19" i="3"/>
  <c r="Q18" i="3"/>
  <c r="P18" i="3"/>
  <c r="E18" i="3"/>
  <c r="D18" i="3"/>
  <c r="C18" i="3"/>
  <c r="Q17" i="3"/>
  <c r="P17" i="3"/>
  <c r="E17" i="3"/>
  <c r="D17" i="3"/>
  <c r="C17" i="3"/>
  <c r="Q16" i="3"/>
  <c r="P16" i="3"/>
  <c r="E16" i="3" s="1"/>
  <c r="C16" i="3"/>
  <c r="Q15" i="3"/>
  <c r="P15" i="3"/>
  <c r="D15" i="3" s="1"/>
  <c r="C15" i="3"/>
  <c r="Q14" i="3"/>
  <c r="P14" i="3"/>
  <c r="E14" i="3" s="1"/>
  <c r="J14" i="3"/>
  <c r="I14" i="3"/>
  <c r="K14" i="3" s="1"/>
  <c r="H14" i="3"/>
  <c r="G14" i="3"/>
  <c r="Q13" i="3"/>
  <c r="P13" i="3"/>
  <c r="E13" i="3" s="1"/>
  <c r="I13" i="3"/>
  <c r="K13" i="3" s="1"/>
  <c r="G13" i="3"/>
  <c r="H13" i="3" s="1"/>
  <c r="C13" i="3"/>
  <c r="Q12" i="3"/>
  <c r="P12" i="3"/>
  <c r="I12" i="3"/>
  <c r="K12" i="3" s="1"/>
  <c r="H12" i="3"/>
  <c r="G12" i="3"/>
  <c r="Q11" i="3"/>
  <c r="P11" i="3"/>
  <c r="I11" i="3"/>
  <c r="G11" i="3"/>
  <c r="H11" i="3" s="1"/>
  <c r="C11" i="3"/>
  <c r="B6" i="3"/>
  <c r="B3" i="3"/>
  <c r="M38" i="2"/>
  <c r="L38" i="2"/>
  <c r="K38" i="2"/>
  <c r="A38" i="2"/>
  <c r="M37" i="2"/>
  <c r="L37" i="2"/>
  <c r="K37" i="2"/>
  <c r="A37" i="2"/>
  <c r="M36" i="2"/>
  <c r="L36" i="2"/>
  <c r="K36" i="2"/>
  <c r="A36" i="2"/>
  <c r="M35" i="2"/>
  <c r="L35" i="2"/>
  <c r="K35" i="2"/>
  <c r="A35" i="2"/>
  <c r="L34" i="2"/>
  <c r="K34" i="2"/>
  <c r="M34" i="2" s="1"/>
  <c r="A34" i="2"/>
  <c r="M33" i="2"/>
  <c r="L33" i="2"/>
  <c r="K33" i="2"/>
  <c r="A33" i="2"/>
  <c r="L32" i="2"/>
  <c r="K32" i="2"/>
  <c r="M32" i="2" s="1"/>
  <c r="A32" i="2"/>
  <c r="L31" i="2"/>
  <c r="K31" i="2"/>
  <c r="M31" i="2" s="1"/>
  <c r="A31" i="2"/>
  <c r="L30" i="2"/>
  <c r="M30" i="2" s="1"/>
  <c r="K30" i="2"/>
  <c r="A30" i="2"/>
  <c r="L29" i="2"/>
  <c r="K29" i="2"/>
  <c r="M29" i="2" s="1"/>
  <c r="A29" i="2"/>
  <c r="M28" i="2"/>
  <c r="L28" i="2"/>
  <c r="K28" i="2"/>
  <c r="A28" i="2"/>
  <c r="L27" i="2"/>
  <c r="K27" i="2"/>
  <c r="M27" i="2" s="1"/>
  <c r="A27" i="2"/>
  <c r="L26" i="2"/>
  <c r="K26" i="2"/>
  <c r="M26" i="2" s="1"/>
  <c r="A26" i="2"/>
  <c r="L25" i="2"/>
  <c r="M25" i="2" s="1"/>
  <c r="K25" i="2"/>
  <c r="A25" i="2"/>
  <c r="L24" i="2"/>
  <c r="K24" i="2"/>
  <c r="M24" i="2" s="1"/>
  <c r="A24" i="2"/>
  <c r="M23" i="2"/>
  <c r="L23" i="2"/>
  <c r="K23" i="2"/>
  <c r="A23" i="2"/>
  <c r="L22" i="2"/>
  <c r="K22" i="2"/>
  <c r="M22" i="2" s="1"/>
  <c r="A22" i="2"/>
  <c r="L21" i="2"/>
  <c r="K21" i="2"/>
  <c r="M21" i="2" s="1"/>
  <c r="J13" i="3" s="1"/>
  <c r="A21" i="2"/>
  <c r="L20" i="2"/>
  <c r="M20" i="2" s="1"/>
  <c r="K20" i="2"/>
  <c r="A20" i="2"/>
  <c r="L19" i="2"/>
  <c r="K19" i="2"/>
  <c r="I20" i="3" s="1"/>
  <c r="K20" i="3" s="1"/>
  <c r="A19" i="2"/>
  <c r="M18" i="2"/>
  <c r="L18" i="2"/>
  <c r="K18" i="2"/>
  <c r="A18" i="2"/>
  <c r="L17" i="2"/>
  <c r="K17" i="2"/>
  <c r="M17" i="2" s="1"/>
  <c r="A17" i="2"/>
  <c r="L16" i="2"/>
  <c r="K16" i="2"/>
  <c r="M16" i="2" s="1"/>
  <c r="J12" i="3" s="1"/>
  <c r="A16" i="2"/>
  <c r="L15" i="2"/>
  <c r="M15" i="2" s="1"/>
  <c r="K15" i="2"/>
  <c r="A15" i="2"/>
  <c r="L14" i="2"/>
  <c r="K14" i="2"/>
  <c r="M14" i="2" s="1"/>
  <c r="A14" i="2"/>
  <c r="M13" i="2"/>
  <c r="L13" i="2"/>
  <c r="K13" i="2"/>
  <c r="D26" i="3" s="1"/>
  <c r="E26" i="3" s="1"/>
  <c r="A13" i="2"/>
  <c r="B9" i="2"/>
  <c r="I6" i="2"/>
  <c r="F6" i="2"/>
  <c r="C6" i="2"/>
  <c r="I5" i="2"/>
  <c r="F5" i="2"/>
  <c r="C5" i="2"/>
  <c r="A3" i="2"/>
  <c r="I15" i="3" l="1"/>
  <c r="K15" i="3" s="1"/>
  <c r="H15" i="3"/>
  <c r="E12" i="3"/>
  <c r="E9" i="2"/>
  <c r="K11" i="3"/>
  <c r="H19" i="3"/>
  <c r="H21" i="3"/>
  <c r="H23" i="3"/>
  <c r="I23" i="3"/>
  <c r="C12" i="3"/>
  <c r="C14" i="3"/>
  <c r="D16" i="3"/>
  <c r="J19" i="3"/>
  <c r="J21" i="3"/>
  <c r="J23" i="3"/>
  <c r="I19" i="3"/>
  <c r="K19" i="3" s="1"/>
  <c r="I21" i="3"/>
  <c r="K21" i="3" s="1"/>
  <c r="D12" i="3"/>
  <c r="D14" i="3"/>
  <c r="K39" i="2"/>
  <c r="J24" i="3"/>
  <c r="M19" i="2"/>
  <c r="J20" i="3" s="1"/>
  <c r="D6" i="3"/>
  <c r="D11" i="3"/>
  <c r="D13" i="3"/>
  <c r="E15" i="3"/>
  <c r="C23" i="3" l="1"/>
  <c r="D23" i="3"/>
  <c r="L9" i="2"/>
  <c r="M39" i="2"/>
  <c r="G6" i="3"/>
  <c r="I6" i="3"/>
  <c r="J11" i="3"/>
  <c r="J15" i="3" s="1"/>
  <c r="H9" i="2"/>
  <c r="E11" i="3"/>
  <c r="E23" i="3" s="1"/>
</calcChain>
</file>

<file path=xl/sharedStrings.xml><?xml version="1.0" encoding="utf-8"?>
<sst xmlns="http://schemas.openxmlformats.org/spreadsheetml/2006/main" count="272" uniqueCount="153">
  <si>
    <t>EINSTELLUNGEN &amp; STAMMDATEN</t>
  </si>
  <si>
    <t>Zentrale Angaben, Sätze und Auswahllisten · Wirtschaftsjahr 2026</t>
  </si>
  <si>
    <t>1 · Fahrer &amp; Organisation</t>
  </si>
  <si>
    <t>2 · Kilometersätze (€/km)</t>
  </si>
  <si>
    <t>Firma / Arbeitgeber</t>
  </si>
  <si>
    <t>Rheintal Vertrieb GmbH</t>
  </si>
  <si>
    <t>Standardsatz Pkw</t>
  </si>
  <si>
    <t>Anschrift</t>
  </si>
  <si>
    <t>Industriestraße 14, 26123 Musterstadt</t>
  </si>
  <si>
    <t>Satz Motorrad / Moped</t>
  </si>
  <si>
    <t>Name des Fahrers</t>
  </si>
  <si>
    <t>Jonas Wagner</t>
  </si>
  <si>
    <t>Satz Arbeitsweg</t>
  </si>
  <si>
    <t>Personalnummer</t>
  </si>
  <si>
    <t>P-2041</t>
  </si>
  <si>
    <t>Satz Privatfahrt</t>
  </si>
  <si>
    <t>Abteilung</t>
  </si>
  <si>
    <t>Vertrieb Außendienst</t>
  </si>
  <si>
    <t>Referenz 2026 (Inland): Dienstreise mit privatem Pkw 0,30 €/km, Motorrad/Moped 0,20 €/km – je tatsächlich gefahrenem Kilometer (Hin- und Rückweg). Entfernungspauschale (Arbeitsweg) seit 01.01.2026 einheitlich 0,38 €/km ab dem 1. km – nur für die einfache Strecke. Sätze bei Bedarf oben anpassen.</t>
  </si>
  <si>
    <t>Kostenstelle</t>
  </si>
  <si>
    <t>KST 4200</t>
  </si>
  <si>
    <t>Wirtschaftsjahr</t>
  </si>
  <si>
    <t>Abrechnungszeitraum</t>
  </si>
  <si>
    <t>01.01.2026 – 31.03.2026</t>
  </si>
  <si>
    <t>3 · Fahrzeuge (Auswahlliste &amp; Sätze)</t>
  </si>
  <si>
    <t>4 · Listen</t>
  </si>
  <si>
    <t>Kennzeichen</t>
  </si>
  <si>
    <t>Bezeichnung</t>
  </si>
  <si>
    <t>Fahrzeugtyp</t>
  </si>
  <si>
    <t>Satz €/km</t>
  </si>
  <si>
    <t>Fahrtart</t>
  </si>
  <si>
    <t>Status</t>
  </si>
  <si>
    <t>OL-RV 1420</t>
  </si>
  <si>
    <t>VW Passat Variant (Firmenwagen)</t>
  </si>
  <si>
    <t>Pkw</t>
  </si>
  <si>
    <t>Geschäftlich</t>
  </si>
  <si>
    <t>Offen</t>
  </si>
  <si>
    <t>OL-RV 88</t>
  </si>
  <si>
    <t>Škoda Octavia (Poolfahrzeug)</t>
  </si>
  <si>
    <t>Arbeitsweg</t>
  </si>
  <si>
    <t>Eingereicht</t>
  </si>
  <si>
    <t>OL-JW 7</t>
  </si>
  <si>
    <t>Privat-Pkw des Fahrers</t>
  </si>
  <si>
    <t>Privat</t>
  </si>
  <si>
    <t>Erstattet</t>
  </si>
  <si>
    <t>OL-M 210</t>
  </si>
  <si>
    <t>BMW R (Motorrad)</t>
  </si>
  <si>
    <t>Motorrad</t>
  </si>
  <si>
    <t>Sonstige</t>
  </si>
  <si>
    <t>So nutzen Sie diese Vorlage</t>
  </si>
  <si>
    <t>1. Tragen Sie oben Ihre Stammdaten, das Wirtschaftsjahr und – falls nötig – die Kilometersätze ein (cremefarbene Felder).</t>
  </si>
  <si>
    <t>2. Pflegen Sie unter Punkt 3 Ihre Fahrzeuge samt Typ und Satz. Diese erscheinen automatisch als Auswahl im Blatt „Kilometerabrechnung“.</t>
  </si>
  <si>
    <t>3. Erfassen Sie im Blatt „Kilometerabrechnung“ jede Fahrt: Datum, Von/Nach, Zweck, Fahrtart und Fahrzeug wählen.</t>
  </si>
  <si>
    <t>4. Geben Sie entweder den Tacho-Stand bei Beginn und Ende ein – die Strecke wird berechnet – oder tragen Sie die km direkt ein.</t>
  </si>
  <si>
    <t>5. Satz und Betrag ermittelt die Tabelle automatisch; Privatfahrten werden mit 0,00 € angesetzt.</t>
  </si>
  <si>
    <t>6. Das Blatt „Auswertung“ zeigt Kennzahlen, die Monats- und Fahrtart-Übersicht sowie Diagramme und Prüfhinweise.</t>
  </si>
  <si>
    <t>Legende</t>
  </si>
  <si>
    <t>Eingabefeld – hier tragen Sie Ihre Werte ein</t>
  </si>
  <si>
    <t>Automatisch berechnet – bitte nicht überschreiben</t>
  </si>
  <si>
    <t>Erstattet / geprüft in Ordnung</t>
  </si>
  <si>
    <t>Eingereicht / Hinweis beachten</t>
  </si>
  <si>
    <t>Offen / Prüfung erforderlich</t>
  </si>
  <si>
    <t>Hinweis: Diese Vorlage dient der übersichtlichen Erfassung von Fahrten und Fahrtkosten und ersetzt keine steuerliche Beratung. Ob ein ordnungsgemäßes Fahrtenbuch (z. B. lückenlose, zeitnahe Aufzeichnung) erforderlich ist, hängt vom Einzelfall ab. Die hinterlegten Sätze bilden den Stand 2026 ab und können oben angepasst werden.</t>
  </si>
  <si>
    <t>KILOMETERABRECHNUNG</t>
  </si>
  <si>
    <t>Fahrer</t>
  </si>
  <si>
    <t>Zeitraum</t>
  </si>
  <si>
    <t>Firma</t>
  </si>
  <si>
    <t>Fahrten gesamt</t>
  </si>
  <si>
    <t>Gefahrene Kilometer</t>
  </si>
  <si>
    <t>Fahrtkosten gesamt</t>
  </si>
  <si>
    <t>Ø Kosten je Fahrt</t>
  </si>
  <si>
    <t>Nr</t>
  </si>
  <si>
    <t>Datum</t>
  </si>
  <si>
    <t>Von</t>
  </si>
  <si>
    <t>Nach</t>
  </si>
  <si>
    <t>Zweck / Anlass</t>
  </si>
  <si>
    <t>Fahrzeug</t>
  </si>
  <si>
    <t>km-Stand
Beginn</t>
  </si>
  <si>
    <t>km-Stand
Ende</t>
  </si>
  <si>
    <t>km
direkt</t>
  </si>
  <si>
    <t>Strecke
(km)</t>
  </si>
  <si>
    <t>Satz
€/km</t>
  </si>
  <si>
    <t>Betrag
€</t>
  </si>
  <si>
    <t>Bemerkung</t>
  </si>
  <si>
    <t>Oldenburg</t>
  </si>
  <si>
    <t>Bremen</t>
  </si>
  <si>
    <t>Kundenbesuch Fa. Nordwerk</t>
  </si>
  <si>
    <t>Osnabrück</t>
  </si>
  <si>
    <t>Vertragsverhandlung</t>
  </si>
  <si>
    <t>Wilhelmshaven</t>
  </si>
  <si>
    <t>Projektabstimmung</t>
  </si>
  <si>
    <t>Wohnung</t>
  </si>
  <si>
    <t>Büro</t>
  </si>
  <si>
    <t>Fahrt zur Arbeitsstätte</t>
  </si>
  <si>
    <t>einfache Strecke</t>
  </si>
  <si>
    <t>Hamburg</t>
  </si>
  <si>
    <t>Messe „Nordhandel“</t>
  </si>
  <si>
    <t>Leer</t>
  </si>
  <si>
    <t>Kundenbesuch</t>
  </si>
  <si>
    <t>Lieferantengespräch</t>
  </si>
  <si>
    <t>Poolfahrzeug</t>
  </si>
  <si>
    <t>Cloppenburg</t>
  </si>
  <si>
    <t>Servicetermin</t>
  </si>
  <si>
    <t>Bad Zwischenahn</t>
  </si>
  <si>
    <t>Privatfahrt</t>
  </si>
  <si>
    <t>nicht erstattungsfähig</t>
  </si>
  <si>
    <t>Groningen (NL)</t>
  </si>
  <si>
    <t>Vechta</t>
  </si>
  <si>
    <t>Schulung Außendienst</t>
  </si>
  <si>
    <t>Emden</t>
  </si>
  <si>
    <t>Projekttermin</t>
  </si>
  <si>
    <t>Hannover</t>
  </si>
  <si>
    <t>Fachtagung</t>
  </si>
  <si>
    <t>Delmenhorst</t>
  </si>
  <si>
    <t>Motorrad 0,20 €/km</t>
  </si>
  <si>
    <t>Wildeshausen</t>
  </si>
  <si>
    <t>Privateinkauf</t>
  </si>
  <si>
    <t>Bremerhaven</t>
  </si>
  <si>
    <t>Projektabnahme</t>
  </si>
  <si>
    <t>Münster</t>
  </si>
  <si>
    <t>Papenburg</t>
  </si>
  <si>
    <t>Angebotspräsentation</t>
  </si>
  <si>
    <t>Nachbesprechung</t>
  </si>
  <si>
    <t>Gesamtsumme</t>
  </si>
  <si>
    <t>AUSWERTUNG</t>
  </si>
  <si>
    <t>Kilometer gesamt</t>
  </si>
  <si>
    <t>Monatsübersicht 2026</t>
  </si>
  <si>
    <t>Nach Fahrtart</t>
  </si>
  <si>
    <t>Monat</t>
  </si>
  <si>
    <t>Fahrten</t>
  </si>
  <si>
    <t>km</t>
  </si>
  <si>
    <t>Betrag €</t>
  </si>
  <si>
    <t>Anteil</t>
  </si>
  <si>
    <t>Januar</t>
  </si>
  <si>
    <t>Februar</t>
  </si>
  <si>
    <t>März</t>
  </si>
  <si>
    <t>April</t>
  </si>
  <si>
    <t>Mai</t>
  </si>
  <si>
    <t>Summe</t>
  </si>
  <si>
    <t>Juni</t>
  </si>
  <si>
    <t>Juli</t>
  </si>
  <si>
    <t>Nach Fahrzeug</t>
  </si>
  <si>
    <t>August</t>
  </si>
  <si>
    <t>September</t>
  </si>
  <si>
    <t>Oktober</t>
  </si>
  <si>
    <t>November</t>
  </si>
  <si>
    <t>Dezember</t>
  </si>
  <si>
    <t>Prüfhinweise</t>
  </si>
  <si>
    <t>Fahrten ohne Strecke (0 km)</t>
  </si>
  <si>
    <t>Tacho-Stand Ende &lt; Beginn</t>
  </si>
  <si>
    <t>Fahrten ohne Fahrzeug</t>
  </si>
  <si>
    <t>Offene Positionen (Status)</t>
  </si>
  <si>
    <t>Grafische Auswertung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</si>
</sst>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 €&quot;"/>
    <numFmt numFmtId="165" formatCode="#,##0&quot; km&quot;"/>
    <numFmt numFmtId="166" formatCode="dd\.mm\.yyyy"/>
    <numFmt numFmtId="167" formatCode="0.0%"/>
  </numFmts>
  <fonts count="18" x14ac:knownFonts="1">
    <font>
      <sz val="11"/>
      <color theme="1"/>
      <name val="Calibri"/>
      <family val="2"/>
      <charset val="1"/>
    </font>
    <font>
      <b/>
      <sz val="14"/>
      <color rgb="FFFFFFFF"/>
      <name val="Calibri"/>
      <charset val="1"/>
    </font>
    <font>
      <sz val="9.5"/>
      <color rgb="FFFFFFFF"/>
      <name val="Calibri"/>
      <charset val="1"/>
    </font>
    <font>
      <b/>
      <sz val="11"/>
      <color rgb="FFFFFFFF"/>
      <name val="Calibri"/>
      <charset val="1"/>
    </font>
    <font>
      <b/>
      <sz val="10"/>
      <color rgb="FF26282B"/>
      <name val="Calibri"/>
      <charset val="1"/>
    </font>
    <font>
      <sz val="10"/>
      <color rgb="FF26282B"/>
      <name val="Calibri"/>
      <charset val="1"/>
    </font>
    <font>
      <i/>
      <sz val="8.5"/>
      <color rgb="FF4A525B"/>
      <name val="Calibri"/>
      <charset val="1"/>
    </font>
    <font>
      <b/>
      <sz val="9.5"/>
      <color rgb="FFFFFFFF"/>
      <name val="Calibri"/>
      <charset val="1"/>
    </font>
    <font>
      <sz val="9.5"/>
      <color rgb="FF26282B"/>
      <name val="Calibri"/>
      <charset val="1"/>
    </font>
    <font>
      <b/>
      <sz val="10.5"/>
      <color rgb="FFFFFFFF"/>
      <name val="Calibri"/>
      <charset val="1"/>
    </font>
    <font>
      <b/>
      <sz val="16"/>
      <color rgb="FFFFFFFF"/>
      <name val="Calibri"/>
      <charset val="1"/>
    </font>
    <font>
      <b/>
      <sz val="9"/>
      <color rgb="FF4A525B"/>
      <name val="Calibri"/>
      <charset val="1"/>
    </font>
    <font>
      <b/>
      <sz val="19"/>
      <color rgb="FFFFFFFF"/>
      <name val="Calibri"/>
      <charset val="1"/>
    </font>
    <font>
      <sz val="9"/>
      <color rgb="FFD6D3CE"/>
      <name val="Calibri"/>
      <charset val="1"/>
    </font>
    <font>
      <b/>
      <sz val="9.5"/>
      <color rgb="FF4A525B"/>
      <name val="Calibri"/>
      <charset val="1"/>
    </font>
    <font>
      <b/>
      <sz val="9.5"/>
      <color rgb="FF26282B"/>
      <name val="Calibri"/>
      <charset val="1"/>
    </font>
    <font>
      <sz val="9.5"/>
      <color rgb="FF4A525B"/>
      <name val="Calibri"/>
      <charset val="1"/>
    </font>
    <font>
      <b/>
      <sz val="10"/>
      <color rgb="FFFFFFFF"/>
      <name val="Calibri"/>
      <charset val="1"/>
    </font>
  </fonts>
  <fills count="14">
    <fill>
      <patternFill patternType="none"/>
    </fill>
    <fill>
      <patternFill patternType="gray125"/>
    </fill>
    <fill>
      <patternFill patternType="solid">
        <fgColor rgb="FFC0562C"/>
        <bgColor rgb="FFB23A2E"/>
      </patternFill>
    </fill>
    <fill>
      <patternFill patternType="solid">
        <fgColor rgb="FF2E3033"/>
        <bgColor rgb="FF26282B"/>
      </patternFill>
    </fill>
    <fill>
      <patternFill patternType="solid">
        <fgColor rgb="FF4A525B"/>
        <bgColor rgb="FF37393D"/>
      </patternFill>
    </fill>
    <fill>
      <patternFill patternType="solid">
        <fgColor rgb="FFF4ECE1"/>
        <bgColor rgb="FFF6EAD2"/>
      </patternFill>
    </fill>
    <fill>
      <patternFill patternType="solid">
        <fgColor rgb="FFFCF4E7"/>
        <bgColor rgb="FFF7F3EE"/>
      </patternFill>
    </fill>
    <fill>
      <patternFill patternType="solid">
        <fgColor rgb="FFF7F3EE"/>
        <bgColor rgb="FFF5F1EC"/>
      </patternFill>
    </fill>
    <fill>
      <patternFill patternType="solid">
        <fgColor rgb="FFFFFFFF"/>
        <bgColor rgb="FFF7F3EE"/>
      </patternFill>
    </fill>
    <fill>
      <patternFill patternType="solid">
        <fgColor rgb="FFF5F1EC"/>
        <bgColor rgb="FFF7F3EE"/>
      </patternFill>
    </fill>
    <fill>
      <patternFill patternType="solid">
        <fgColor rgb="FF2E7D5B"/>
        <bgColor rgb="FF008080"/>
      </patternFill>
    </fill>
    <fill>
      <patternFill patternType="solid">
        <fgColor rgb="FFC8871B"/>
        <bgColor rgb="FFC0562C"/>
      </patternFill>
    </fill>
    <fill>
      <patternFill patternType="solid">
        <fgColor rgb="FFB23A2E"/>
        <bgColor rgb="FFC0562C"/>
      </patternFill>
    </fill>
    <fill>
      <patternFill patternType="solid">
        <fgColor rgb="FF37393D"/>
        <bgColor rgb="FF2E3033"/>
      </patternFill>
    </fill>
  </fills>
  <borders count="10">
    <border>
      <left/>
      <right/>
      <top/>
      <bottom/>
      <diagonal/>
    </border>
    <border>
      <left style="thin">
        <color rgb="FFE7CBA3"/>
      </left>
      <right style="thin">
        <color rgb="FFE7CBA3"/>
      </right>
      <top style="thin">
        <color rgb="FFE7CBA3"/>
      </top>
      <bottom style="thin">
        <color rgb="FFE7CBA3"/>
      </bottom>
      <diagonal/>
    </border>
    <border>
      <left style="thin">
        <color rgb="FFD8CDBE"/>
      </left>
      <right style="thin">
        <color rgb="FFD8CDBE"/>
      </right>
      <top style="thin">
        <color rgb="FFD8CDBE"/>
      </top>
      <bottom style="thin">
        <color rgb="FFD8CDBE"/>
      </bottom>
      <diagonal/>
    </border>
    <border>
      <left style="thin">
        <color rgb="FF2E7D5B"/>
      </left>
      <right style="thin">
        <color rgb="FF2E7D5B"/>
      </right>
      <top style="thin">
        <color rgb="FF2E7D5B"/>
      </top>
      <bottom style="thin">
        <color rgb="FF2E7D5B"/>
      </bottom>
      <diagonal/>
    </border>
    <border>
      <left style="thin">
        <color rgb="FFC8871B"/>
      </left>
      <right style="thin">
        <color rgb="FFC8871B"/>
      </right>
      <top style="thin">
        <color rgb="FFC8871B"/>
      </top>
      <bottom style="thin">
        <color rgb="FFC8871B"/>
      </bottom>
      <diagonal/>
    </border>
    <border>
      <left style="thin">
        <color rgb="FFB23A2E"/>
      </left>
      <right style="thin">
        <color rgb="FFB23A2E"/>
      </right>
      <top style="thin">
        <color rgb="FFB23A2E"/>
      </top>
      <bottom style="thin">
        <color rgb="FFB23A2E"/>
      </bottom>
      <diagonal/>
    </border>
    <border>
      <left/>
      <right/>
      <top/>
      <bottom style="thin">
        <color rgb="FFD8CDBE"/>
      </bottom>
      <diagonal/>
    </border>
    <border>
      <left style="thin">
        <color rgb="FF37393D"/>
      </left>
      <right/>
      <top/>
      <bottom/>
      <diagonal/>
    </border>
    <border>
      <left style="thin">
        <color rgb="FF4A525B"/>
      </left>
      <right style="thin">
        <color rgb="FF4A525B"/>
      </right>
      <top style="thin">
        <color rgb="FF4A525B"/>
      </top>
      <bottom style="thin">
        <color rgb="FF4A525B"/>
      </bottom>
      <diagonal/>
    </border>
    <border>
      <left style="thin">
        <color rgb="FFE3D9C9"/>
      </left>
      <right style="thin">
        <color rgb="FFE3D9C9"/>
      </right>
      <top style="thin">
        <color rgb="FFE3D9C9"/>
      </top>
      <bottom style="thin">
        <color rgb="FFE3D9C9"/>
      </bottom>
      <diagonal/>
    </border>
  </borders>
  <cellStyleXfs count="1">
    <xf numFmtId="0" fontId="0" fillId="0" borderId="0"/>
  </cellStyleXfs>
  <cellXfs count="71">
    <xf numFmtId="0" fontId="0" fillId="0" borderId="0" xfId="0"/>
    <xf numFmtId="0" fontId="4" fillId="5" borderId="0" xfId="0" applyFont="1" applyFill="1" applyAlignment="1">
      <alignment horizontal="left" vertical="center"/>
    </xf>
    <xf numFmtId="0" fontId="3" fillId="2" borderId="0" xfId="0" applyFont="1" applyFill="1" applyAlignment="1">
      <alignment horizontal="left" vertical="center"/>
    </xf>
    <xf numFmtId="0" fontId="1" fillId="3" borderId="0" xfId="0" applyFont="1" applyFill="1" applyAlignment="1">
      <alignment horizontal="left" vertical="center"/>
    </xf>
    <xf numFmtId="0" fontId="0" fillId="3" borderId="0" xfId="0" applyFill="1"/>
    <xf numFmtId="0" fontId="3" fillId="3" borderId="0" xfId="0" applyFont="1" applyFill="1" applyAlignment="1">
      <alignment horizontal="right" vertical="center"/>
    </xf>
    <xf numFmtId="0" fontId="13" fillId="13" borderId="7" xfId="0" applyFont="1" applyFill="1" applyBorder="1" applyAlignment="1">
      <alignment horizontal="center" vertical="center"/>
    </xf>
    <xf numFmtId="164" fontId="12" fillId="13" borderId="7" xfId="0" applyNumberFormat="1" applyFont="1" applyFill="1" applyBorder="1" applyAlignment="1">
      <alignment horizontal="center" vertical="center"/>
    </xf>
    <xf numFmtId="165" fontId="12" fillId="13" borderId="7" xfId="0" applyNumberFormat="1" applyFont="1" applyFill="1" applyBorder="1" applyAlignment="1">
      <alignment horizontal="center" vertical="center"/>
    </xf>
    <xf numFmtId="1" fontId="12" fillId="13" borderId="7" xfId="0" applyNumberFormat="1" applyFont="1" applyFill="1" applyBorder="1" applyAlignment="1">
      <alignment horizontal="center" vertical="center"/>
    </xf>
    <xf numFmtId="0" fontId="0" fillId="2" borderId="7" xfId="0" applyFill="1" applyBorder="1"/>
    <xf numFmtId="1" fontId="8" fillId="8" borderId="6" xfId="0" applyNumberFormat="1" applyFont="1" applyFill="1" applyBorder="1" applyAlignment="1">
      <alignment horizontal="left" vertical="center"/>
    </xf>
    <xf numFmtId="0" fontId="8" fillId="8" borderId="6" xfId="0" applyFont="1" applyFill="1" applyBorder="1" applyAlignment="1">
      <alignment horizontal="left" vertical="center"/>
    </xf>
    <xf numFmtId="0" fontId="2" fillId="4" borderId="0" xfId="0" applyFont="1" applyFill="1" applyAlignment="1">
      <alignment horizontal="left" vertical="center"/>
    </xf>
    <xf numFmtId="0" fontId="10" fillId="3" borderId="0" xfId="0" applyFont="1" applyFill="1" applyAlignment="1">
      <alignment horizontal="left" vertical="center"/>
    </xf>
    <xf numFmtId="0" fontId="0" fillId="2" borderId="0" xfId="0" applyFill="1"/>
    <xf numFmtId="0" fontId="4" fillId="5" borderId="0" xfId="0" applyFont="1" applyFill="1" applyAlignment="1">
      <alignment horizontal="left" vertical="center"/>
    </xf>
    <xf numFmtId="0" fontId="5" fillId="6" borderId="1" xfId="0" applyFont="1" applyFill="1" applyBorder="1" applyAlignment="1">
      <alignment horizontal="left" vertical="center"/>
    </xf>
    <xf numFmtId="164" fontId="5" fillId="6" borderId="1" xfId="0" applyNumberFormat="1" applyFont="1" applyFill="1" applyBorder="1" applyAlignment="1">
      <alignment horizontal="center" vertical="center"/>
    </xf>
    <xf numFmtId="1" fontId="5" fillId="6" borderId="1" xfId="0" applyNumberFormat="1" applyFont="1" applyFill="1" applyBorder="1" applyAlignment="1">
      <alignment horizontal="left" vertical="center"/>
    </xf>
    <xf numFmtId="0" fontId="7" fillId="4" borderId="0" xfId="0" applyFont="1" applyFill="1" applyAlignment="1">
      <alignment horizontal="center" vertical="center"/>
    </xf>
    <xf numFmtId="0" fontId="5" fillId="6" borderId="1" xfId="0" applyFont="1" applyFill="1" applyBorder="1" applyAlignment="1">
      <alignment horizontal="center" vertical="center"/>
    </xf>
    <xf numFmtId="164" fontId="5" fillId="6" borderId="1" xfId="0" applyNumberFormat="1" applyFont="1" applyFill="1" applyBorder="1" applyAlignment="1">
      <alignment horizontal="left" vertical="center"/>
    </xf>
    <xf numFmtId="0" fontId="0" fillId="6" borderId="1" xfId="0" applyFill="1" applyBorder="1"/>
    <xf numFmtId="0" fontId="0" fillId="9" borderId="2" xfId="0" applyFill="1" applyBorder="1"/>
    <xf numFmtId="0" fontId="0" fillId="10" borderId="3" xfId="0" applyFill="1" applyBorder="1"/>
    <xf numFmtId="0" fontId="0" fillId="11" borderId="4" xfId="0" applyFill="1" applyBorder="1"/>
    <xf numFmtId="0" fontId="0" fillId="12" borderId="5" xfId="0" applyFill="1" applyBorder="1"/>
    <xf numFmtId="0" fontId="11" fillId="5" borderId="0" xfId="0" applyFont="1" applyFill="1" applyAlignment="1">
      <alignment horizontal="left" vertical="center"/>
    </xf>
    <xf numFmtId="0" fontId="7" fillId="3" borderId="8" xfId="0" applyFont="1" applyFill="1" applyBorder="1" applyAlignment="1">
      <alignment horizontal="center" vertical="center" wrapText="1"/>
    </xf>
    <xf numFmtId="0" fontId="14" fillId="8" borderId="9" xfId="0" applyFont="1" applyFill="1" applyBorder="1" applyAlignment="1">
      <alignment horizontal="center" vertical="center"/>
    </xf>
    <xf numFmtId="166" fontId="8" fillId="6" borderId="1" xfId="0" applyNumberFormat="1" applyFont="1" applyFill="1" applyBorder="1" applyAlignment="1">
      <alignment horizontal="center" vertical="center"/>
    </xf>
    <xf numFmtId="0" fontId="8" fillId="6" borderId="1" xfId="0" applyFont="1" applyFill="1" applyBorder="1" applyAlignment="1">
      <alignment horizontal="left" vertical="center"/>
    </xf>
    <xf numFmtId="0" fontId="8" fillId="6" borderId="1" xfId="0" applyFont="1" applyFill="1" applyBorder="1" applyAlignment="1">
      <alignment horizontal="center" vertical="center"/>
    </xf>
    <xf numFmtId="3" fontId="8" fillId="6" borderId="1" xfId="0" applyNumberFormat="1" applyFont="1" applyFill="1" applyBorder="1" applyAlignment="1">
      <alignment horizontal="center" vertical="center"/>
    </xf>
    <xf numFmtId="3" fontId="15" fillId="9" borderId="9" xfId="0" applyNumberFormat="1" applyFont="1" applyFill="1" applyBorder="1" applyAlignment="1">
      <alignment horizontal="center" vertical="center"/>
    </xf>
    <xf numFmtId="2" fontId="16" fillId="9" borderId="9" xfId="0" applyNumberFormat="1" applyFont="1" applyFill="1" applyBorder="1" applyAlignment="1">
      <alignment horizontal="center" vertical="center"/>
    </xf>
    <xf numFmtId="164" fontId="15" fillId="9" borderId="9" xfId="0" applyNumberFormat="1" applyFont="1" applyFill="1" applyBorder="1" applyAlignment="1">
      <alignment horizontal="right" vertical="center"/>
    </xf>
    <xf numFmtId="0" fontId="14" fillId="7" borderId="9" xfId="0" applyFont="1" applyFill="1" applyBorder="1" applyAlignment="1">
      <alignment horizontal="center" vertical="center"/>
    </xf>
    <xf numFmtId="165" fontId="3" fillId="3" borderId="0" xfId="0" applyNumberFormat="1" applyFont="1" applyFill="1" applyAlignment="1">
      <alignment horizontal="center" vertical="center"/>
    </xf>
    <xf numFmtId="0" fontId="0" fillId="3" borderId="0" xfId="0" applyFill="1"/>
    <xf numFmtId="164" fontId="3" fillId="2" borderId="0" xfId="0" applyNumberFormat="1" applyFont="1" applyFill="1" applyAlignment="1">
      <alignment horizontal="right" vertical="center"/>
    </xf>
    <xf numFmtId="0" fontId="7" fillId="4" borderId="0" xfId="0" applyFont="1" applyFill="1" applyAlignment="1">
      <alignment horizontal="left" vertical="center"/>
    </xf>
    <xf numFmtId="0" fontId="8" fillId="8" borderId="9" xfId="0" applyFont="1" applyFill="1" applyBorder="1" applyAlignment="1">
      <alignment horizontal="left" vertical="center"/>
    </xf>
    <xf numFmtId="3" fontId="8" fillId="8" borderId="9" xfId="0" applyNumberFormat="1" applyFont="1" applyFill="1" applyBorder="1" applyAlignment="1">
      <alignment horizontal="center" vertical="center"/>
    </xf>
    <xf numFmtId="165" fontId="8" fillId="8" borderId="9" xfId="0" applyNumberFormat="1" applyFont="1" applyFill="1" applyBorder="1" applyAlignment="1">
      <alignment horizontal="center" vertical="center"/>
    </xf>
    <xf numFmtId="164" fontId="8" fillId="8" borderId="9" xfId="0" applyNumberFormat="1" applyFont="1" applyFill="1" applyBorder="1" applyAlignment="1">
      <alignment horizontal="right" vertical="center"/>
    </xf>
    <xf numFmtId="167" fontId="8" fillId="8" borderId="9" xfId="0" applyNumberFormat="1" applyFont="1" applyFill="1" applyBorder="1" applyAlignment="1">
      <alignment horizontal="center" vertical="center"/>
    </xf>
    <xf numFmtId="166" fontId="0" fillId="0" borderId="0" xfId="0" applyNumberFormat="1"/>
    <xf numFmtId="0" fontId="8" fillId="7" borderId="9" xfId="0" applyFont="1" applyFill="1" applyBorder="1" applyAlignment="1">
      <alignment horizontal="left" vertical="center"/>
    </xf>
    <xf numFmtId="3" fontId="8" fillId="7" borderId="9" xfId="0" applyNumberFormat="1" applyFont="1" applyFill="1" applyBorder="1" applyAlignment="1">
      <alignment horizontal="center" vertical="center"/>
    </xf>
    <xf numFmtId="165" fontId="8" fillId="7" borderId="9" xfId="0" applyNumberFormat="1" applyFont="1" applyFill="1" applyBorder="1" applyAlignment="1">
      <alignment horizontal="center" vertical="center"/>
    </xf>
    <xf numFmtId="164" fontId="8" fillId="7" borderId="9" xfId="0" applyNumberFormat="1" applyFont="1" applyFill="1" applyBorder="1" applyAlignment="1">
      <alignment horizontal="right" vertical="center"/>
    </xf>
    <xf numFmtId="167" fontId="8" fillId="7" borderId="9" xfId="0" applyNumberFormat="1" applyFont="1" applyFill="1" applyBorder="1" applyAlignment="1">
      <alignment horizontal="center" vertical="center"/>
    </xf>
    <xf numFmtId="0" fontId="17" fillId="3" borderId="0" xfId="0" applyFont="1" applyFill="1" applyAlignment="1">
      <alignment horizontal="left" vertical="center"/>
    </xf>
    <xf numFmtId="3" fontId="17" fillId="3" borderId="0" xfId="0" applyNumberFormat="1" applyFont="1" applyFill="1" applyAlignment="1">
      <alignment horizontal="center" vertical="center"/>
    </xf>
    <xf numFmtId="165" fontId="17" fillId="3" borderId="0" xfId="0" applyNumberFormat="1" applyFont="1" applyFill="1" applyAlignment="1">
      <alignment horizontal="center" vertical="center"/>
    </xf>
    <xf numFmtId="164" fontId="17" fillId="3" borderId="0" xfId="0" applyNumberFormat="1" applyFont="1" applyFill="1" applyAlignment="1">
      <alignment horizontal="right" vertical="center"/>
    </xf>
    <xf numFmtId="167" fontId="17" fillId="3" borderId="0" xfId="0" applyNumberFormat="1" applyFont="1" applyFill="1" applyAlignment="1">
      <alignment horizontal="center" vertical="center"/>
    </xf>
    <xf numFmtId="3" fontId="15" fillId="8" borderId="9" xfId="0" applyNumberFormat="1" applyFont="1" applyFill="1" applyBorder="1" applyAlignment="1">
      <alignment horizontal="center" vertical="center"/>
    </xf>
    <xf numFmtId="0" fontId="15" fillId="8" borderId="9" xfId="0" applyFont="1" applyFill="1" applyBorder="1" applyAlignment="1">
      <alignment horizontal="center" vertical="center"/>
    </xf>
    <xf numFmtId="3" fontId="15" fillId="7" borderId="9" xfId="0" applyNumberFormat="1" applyFont="1" applyFill="1" applyBorder="1" applyAlignment="1">
      <alignment horizontal="center" vertical="center"/>
    </xf>
    <xf numFmtId="0" fontId="15" fillId="7" borderId="9" xfId="0" applyFont="1" applyFill="1" applyBorder="1" applyAlignment="1">
      <alignment horizontal="center" vertical="center"/>
    </xf>
    <xf numFmtId="0" fontId="6" fillId="5" borderId="0" xfId="0" applyFont="1" applyFill="1" applyAlignment="1">
      <alignment horizontal="left" vertical="top" wrapText="1"/>
    </xf>
    <xf numFmtId="0" fontId="3" fillId="3" borderId="0" xfId="0" applyFont="1" applyFill="1" applyAlignment="1">
      <alignment horizontal="left" vertical="center"/>
    </xf>
    <xf numFmtId="0" fontId="8" fillId="7" borderId="0" xfId="0" applyFont="1" applyFill="1" applyAlignment="1">
      <alignment horizontal="left" vertical="center" wrapText="1"/>
    </xf>
    <xf numFmtId="0" fontId="8" fillId="8" borderId="0" xfId="0" applyFont="1" applyFill="1" applyAlignment="1">
      <alignment horizontal="left" vertical="center" wrapText="1"/>
    </xf>
    <xf numFmtId="0" fontId="9" fillId="4" borderId="0" xfId="0" applyFont="1" applyFill="1" applyAlignment="1">
      <alignment horizontal="left" vertical="center"/>
    </xf>
    <xf numFmtId="0" fontId="8" fillId="0" borderId="0" xfId="0" applyFont="1" applyAlignment="1">
      <alignment horizontal="left" vertical="center"/>
    </xf>
    <xf numFmtId="0" fontId="8" fillId="8" borderId="9" xfId="0" applyFont="1" applyFill="1" applyBorder="1" applyAlignment="1">
      <alignment horizontal="left" vertical="center"/>
    </xf>
    <xf numFmtId="0" fontId="8" fillId="7" borderId="9" xfId="0" applyFont="1" applyFill="1" applyBorder="1" applyAlignment="1">
      <alignment horizontal="left" vertical="center"/>
    </xf>
  </cellXfs>
  <cellStyles count="1">
    <cellStyle name="Standard" xfId="0" builtinId="0"/>
  </cellStyles>
  <dxfs count="7">
    <dxf>
      <font>
        <b/>
        <sz val="9"/>
        <color rgb="FFC8871B"/>
        <name val="Calibri"/>
        <charset val="1"/>
      </font>
      <fill>
        <patternFill>
          <bgColor rgb="FFF6EAD2"/>
        </patternFill>
      </fill>
    </dxf>
    <dxf>
      <font>
        <b/>
        <sz val="9"/>
        <color rgb="FF2E7D5B"/>
        <name val="Calibri"/>
        <charset val="1"/>
      </font>
      <fill>
        <patternFill>
          <bgColor rgb="FFDDEEE4"/>
        </patternFill>
      </fill>
    </dxf>
    <dxf>
      <font>
        <b/>
        <sz val="9"/>
        <color rgb="FFB23A2E"/>
        <name val="Calibri"/>
        <charset val="1"/>
      </font>
      <fill>
        <patternFill>
          <bgColor rgb="FFF1DEDA"/>
        </patternFill>
      </fill>
    </dxf>
    <dxf>
      <font>
        <b/>
        <sz val="9"/>
        <color rgb="FFC8871B"/>
        <name val="Calibri"/>
        <charset val="1"/>
      </font>
      <fill>
        <patternFill>
          <bgColor rgb="FFF6EAD2"/>
        </patternFill>
      </fill>
    </dxf>
    <dxf>
      <font>
        <b/>
        <sz val="9"/>
        <color rgb="FF2E7D5B"/>
        <name val="Calibri"/>
        <charset val="1"/>
      </font>
      <fill>
        <patternFill>
          <bgColor rgb="FFDDEEE4"/>
        </patternFill>
      </fill>
    </dxf>
    <dxf>
      <font>
        <b/>
        <sz val="9"/>
        <color rgb="FFB23A2E"/>
        <name val="Calibri"/>
        <charset val="1"/>
      </font>
      <fill>
        <patternFill>
          <bgColor rgb="FFF3C9C4"/>
        </patternFill>
      </fill>
    </dxf>
    <dxf>
      <font>
        <sz val="9"/>
        <color rgb="FF8A8F96"/>
        <name val="Calibri"/>
        <charset val="1"/>
      </font>
    </dxf>
  </dxfs>
  <tableStyles count="0" defaultTableStyle="TableStyleMedium2" defaultPivotStyle="PivotStyleLight16"/>
  <colors>
    <indexedColors>
      <rgbColor rgb="FF000000"/>
      <rgbColor rgb="FFFFFFFF"/>
      <rgbColor rgb="FFFF0000"/>
      <rgbColor rgb="FF00FF00"/>
      <rgbColor rgb="FF0000FF"/>
      <rgbColor rgb="FFF4ECE1"/>
      <rgbColor rgb="FFFF00FF"/>
      <rgbColor rgb="FF00FFFF"/>
      <rgbColor rgb="FF800000"/>
      <rgbColor rgb="FF008000"/>
      <rgbColor rgb="FF000080"/>
      <rgbColor rgb="FF808000"/>
      <rgbColor rgb="FF800080"/>
      <rgbColor rgb="FF008080"/>
      <rgbColor rgb="FFD8CDBE"/>
      <rgbColor rgb="FF878787"/>
      <rgbColor rgb="FF8FA6B0"/>
      <rgbColor rgb="FFC0562C"/>
      <rgbColor rgb="FFFCF4E7"/>
      <rgbColor rgb="FFF5F1EC"/>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7F3EE"/>
      <rgbColor rgb="FFDDEEE4"/>
      <rgbColor rgb="FFF6EAD2"/>
      <rgbColor rgb="FFD6D3CE"/>
      <rgbColor rgb="FFF3C9C4"/>
      <rgbColor rgb="FFE3D9C9"/>
      <rgbColor rgb="FFE7CBA3"/>
      <rgbColor rgb="FF3366FF"/>
      <rgbColor rgb="FF33CCCC"/>
      <rgbColor rgb="FF99CC00"/>
      <rgbColor rgb="FFF1DEDA"/>
      <rgbColor rgb="FFC8871B"/>
      <rgbColor rgb="FFFF6600"/>
      <rgbColor rgb="FF4F81BD"/>
      <rgbColor rgb="FF8A8F96"/>
      <rgbColor rgb="FF4A525B"/>
      <rgbColor rgb="FF2E7D5B"/>
      <rgbColor rgb="FF003300"/>
      <rgbColor rgb="FF26282B"/>
      <rgbColor rgb="FFB23A2E"/>
      <rgbColor rgb="FF993366"/>
      <rgbColor rgb="FF37393D"/>
      <rgbColor rgb="FF2E30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Fahrtkosten je Monat (€)</a:t>
            </a:r>
          </a:p>
        </c:rich>
      </c:tx>
      <c:overlay val="0"/>
      <c:spPr>
        <a:noFill/>
        <a:ln w="0">
          <a:noFill/>
        </a:ln>
      </c:spPr>
    </c:title>
    <c:autoTitleDeleted val="0"/>
    <c:plotArea>
      <c:layout/>
      <c:barChart>
        <c:barDir val="col"/>
        <c:grouping val="clustered"/>
        <c:varyColors val="0"/>
        <c:ser>
          <c:idx val="0"/>
          <c:order val="0"/>
          <c:tx>
            <c:strRef>
              <c:f>Auswertung!$E$10</c:f>
              <c:strCache>
                <c:ptCount val="1"/>
                <c:pt idx="0">
                  <c:v>Betrag €</c:v>
                </c:pt>
              </c:strCache>
            </c:strRef>
          </c:tx>
          <c:spPr>
            <a:solidFill>
              <a:srgbClr val="C0562C"/>
            </a:solidFill>
            <a:ln w="0">
              <a:solidFill>
                <a:srgbClr val="C0562C"/>
              </a:solid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Auswertung!$B$11:$B$22</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Auswertung!$E$11:$E$22</c:f>
              <c:numCache>
                <c:formatCode>#,##0.00" €"</c:formatCode>
                <c:ptCount val="12"/>
                <c:pt idx="0">
                  <c:v>354.96</c:v>
                </c:pt>
                <c:pt idx="1">
                  <c:v>277.76</c:v>
                </c:pt>
                <c:pt idx="2">
                  <c:v>139.79999999999998</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983-4B54-9ED0-427BF5E7D083}"/>
            </c:ext>
          </c:extLst>
        </c:ser>
        <c:dLbls>
          <c:showLegendKey val="0"/>
          <c:showVal val="0"/>
          <c:showCatName val="0"/>
          <c:showSerName val="0"/>
          <c:showPercent val="0"/>
          <c:showBubbleSize val="0"/>
        </c:dLbls>
        <c:gapWidth val="60"/>
        <c:axId val="54464421"/>
        <c:axId val="71342888"/>
      </c:barChart>
      <c:catAx>
        <c:axId val="54464421"/>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71342888"/>
        <c:crosses val="autoZero"/>
        <c:auto val="1"/>
        <c:lblAlgn val="ctr"/>
        <c:lblOffset val="100"/>
        <c:noMultiLvlLbl val="0"/>
      </c:catAx>
      <c:valAx>
        <c:axId val="71342888"/>
        <c:scaling>
          <c:orientation val="minMax"/>
        </c:scaling>
        <c:delete val="0"/>
        <c:axPos val="l"/>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4464421"/>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Kilometer nach Fahrtart</a:t>
            </a:r>
          </a:p>
        </c:rich>
      </c:tx>
      <c:overlay val="0"/>
      <c:spPr>
        <a:noFill/>
        <a:ln w="0">
          <a:noFill/>
        </a:ln>
      </c:spPr>
    </c:title>
    <c:autoTitleDeleted val="0"/>
    <c:plotArea>
      <c:layout/>
      <c:pieChart>
        <c:varyColors val="1"/>
        <c:ser>
          <c:idx val="0"/>
          <c:order val="0"/>
          <c:tx>
            <c:strRef>
              <c:f>Auswertung!$I$10</c:f>
              <c:strCache>
                <c:ptCount val="1"/>
                <c:pt idx="0">
                  <c:v>km</c:v>
                </c:pt>
              </c:strCache>
            </c:strRef>
          </c:tx>
          <c:spPr>
            <a:solidFill>
              <a:srgbClr val="4F81BD"/>
            </a:solidFill>
            <a:ln w="0">
              <a:noFill/>
            </a:ln>
          </c:spPr>
          <c:dPt>
            <c:idx val="0"/>
            <c:bubble3D val="0"/>
            <c:spPr>
              <a:solidFill>
                <a:srgbClr val="C0562C"/>
              </a:solidFill>
              <a:ln w="0">
                <a:noFill/>
              </a:ln>
            </c:spPr>
            <c:extLst>
              <c:ext xmlns:c16="http://schemas.microsoft.com/office/drawing/2014/chart" uri="{C3380CC4-5D6E-409C-BE32-E72D297353CC}">
                <c16:uniqueId val="{00000001-2DE7-4C3A-89C8-29FFF547E9FE}"/>
              </c:ext>
            </c:extLst>
          </c:dPt>
          <c:dPt>
            <c:idx val="1"/>
            <c:bubble3D val="0"/>
            <c:spPr>
              <a:solidFill>
                <a:srgbClr val="4A525B"/>
              </a:solidFill>
              <a:ln w="0">
                <a:noFill/>
              </a:ln>
            </c:spPr>
            <c:extLst>
              <c:ext xmlns:c16="http://schemas.microsoft.com/office/drawing/2014/chart" uri="{C3380CC4-5D6E-409C-BE32-E72D297353CC}">
                <c16:uniqueId val="{00000003-2DE7-4C3A-89C8-29FFF547E9FE}"/>
              </c:ext>
            </c:extLst>
          </c:dPt>
          <c:dPt>
            <c:idx val="2"/>
            <c:bubble3D val="0"/>
            <c:spPr>
              <a:solidFill>
                <a:srgbClr val="8A8F96"/>
              </a:solidFill>
              <a:ln w="0">
                <a:noFill/>
              </a:ln>
            </c:spPr>
            <c:extLst>
              <c:ext xmlns:c16="http://schemas.microsoft.com/office/drawing/2014/chart" uri="{C3380CC4-5D6E-409C-BE32-E72D297353CC}">
                <c16:uniqueId val="{00000005-2DE7-4C3A-89C8-29FFF547E9FE}"/>
              </c:ext>
            </c:extLst>
          </c:dPt>
          <c:dPt>
            <c:idx val="3"/>
            <c:bubble3D val="0"/>
            <c:spPr>
              <a:solidFill>
                <a:srgbClr val="8FA6B0"/>
              </a:solidFill>
              <a:ln w="0">
                <a:noFill/>
              </a:ln>
            </c:spPr>
            <c:extLst>
              <c:ext xmlns:c16="http://schemas.microsoft.com/office/drawing/2014/chart" uri="{C3380CC4-5D6E-409C-BE32-E72D297353CC}">
                <c16:uniqueId val="{00000007-2DE7-4C3A-89C8-29FFF547E9FE}"/>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1"/>
              <c:showBubbleSize val="1"/>
              <c:extLst>
                <c:ext xmlns:c16="http://schemas.microsoft.com/office/drawing/2014/chart" uri="{C3380CC4-5D6E-409C-BE32-E72D297353CC}">
                  <c16:uniqueId val="{00000001-2DE7-4C3A-89C8-29FFF547E9FE}"/>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1"/>
              <c:showBubbleSize val="1"/>
              <c:extLst>
                <c:ext xmlns:c16="http://schemas.microsoft.com/office/drawing/2014/chart" uri="{C3380CC4-5D6E-409C-BE32-E72D297353CC}">
                  <c16:uniqueId val="{00000003-2DE7-4C3A-89C8-29FFF547E9FE}"/>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1"/>
              <c:showBubbleSize val="1"/>
              <c:extLst>
                <c:ext xmlns:c16="http://schemas.microsoft.com/office/drawing/2014/chart" uri="{C3380CC4-5D6E-409C-BE32-E72D297353CC}">
                  <c16:uniqueId val="{00000005-2DE7-4C3A-89C8-29FFF547E9FE}"/>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1"/>
              <c:showBubbleSize val="1"/>
              <c:extLst>
                <c:ext xmlns:c16="http://schemas.microsoft.com/office/drawing/2014/chart" uri="{C3380CC4-5D6E-409C-BE32-E72D297353CC}">
                  <c16:uniqueId val="{00000007-2DE7-4C3A-89C8-29FFF547E9FE}"/>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Auswertung!$G$11:$G$14</c:f>
              <c:strCache>
                <c:ptCount val="4"/>
                <c:pt idx="0">
                  <c:v>Geschäftlich</c:v>
                </c:pt>
                <c:pt idx="1">
                  <c:v>Arbeitsweg</c:v>
                </c:pt>
                <c:pt idx="2">
                  <c:v>Privat</c:v>
                </c:pt>
                <c:pt idx="3">
                  <c:v>Sonstige</c:v>
                </c:pt>
              </c:strCache>
            </c:strRef>
          </c:cat>
          <c:val>
            <c:numRef>
              <c:f>Auswertung!$I$11:$I$14</c:f>
              <c:numCache>
                <c:formatCode>#,##0" km"</c:formatCode>
                <c:ptCount val="4"/>
                <c:pt idx="0">
                  <c:v>2560</c:v>
                </c:pt>
                <c:pt idx="1">
                  <c:v>24</c:v>
                </c:pt>
                <c:pt idx="2">
                  <c:v>95</c:v>
                </c:pt>
                <c:pt idx="3">
                  <c:v>0</c:v>
                </c:pt>
              </c:numCache>
            </c:numRef>
          </c:val>
          <c:extLst>
            <c:ext xmlns:c16="http://schemas.microsoft.com/office/drawing/2014/chart" uri="{C3380CC4-5D6E-409C-BE32-E72D297353CC}">
              <c16:uniqueId val="{00000008-2DE7-4C3A-89C8-29FFF547E9FE}"/>
            </c:ext>
          </c:extLst>
        </c:ser>
        <c:dLbls>
          <c:showLegendKey val="0"/>
          <c:showVal val="0"/>
          <c:showCatName val="0"/>
          <c:showSerName val="0"/>
          <c:showPercent val="0"/>
          <c:showBubbleSize val="0"/>
          <c:showLeaderLines val="1"/>
        </c:dLbls>
        <c:firstSliceAng val="0"/>
      </c:pieChart>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sz="1800" b="1" strike="noStrike" spc="-1">
                <a:solidFill>
                  <a:srgbClr val="000000"/>
                </a:solidFill>
                <a:latin typeface="Calibri"/>
              </a:rPr>
              <a:t>Kilometer nach Fahrzeug</a:t>
            </a:r>
          </a:p>
        </c:rich>
      </c:tx>
      <c:overlay val="0"/>
      <c:spPr>
        <a:noFill/>
        <a:ln w="0">
          <a:noFill/>
        </a:ln>
      </c:spPr>
    </c:title>
    <c:autoTitleDeleted val="0"/>
    <c:plotArea>
      <c:layout/>
      <c:barChart>
        <c:barDir val="bar"/>
        <c:grouping val="clustered"/>
        <c:varyColors val="0"/>
        <c:ser>
          <c:idx val="0"/>
          <c:order val="0"/>
          <c:tx>
            <c:strRef>
              <c:f>Auswertung!$I$18</c:f>
              <c:strCache>
                <c:ptCount val="1"/>
                <c:pt idx="0">
                  <c:v>km</c:v>
                </c:pt>
              </c:strCache>
            </c:strRef>
          </c:tx>
          <c:spPr>
            <a:solidFill>
              <a:srgbClr val="4A525B"/>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Auswertung!$G$19:$G$24</c:f>
              <c:strCache>
                <c:ptCount val="4"/>
                <c:pt idx="0">
                  <c:v>OL-RV 1420</c:v>
                </c:pt>
                <c:pt idx="1">
                  <c:v>OL-RV 88</c:v>
                </c:pt>
                <c:pt idx="2">
                  <c:v>OL-JW 7</c:v>
                </c:pt>
                <c:pt idx="3">
                  <c:v>OL-M 210</c:v>
                </c:pt>
              </c:strCache>
            </c:strRef>
          </c:cat>
          <c:val>
            <c:numRef>
              <c:f>Auswertung!$I$19:$I$24</c:f>
              <c:numCache>
                <c:formatCode>#,##0" km"</c:formatCode>
                <c:ptCount val="6"/>
                <c:pt idx="0">
                  <c:v>2138</c:v>
                </c:pt>
                <c:pt idx="1">
                  <c:v>376</c:v>
                </c:pt>
                <c:pt idx="2">
                  <c:v>119</c:v>
                </c:pt>
                <c:pt idx="3">
                  <c:v>46</c:v>
                </c:pt>
                <c:pt idx="4">
                  <c:v>0</c:v>
                </c:pt>
                <c:pt idx="5">
                  <c:v>0</c:v>
                </c:pt>
              </c:numCache>
            </c:numRef>
          </c:val>
          <c:extLst>
            <c:ext xmlns:c16="http://schemas.microsoft.com/office/drawing/2014/chart" uri="{C3380CC4-5D6E-409C-BE32-E72D297353CC}">
              <c16:uniqueId val="{00000000-723A-4A1E-8D98-111495A81235}"/>
            </c:ext>
          </c:extLst>
        </c:ser>
        <c:dLbls>
          <c:showLegendKey val="0"/>
          <c:showVal val="0"/>
          <c:showCatName val="0"/>
          <c:showSerName val="0"/>
          <c:showPercent val="0"/>
          <c:showBubbleSize val="0"/>
        </c:dLbls>
        <c:gapWidth val="150"/>
        <c:axId val="17271150"/>
        <c:axId val="90043101"/>
      </c:barChart>
      <c:catAx>
        <c:axId val="17271150"/>
        <c:scaling>
          <c:orientation val="minMax"/>
        </c:scaling>
        <c:delete val="0"/>
        <c:axPos val="l"/>
        <c:numFmt formatCode="#,##0"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90043101"/>
        <c:crosses val="autoZero"/>
        <c:auto val="1"/>
        <c:lblAlgn val="ctr"/>
        <c:lblOffset val="100"/>
        <c:noMultiLvlLbl val="0"/>
      </c:catAx>
      <c:valAx>
        <c:axId val="90043101"/>
        <c:scaling>
          <c:orientation val="minMax"/>
        </c:scaling>
        <c:delete val="0"/>
        <c:axPos val="b"/>
        <c:majorGridlines>
          <c:spPr>
            <a:ln w="9360">
              <a:solidFill>
                <a:srgbClr val="878787"/>
              </a:solidFill>
              <a:round/>
            </a:ln>
          </c:spPr>
        </c:majorGridlines>
        <c:numFmt formatCode="#,##0&quot; km&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17271150"/>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31</xdr:row>
      <xdr:rowOff>0</xdr:rowOff>
    </xdr:from>
    <xdr:to>
      <xdr:col>6</xdr:col>
      <xdr:colOff>771120</xdr:colOff>
      <xdr:row>44</xdr:row>
      <xdr:rowOff>115200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31</xdr:row>
      <xdr:rowOff>0</xdr:rowOff>
    </xdr:from>
    <xdr:to>
      <xdr:col>12</xdr:col>
      <xdr:colOff>106200</xdr:colOff>
      <xdr:row>44</xdr:row>
      <xdr:rowOff>115200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46</xdr:row>
      <xdr:rowOff>0</xdr:rowOff>
    </xdr:from>
    <xdr:to>
      <xdr:col>6</xdr:col>
      <xdr:colOff>51120</xdr:colOff>
      <xdr:row>59</xdr:row>
      <xdr:rowOff>115200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showGridLines="0" zoomScaleNormal="100" workbookViewId="0"/>
  </sheetViews>
  <sheetFormatPr baseColWidth="10" defaultColWidth="8.7109375" defaultRowHeight="15" x14ac:dyDescent="0.25"/>
  <cols>
    <col min="1" max="1" width="2.140625" customWidth="1"/>
    <col min="2" max="2" width="22" customWidth="1"/>
    <col min="3" max="3" width="26" customWidth="1"/>
    <col min="4" max="4" width="15" customWidth="1"/>
    <col min="5" max="7" width="13" customWidth="1"/>
    <col min="8" max="8" width="2.140625" customWidth="1"/>
    <col min="9" max="10" width="16" customWidth="1"/>
  </cols>
  <sheetData>
    <row r="1" spans="1:10" ht="6" customHeight="1" x14ac:dyDescent="0.25">
      <c r="A1" s="15"/>
      <c r="B1" s="15"/>
      <c r="C1" s="15"/>
      <c r="D1" s="15"/>
      <c r="E1" s="15"/>
      <c r="F1" s="15"/>
      <c r="G1" s="15"/>
    </row>
    <row r="2" spans="1:10" ht="25.5" customHeight="1" x14ac:dyDescent="0.25">
      <c r="B2" s="3" t="s">
        <v>0</v>
      </c>
      <c r="C2" s="3"/>
      <c r="D2" s="3"/>
      <c r="E2" s="3"/>
      <c r="F2" s="3"/>
      <c r="G2" s="3"/>
    </row>
    <row r="3" spans="1:10" ht="15.75" customHeight="1" x14ac:dyDescent="0.25">
      <c r="B3" s="13" t="s">
        <v>1</v>
      </c>
      <c r="C3" s="13"/>
      <c r="D3" s="13"/>
      <c r="E3" s="13"/>
      <c r="F3" s="13"/>
      <c r="G3" s="13"/>
    </row>
    <row r="4" spans="1:10" ht="6" customHeight="1" x14ac:dyDescent="0.25"/>
    <row r="6" spans="1:10" ht="19.5" customHeight="1" x14ac:dyDescent="0.25">
      <c r="B6" s="2" t="s">
        <v>2</v>
      </c>
      <c r="C6" s="2"/>
      <c r="E6" s="2" t="s">
        <v>3</v>
      </c>
      <c r="F6" s="2"/>
      <c r="G6" s="2"/>
    </row>
    <row r="7" spans="1:10" x14ac:dyDescent="0.25">
      <c r="B7" s="16" t="s">
        <v>4</v>
      </c>
      <c r="C7" s="17" t="s">
        <v>5</v>
      </c>
      <c r="E7" s="1" t="s">
        <v>6</v>
      </c>
      <c r="F7" s="1"/>
      <c r="G7" s="18">
        <v>0.3</v>
      </c>
    </row>
    <row r="8" spans="1:10" x14ac:dyDescent="0.25">
      <c r="B8" s="16" t="s">
        <v>7</v>
      </c>
      <c r="C8" s="17" t="s">
        <v>8</v>
      </c>
      <c r="E8" s="1" t="s">
        <v>9</v>
      </c>
      <c r="F8" s="1"/>
      <c r="G8" s="18">
        <v>0.2</v>
      </c>
    </row>
    <row r="9" spans="1:10" x14ac:dyDescent="0.25">
      <c r="B9" s="16" t="s">
        <v>10</v>
      </c>
      <c r="C9" s="17" t="s">
        <v>11</v>
      </c>
      <c r="E9" s="1" t="s">
        <v>12</v>
      </c>
      <c r="F9" s="1"/>
      <c r="G9" s="18">
        <v>0.38</v>
      </c>
    </row>
    <row r="10" spans="1:10" x14ac:dyDescent="0.25">
      <c r="B10" s="16" t="s">
        <v>13</v>
      </c>
      <c r="C10" s="17" t="s">
        <v>14</v>
      </c>
      <c r="E10" s="1" t="s">
        <v>15</v>
      </c>
      <c r="F10" s="1"/>
      <c r="G10" s="18">
        <v>0</v>
      </c>
    </row>
    <row r="11" spans="1:10" ht="15" customHeight="1" x14ac:dyDescent="0.25">
      <c r="B11" s="16" t="s">
        <v>16</v>
      </c>
      <c r="C11" s="17" t="s">
        <v>17</v>
      </c>
      <c r="E11" s="63" t="s">
        <v>18</v>
      </c>
      <c r="F11" s="63"/>
      <c r="G11" s="63"/>
    </row>
    <row r="12" spans="1:10" x14ac:dyDescent="0.25">
      <c r="B12" s="16" t="s">
        <v>19</v>
      </c>
      <c r="C12" s="17" t="s">
        <v>20</v>
      </c>
      <c r="E12" s="63"/>
      <c r="F12" s="63"/>
      <c r="G12" s="63"/>
    </row>
    <row r="13" spans="1:10" x14ac:dyDescent="0.25">
      <c r="B13" s="16" t="s">
        <v>21</v>
      </c>
      <c r="C13" s="19">
        <v>2026</v>
      </c>
      <c r="E13" s="63"/>
      <c r="F13" s="63"/>
      <c r="G13" s="63"/>
    </row>
    <row r="14" spans="1:10" x14ac:dyDescent="0.25">
      <c r="B14" s="16" t="s">
        <v>22</v>
      </c>
      <c r="C14" s="17" t="s">
        <v>23</v>
      </c>
      <c r="E14" s="63"/>
      <c r="F14" s="63"/>
      <c r="G14" s="63"/>
    </row>
    <row r="16" spans="1:10" ht="19.5" customHeight="1" x14ac:dyDescent="0.25">
      <c r="B16" s="2" t="s">
        <v>24</v>
      </c>
      <c r="C16" s="2"/>
      <c r="D16" s="2"/>
      <c r="E16" s="2"/>
      <c r="F16" s="2"/>
      <c r="I16" s="2" t="s">
        <v>25</v>
      </c>
      <c r="J16" s="2"/>
    </row>
    <row r="17" spans="2:10" x14ac:dyDescent="0.25">
      <c r="B17" s="20" t="s">
        <v>26</v>
      </c>
      <c r="C17" s="20" t="s">
        <v>27</v>
      </c>
      <c r="D17" s="20" t="s">
        <v>28</v>
      </c>
      <c r="E17" s="20" t="s">
        <v>29</v>
      </c>
      <c r="I17" s="20" t="s">
        <v>30</v>
      </c>
      <c r="J17" s="20" t="s">
        <v>31</v>
      </c>
    </row>
    <row r="18" spans="2:10" x14ac:dyDescent="0.25">
      <c r="B18" s="17" t="s">
        <v>32</v>
      </c>
      <c r="C18" s="17" t="s">
        <v>33</v>
      </c>
      <c r="D18" s="21" t="s">
        <v>34</v>
      </c>
      <c r="E18" s="18">
        <v>0.3</v>
      </c>
      <c r="I18" s="21" t="s">
        <v>35</v>
      </c>
      <c r="J18" s="21" t="s">
        <v>36</v>
      </c>
    </row>
    <row r="19" spans="2:10" x14ac:dyDescent="0.25">
      <c r="B19" s="17" t="s">
        <v>37</v>
      </c>
      <c r="C19" s="17" t="s">
        <v>38</v>
      </c>
      <c r="D19" s="21" t="s">
        <v>34</v>
      </c>
      <c r="E19" s="18">
        <v>0.3</v>
      </c>
      <c r="I19" s="21" t="s">
        <v>39</v>
      </c>
      <c r="J19" s="21" t="s">
        <v>40</v>
      </c>
    </row>
    <row r="20" spans="2:10" x14ac:dyDescent="0.25">
      <c r="B20" s="17" t="s">
        <v>41</v>
      </c>
      <c r="C20" s="17" t="s">
        <v>42</v>
      </c>
      <c r="D20" s="21" t="s">
        <v>34</v>
      </c>
      <c r="E20" s="18">
        <v>0.3</v>
      </c>
      <c r="I20" s="21" t="s">
        <v>43</v>
      </c>
      <c r="J20" s="21" t="s">
        <v>44</v>
      </c>
    </row>
    <row r="21" spans="2:10" x14ac:dyDescent="0.25">
      <c r="B21" s="17" t="s">
        <v>45</v>
      </c>
      <c r="C21" s="17" t="s">
        <v>46</v>
      </c>
      <c r="D21" s="21" t="s">
        <v>47</v>
      </c>
      <c r="E21" s="18">
        <v>0.2</v>
      </c>
      <c r="I21" s="21" t="s">
        <v>48</v>
      </c>
      <c r="J21" s="21"/>
    </row>
    <row r="22" spans="2:10" x14ac:dyDescent="0.25">
      <c r="B22" s="17"/>
      <c r="C22" s="17"/>
      <c r="D22" s="17"/>
      <c r="E22" s="22"/>
    </row>
    <row r="23" spans="2:10" x14ac:dyDescent="0.25">
      <c r="B23" s="17"/>
      <c r="C23" s="17"/>
      <c r="D23" s="17"/>
      <c r="E23" s="22"/>
    </row>
    <row r="25" spans="2:10" ht="19.5" customHeight="1" x14ac:dyDescent="0.25">
      <c r="B25" s="64" t="s">
        <v>49</v>
      </c>
      <c r="C25" s="64"/>
      <c r="D25" s="64"/>
      <c r="E25" s="64"/>
      <c r="F25" s="64"/>
      <c r="G25" s="64"/>
    </row>
    <row r="26" spans="2:10" ht="25.5" customHeight="1" x14ac:dyDescent="0.25">
      <c r="B26" s="65" t="s">
        <v>50</v>
      </c>
      <c r="C26" s="65"/>
      <c r="D26" s="65"/>
      <c r="E26" s="65"/>
      <c r="F26" s="65"/>
      <c r="G26" s="65"/>
    </row>
    <row r="27" spans="2:10" ht="25.5" customHeight="1" x14ac:dyDescent="0.25">
      <c r="B27" s="66" t="s">
        <v>51</v>
      </c>
      <c r="C27" s="66"/>
      <c r="D27" s="66"/>
      <c r="E27" s="66"/>
      <c r="F27" s="66"/>
      <c r="G27" s="66"/>
    </row>
    <row r="28" spans="2:10" ht="25.5" customHeight="1" x14ac:dyDescent="0.25">
      <c r="B28" s="65" t="s">
        <v>52</v>
      </c>
      <c r="C28" s="65"/>
      <c r="D28" s="65"/>
      <c r="E28" s="65"/>
      <c r="F28" s="65"/>
      <c r="G28" s="65"/>
    </row>
    <row r="29" spans="2:10" ht="25.5" customHeight="1" x14ac:dyDescent="0.25">
      <c r="B29" s="66" t="s">
        <v>53</v>
      </c>
      <c r="C29" s="66"/>
      <c r="D29" s="66"/>
      <c r="E29" s="66"/>
      <c r="F29" s="66"/>
      <c r="G29" s="66"/>
    </row>
    <row r="30" spans="2:10" ht="25.5" customHeight="1" x14ac:dyDescent="0.25">
      <c r="B30" s="65" t="s">
        <v>54</v>
      </c>
      <c r="C30" s="65"/>
      <c r="D30" s="65"/>
      <c r="E30" s="65"/>
      <c r="F30" s="65"/>
      <c r="G30" s="65"/>
    </row>
    <row r="31" spans="2:10" ht="25.5" customHeight="1" x14ac:dyDescent="0.25">
      <c r="B31" s="66" t="s">
        <v>55</v>
      </c>
      <c r="C31" s="66"/>
      <c r="D31" s="66"/>
      <c r="E31" s="66"/>
      <c r="F31" s="66"/>
      <c r="G31" s="66"/>
    </row>
    <row r="33" spans="2:7" ht="18" customHeight="1" x14ac:dyDescent="0.25">
      <c r="B33" s="67" t="s">
        <v>56</v>
      </c>
      <c r="C33" s="67"/>
      <c r="D33" s="67"/>
      <c r="E33" s="67"/>
      <c r="F33" s="67"/>
      <c r="G33" s="67"/>
    </row>
    <row r="34" spans="2:7" x14ac:dyDescent="0.25">
      <c r="B34" s="23"/>
      <c r="C34" s="68" t="s">
        <v>57</v>
      </c>
      <c r="D34" s="68"/>
      <c r="E34" s="68"/>
      <c r="F34" s="68"/>
      <c r="G34" s="68"/>
    </row>
    <row r="35" spans="2:7" x14ac:dyDescent="0.25">
      <c r="B35" s="24"/>
      <c r="C35" s="68" t="s">
        <v>58</v>
      </c>
      <c r="D35" s="68"/>
      <c r="E35" s="68"/>
      <c r="F35" s="68"/>
      <c r="G35" s="68"/>
    </row>
    <row r="36" spans="2:7" x14ac:dyDescent="0.25">
      <c r="B36" s="25"/>
      <c r="C36" s="68" t="s">
        <v>59</v>
      </c>
      <c r="D36" s="68"/>
      <c r="E36" s="68"/>
      <c r="F36" s="68"/>
      <c r="G36" s="68"/>
    </row>
    <row r="37" spans="2:7" x14ac:dyDescent="0.25">
      <c r="B37" s="26"/>
      <c r="C37" s="68" t="s">
        <v>60</v>
      </c>
      <c r="D37" s="68"/>
      <c r="E37" s="68"/>
      <c r="F37" s="68"/>
      <c r="G37" s="68"/>
    </row>
    <row r="38" spans="2:7" x14ac:dyDescent="0.25">
      <c r="B38" s="27"/>
      <c r="C38" s="68" t="s">
        <v>61</v>
      </c>
      <c r="D38" s="68"/>
      <c r="E38" s="68"/>
      <c r="F38" s="68"/>
      <c r="G38" s="68"/>
    </row>
    <row r="40" spans="2:7" ht="15" customHeight="1" x14ac:dyDescent="0.25">
      <c r="B40" s="63" t="s">
        <v>62</v>
      </c>
      <c r="C40" s="63"/>
      <c r="D40" s="63"/>
      <c r="E40" s="63"/>
      <c r="F40" s="63"/>
      <c r="G40" s="63"/>
    </row>
    <row r="41" spans="2:7" x14ac:dyDescent="0.25">
      <c r="B41" s="63"/>
      <c r="C41" s="63"/>
      <c r="D41" s="63"/>
      <c r="E41" s="63"/>
      <c r="F41" s="63"/>
      <c r="G41" s="63"/>
    </row>
    <row r="42" spans="2:7" x14ac:dyDescent="0.25">
      <c r="B42" s="63"/>
      <c r="C42" s="63"/>
      <c r="D42" s="63"/>
      <c r="E42" s="63"/>
      <c r="F42" s="63"/>
      <c r="G42" s="63"/>
    </row>
  </sheetData>
  <mergeCells count="25">
    <mergeCell ref="C35:G35"/>
    <mergeCell ref="C36:G36"/>
    <mergeCell ref="C37:G37"/>
    <mergeCell ref="C38:G38"/>
    <mergeCell ref="B40:G42"/>
    <mergeCell ref="B29:G29"/>
    <mergeCell ref="B30:G30"/>
    <mergeCell ref="B31:G31"/>
    <mergeCell ref="B33:G33"/>
    <mergeCell ref="C34:G34"/>
    <mergeCell ref="I16:J16"/>
    <mergeCell ref="B25:G25"/>
    <mergeCell ref="B26:G26"/>
    <mergeCell ref="B27:G27"/>
    <mergeCell ref="B28:G28"/>
    <mergeCell ref="E8:F8"/>
    <mergeCell ref="E9:F9"/>
    <mergeCell ref="E10:F10"/>
    <mergeCell ref="E11:G14"/>
    <mergeCell ref="B16:F16"/>
    <mergeCell ref="B2:G2"/>
    <mergeCell ref="B3:G3"/>
    <mergeCell ref="B6:C6"/>
    <mergeCell ref="E6:G6"/>
    <mergeCell ref="E7:F7"/>
  </mergeCells>
  <pageMargins left="0.4" right="0.4" top="0.5" bottom="0.5"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9"/>
  <sheetViews>
    <sheetView showGridLines="0" tabSelected="1" zoomScaleNormal="100" workbookViewId="0">
      <pane xSplit="2" ySplit="12" topLeftCell="C13" activePane="bottomRight" state="frozen"/>
      <selection pane="topRight" activeCell="C1" sqref="C1"/>
      <selection pane="bottomLeft" activeCell="A13" sqref="A13"/>
      <selection pane="bottomRight" activeCell="R74" sqref="R74"/>
    </sheetView>
  </sheetViews>
  <sheetFormatPr baseColWidth="10" defaultColWidth="8.7109375" defaultRowHeight="15" x14ac:dyDescent="0.25"/>
  <cols>
    <col min="1" max="1" width="3" bestFit="1" customWidth="1"/>
    <col min="2" max="2" width="9.85546875" bestFit="1" customWidth="1"/>
    <col min="3" max="3" width="9.28515625" bestFit="1" customWidth="1"/>
    <col min="4" max="4" width="14.7109375" bestFit="1" customWidth="1"/>
    <col min="5" max="5" width="23.42578125" bestFit="1" customWidth="1"/>
    <col min="6" max="6" width="10.85546875" bestFit="1" customWidth="1"/>
    <col min="7" max="7" width="10" bestFit="1" customWidth="1"/>
    <col min="8" max="8" width="11.85546875" bestFit="1" customWidth="1"/>
    <col min="9" max="9" width="8.42578125" bestFit="1" customWidth="1"/>
    <col min="10" max="10" width="5.7109375" bestFit="1" customWidth="1"/>
    <col min="11" max="11" width="8.7109375" bestFit="1" customWidth="1"/>
    <col min="12" max="12" width="5.28515625" bestFit="1" customWidth="1"/>
    <col min="13" max="13" width="8" bestFit="1" customWidth="1"/>
    <col min="14" max="14" width="8.85546875" bestFit="1" customWidth="1"/>
    <col min="15" max="15" width="18.42578125" bestFit="1" customWidth="1"/>
  </cols>
  <sheetData>
    <row r="1" spans="1:15" ht="6" customHeight="1" x14ac:dyDescent="0.25">
      <c r="A1" s="15"/>
      <c r="B1" s="15"/>
      <c r="C1" s="15"/>
      <c r="D1" s="15"/>
      <c r="E1" s="15"/>
      <c r="F1" s="15"/>
      <c r="G1" s="15"/>
      <c r="H1" s="15"/>
      <c r="I1" s="15"/>
      <c r="J1" s="15"/>
      <c r="K1" s="15"/>
      <c r="L1" s="15"/>
      <c r="M1" s="15"/>
      <c r="N1" s="15"/>
      <c r="O1" s="15"/>
    </row>
    <row r="2" spans="1:15" ht="27.75" customHeight="1" x14ac:dyDescent="0.25">
      <c r="A2" s="14" t="s">
        <v>63</v>
      </c>
      <c r="B2" s="14"/>
      <c r="C2" s="14"/>
      <c r="D2" s="14"/>
      <c r="E2" s="14"/>
      <c r="F2" s="14"/>
      <c r="G2" s="14"/>
      <c r="H2" s="14"/>
      <c r="I2" s="14"/>
      <c r="J2" s="14"/>
      <c r="K2" s="14"/>
      <c r="L2" s="14"/>
      <c r="M2" s="14"/>
      <c r="N2" s="14"/>
      <c r="O2" s="14"/>
    </row>
    <row r="3" spans="1:15" ht="15.75" customHeight="1" x14ac:dyDescent="0.25">
      <c r="A3" s="13" t="str">
        <f>"Fahrtenübersicht &amp; Fahrtkostenerstattung   ·   "&amp;Einstellungen!C9&amp;"   ·   "&amp;Einstellungen!C14</f>
        <v>Fahrtenübersicht &amp; Fahrtkostenerstattung   ·   Jonas Wagner   ·   01.01.2026 – 31.03.2026</v>
      </c>
      <c r="B3" s="13"/>
      <c r="C3" s="13"/>
      <c r="D3" s="13"/>
      <c r="E3" s="13"/>
      <c r="F3" s="13"/>
      <c r="G3" s="13"/>
      <c r="H3" s="13"/>
      <c r="I3" s="13"/>
      <c r="J3" s="13"/>
      <c r="K3" s="13"/>
      <c r="L3" s="13"/>
      <c r="M3" s="13"/>
      <c r="N3" s="13"/>
      <c r="O3" s="13"/>
    </row>
    <row r="4" spans="1:15" ht="6" customHeight="1" x14ac:dyDescent="0.25"/>
    <row r="5" spans="1:15" ht="15.75" customHeight="1" x14ac:dyDescent="0.25">
      <c r="B5" s="28" t="s">
        <v>64</v>
      </c>
      <c r="C5" s="12" t="str">
        <f>Einstellungen!C9</f>
        <v>Jonas Wagner</v>
      </c>
      <c r="D5" s="12"/>
      <c r="E5" s="28" t="s">
        <v>16</v>
      </c>
      <c r="F5" s="12" t="str">
        <f>Einstellungen!C11</f>
        <v>Vertrieb Außendienst</v>
      </c>
      <c r="G5" s="12"/>
      <c r="H5" s="28" t="s">
        <v>65</v>
      </c>
      <c r="I5" s="12" t="str">
        <f>Einstellungen!C14</f>
        <v>01.01.2026 – 31.03.2026</v>
      </c>
      <c r="J5" s="12"/>
      <c r="K5" s="12"/>
      <c r="L5" s="12"/>
      <c r="M5" s="12"/>
      <c r="N5" s="12"/>
      <c r="O5" s="12"/>
    </row>
    <row r="6" spans="1:15" ht="15.75" customHeight="1" x14ac:dyDescent="0.25">
      <c r="B6" s="28" t="s">
        <v>66</v>
      </c>
      <c r="C6" s="12" t="str">
        <f>Einstellungen!C7</f>
        <v>Rheintal Vertrieb GmbH</v>
      </c>
      <c r="D6" s="12"/>
      <c r="E6" s="28" t="s">
        <v>19</v>
      </c>
      <c r="F6" s="12" t="str">
        <f>Einstellungen!C12</f>
        <v>KST 4200</v>
      </c>
      <c r="G6" s="12"/>
      <c r="H6" s="28" t="s">
        <v>21</v>
      </c>
      <c r="I6" s="11">
        <f>Einstellungen!C13</f>
        <v>2026</v>
      </c>
      <c r="J6" s="11"/>
      <c r="K6" s="11"/>
      <c r="L6" s="11"/>
      <c r="M6" s="11"/>
      <c r="N6" s="11"/>
      <c r="O6" s="11"/>
    </row>
    <row r="7" spans="1:15" ht="6" customHeight="1" x14ac:dyDescent="0.25"/>
    <row r="8" spans="1:15" ht="3.75" customHeight="1" x14ac:dyDescent="0.25">
      <c r="B8" s="10"/>
      <c r="C8" s="10"/>
      <c r="D8" s="10"/>
      <c r="E8" s="10"/>
      <c r="F8" s="10"/>
      <c r="G8" s="10"/>
      <c r="H8" s="10"/>
      <c r="I8" s="10"/>
      <c r="J8" s="10"/>
      <c r="K8" s="10"/>
      <c r="L8" s="10"/>
      <c r="M8" s="10"/>
      <c r="N8" s="10"/>
      <c r="O8" s="10"/>
    </row>
    <row r="9" spans="1:15" ht="30" customHeight="1" x14ac:dyDescent="0.25">
      <c r="B9" s="9">
        <f>COUNTA($B$13:$B$38)</f>
        <v>22</v>
      </c>
      <c r="C9" s="9"/>
      <c r="D9" s="9"/>
      <c r="E9" s="8">
        <f>SUM($K$13:$K$38)</f>
        <v>2679</v>
      </c>
      <c r="F9" s="8"/>
      <c r="G9" s="8"/>
      <c r="H9" s="7">
        <f>SUM($M$13:$M$38)</f>
        <v>772.5200000000001</v>
      </c>
      <c r="I9" s="7"/>
      <c r="J9" s="7"/>
      <c r="K9" s="7"/>
      <c r="L9" s="7">
        <f>IFERROR(SUM($M$13:$M$38)/COUNTA($B$13:$B$38),0)</f>
        <v>35.114545454545457</v>
      </c>
      <c r="M9" s="7"/>
      <c r="N9" s="7"/>
      <c r="O9" s="7"/>
    </row>
    <row r="10" spans="1:15" ht="15.75" customHeight="1" x14ac:dyDescent="0.25">
      <c r="B10" s="6" t="s">
        <v>67</v>
      </c>
      <c r="C10" s="6"/>
      <c r="D10" s="6"/>
      <c r="E10" s="6" t="s">
        <v>68</v>
      </c>
      <c r="F10" s="6"/>
      <c r="G10" s="6"/>
      <c r="H10" s="6" t="s">
        <v>69</v>
      </c>
      <c r="I10" s="6"/>
      <c r="J10" s="6"/>
      <c r="K10" s="6"/>
      <c r="L10" s="6" t="s">
        <v>70</v>
      </c>
      <c r="M10" s="6"/>
      <c r="N10" s="6"/>
      <c r="O10" s="6"/>
    </row>
    <row r="11" spans="1:15" ht="6" customHeight="1" x14ac:dyDescent="0.25"/>
    <row r="12" spans="1:15" ht="30" customHeight="1" x14ac:dyDescent="0.25">
      <c r="A12" s="29" t="s">
        <v>71</v>
      </c>
      <c r="B12" s="29" t="s">
        <v>72</v>
      </c>
      <c r="C12" s="29" t="s">
        <v>73</v>
      </c>
      <c r="D12" s="29" t="s">
        <v>74</v>
      </c>
      <c r="E12" s="29" t="s">
        <v>75</v>
      </c>
      <c r="F12" s="29" t="s">
        <v>30</v>
      </c>
      <c r="G12" s="29" t="s">
        <v>76</v>
      </c>
      <c r="H12" s="29" t="s">
        <v>77</v>
      </c>
      <c r="I12" s="29" t="s">
        <v>78</v>
      </c>
      <c r="J12" s="29" t="s">
        <v>79</v>
      </c>
      <c r="K12" s="29" t="s">
        <v>80</v>
      </c>
      <c r="L12" s="29" t="s">
        <v>81</v>
      </c>
      <c r="M12" s="29" t="s">
        <v>82</v>
      </c>
      <c r="N12" s="29" t="s">
        <v>31</v>
      </c>
      <c r="O12" s="29" t="s">
        <v>83</v>
      </c>
    </row>
    <row r="13" spans="1:15" ht="15" customHeight="1" x14ac:dyDescent="0.25">
      <c r="A13" s="30">
        <f>IF(B13="","",COUNTA($B$13:B13))</f>
        <v>1</v>
      </c>
      <c r="B13" s="31">
        <v>46030</v>
      </c>
      <c r="C13" s="32" t="s">
        <v>84</v>
      </c>
      <c r="D13" s="32" t="s">
        <v>85</v>
      </c>
      <c r="E13" s="32" t="s">
        <v>86</v>
      </c>
      <c r="F13" s="33" t="s">
        <v>35</v>
      </c>
      <c r="G13" s="33" t="s">
        <v>32</v>
      </c>
      <c r="H13" s="34">
        <v>48250</v>
      </c>
      <c r="I13" s="34">
        <v>48342</v>
      </c>
      <c r="J13" s="34"/>
      <c r="K13" s="35">
        <f t="shared" ref="K13:K38" si="0">IF(B13="","",IF(AND(ISNUMBER(H13),ISNUMBER(I13)),MAX(0,I13-H13),IF(ISNUMBER(J13),J13,0)))</f>
        <v>92</v>
      </c>
      <c r="L13" s="36">
        <f t="shared" ref="L13:L38" si="1">IF(B13="","",IF(F13="Privat",Satz_Privat,IF(F13="Arbeitsweg",Satz_Arbeitsweg,IFERROR(VLOOKUP(G13,Fahrzeug_Tabelle,4,0),Satz_Standard))))</f>
        <v>0.3</v>
      </c>
      <c r="M13" s="37">
        <f t="shared" ref="M13:M38" si="2">IF(B13="","",ROUND(K13*L13,2))</f>
        <v>27.6</v>
      </c>
      <c r="N13" s="33" t="s">
        <v>44</v>
      </c>
      <c r="O13" s="32"/>
    </row>
    <row r="14" spans="1:15" ht="15" customHeight="1" x14ac:dyDescent="0.25">
      <c r="A14" s="38">
        <f>IF(B14="","",COUNTA($B$13:B14))</f>
        <v>2</v>
      </c>
      <c r="B14" s="31">
        <v>46031</v>
      </c>
      <c r="C14" s="32" t="s">
        <v>84</v>
      </c>
      <c r="D14" s="32" t="s">
        <v>87</v>
      </c>
      <c r="E14" s="32" t="s">
        <v>88</v>
      </c>
      <c r="F14" s="33" t="s">
        <v>35</v>
      </c>
      <c r="G14" s="33" t="s">
        <v>32</v>
      </c>
      <c r="H14" s="34">
        <v>48342</v>
      </c>
      <c r="I14" s="34">
        <v>48520</v>
      </c>
      <c r="J14" s="34"/>
      <c r="K14" s="35">
        <f t="shared" si="0"/>
        <v>178</v>
      </c>
      <c r="L14" s="36">
        <f t="shared" si="1"/>
        <v>0.3</v>
      </c>
      <c r="M14" s="37">
        <f t="shared" si="2"/>
        <v>53.4</v>
      </c>
      <c r="N14" s="33" t="s">
        <v>44</v>
      </c>
      <c r="O14" s="32"/>
    </row>
    <row r="15" spans="1:15" ht="15" customHeight="1" x14ac:dyDescent="0.25">
      <c r="A15" s="30">
        <f>IF(B15="","",COUNTA($B$13:B15))</f>
        <v>3</v>
      </c>
      <c r="B15" s="31">
        <v>46034</v>
      </c>
      <c r="C15" s="32" t="s">
        <v>84</v>
      </c>
      <c r="D15" s="32" t="s">
        <v>89</v>
      </c>
      <c r="E15" s="32" t="s">
        <v>90</v>
      </c>
      <c r="F15" s="33" t="s">
        <v>35</v>
      </c>
      <c r="G15" s="33" t="s">
        <v>32</v>
      </c>
      <c r="H15" s="34">
        <v>48520</v>
      </c>
      <c r="I15" s="34">
        <v>48628</v>
      </c>
      <c r="J15" s="34"/>
      <c r="K15" s="35">
        <f t="shared" si="0"/>
        <v>108</v>
      </c>
      <c r="L15" s="36">
        <f t="shared" si="1"/>
        <v>0.3</v>
      </c>
      <c r="M15" s="37">
        <f t="shared" si="2"/>
        <v>32.4</v>
      </c>
      <c r="N15" s="33" t="s">
        <v>44</v>
      </c>
      <c r="O15" s="32"/>
    </row>
    <row r="16" spans="1:15" ht="15" customHeight="1" x14ac:dyDescent="0.25">
      <c r="A16" s="38">
        <f>IF(B16="","",COUNTA($B$13:B16))</f>
        <v>4</v>
      </c>
      <c r="B16" s="31">
        <v>46036</v>
      </c>
      <c r="C16" s="32" t="s">
        <v>91</v>
      </c>
      <c r="D16" s="32" t="s">
        <v>92</v>
      </c>
      <c r="E16" s="32" t="s">
        <v>93</v>
      </c>
      <c r="F16" s="33" t="s">
        <v>39</v>
      </c>
      <c r="G16" s="33" t="s">
        <v>41</v>
      </c>
      <c r="H16" s="34"/>
      <c r="I16" s="34"/>
      <c r="J16" s="34">
        <v>12</v>
      </c>
      <c r="K16" s="35">
        <f t="shared" si="0"/>
        <v>12</v>
      </c>
      <c r="L16" s="36">
        <f t="shared" si="1"/>
        <v>0.38</v>
      </c>
      <c r="M16" s="37">
        <f t="shared" si="2"/>
        <v>4.5599999999999996</v>
      </c>
      <c r="N16" s="33" t="s">
        <v>44</v>
      </c>
      <c r="O16" s="32" t="s">
        <v>94</v>
      </c>
    </row>
    <row r="17" spans="1:15" ht="15" customHeight="1" x14ac:dyDescent="0.25">
      <c r="A17" s="30">
        <f>IF(B17="","",COUNTA($B$13:B17))</f>
        <v>5</v>
      </c>
      <c r="B17" s="31">
        <v>46038</v>
      </c>
      <c r="C17" s="32" t="s">
        <v>84</v>
      </c>
      <c r="D17" s="32" t="s">
        <v>95</v>
      </c>
      <c r="E17" s="32" t="s">
        <v>96</v>
      </c>
      <c r="F17" s="33" t="s">
        <v>35</v>
      </c>
      <c r="G17" s="33" t="s">
        <v>32</v>
      </c>
      <c r="H17" s="34">
        <v>48628</v>
      </c>
      <c r="I17" s="34">
        <v>48920</v>
      </c>
      <c r="J17" s="34"/>
      <c r="K17" s="35">
        <f t="shared" si="0"/>
        <v>292</v>
      </c>
      <c r="L17" s="36">
        <f t="shared" si="1"/>
        <v>0.3</v>
      </c>
      <c r="M17" s="37">
        <f t="shared" si="2"/>
        <v>87.6</v>
      </c>
      <c r="N17" s="33" t="s">
        <v>40</v>
      </c>
      <c r="O17" s="32"/>
    </row>
    <row r="18" spans="1:15" ht="15" customHeight="1" x14ac:dyDescent="0.25">
      <c r="A18" s="38">
        <f>IF(B18="","",COUNTA($B$13:B18))</f>
        <v>6</v>
      </c>
      <c r="B18" s="31">
        <v>46041</v>
      </c>
      <c r="C18" s="32" t="s">
        <v>84</v>
      </c>
      <c r="D18" s="32" t="s">
        <v>97</v>
      </c>
      <c r="E18" s="32" t="s">
        <v>98</v>
      </c>
      <c r="F18" s="33" t="s">
        <v>35</v>
      </c>
      <c r="G18" s="33" t="s">
        <v>32</v>
      </c>
      <c r="H18" s="34">
        <v>48920</v>
      </c>
      <c r="I18" s="34">
        <v>49014</v>
      </c>
      <c r="J18" s="34"/>
      <c r="K18" s="35">
        <f t="shared" si="0"/>
        <v>94</v>
      </c>
      <c r="L18" s="36">
        <f t="shared" si="1"/>
        <v>0.3</v>
      </c>
      <c r="M18" s="37">
        <f t="shared" si="2"/>
        <v>28.2</v>
      </c>
      <c r="N18" s="33" t="s">
        <v>44</v>
      </c>
      <c r="O18" s="32"/>
    </row>
    <row r="19" spans="1:15" ht="15" customHeight="1" x14ac:dyDescent="0.25">
      <c r="A19" s="30">
        <f>IF(B19="","",COUNTA($B$13:B19))</f>
        <v>7</v>
      </c>
      <c r="B19" s="31">
        <v>46043</v>
      </c>
      <c r="C19" s="32" t="s">
        <v>84</v>
      </c>
      <c r="D19" s="32" t="s">
        <v>85</v>
      </c>
      <c r="E19" s="32" t="s">
        <v>99</v>
      </c>
      <c r="F19" s="33" t="s">
        <v>35</v>
      </c>
      <c r="G19" s="33" t="s">
        <v>37</v>
      </c>
      <c r="H19" s="34"/>
      <c r="I19" s="34"/>
      <c r="J19" s="34">
        <v>88</v>
      </c>
      <c r="K19" s="35">
        <f t="shared" si="0"/>
        <v>88</v>
      </c>
      <c r="L19" s="36">
        <f t="shared" si="1"/>
        <v>0.3</v>
      </c>
      <c r="M19" s="37">
        <f t="shared" si="2"/>
        <v>26.4</v>
      </c>
      <c r="N19" s="33" t="s">
        <v>44</v>
      </c>
      <c r="O19" s="32" t="s">
        <v>100</v>
      </c>
    </row>
    <row r="20" spans="1:15" ht="15" customHeight="1" x14ac:dyDescent="0.25">
      <c r="A20" s="38">
        <f>IF(B20="","",COUNTA($B$13:B20))</f>
        <v>8</v>
      </c>
      <c r="B20" s="31">
        <v>46045</v>
      </c>
      <c r="C20" s="32" t="s">
        <v>84</v>
      </c>
      <c r="D20" s="32" t="s">
        <v>101</v>
      </c>
      <c r="E20" s="32" t="s">
        <v>102</v>
      </c>
      <c r="F20" s="33" t="s">
        <v>35</v>
      </c>
      <c r="G20" s="33" t="s">
        <v>32</v>
      </c>
      <c r="H20" s="34">
        <v>49014</v>
      </c>
      <c r="I20" s="34">
        <v>49096</v>
      </c>
      <c r="J20" s="34"/>
      <c r="K20" s="35">
        <f t="shared" si="0"/>
        <v>82</v>
      </c>
      <c r="L20" s="36">
        <f t="shared" si="1"/>
        <v>0.3</v>
      </c>
      <c r="M20" s="37">
        <f t="shared" si="2"/>
        <v>24.6</v>
      </c>
      <c r="N20" s="33" t="s">
        <v>44</v>
      </c>
      <c r="O20" s="32"/>
    </row>
    <row r="21" spans="1:15" ht="15" customHeight="1" x14ac:dyDescent="0.25">
      <c r="A21" s="30">
        <f>IF(B21="","",COUNTA($B$13:B21))</f>
        <v>9</v>
      </c>
      <c r="B21" s="31">
        <v>46049</v>
      </c>
      <c r="C21" s="32" t="s">
        <v>84</v>
      </c>
      <c r="D21" s="32" t="s">
        <v>103</v>
      </c>
      <c r="E21" s="32" t="s">
        <v>104</v>
      </c>
      <c r="F21" s="33" t="s">
        <v>43</v>
      </c>
      <c r="G21" s="33" t="s">
        <v>41</v>
      </c>
      <c r="H21" s="34"/>
      <c r="I21" s="34"/>
      <c r="J21" s="34">
        <v>60</v>
      </c>
      <c r="K21" s="35">
        <f t="shared" si="0"/>
        <v>60</v>
      </c>
      <c r="L21" s="36">
        <f t="shared" si="1"/>
        <v>0</v>
      </c>
      <c r="M21" s="37">
        <f t="shared" si="2"/>
        <v>0</v>
      </c>
      <c r="N21" s="33"/>
      <c r="O21" s="32" t="s">
        <v>105</v>
      </c>
    </row>
    <row r="22" spans="1:15" ht="15" customHeight="1" x14ac:dyDescent="0.25">
      <c r="A22" s="38">
        <f>IF(B22="","",COUNTA($B$13:B22))</f>
        <v>10</v>
      </c>
      <c r="B22" s="31">
        <v>46052</v>
      </c>
      <c r="C22" s="32" t="s">
        <v>84</v>
      </c>
      <c r="D22" s="32" t="s">
        <v>106</v>
      </c>
      <c r="E22" s="32" t="s">
        <v>98</v>
      </c>
      <c r="F22" s="33" t="s">
        <v>35</v>
      </c>
      <c r="G22" s="33" t="s">
        <v>32</v>
      </c>
      <c r="H22" s="34">
        <v>49096</v>
      </c>
      <c r="I22" s="34">
        <v>49330</v>
      </c>
      <c r="J22" s="34"/>
      <c r="K22" s="35">
        <f t="shared" si="0"/>
        <v>234</v>
      </c>
      <c r="L22" s="36">
        <f t="shared" si="1"/>
        <v>0.3</v>
      </c>
      <c r="M22" s="37">
        <f t="shared" si="2"/>
        <v>70.2</v>
      </c>
      <c r="N22" s="33" t="s">
        <v>40</v>
      </c>
      <c r="O22" s="32"/>
    </row>
    <row r="23" spans="1:15" ht="15" customHeight="1" x14ac:dyDescent="0.25">
      <c r="A23" s="30">
        <f>IF(B23="","",COUNTA($B$13:B23))</f>
        <v>11</v>
      </c>
      <c r="B23" s="31">
        <v>46056</v>
      </c>
      <c r="C23" s="32" t="s">
        <v>84</v>
      </c>
      <c r="D23" s="32" t="s">
        <v>85</v>
      </c>
      <c r="E23" s="32" t="s">
        <v>98</v>
      </c>
      <c r="F23" s="33" t="s">
        <v>35</v>
      </c>
      <c r="G23" s="33" t="s">
        <v>32</v>
      </c>
      <c r="H23" s="34">
        <v>49330</v>
      </c>
      <c r="I23" s="34">
        <v>49422</v>
      </c>
      <c r="J23" s="34"/>
      <c r="K23" s="35">
        <f t="shared" si="0"/>
        <v>92</v>
      </c>
      <c r="L23" s="36">
        <f t="shared" si="1"/>
        <v>0.3</v>
      </c>
      <c r="M23" s="37">
        <f t="shared" si="2"/>
        <v>27.6</v>
      </c>
      <c r="N23" s="33" t="s">
        <v>44</v>
      </c>
      <c r="O23" s="32"/>
    </row>
    <row r="24" spans="1:15" ht="15" customHeight="1" x14ac:dyDescent="0.25">
      <c r="A24" s="38">
        <f>IF(B24="","",COUNTA($B$13:B24))</f>
        <v>12</v>
      </c>
      <c r="B24" s="31">
        <v>46058</v>
      </c>
      <c r="C24" s="32" t="s">
        <v>84</v>
      </c>
      <c r="D24" s="32" t="s">
        <v>107</v>
      </c>
      <c r="E24" s="32" t="s">
        <v>108</v>
      </c>
      <c r="F24" s="33" t="s">
        <v>35</v>
      </c>
      <c r="G24" s="33" t="s">
        <v>32</v>
      </c>
      <c r="H24" s="34">
        <v>49422</v>
      </c>
      <c r="I24" s="34">
        <v>49510</v>
      </c>
      <c r="J24" s="34"/>
      <c r="K24" s="35">
        <f t="shared" si="0"/>
        <v>88</v>
      </c>
      <c r="L24" s="36">
        <f t="shared" si="1"/>
        <v>0.3</v>
      </c>
      <c r="M24" s="37">
        <f t="shared" si="2"/>
        <v>26.4</v>
      </c>
      <c r="N24" s="33" t="s">
        <v>44</v>
      </c>
      <c r="O24" s="32"/>
    </row>
    <row r="25" spans="1:15" ht="15" customHeight="1" x14ac:dyDescent="0.25">
      <c r="A25" s="30">
        <f>IF(B25="","",COUNTA($B$13:B25))</f>
        <v>13</v>
      </c>
      <c r="B25" s="31">
        <v>46060</v>
      </c>
      <c r="C25" s="32" t="s">
        <v>84</v>
      </c>
      <c r="D25" s="32" t="s">
        <v>109</v>
      </c>
      <c r="E25" s="32" t="s">
        <v>110</v>
      </c>
      <c r="F25" s="33" t="s">
        <v>35</v>
      </c>
      <c r="G25" s="33" t="s">
        <v>37</v>
      </c>
      <c r="H25" s="34"/>
      <c r="I25" s="34"/>
      <c r="J25" s="34">
        <v>156</v>
      </c>
      <c r="K25" s="35">
        <f t="shared" si="0"/>
        <v>156</v>
      </c>
      <c r="L25" s="36">
        <f t="shared" si="1"/>
        <v>0.3</v>
      </c>
      <c r="M25" s="37">
        <f t="shared" si="2"/>
        <v>46.8</v>
      </c>
      <c r="N25" s="33" t="s">
        <v>40</v>
      </c>
      <c r="O25" s="32" t="s">
        <v>100</v>
      </c>
    </row>
    <row r="26" spans="1:15" ht="15" customHeight="1" x14ac:dyDescent="0.25">
      <c r="A26" s="38">
        <f>IF(B26="","",COUNTA($B$13:B26))</f>
        <v>14</v>
      </c>
      <c r="B26" s="31">
        <v>46063</v>
      </c>
      <c r="C26" s="32" t="s">
        <v>91</v>
      </c>
      <c r="D26" s="32" t="s">
        <v>92</v>
      </c>
      <c r="E26" s="32" t="s">
        <v>93</v>
      </c>
      <c r="F26" s="33" t="s">
        <v>39</v>
      </c>
      <c r="G26" s="33" t="s">
        <v>41</v>
      </c>
      <c r="H26" s="34"/>
      <c r="I26" s="34"/>
      <c r="J26" s="34">
        <v>12</v>
      </c>
      <c r="K26" s="35">
        <f t="shared" si="0"/>
        <v>12</v>
      </c>
      <c r="L26" s="36">
        <f t="shared" si="1"/>
        <v>0.38</v>
      </c>
      <c r="M26" s="37">
        <f t="shared" si="2"/>
        <v>4.5599999999999996</v>
      </c>
      <c r="N26" s="33" t="s">
        <v>44</v>
      </c>
      <c r="O26" s="32" t="s">
        <v>94</v>
      </c>
    </row>
    <row r="27" spans="1:15" ht="15" customHeight="1" x14ac:dyDescent="0.25">
      <c r="A27" s="30">
        <f>IF(B27="","",COUNTA($B$13:B27))</f>
        <v>15</v>
      </c>
      <c r="B27" s="31">
        <v>46065</v>
      </c>
      <c r="C27" s="32" t="s">
        <v>84</v>
      </c>
      <c r="D27" s="32" t="s">
        <v>111</v>
      </c>
      <c r="E27" s="32" t="s">
        <v>112</v>
      </c>
      <c r="F27" s="33" t="s">
        <v>35</v>
      </c>
      <c r="G27" s="33" t="s">
        <v>32</v>
      </c>
      <c r="H27" s="34">
        <v>49510</v>
      </c>
      <c r="I27" s="34">
        <v>49814</v>
      </c>
      <c r="J27" s="34"/>
      <c r="K27" s="35">
        <f t="shared" si="0"/>
        <v>304</v>
      </c>
      <c r="L27" s="36">
        <f t="shared" si="1"/>
        <v>0.3</v>
      </c>
      <c r="M27" s="37">
        <f t="shared" si="2"/>
        <v>91.2</v>
      </c>
      <c r="N27" s="33" t="s">
        <v>40</v>
      </c>
      <c r="O27" s="32"/>
    </row>
    <row r="28" spans="1:15" ht="15" customHeight="1" x14ac:dyDescent="0.25">
      <c r="A28" s="38">
        <f>IF(B28="","",COUNTA($B$13:B28))</f>
        <v>16</v>
      </c>
      <c r="B28" s="31">
        <v>46070</v>
      </c>
      <c r="C28" s="32" t="s">
        <v>84</v>
      </c>
      <c r="D28" s="32" t="s">
        <v>113</v>
      </c>
      <c r="E28" s="32" t="s">
        <v>98</v>
      </c>
      <c r="F28" s="33" t="s">
        <v>35</v>
      </c>
      <c r="G28" s="33" t="s">
        <v>45</v>
      </c>
      <c r="H28" s="34"/>
      <c r="I28" s="34"/>
      <c r="J28" s="34">
        <v>46</v>
      </c>
      <c r="K28" s="35">
        <f t="shared" si="0"/>
        <v>46</v>
      </c>
      <c r="L28" s="36">
        <f t="shared" si="1"/>
        <v>0.2</v>
      </c>
      <c r="M28" s="37">
        <f t="shared" si="2"/>
        <v>9.1999999999999993</v>
      </c>
      <c r="N28" s="33" t="s">
        <v>44</v>
      </c>
      <c r="O28" s="32" t="s">
        <v>114</v>
      </c>
    </row>
    <row r="29" spans="1:15" ht="15" customHeight="1" x14ac:dyDescent="0.25">
      <c r="A29" s="30">
        <f>IF(B29="","",COUNTA($B$13:B29))</f>
        <v>17</v>
      </c>
      <c r="B29" s="31">
        <v>46073</v>
      </c>
      <c r="C29" s="32" t="s">
        <v>84</v>
      </c>
      <c r="D29" s="32" t="s">
        <v>115</v>
      </c>
      <c r="E29" s="32" t="s">
        <v>102</v>
      </c>
      <c r="F29" s="33" t="s">
        <v>35</v>
      </c>
      <c r="G29" s="33" t="s">
        <v>32</v>
      </c>
      <c r="H29" s="34">
        <v>49814</v>
      </c>
      <c r="I29" s="34">
        <v>49902</v>
      </c>
      <c r="J29" s="34"/>
      <c r="K29" s="35">
        <f t="shared" si="0"/>
        <v>88</v>
      </c>
      <c r="L29" s="36">
        <f t="shared" si="1"/>
        <v>0.3</v>
      </c>
      <c r="M29" s="37">
        <f t="shared" si="2"/>
        <v>26.4</v>
      </c>
      <c r="N29" s="33" t="s">
        <v>36</v>
      </c>
      <c r="O29" s="32"/>
    </row>
    <row r="30" spans="1:15" ht="15" customHeight="1" x14ac:dyDescent="0.25">
      <c r="A30" s="38">
        <f>IF(B30="","",COUNTA($B$13:B30))</f>
        <v>18</v>
      </c>
      <c r="B30" s="31">
        <v>46077</v>
      </c>
      <c r="C30" s="32" t="s">
        <v>84</v>
      </c>
      <c r="D30" s="32" t="s">
        <v>84</v>
      </c>
      <c r="E30" s="32" t="s">
        <v>116</v>
      </c>
      <c r="F30" s="33" t="s">
        <v>43</v>
      </c>
      <c r="G30" s="33" t="s">
        <v>41</v>
      </c>
      <c r="H30" s="34"/>
      <c r="I30" s="34"/>
      <c r="J30" s="34">
        <v>35</v>
      </c>
      <c r="K30" s="35">
        <f t="shared" si="0"/>
        <v>35</v>
      </c>
      <c r="L30" s="36">
        <f t="shared" si="1"/>
        <v>0</v>
      </c>
      <c r="M30" s="37">
        <f t="shared" si="2"/>
        <v>0</v>
      </c>
      <c r="N30" s="33"/>
      <c r="O30" s="32" t="s">
        <v>105</v>
      </c>
    </row>
    <row r="31" spans="1:15" ht="15" customHeight="1" x14ac:dyDescent="0.25">
      <c r="A31" s="30">
        <f>IF(B31="","",COUNTA($B$13:B31))</f>
        <v>19</v>
      </c>
      <c r="B31" s="31">
        <v>46080</v>
      </c>
      <c r="C31" s="32" t="s">
        <v>84</v>
      </c>
      <c r="D31" s="32" t="s">
        <v>117</v>
      </c>
      <c r="E31" s="32" t="s">
        <v>118</v>
      </c>
      <c r="F31" s="33" t="s">
        <v>35</v>
      </c>
      <c r="G31" s="33" t="s">
        <v>32</v>
      </c>
      <c r="H31" s="34">
        <v>49902</v>
      </c>
      <c r="I31" s="34">
        <v>50054</v>
      </c>
      <c r="J31" s="34"/>
      <c r="K31" s="35">
        <f t="shared" si="0"/>
        <v>152</v>
      </c>
      <c r="L31" s="36">
        <f t="shared" si="1"/>
        <v>0.3</v>
      </c>
      <c r="M31" s="37">
        <f t="shared" si="2"/>
        <v>45.6</v>
      </c>
      <c r="N31" s="33" t="s">
        <v>36</v>
      </c>
      <c r="O31" s="32"/>
    </row>
    <row r="32" spans="1:15" ht="15" customHeight="1" x14ac:dyDescent="0.25">
      <c r="A32" s="38">
        <f>IF(B32="","",COUNTA($B$13:B32))</f>
        <v>20</v>
      </c>
      <c r="B32" s="31">
        <v>46084</v>
      </c>
      <c r="C32" s="32" t="s">
        <v>84</v>
      </c>
      <c r="D32" s="32" t="s">
        <v>119</v>
      </c>
      <c r="E32" s="32" t="s">
        <v>98</v>
      </c>
      <c r="F32" s="33" t="s">
        <v>35</v>
      </c>
      <c r="G32" s="33" t="s">
        <v>32</v>
      </c>
      <c r="H32" s="34">
        <v>50054</v>
      </c>
      <c r="I32" s="34">
        <v>50296</v>
      </c>
      <c r="J32" s="34"/>
      <c r="K32" s="35">
        <f t="shared" si="0"/>
        <v>242</v>
      </c>
      <c r="L32" s="36">
        <f t="shared" si="1"/>
        <v>0.3</v>
      </c>
      <c r="M32" s="37">
        <f t="shared" si="2"/>
        <v>72.599999999999994</v>
      </c>
      <c r="N32" s="33" t="s">
        <v>36</v>
      </c>
      <c r="O32" s="32"/>
    </row>
    <row r="33" spans="1:15" ht="15" customHeight="1" x14ac:dyDescent="0.25">
      <c r="A33" s="30">
        <f>IF(B33="","",COUNTA($B$13:B33))</f>
        <v>21</v>
      </c>
      <c r="B33" s="31">
        <v>46087</v>
      </c>
      <c r="C33" s="32" t="s">
        <v>84</v>
      </c>
      <c r="D33" s="32" t="s">
        <v>120</v>
      </c>
      <c r="E33" s="32" t="s">
        <v>121</v>
      </c>
      <c r="F33" s="33" t="s">
        <v>35</v>
      </c>
      <c r="G33" s="33" t="s">
        <v>37</v>
      </c>
      <c r="H33" s="34"/>
      <c r="I33" s="34"/>
      <c r="J33" s="34">
        <v>132</v>
      </c>
      <c r="K33" s="35">
        <f t="shared" si="0"/>
        <v>132</v>
      </c>
      <c r="L33" s="36">
        <f t="shared" si="1"/>
        <v>0.3</v>
      </c>
      <c r="M33" s="37">
        <f t="shared" si="2"/>
        <v>39.6</v>
      </c>
      <c r="N33" s="33" t="s">
        <v>36</v>
      </c>
      <c r="O33" s="32" t="s">
        <v>100</v>
      </c>
    </row>
    <row r="34" spans="1:15" ht="15" customHeight="1" x14ac:dyDescent="0.25">
      <c r="A34" s="38">
        <f>IF(B34="","",COUNTA($B$13:B34))</f>
        <v>22</v>
      </c>
      <c r="B34" s="31">
        <v>46091</v>
      </c>
      <c r="C34" s="32" t="s">
        <v>84</v>
      </c>
      <c r="D34" s="32" t="s">
        <v>85</v>
      </c>
      <c r="E34" s="32" t="s">
        <v>122</v>
      </c>
      <c r="F34" s="33" t="s">
        <v>35</v>
      </c>
      <c r="G34" s="33" t="s">
        <v>32</v>
      </c>
      <c r="H34" s="34">
        <v>50296</v>
      </c>
      <c r="I34" s="34">
        <v>50388</v>
      </c>
      <c r="J34" s="34"/>
      <c r="K34" s="35">
        <f t="shared" si="0"/>
        <v>92</v>
      </c>
      <c r="L34" s="36">
        <f t="shared" si="1"/>
        <v>0.3</v>
      </c>
      <c r="M34" s="37">
        <f t="shared" si="2"/>
        <v>27.6</v>
      </c>
      <c r="N34" s="33" t="s">
        <v>36</v>
      </c>
      <c r="O34" s="32"/>
    </row>
    <row r="35" spans="1:15" ht="15" customHeight="1" x14ac:dyDescent="0.25">
      <c r="A35" s="30" t="str">
        <f>IF(B35="","",COUNTA($B$13:B35))</f>
        <v/>
      </c>
      <c r="B35" s="31"/>
      <c r="C35" s="32"/>
      <c r="D35" s="32"/>
      <c r="E35" s="32"/>
      <c r="F35" s="33"/>
      <c r="G35" s="33"/>
      <c r="H35" s="34"/>
      <c r="I35" s="34"/>
      <c r="J35" s="34"/>
      <c r="K35" s="35" t="str">
        <f t="shared" si="0"/>
        <v/>
      </c>
      <c r="L35" s="36" t="str">
        <f t="shared" si="1"/>
        <v/>
      </c>
      <c r="M35" s="37" t="str">
        <f t="shared" si="2"/>
        <v/>
      </c>
      <c r="N35" s="33"/>
      <c r="O35" s="32"/>
    </row>
    <row r="36" spans="1:15" ht="15" customHeight="1" x14ac:dyDescent="0.25">
      <c r="A36" s="38" t="str">
        <f>IF(B36="","",COUNTA($B$13:B36))</f>
        <v/>
      </c>
      <c r="B36" s="31"/>
      <c r="C36" s="32"/>
      <c r="D36" s="32"/>
      <c r="E36" s="32"/>
      <c r="F36" s="33"/>
      <c r="G36" s="33"/>
      <c r="H36" s="34"/>
      <c r="I36" s="34"/>
      <c r="J36" s="34"/>
      <c r="K36" s="35" t="str">
        <f t="shared" si="0"/>
        <v/>
      </c>
      <c r="L36" s="36" t="str">
        <f t="shared" si="1"/>
        <v/>
      </c>
      <c r="M36" s="37" t="str">
        <f t="shared" si="2"/>
        <v/>
      </c>
      <c r="N36" s="33"/>
      <c r="O36" s="32"/>
    </row>
    <row r="37" spans="1:15" ht="15" customHeight="1" x14ac:dyDescent="0.25">
      <c r="A37" s="30" t="str">
        <f>IF(B37="","",COUNTA($B$13:B37))</f>
        <v/>
      </c>
      <c r="B37" s="31"/>
      <c r="C37" s="32"/>
      <c r="D37" s="32"/>
      <c r="E37" s="32"/>
      <c r="F37" s="33"/>
      <c r="G37" s="33"/>
      <c r="H37" s="34"/>
      <c r="I37" s="34"/>
      <c r="J37" s="34"/>
      <c r="K37" s="35" t="str">
        <f t="shared" si="0"/>
        <v/>
      </c>
      <c r="L37" s="36" t="str">
        <f t="shared" si="1"/>
        <v/>
      </c>
      <c r="M37" s="37" t="str">
        <f t="shared" si="2"/>
        <v/>
      </c>
      <c r="N37" s="33"/>
      <c r="O37" s="32"/>
    </row>
    <row r="38" spans="1:15" ht="15" customHeight="1" x14ac:dyDescent="0.25">
      <c r="A38" s="38" t="str">
        <f>IF(B38="","",COUNTA($B$13:B38))</f>
        <v/>
      </c>
      <c r="B38" s="31"/>
      <c r="C38" s="32"/>
      <c r="D38" s="32"/>
      <c r="E38" s="32"/>
      <c r="F38" s="33"/>
      <c r="G38" s="33"/>
      <c r="H38" s="34"/>
      <c r="I38" s="34"/>
      <c r="J38" s="34"/>
      <c r="K38" s="35" t="str">
        <f t="shared" si="0"/>
        <v/>
      </c>
      <c r="L38" s="36" t="str">
        <f t="shared" si="1"/>
        <v/>
      </c>
      <c r="M38" s="37" t="str">
        <f t="shared" si="2"/>
        <v/>
      </c>
      <c r="N38" s="33"/>
      <c r="O38" s="32"/>
    </row>
    <row r="39" spans="1:15" ht="19.5" customHeight="1" x14ac:dyDescent="0.25">
      <c r="A39" s="5" t="s">
        <v>123</v>
      </c>
      <c r="B39" s="5"/>
      <c r="C39" s="5"/>
      <c r="D39" s="5"/>
      <c r="E39" s="5"/>
      <c r="F39" s="5"/>
      <c r="G39" s="5"/>
      <c r="H39" s="5"/>
      <c r="I39" s="5"/>
      <c r="J39" s="5"/>
      <c r="K39" s="39">
        <f>SUM(K13:K38)</f>
        <v>2679</v>
      </c>
      <c r="L39" s="40"/>
      <c r="M39" s="41">
        <f>SUM(M13:M38)</f>
        <v>772.5200000000001</v>
      </c>
      <c r="N39" s="4"/>
      <c r="O39" s="4"/>
    </row>
  </sheetData>
  <mergeCells count="22">
    <mergeCell ref="A39:J39"/>
    <mergeCell ref="N39:O39"/>
    <mergeCell ref="A2:O2"/>
    <mergeCell ref="A3:O3"/>
    <mergeCell ref="B9:D9"/>
    <mergeCell ref="E9:G9"/>
    <mergeCell ref="H9:K9"/>
    <mergeCell ref="L9:O9"/>
    <mergeCell ref="B10:D10"/>
    <mergeCell ref="E10:G10"/>
    <mergeCell ref="H10:K10"/>
    <mergeCell ref="L10:O10"/>
    <mergeCell ref="C6:D6"/>
    <mergeCell ref="F6:G6"/>
    <mergeCell ref="I6:O6"/>
    <mergeCell ref="B8:D8"/>
    <mergeCell ref="E8:G8"/>
    <mergeCell ref="H8:K8"/>
    <mergeCell ref="L8:O8"/>
    <mergeCell ref="C5:D5"/>
    <mergeCell ref="F5:G5"/>
    <mergeCell ref="I5:O5"/>
  </mergeCells>
  <conditionalFormatting sqref="F13:F38">
    <cfRule type="cellIs" dxfId="6" priority="5" operator="equal">
      <formula>"Privat"</formula>
    </cfRule>
  </conditionalFormatting>
  <conditionalFormatting sqref="I13:I38">
    <cfRule type="expression" dxfId="5" priority="6">
      <formula>AND(ISNUMBER(H13),ISNUMBER(I13),I13&lt;H13)</formula>
    </cfRule>
  </conditionalFormatting>
  <conditionalFormatting sqref="N13:N38">
    <cfRule type="cellIs" dxfId="4" priority="2" operator="equal">
      <formula>"Erstattet"</formula>
    </cfRule>
    <cfRule type="cellIs" dxfId="3" priority="3" operator="equal">
      <formula>"Eingereicht"</formula>
    </cfRule>
    <cfRule type="cellIs" dxfId="2" priority="4" operator="equal">
      <formula>"Offen"</formula>
    </cfRule>
  </conditionalFormatting>
  <dataValidations count="3">
    <dataValidation type="list" allowBlank="1" sqref="F13:F38" xr:uid="{00000000-0002-0000-0100-000000000000}">
      <formula1>Fahrtart_Liste</formula1>
      <formula2>0</formula2>
    </dataValidation>
    <dataValidation type="list" allowBlank="1" sqref="N13:N38" xr:uid="{00000000-0002-0000-0100-000001000000}">
      <formula1>Status_Liste</formula1>
      <formula2>0</formula2>
    </dataValidation>
    <dataValidation type="list" allowBlank="1" sqref="G13:G38" xr:uid="{00000000-0002-0000-0100-000002000000}">
      <formula1>Fahrzeug_Kennzeichen</formula1>
      <formula2>0</formula2>
    </dataValidation>
  </dataValidations>
  <pageMargins left="0.3" right="0.3" top="0.4" bottom="0.4" header="0.511811023622047" footer="0.511811023622047"/>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1"/>
  <sheetViews>
    <sheetView showGridLines="0" zoomScaleNormal="100" workbookViewId="0"/>
  </sheetViews>
  <sheetFormatPr baseColWidth="10" defaultColWidth="8.7109375" defaultRowHeight="15" x14ac:dyDescent="0.25"/>
  <cols>
    <col min="1" max="1" width="1.85546875" customWidth="1"/>
    <col min="2" max="2" width="20" customWidth="1"/>
    <col min="3" max="4" width="11.42578125" customWidth="1"/>
    <col min="5" max="5" width="13" customWidth="1"/>
    <col min="6" max="6" width="2" customWidth="1"/>
    <col min="7" max="7" width="16" customWidth="1"/>
    <col min="8" max="9" width="11.42578125" customWidth="1"/>
    <col min="10" max="10" width="12" customWidth="1"/>
    <col min="11" max="11" width="10" customWidth="1"/>
    <col min="12" max="12" width="2" customWidth="1"/>
    <col min="13" max="14" width="12" customWidth="1"/>
    <col min="16" max="17" width="13" hidden="1" customWidth="1"/>
  </cols>
  <sheetData>
    <row r="1" spans="1:17" ht="6" customHeight="1" x14ac:dyDescent="0.25">
      <c r="A1" s="15"/>
      <c r="B1" s="15"/>
      <c r="C1" s="15"/>
      <c r="D1" s="15"/>
      <c r="E1" s="15"/>
      <c r="F1" s="15"/>
      <c r="G1" s="15"/>
      <c r="H1" s="15"/>
      <c r="I1" s="15"/>
      <c r="J1" s="15"/>
      <c r="K1" s="15"/>
      <c r="L1" s="15"/>
      <c r="M1" s="15"/>
      <c r="N1" s="15"/>
    </row>
    <row r="2" spans="1:17" ht="27.75" customHeight="1" x14ac:dyDescent="0.25">
      <c r="B2" s="14" t="s">
        <v>124</v>
      </c>
      <c r="C2" s="14"/>
      <c r="D2" s="14"/>
      <c r="E2" s="14"/>
      <c r="F2" s="14"/>
      <c r="G2" s="14"/>
      <c r="H2" s="14"/>
      <c r="I2" s="14"/>
      <c r="J2" s="14"/>
      <c r="K2" s="14"/>
      <c r="L2" s="14"/>
      <c r="M2" s="14"/>
      <c r="N2" s="14"/>
    </row>
    <row r="3" spans="1:17" ht="15.75" customHeight="1" x14ac:dyDescent="0.25">
      <c r="B3" s="13" t="str">
        <f ca="1">"Kennzahlen, Monats- und Fahrtartübersicht   ·   Wirtschaftsjahr "&amp;Wirtschaftsjahr&amp;"   ·   Stand: "&amp;RIGHT("0"&amp;DAY(TODAY()),2)&amp;"."&amp;RIGHT("0"&amp;MONTH(TODAY()),2)&amp;"."&amp;YEAR(TODAY())</f>
        <v>Kennzahlen, Monats- und Fahrtartübersicht   ·   Wirtschaftsjahr 2026   ·   Stand: 12.08.2026</v>
      </c>
      <c r="C3" s="13"/>
      <c r="D3" s="13"/>
      <c r="E3" s="13"/>
      <c r="F3" s="13"/>
      <c r="G3" s="13"/>
      <c r="H3" s="13"/>
      <c r="I3" s="13"/>
      <c r="J3" s="13"/>
      <c r="K3" s="13"/>
      <c r="L3" s="13"/>
      <c r="M3" s="13"/>
      <c r="N3" s="13"/>
    </row>
    <row r="4" spans="1:17" ht="6" customHeight="1" x14ac:dyDescent="0.25"/>
    <row r="5" spans="1:17" ht="3.75" customHeight="1" x14ac:dyDescent="0.25">
      <c r="B5" s="10"/>
      <c r="C5" s="10"/>
      <c r="D5" s="10"/>
      <c r="E5" s="10"/>
      <c r="G5" s="10"/>
      <c r="H5" s="10"/>
      <c r="I5" s="10"/>
      <c r="J5" s="10"/>
      <c r="K5" s="10"/>
    </row>
    <row r="6" spans="1:17" ht="30" customHeight="1" x14ac:dyDescent="0.25">
      <c r="B6" s="9">
        <f>COUNTA(L_Datum)</f>
        <v>22</v>
      </c>
      <c r="C6" s="9"/>
      <c r="D6" s="8">
        <f>SUM(L_Strecke)</f>
        <v>2679</v>
      </c>
      <c r="E6" s="8"/>
      <c r="G6" s="7">
        <f>SUM(L_Betrag)</f>
        <v>772.5200000000001</v>
      </c>
      <c r="H6" s="7"/>
      <c r="I6" s="7">
        <f>IFERROR(SUM(L_Betrag)/COUNTA(L_Datum),0)</f>
        <v>35.114545454545457</v>
      </c>
      <c r="J6" s="7"/>
      <c r="K6" s="7"/>
    </row>
    <row r="7" spans="1:17" ht="15.75" customHeight="1" x14ac:dyDescent="0.25">
      <c r="B7" s="6" t="s">
        <v>67</v>
      </c>
      <c r="C7" s="6"/>
      <c r="D7" s="6" t="s">
        <v>125</v>
      </c>
      <c r="E7" s="6"/>
      <c r="G7" s="6" t="s">
        <v>69</v>
      </c>
      <c r="H7" s="6"/>
      <c r="I7" s="6" t="s">
        <v>70</v>
      </c>
      <c r="J7" s="6"/>
      <c r="K7" s="6"/>
    </row>
    <row r="8" spans="1:17" ht="6" customHeight="1" x14ac:dyDescent="0.25"/>
    <row r="9" spans="1:17" ht="19.5" customHeight="1" x14ac:dyDescent="0.25">
      <c r="B9" s="2" t="s">
        <v>126</v>
      </c>
      <c r="C9" s="2"/>
      <c r="D9" s="2"/>
      <c r="E9" s="2"/>
      <c r="G9" s="2" t="s">
        <v>127</v>
      </c>
      <c r="H9" s="2"/>
      <c r="I9" s="2"/>
      <c r="J9" s="2"/>
      <c r="K9" s="2"/>
    </row>
    <row r="10" spans="1:17" x14ac:dyDescent="0.25">
      <c r="B10" s="42" t="s">
        <v>128</v>
      </c>
      <c r="C10" s="20" t="s">
        <v>129</v>
      </c>
      <c r="D10" s="20" t="s">
        <v>130</v>
      </c>
      <c r="E10" s="20" t="s">
        <v>131</v>
      </c>
      <c r="G10" s="42" t="s">
        <v>30</v>
      </c>
      <c r="H10" s="20" t="s">
        <v>129</v>
      </c>
      <c r="I10" s="20" t="s">
        <v>130</v>
      </c>
      <c r="J10" s="20" t="s">
        <v>131</v>
      </c>
      <c r="K10" s="20" t="s">
        <v>132</v>
      </c>
    </row>
    <row r="11" spans="1:17" x14ac:dyDescent="0.25">
      <c r="B11" s="43" t="s">
        <v>133</v>
      </c>
      <c r="C11" s="44">
        <f t="shared" ref="C11:C22" si="0">COUNTIFS(L_Datum,"&gt;="&amp;P11,L_Datum,"&lt;="&amp;Q11)</f>
        <v>10</v>
      </c>
      <c r="D11" s="45">
        <f t="shared" ref="D11:D22" si="1">SUMIFS(L_Strecke,L_Datum,"&gt;="&amp;P11,L_Datum,"&lt;="&amp;Q11)</f>
        <v>1240</v>
      </c>
      <c r="E11" s="46">
        <f t="shared" ref="E11:E22" si="2">SUMIFS(L_Betrag,L_Datum,"&gt;="&amp;P11,L_Datum,"&lt;="&amp;Q11)</f>
        <v>354.96</v>
      </c>
      <c r="G11" s="43" t="str">
        <f>Einstellungen!$I$18</f>
        <v>Geschäftlich</v>
      </c>
      <c r="H11" s="44">
        <f>COUNTIF(L_Fahrtart,G11)</f>
        <v>18</v>
      </c>
      <c r="I11" s="45">
        <f>SUMIF(L_Fahrtart,G11,L_Strecke)</f>
        <v>2560</v>
      </c>
      <c r="J11" s="46">
        <f>SUMIF(L_Fahrtart,G11,L_Betrag)</f>
        <v>763.40000000000009</v>
      </c>
      <c r="K11" s="47">
        <f>IFERROR(I11/SUM(L_Strecke),0)</f>
        <v>0.95558044046285928</v>
      </c>
      <c r="P11" s="48">
        <f>DATE(Wirtschaftsjahr,1,1)</f>
        <v>46023</v>
      </c>
      <c r="Q11" s="48">
        <f>DATE(Wirtschaftsjahr,2,1)-1</f>
        <v>46053</v>
      </c>
    </row>
    <row r="12" spans="1:17" x14ac:dyDescent="0.25">
      <c r="B12" s="49" t="s">
        <v>134</v>
      </c>
      <c r="C12" s="50">
        <f t="shared" si="0"/>
        <v>9</v>
      </c>
      <c r="D12" s="51">
        <f t="shared" si="1"/>
        <v>973</v>
      </c>
      <c r="E12" s="52">
        <f t="shared" si="2"/>
        <v>277.76</v>
      </c>
      <c r="G12" s="49" t="str">
        <f>Einstellungen!$I$19</f>
        <v>Arbeitsweg</v>
      </c>
      <c r="H12" s="50">
        <f>COUNTIF(L_Fahrtart,G12)</f>
        <v>2</v>
      </c>
      <c r="I12" s="51">
        <f>SUMIF(L_Fahrtart,G12,L_Strecke)</f>
        <v>24</v>
      </c>
      <c r="J12" s="52">
        <f>SUMIF(L_Fahrtart,G12,L_Betrag)</f>
        <v>9.1199999999999992</v>
      </c>
      <c r="K12" s="53">
        <f>IFERROR(I12/SUM(L_Strecke),0)</f>
        <v>8.9585666293393058E-3</v>
      </c>
      <c r="P12" s="48">
        <f>DATE(Wirtschaftsjahr,2,1)</f>
        <v>46054</v>
      </c>
      <c r="Q12" s="48">
        <f>DATE(Wirtschaftsjahr,3,1)-1</f>
        <v>46081</v>
      </c>
    </row>
    <row r="13" spans="1:17" x14ac:dyDescent="0.25">
      <c r="B13" s="43" t="s">
        <v>135</v>
      </c>
      <c r="C13" s="44">
        <f t="shared" si="0"/>
        <v>3</v>
      </c>
      <c r="D13" s="45">
        <f t="shared" si="1"/>
        <v>466</v>
      </c>
      <c r="E13" s="46">
        <f t="shared" si="2"/>
        <v>139.79999999999998</v>
      </c>
      <c r="G13" s="43" t="str">
        <f>Einstellungen!$I$20</f>
        <v>Privat</v>
      </c>
      <c r="H13" s="44">
        <f>COUNTIF(L_Fahrtart,G13)</f>
        <v>2</v>
      </c>
      <c r="I13" s="45">
        <f>SUMIF(L_Fahrtart,G13,L_Strecke)</f>
        <v>95</v>
      </c>
      <c r="J13" s="46">
        <f>SUMIF(L_Fahrtart,G13,L_Betrag)</f>
        <v>0</v>
      </c>
      <c r="K13" s="47">
        <f>IFERROR(I13/SUM(L_Strecke),0)</f>
        <v>3.5460992907801421E-2</v>
      </c>
      <c r="P13" s="48">
        <f>DATE(Wirtschaftsjahr,3,1)</f>
        <v>46082</v>
      </c>
      <c r="Q13" s="48">
        <f>DATE(Wirtschaftsjahr,4,1)-1</f>
        <v>46112</v>
      </c>
    </row>
    <row r="14" spans="1:17" x14ac:dyDescent="0.25">
      <c r="B14" s="49" t="s">
        <v>136</v>
      </c>
      <c r="C14" s="50">
        <f t="shared" si="0"/>
        <v>0</v>
      </c>
      <c r="D14" s="51">
        <f t="shared" si="1"/>
        <v>0</v>
      </c>
      <c r="E14" s="52">
        <f t="shared" si="2"/>
        <v>0</v>
      </c>
      <c r="G14" s="49" t="str">
        <f>Einstellungen!$I$21</f>
        <v>Sonstige</v>
      </c>
      <c r="H14" s="50">
        <f>COUNTIF(L_Fahrtart,G14)</f>
        <v>0</v>
      </c>
      <c r="I14" s="51">
        <f>SUMIF(L_Fahrtart,G14,L_Strecke)</f>
        <v>0</v>
      </c>
      <c r="J14" s="52">
        <f>SUMIF(L_Fahrtart,G14,L_Betrag)</f>
        <v>0</v>
      </c>
      <c r="K14" s="53">
        <f>IFERROR(I14/SUM(L_Strecke),0)</f>
        <v>0</v>
      </c>
      <c r="P14" s="48">
        <f>DATE(Wirtschaftsjahr,4,1)</f>
        <v>46113</v>
      </c>
      <c r="Q14" s="48">
        <f>DATE(Wirtschaftsjahr,5,1)-1</f>
        <v>46142</v>
      </c>
    </row>
    <row r="15" spans="1:17" x14ac:dyDescent="0.25">
      <c r="B15" s="43" t="s">
        <v>137</v>
      </c>
      <c r="C15" s="44">
        <f t="shared" si="0"/>
        <v>0</v>
      </c>
      <c r="D15" s="45">
        <f t="shared" si="1"/>
        <v>0</v>
      </c>
      <c r="E15" s="46">
        <f t="shared" si="2"/>
        <v>0</v>
      </c>
      <c r="G15" s="54" t="s">
        <v>138</v>
      </c>
      <c r="H15" s="55">
        <f>SUM(H11:H14)</f>
        <v>22</v>
      </c>
      <c r="I15" s="56">
        <f>SUM(I11:I14)</f>
        <v>2679</v>
      </c>
      <c r="J15" s="57">
        <f>SUM(J11:J14)</f>
        <v>772.5200000000001</v>
      </c>
      <c r="K15" s="58">
        <f>IFERROR(I15/SUM(L_Strecke),0)</f>
        <v>1</v>
      </c>
      <c r="P15" s="48">
        <f>DATE(Wirtschaftsjahr,5,1)</f>
        <v>46143</v>
      </c>
      <c r="Q15" s="48">
        <f>DATE(Wirtschaftsjahr,6,1)-1</f>
        <v>46173</v>
      </c>
    </row>
    <row r="16" spans="1:17" x14ac:dyDescent="0.25">
      <c r="B16" s="49" t="s">
        <v>139</v>
      </c>
      <c r="C16" s="50">
        <f t="shared" si="0"/>
        <v>0</v>
      </c>
      <c r="D16" s="51">
        <f t="shared" si="1"/>
        <v>0</v>
      </c>
      <c r="E16" s="52">
        <f t="shared" si="2"/>
        <v>0</v>
      </c>
      <c r="P16" s="48">
        <f>DATE(Wirtschaftsjahr,6,1)</f>
        <v>46174</v>
      </c>
      <c r="Q16" s="48">
        <f>DATE(Wirtschaftsjahr,7,1)-1</f>
        <v>46203</v>
      </c>
    </row>
    <row r="17" spans="2:17" ht="19.5" customHeight="1" x14ac:dyDescent="0.25">
      <c r="B17" s="43" t="s">
        <v>140</v>
      </c>
      <c r="C17" s="44">
        <f t="shared" si="0"/>
        <v>0</v>
      </c>
      <c r="D17" s="45">
        <f t="shared" si="1"/>
        <v>0</v>
      </c>
      <c r="E17" s="46">
        <f t="shared" si="2"/>
        <v>0</v>
      </c>
      <c r="G17" s="2" t="s">
        <v>141</v>
      </c>
      <c r="H17" s="2"/>
      <c r="I17" s="2"/>
      <c r="J17" s="2"/>
      <c r="K17" s="2"/>
      <c r="P17" s="48">
        <f>DATE(Wirtschaftsjahr,7,1)</f>
        <v>46204</v>
      </c>
      <c r="Q17" s="48">
        <f>DATE(Wirtschaftsjahr,8,1)-1</f>
        <v>46234</v>
      </c>
    </row>
    <row r="18" spans="2:17" x14ac:dyDescent="0.25">
      <c r="B18" s="49" t="s">
        <v>142</v>
      </c>
      <c r="C18" s="50">
        <f t="shared" si="0"/>
        <v>0</v>
      </c>
      <c r="D18" s="51">
        <f t="shared" si="1"/>
        <v>0</v>
      </c>
      <c r="E18" s="52">
        <f t="shared" si="2"/>
        <v>0</v>
      </c>
      <c r="G18" s="42" t="s">
        <v>76</v>
      </c>
      <c r="H18" s="20" t="s">
        <v>129</v>
      </c>
      <c r="I18" s="20" t="s">
        <v>130</v>
      </c>
      <c r="J18" s="20" t="s">
        <v>131</v>
      </c>
      <c r="K18" s="20" t="s">
        <v>132</v>
      </c>
      <c r="P18" s="48">
        <f>DATE(Wirtschaftsjahr,8,1)</f>
        <v>46235</v>
      </c>
      <c r="Q18" s="48">
        <f>DATE(Wirtschaftsjahr,9,1)-1</f>
        <v>46265</v>
      </c>
    </row>
    <row r="19" spans="2:17" x14ac:dyDescent="0.25">
      <c r="B19" s="43" t="s">
        <v>143</v>
      </c>
      <c r="C19" s="44">
        <f t="shared" si="0"/>
        <v>0</v>
      </c>
      <c r="D19" s="45">
        <f t="shared" si="1"/>
        <v>0</v>
      </c>
      <c r="E19" s="46">
        <f t="shared" si="2"/>
        <v>0</v>
      </c>
      <c r="G19" s="43" t="str">
        <f>IF(Einstellungen!$B$18="","",Einstellungen!$B$18)</f>
        <v>OL-RV 1420</v>
      </c>
      <c r="H19" s="44">
        <f t="shared" ref="H19:H24" si="3">IF(G19="","",COUNTIF(L_Fahrzeug,G19))</f>
        <v>14</v>
      </c>
      <c r="I19" s="45">
        <f t="shared" ref="I19:I24" si="4">IF(G19="","",SUMIF(L_Fahrzeug,G19,L_Strecke))</f>
        <v>2138</v>
      </c>
      <c r="J19" s="46">
        <f t="shared" ref="J19:J24" si="5">IF(G19="","",SUMIF(L_Fahrzeug,G19,L_Betrag))</f>
        <v>641.4</v>
      </c>
      <c r="K19" s="47">
        <f t="shared" ref="K19:K24" si="6">IF(G19="","",IFERROR(I19/SUM(L_Strecke),0))</f>
        <v>0.79805897723030983</v>
      </c>
      <c r="P19" s="48">
        <f>DATE(Wirtschaftsjahr,9,1)</f>
        <v>46266</v>
      </c>
      <c r="Q19" s="48">
        <f>DATE(Wirtschaftsjahr,10,1)-1</f>
        <v>46295</v>
      </c>
    </row>
    <row r="20" spans="2:17" x14ac:dyDescent="0.25">
      <c r="B20" s="49" t="s">
        <v>144</v>
      </c>
      <c r="C20" s="50">
        <f t="shared" si="0"/>
        <v>0</v>
      </c>
      <c r="D20" s="51">
        <f t="shared" si="1"/>
        <v>0</v>
      </c>
      <c r="E20" s="52">
        <f t="shared" si="2"/>
        <v>0</v>
      </c>
      <c r="G20" s="49" t="str">
        <f>IF(Einstellungen!$B$19="","",Einstellungen!$B$19)</f>
        <v>OL-RV 88</v>
      </c>
      <c r="H20" s="50">
        <f t="shared" si="3"/>
        <v>3</v>
      </c>
      <c r="I20" s="51">
        <f t="shared" si="4"/>
        <v>376</v>
      </c>
      <c r="J20" s="52">
        <f t="shared" si="5"/>
        <v>112.79999999999998</v>
      </c>
      <c r="K20" s="53">
        <f t="shared" si="6"/>
        <v>0.14035087719298245</v>
      </c>
      <c r="P20" s="48">
        <f>DATE(Wirtschaftsjahr,10,1)</f>
        <v>46296</v>
      </c>
      <c r="Q20" s="48">
        <f>DATE(Wirtschaftsjahr,11,1)-1</f>
        <v>46326</v>
      </c>
    </row>
    <row r="21" spans="2:17" x14ac:dyDescent="0.25">
      <c r="B21" s="43" t="s">
        <v>145</v>
      </c>
      <c r="C21" s="44">
        <f t="shared" si="0"/>
        <v>0</v>
      </c>
      <c r="D21" s="45">
        <f t="shared" si="1"/>
        <v>0</v>
      </c>
      <c r="E21" s="46">
        <f t="shared" si="2"/>
        <v>0</v>
      </c>
      <c r="G21" s="43" t="str">
        <f>IF(Einstellungen!$B$20="","",Einstellungen!$B$20)</f>
        <v>OL-JW 7</v>
      </c>
      <c r="H21" s="44">
        <f t="shared" si="3"/>
        <v>4</v>
      </c>
      <c r="I21" s="45">
        <f t="shared" si="4"/>
        <v>119</v>
      </c>
      <c r="J21" s="46">
        <f t="shared" si="5"/>
        <v>9.1199999999999992</v>
      </c>
      <c r="K21" s="47">
        <f t="shared" si="6"/>
        <v>4.4419559537140725E-2</v>
      </c>
      <c r="P21" s="48">
        <f>DATE(Wirtschaftsjahr,11,1)</f>
        <v>46327</v>
      </c>
      <c r="Q21" s="48">
        <f>DATE(Wirtschaftsjahr,12,1)-1</f>
        <v>46356</v>
      </c>
    </row>
    <row r="22" spans="2:17" x14ac:dyDescent="0.25">
      <c r="B22" s="49" t="s">
        <v>146</v>
      </c>
      <c r="C22" s="50">
        <f t="shared" si="0"/>
        <v>0</v>
      </c>
      <c r="D22" s="51">
        <f t="shared" si="1"/>
        <v>0</v>
      </c>
      <c r="E22" s="52">
        <f t="shared" si="2"/>
        <v>0</v>
      </c>
      <c r="G22" s="49" t="str">
        <f>IF(Einstellungen!$B$21="","",Einstellungen!$B$21)</f>
        <v>OL-M 210</v>
      </c>
      <c r="H22" s="50">
        <f t="shared" si="3"/>
        <v>1</v>
      </c>
      <c r="I22" s="51">
        <f t="shared" si="4"/>
        <v>46</v>
      </c>
      <c r="J22" s="52">
        <f t="shared" si="5"/>
        <v>9.1999999999999993</v>
      </c>
      <c r="K22" s="53">
        <f t="shared" si="6"/>
        <v>1.7170586039567004E-2</v>
      </c>
      <c r="P22" s="48">
        <f>DATE(Wirtschaftsjahr,12,1)</f>
        <v>46357</v>
      </c>
      <c r="Q22" s="48">
        <f>DATE(Wirtschaftsjahr,13,1)-1</f>
        <v>46387</v>
      </c>
    </row>
    <row r="23" spans="2:17" x14ac:dyDescent="0.25">
      <c r="B23" s="54" t="s">
        <v>138</v>
      </c>
      <c r="C23" s="55">
        <f>SUM(C11:C22)</f>
        <v>22</v>
      </c>
      <c r="D23" s="56">
        <f>SUM(D11:D22)</f>
        <v>2679</v>
      </c>
      <c r="E23" s="57">
        <f>SUM(E11:E22)</f>
        <v>772.52</v>
      </c>
      <c r="G23" s="43" t="str">
        <f>IF(Einstellungen!$B$22="","",Einstellungen!$B$22)</f>
        <v/>
      </c>
      <c r="H23" s="44" t="str">
        <f t="shared" si="3"/>
        <v/>
      </c>
      <c r="I23" s="45" t="str">
        <f t="shared" si="4"/>
        <v/>
      </c>
      <c r="J23" s="46" t="str">
        <f t="shared" si="5"/>
        <v/>
      </c>
      <c r="K23" s="47" t="str">
        <f t="shared" si="6"/>
        <v/>
      </c>
    </row>
    <row r="24" spans="2:17" x14ac:dyDescent="0.25">
      <c r="G24" s="49" t="str">
        <f>IF(Einstellungen!$B$23="","",Einstellungen!$B$23)</f>
        <v/>
      </c>
      <c r="H24" s="50" t="str">
        <f t="shared" si="3"/>
        <v/>
      </c>
      <c r="I24" s="51" t="str">
        <f t="shared" si="4"/>
        <v/>
      </c>
      <c r="J24" s="52" t="str">
        <f t="shared" si="5"/>
        <v/>
      </c>
      <c r="K24" s="53" t="str">
        <f t="shared" si="6"/>
        <v/>
      </c>
    </row>
    <row r="25" spans="2:17" ht="19.5" customHeight="1" x14ac:dyDescent="0.25">
      <c r="B25" s="2" t="s">
        <v>147</v>
      </c>
      <c r="C25" s="2"/>
      <c r="D25" s="2"/>
      <c r="E25" s="2"/>
    </row>
    <row r="26" spans="2:17" x14ac:dyDescent="0.25">
      <c r="B26" s="69" t="s">
        <v>148</v>
      </c>
      <c r="C26" s="69"/>
      <c r="D26" s="59">
        <f>SUMPRODUCT((L_Datum&lt;&gt;"")*(L_Strecke=0))</f>
        <v>0</v>
      </c>
      <c r="E26" s="60" t="str">
        <f>IF(D26=0,"OK","PRÜFEN")</f>
        <v>OK</v>
      </c>
    </row>
    <row r="27" spans="2:17" x14ac:dyDescent="0.25">
      <c r="B27" s="70" t="s">
        <v>149</v>
      </c>
      <c r="C27" s="70"/>
      <c r="D27" s="61">
        <f>SUMPRODUCT((ISNUMBER(L_Beginn))*(ISNUMBER(L_Ende))*(L_Ende&lt;L_Beginn))</f>
        <v>0</v>
      </c>
      <c r="E27" s="62" t="str">
        <f>IF(D27=0,"OK","PRÜFEN")</f>
        <v>OK</v>
      </c>
    </row>
    <row r="28" spans="2:17" x14ac:dyDescent="0.25">
      <c r="B28" s="69" t="s">
        <v>150</v>
      </c>
      <c r="C28" s="69"/>
      <c r="D28" s="59">
        <f>SUMPRODUCT((L_Datum&lt;&gt;"")*(L_Fahrzeug=""))</f>
        <v>0</v>
      </c>
      <c r="E28" s="60" t="str">
        <f>IF(D28=0,"OK","PRÜFEN")</f>
        <v>OK</v>
      </c>
    </row>
    <row r="29" spans="2:17" x14ac:dyDescent="0.25">
      <c r="B29" s="70" t="s">
        <v>151</v>
      </c>
      <c r="C29" s="70"/>
      <c r="D29" s="61">
        <f>COUNTIF(L_Status,"Offen")</f>
        <v>5</v>
      </c>
      <c r="E29" s="62" t="str">
        <f>IF(D29=0,"OK","PRÜFEN")</f>
        <v>PRÜFEN</v>
      </c>
    </row>
    <row r="31" spans="2:17" ht="18" customHeight="1" x14ac:dyDescent="0.25">
      <c r="B31" s="67" t="s">
        <v>152</v>
      </c>
      <c r="C31" s="67"/>
      <c r="D31" s="67"/>
      <c r="E31" s="67"/>
      <c r="F31" s="67"/>
      <c r="G31" s="67"/>
      <c r="H31" s="67"/>
      <c r="I31" s="67"/>
      <c r="J31" s="67"/>
      <c r="K31" s="67"/>
      <c r="L31" s="67"/>
      <c r="M31" s="67"/>
      <c r="N31" s="67"/>
    </row>
  </sheetData>
  <mergeCells count="23">
    <mergeCell ref="B27:C27"/>
    <mergeCell ref="B28:C28"/>
    <mergeCell ref="B29:C29"/>
    <mergeCell ref="B31:N31"/>
    <mergeCell ref="B9:E9"/>
    <mergeCell ref="G9:K9"/>
    <mergeCell ref="G17:K17"/>
    <mergeCell ref="B25:E25"/>
    <mergeCell ref="B26:C26"/>
    <mergeCell ref="B6:C6"/>
    <mergeCell ref="D6:E6"/>
    <mergeCell ref="G6:H6"/>
    <mergeCell ref="I6:K6"/>
    <mergeCell ref="B7:C7"/>
    <mergeCell ref="D7:E7"/>
    <mergeCell ref="G7:H7"/>
    <mergeCell ref="I7:K7"/>
    <mergeCell ref="B2:N2"/>
    <mergeCell ref="B3:N3"/>
    <mergeCell ref="B5:C5"/>
    <mergeCell ref="D5:E5"/>
    <mergeCell ref="G5:H5"/>
    <mergeCell ref="I5:K5"/>
  </mergeCells>
  <conditionalFormatting sqref="E26:E29">
    <cfRule type="cellIs" dxfId="1" priority="2" operator="equal">
      <formula>"OK"</formula>
    </cfRule>
    <cfRule type="cellIs" dxfId="0" priority="3" operator="equal">
      <formula>"PRÜFEN"</formula>
    </cfRule>
  </conditionalFormatting>
  <pageMargins left="0.3" right="0.3" top="0.4" bottom="0.4" header="0.511811023622047" footer="0.511811023622047"/>
  <pageSetup paperSize="9"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20</vt:i4>
      </vt:variant>
    </vt:vector>
  </HeadingPairs>
  <TitlesOfParts>
    <vt:vector size="23" baseType="lpstr">
      <vt:lpstr>Einstellungen</vt:lpstr>
      <vt:lpstr>Kilometerabrechnung</vt:lpstr>
      <vt:lpstr>Auswertung</vt:lpstr>
      <vt:lpstr>Kilometerabrechnung!Druckbereich</vt:lpstr>
      <vt:lpstr>Kilometerabrechnung!Drucktitel</vt:lpstr>
      <vt:lpstr>Fahrtart_Liste</vt:lpstr>
      <vt:lpstr>Fahrzeug_Kennzeichen</vt:lpstr>
      <vt:lpstr>Fahrzeug_Tabelle</vt:lpstr>
      <vt:lpstr>L_Beginn</vt:lpstr>
      <vt:lpstr>L_Betrag</vt:lpstr>
      <vt:lpstr>L_Datum</vt:lpstr>
      <vt:lpstr>L_Ende</vt:lpstr>
      <vt:lpstr>L_Fahrtart</vt:lpstr>
      <vt:lpstr>L_Fahrzeug</vt:lpstr>
      <vt:lpstr>L_Satz</vt:lpstr>
      <vt:lpstr>L_Status</vt:lpstr>
      <vt:lpstr>L_Strecke</vt:lpstr>
      <vt:lpstr>Satz_Arbeitsweg</vt:lpstr>
      <vt:lpstr>Satz_Motorrad</vt:lpstr>
      <vt:lpstr>Satz_Privat</vt:lpstr>
      <vt:lpstr>Satz_Standard</vt:lpstr>
      <vt:lpstr>Status_Liste</vt:lpstr>
      <vt:lpstr>Wirtschaftsjahr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2026-08-12T05:22:59Z</dcterms:created>
  <dcterms:modified xsi:type="dcterms:W3CDTF">2026-08-12T06:58:20Z</dcterms:modified>
  <dc:language>en-US</dc:language>
</cp:coreProperties>
</file>