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05A9AB28-972D-4AC9-894A-CC7DBE31612D}" xr6:coauthVersionLast="47" xr6:coauthVersionMax="47" xr10:uidLastSave="{00000000-0000-0000-0000-000000000000}"/>
  <bookViews>
    <workbookView xWindow="1035" yWindow="1035" windowWidth="25500" windowHeight="13500" tabRatio="500" activeTab="1" xr2:uid="{00000000-000D-0000-FFFF-FFFF00000000}"/>
  </bookViews>
  <sheets>
    <sheet name="Stammdaten" sheetId="1" r:id="rId1"/>
    <sheet name="Bestellliste" sheetId="2" r:id="rId2"/>
    <sheet name="Budgetauswertung" sheetId="3" r:id="rId3"/>
    <sheet name="Lieferantenbewertung" sheetId="4" r:id="rId4"/>
    <sheet name="Anleitung" sheetId="5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4" l="1"/>
  <c r="I13" i="4"/>
  <c r="C13" i="4"/>
  <c r="J12" i="4"/>
  <c r="I12" i="4"/>
  <c r="C12" i="4"/>
  <c r="J11" i="4"/>
  <c r="I11" i="4"/>
  <c r="C11" i="4"/>
  <c r="J10" i="4"/>
  <c r="I10" i="4"/>
  <c r="C10" i="4"/>
  <c r="J9" i="4"/>
  <c r="I9" i="4"/>
  <c r="C9" i="4"/>
  <c r="J8" i="4"/>
  <c r="I8" i="4"/>
  <c r="C8" i="4"/>
  <c r="J7" i="4"/>
  <c r="I7" i="4"/>
  <c r="C7" i="4"/>
  <c r="J6" i="4"/>
  <c r="I6" i="4"/>
  <c r="C6" i="4"/>
  <c r="C17" i="3"/>
  <c r="I16" i="3"/>
  <c r="E16" i="3"/>
  <c r="D16" i="3"/>
  <c r="G16" i="3" s="1"/>
  <c r="J16" i="3" s="1"/>
  <c r="I15" i="3"/>
  <c r="E15" i="3"/>
  <c r="I14" i="3"/>
  <c r="I13" i="3"/>
  <c r="I12" i="3"/>
  <c r="E12" i="3"/>
  <c r="I11" i="3"/>
  <c r="E11" i="3"/>
  <c r="I10" i="3"/>
  <c r="E10" i="3"/>
  <c r="I9" i="3"/>
  <c r="E9" i="3"/>
  <c r="I8" i="3"/>
  <c r="E8" i="3"/>
  <c r="L31" i="2"/>
  <c r="J31" i="2"/>
  <c r="L30" i="2"/>
  <c r="J30" i="2"/>
  <c r="L29" i="2"/>
  <c r="J29" i="2"/>
  <c r="L28" i="2"/>
  <c r="J28" i="2"/>
  <c r="L27" i="2"/>
  <c r="J27" i="2"/>
  <c r="J26" i="2"/>
  <c r="L26" i="2" s="1"/>
  <c r="L25" i="2"/>
  <c r="J25" i="2"/>
  <c r="J24" i="2"/>
  <c r="L24" i="2" s="1"/>
  <c r="J7" i="2" s="1"/>
  <c r="J23" i="2"/>
  <c r="L23" i="2" s="1"/>
  <c r="L22" i="2"/>
  <c r="J22" i="2"/>
  <c r="J21" i="2"/>
  <c r="L21" i="2" s="1"/>
  <c r="J20" i="2"/>
  <c r="L20" i="2" s="1"/>
  <c r="L19" i="2"/>
  <c r="J19" i="2"/>
  <c r="J18" i="2"/>
  <c r="L18" i="2" s="1"/>
  <c r="J17" i="2"/>
  <c r="L17" i="2" s="1"/>
  <c r="J16" i="2"/>
  <c r="L16" i="2" s="1"/>
  <c r="L15" i="2"/>
  <c r="E14" i="3" s="1"/>
  <c r="J15" i="2"/>
  <c r="J14" i="2"/>
  <c r="L14" i="2" s="1"/>
  <c r="J13" i="2"/>
  <c r="L13" i="2" s="1"/>
  <c r="L12" i="2"/>
  <c r="D11" i="3" s="1"/>
  <c r="J12" i="2"/>
  <c r="J11" i="2"/>
  <c r="L11" i="2" s="1"/>
  <c r="J10" i="2"/>
  <c r="L10" i="2" s="1"/>
  <c r="L9" i="2"/>
  <c r="J9" i="2"/>
  <c r="N7" i="2"/>
  <c r="B7" i="2"/>
  <c r="H16" i="3" l="1"/>
  <c r="I17" i="3"/>
  <c r="L32" i="2"/>
  <c r="D9" i="3"/>
  <c r="D7" i="4"/>
  <c r="E7" i="2"/>
  <c r="L7" i="2" s="1"/>
  <c r="D8" i="4"/>
  <c r="D10" i="3"/>
  <c r="D12" i="3"/>
  <c r="D10" i="4"/>
  <c r="H7" i="2"/>
  <c r="E13" i="3"/>
  <c r="E17" i="3" s="1"/>
  <c r="D11" i="4"/>
  <c r="D13" i="3"/>
  <c r="H11" i="3"/>
  <c r="G11" i="3"/>
  <c r="J11" i="3" s="1"/>
  <c r="F11" i="3"/>
  <c r="D8" i="3"/>
  <c r="D6" i="4"/>
  <c r="D15" i="3"/>
  <c r="D13" i="4"/>
  <c r="D9" i="4"/>
  <c r="F16" i="3"/>
  <c r="D12" i="4"/>
  <c r="D14" i="3"/>
  <c r="E13" i="4" l="1"/>
  <c r="F15" i="3"/>
  <c r="H15" i="3"/>
  <c r="G15" i="3"/>
  <c r="J15" i="3" s="1"/>
  <c r="H13" i="3"/>
  <c r="G13" i="3"/>
  <c r="J13" i="3" s="1"/>
  <c r="F13" i="3"/>
  <c r="H14" i="3"/>
  <c r="G14" i="3"/>
  <c r="J14" i="3" s="1"/>
  <c r="F14" i="3"/>
  <c r="D17" i="3"/>
  <c r="G17" i="3" s="1"/>
  <c r="H8" i="3"/>
  <c r="G8" i="3"/>
  <c r="J8" i="3" s="1"/>
  <c r="F8" i="3"/>
  <c r="E10" i="4"/>
  <c r="E7" i="4"/>
  <c r="E11" i="4"/>
  <c r="G12" i="3"/>
  <c r="J12" i="3" s="1"/>
  <c r="H12" i="3"/>
  <c r="F12" i="3"/>
  <c r="E12" i="4"/>
  <c r="H9" i="3"/>
  <c r="F9" i="3"/>
  <c r="G9" i="3"/>
  <c r="J9" i="3" s="1"/>
  <c r="E6" i="4"/>
  <c r="F10" i="3"/>
  <c r="H10" i="3"/>
  <c r="G10" i="3"/>
  <c r="J10" i="3" s="1"/>
  <c r="E8" i="4"/>
  <c r="E9" i="4"/>
  <c r="F17" i="3" l="1"/>
  <c r="H17" i="3"/>
</calcChain>
</file>

<file path=xl/sharedStrings.xml><?xml version="1.0" encoding="utf-8"?>
<sst xmlns="http://schemas.openxmlformats.org/spreadsheetml/2006/main" count="286" uniqueCount="194">
  <si>
    <t>STAMMDATEN  ·  LIEFERANTEN &amp; KATEGORIEN</t>
  </si>
  <si>
    <t>Kategorie</t>
  </si>
  <si>
    <t>Lieferant</t>
  </si>
  <si>
    <t>Status-Optionen</t>
  </si>
  <si>
    <t>Kontakt</t>
  </si>
  <si>
    <t>Priorität</t>
  </si>
  <si>
    <t>Lieferzeit (Tage)</t>
  </si>
  <si>
    <t>Einheit</t>
  </si>
  <si>
    <t>Büromaterial</t>
  </si>
  <si>
    <t>Bürotech Vertriebs GmbH</t>
  </si>
  <si>
    <t>Offen</t>
  </si>
  <si>
    <t>office@buerotech-example.de</t>
  </si>
  <si>
    <t>Hoch</t>
  </si>
  <si>
    <t>Stk.</t>
  </si>
  <si>
    <t>IT &amp; Elektronik</t>
  </si>
  <si>
    <t>DigitalSupply AG</t>
  </si>
  <si>
    <t>Angefragt</t>
  </si>
  <si>
    <t>info@digitalsupply-example.de</t>
  </si>
  <si>
    <t>Mittel</t>
  </si>
  <si>
    <t>Pkg.</t>
  </si>
  <si>
    <t>Reinigung &amp; Hygiene</t>
  </si>
  <si>
    <t>CleanPro Solutions</t>
  </si>
  <si>
    <t>Bestellt</t>
  </si>
  <si>
    <t>bestellung@cleanpro-ex.de</t>
  </si>
  <si>
    <t>Niedrig</t>
  </si>
  <si>
    <t>Karton</t>
  </si>
  <si>
    <t>Verpackungsmaterial</t>
  </si>
  <si>
    <t>PackMaster GmbH</t>
  </si>
  <si>
    <t>Teilgeliefert</t>
  </si>
  <si>
    <t>info@packmaster-ex.de</t>
  </si>
  <si>
    <t>kg</t>
  </si>
  <si>
    <t>Werkzeug &amp; Maschinen</t>
  </si>
  <si>
    <t>Werkzeug Zentrum Nord</t>
  </si>
  <si>
    <t>Geliefert</t>
  </si>
  <si>
    <t>order@wzn-example.de</t>
  </si>
  <si>
    <t>Liter</t>
  </si>
  <si>
    <t>Marketing &amp; Druck</t>
  </si>
  <si>
    <t>PrintMedia Gruppe</t>
  </si>
  <si>
    <t>Abgeschlossen</t>
  </si>
  <si>
    <t>druck@printmedia-ex.de</t>
  </si>
  <si>
    <t>Meter</t>
  </si>
  <si>
    <t>Möbel &amp; Einrichtung</t>
  </si>
  <si>
    <t>Möbel &amp; Raum GmbH</t>
  </si>
  <si>
    <t>Storniert</t>
  </si>
  <si>
    <t>vertrieb@mobelraum-ex.de</t>
  </si>
  <si>
    <t>Rolle</t>
  </si>
  <si>
    <t>Lebensmittel &amp; Getränke</t>
  </si>
  <si>
    <t>FoodPartner Handel</t>
  </si>
  <si>
    <t>order@foodpartner-ex.de</t>
  </si>
  <si>
    <t>Palette</t>
  </si>
  <si>
    <t>Sonstiges</t>
  </si>
  <si>
    <t>Set</t>
  </si>
  <si>
    <t>ℹ  Kategorien, Lieferanten und Einheiten hier ergänzen → werden in der Bestellliste als Dropdown übernommen.</t>
  </si>
  <si>
    <t>Gelbe Felder = Eingabe  ·  Farbampel Status: 🟢 Geliefert  🟡 Bestellt/Teilgeliefert  🔴 Offen/Storniert  ·  Beträge netto in EUR</t>
  </si>
  <si>
    <t>Unternehmen / Abt.:</t>
  </si>
  <si>
    <t>[Abteilung oder Unternehmen]</t>
  </si>
  <si>
    <t>Verantwortlich:</t>
  </si>
  <si>
    <t>[Name eintragen]</t>
  </si>
  <si>
    <t>Periode:</t>
  </si>
  <si>
    <t>Januar – Dezember 2026</t>
  </si>
  <si>
    <t>Gesamtbudget (€):</t>
  </si>
  <si>
    <t>Bestellungen gesamt</t>
  </si>
  <si>
    <t>Bestellwert gesamt (€)</t>
  </si>
  <si>
    <t>Davon bezahlt (€)</t>
  </si>
  <si>
    <t>Noch offen (€)</t>
  </si>
  <si>
    <t>Budget verbraucht (%)</t>
  </si>
  <si>
    <t>Überfällig (Anz.)</t>
  </si>
  <si>
    <t>Bestell-Nr.</t>
  </si>
  <si>
    <t>Datum</t>
  </si>
  <si>
    <t>Artikelbezeichnung</t>
  </si>
  <si>
    <t>Menge</t>
  </si>
  <si>
    <t>Einzelpreis
(€ netto)</t>
  </si>
  <si>
    <t>Rabatt
(%)</t>
  </si>
  <si>
    <t>Netto-EP
nach Rabatt</t>
  </si>
  <si>
    <t>MwSt.
(%)</t>
  </si>
  <si>
    <t>Gesamtbetrag
(€ brutto)</t>
  </si>
  <si>
    <t>Liefer-
datum</t>
  </si>
  <si>
    <t>Status</t>
  </si>
  <si>
    <t>Lieferant / Auftragnehmer</t>
  </si>
  <si>
    <t>B-2026-001</t>
  </si>
  <si>
    <t>15.01.2026</t>
  </si>
  <si>
    <t>Kopierpapier A4, 80g/m², 500 Blatt/Pkg.</t>
  </si>
  <si>
    <t>22.01.2026</t>
  </si>
  <si>
    <t>B-2026-002</t>
  </si>
  <si>
    <t>18.01.2026</t>
  </si>
  <si>
    <t>Tintenpatronen-Set (4 Farben, kompatibel)</t>
  </si>
  <si>
    <t>25.01.2026</t>
  </si>
  <si>
    <t>B-2026-003</t>
  </si>
  <si>
    <t>02.02.2026</t>
  </si>
  <si>
    <t>Allzweckreiniger, 5-Liter-Kanister</t>
  </si>
  <si>
    <t>05.02.2026</t>
  </si>
  <si>
    <t>B-2026-004</t>
  </si>
  <si>
    <t>10.02.2026</t>
  </si>
  <si>
    <t>Kartonagen 300×200×150 mm (Faltkartons)</t>
  </si>
  <si>
    <t>17.02.2026</t>
  </si>
  <si>
    <t>B-2026-005</t>
  </si>
  <si>
    <t>01.03.2026</t>
  </si>
  <si>
    <t>Akkuschrauber-Set inkl. Zubehör</t>
  </si>
  <si>
    <t>10.03.2026</t>
  </si>
  <si>
    <t>B-2026-006</t>
  </si>
  <si>
    <t>15.03.2026</t>
  </si>
  <si>
    <t>Flyer DIN A5, 4-farbig, 5.000 Stück</t>
  </si>
  <si>
    <t>Pauschal</t>
  </si>
  <si>
    <t>28.03.2026</t>
  </si>
  <si>
    <t>B-2026-007</t>
  </si>
  <si>
    <t>01.04.2026</t>
  </si>
  <si>
    <t>Bürostuhl ergonomisch (höhenverstellbar)</t>
  </si>
  <si>
    <t>22.04.2026</t>
  </si>
  <si>
    <t>B-2026-008</t>
  </si>
  <si>
    <t>10.04.2026</t>
  </si>
  <si>
    <t>Kaffee gemahlen, Arabica 1 kg</t>
  </si>
  <si>
    <t>13.04.2026</t>
  </si>
  <si>
    <t>B-2026-009</t>
  </si>
  <si>
    <t>05.05.2026</t>
  </si>
  <si>
    <t>Desinfektionsmittel 1-Liter-Flasche (50er-Pack)</t>
  </si>
  <si>
    <t>09.05.2026</t>
  </si>
  <si>
    <t>B-2026-010</t>
  </si>
  <si>
    <t>20.05.2026</t>
  </si>
  <si>
    <t>Monitore 27", Full-HD, IPS-Panel</t>
  </si>
  <si>
    <t>03.06.2026</t>
  </si>
  <si>
    <t>B-2026-011</t>
  </si>
  <si>
    <t>02.06.2026</t>
  </si>
  <si>
    <t>Briefumschläge C5, selbstklebend, 500er-Pack</t>
  </si>
  <si>
    <t>05.06.2026</t>
  </si>
  <si>
    <t>B-2026-012</t>
  </si>
  <si>
    <t>15.06.2026</t>
  </si>
  <si>
    <t>Etiketten 70×42 mm, 100 Blatt/Pkg.</t>
  </si>
  <si>
    <t>19.06.2026</t>
  </si>
  <si>
    <t>B-2026-013</t>
  </si>
  <si>
    <t>01.07.2026</t>
  </si>
  <si>
    <t>Stehpulte elektrisch, höhenverstellbar</t>
  </si>
  <si>
    <t>22.07.2026</t>
  </si>
  <si>
    <t>B-2026-014</t>
  </si>
  <si>
    <t>10.07.2026</t>
  </si>
  <si>
    <t>Papierhandtücher, 2-lagig (20er-Pack Rollen)</t>
  </si>
  <si>
    <t>14.07.2026</t>
  </si>
  <si>
    <t>B-2026-015</t>
  </si>
  <si>
    <t>20.07.2026</t>
  </si>
  <si>
    <t>USB-C Hub 7-Port mit Netzteil</t>
  </si>
  <si>
    <t>28.07.2026</t>
  </si>
  <si>
    <t>B-2026-016</t>
  </si>
  <si>
    <t>01.08.2026</t>
  </si>
  <si>
    <t>Wellpappe-Rollen 100 cm × 50 m</t>
  </si>
  <si>
    <t>07.08.2026</t>
  </si>
  <si>
    <t>B-2026-017</t>
  </si>
  <si>
    <t>05.08.2026</t>
  </si>
  <si>
    <t>Präsentationsmappe A4, Hochglanz (50er-Pack)</t>
  </si>
  <si>
    <t>15.08.2026</t>
  </si>
  <si>
    <t>B-2026-018</t>
  </si>
  <si>
    <t>10.08.2026</t>
  </si>
  <si>
    <t>Akkus AA Alkaline (40er-Box)</t>
  </si>
  <si>
    <t>14.08.2026</t>
  </si>
  <si>
    <t>GESAMTSUMME (alle Bestellungen)</t>
  </si>
  <si>
    <t>BUDGETAUSWERTUNG  ·  KOSTEN NACH KATEGORIE</t>
  </si>
  <si>
    <t>Automatische Auswertung aus der Bestellliste · Werte werden bei Änderungen sofort aktualisiert</t>
  </si>
  <si>
    <t>Budget-Planung je Kategorie (manuell eintragen)</t>
  </si>
  <si>
    <t>Budget (€)
Jahresplan</t>
  </si>
  <si>
    <t>Bestellwert
(€ brutto)</t>
  </si>
  <si>
    <t>Davon
bezahlt (€)</t>
  </si>
  <si>
    <t>Noch
offen (€)</t>
  </si>
  <si>
    <t>Verbrauch
(%)</t>
  </si>
  <si>
    <t>Differenz
zum Plan (€)</t>
  </si>
  <si>
    <t>Anzahl
Bestellungen</t>
  </si>
  <si>
    <t>Bewertung</t>
  </si>
  <si>
    <t>GESAMT</t>
  </si>
  <si>
    <t>LIEFERANTENBEWERTUNG  ·  JAHRESÜBERBLICK 2026</t>
  </si>
  <si>
    <t>Umsätze automatisch aus Bestellliste · Qualitätsnoten manuell eintragen (Skala 1–5, wobei 1 = sehr gut)</t>
  </si>
  <si>
    <t>Bestellungen
(Anzahl)</t>
  </si>
  <si>
    <t>Gesamtumsatz
(€ brutto)</t>
  </si>
  <si>
    <t>Anteil am
Gesamtvolumen</t>
  </si>
  <si>
    <t>Lieferqualität
(1–5)</t>
  </si>
  <si>
    <t>Termintreue
(1–5)</t>
  </si>
  <si>
    <t>Kommunikation
(1–5)</t>
  </si>
  <si>
    <t>Gesamt-
note</t>
  </si>
  <si>
    <t>Empfehlung</t>
  </si>
  <si>
    <t>Bewertungsskala: 1 = sehr gut  ·  2 = gut  ·  3 = befriedigend  ·  4 = ausreichend  ·  5 = mangelhaft  |  Spalten F–H: manuelle Eingabe je Lieferant</t>
  </si>
  <si>
    <t>ANLEITUNG  ·  KURZÜBERSICHT</t>
  </si>
  <si>
    <t>Bestellliste</t>
  </si>
  <si>
    <t>Hauptarbeitsblatt. Alle gelben Felder sind Eingabefelder. Bestell-Nr. manuell vergeben (z. B. B-2026-001). Rabatt in % eintragen (z. B. 5 für 5 %). Netto-EP und Gesamtbetrag werden automatisch berechnet. Status per Dropdown wählen → Farbkennzeichnung erfolgt automatisch.</t>
  </si>
  <si>
    <t>Budgetauswertung</t>
  </si>
  <si>
    <t>Zeigt den Jahresverbrauch je Kategorie. Jahresbudgets in Spalte C (gelb) eintragen. Bestellwerte und Bezahlt-Summen kommen automatisch aus der Bestellliste. Ampelfarbe in der %-Spalte zeigt Budgetstatus.</t>
  </si>
  <si>
    <t>Lieferantenbewertung</t>
  </si>
  <si>
    <t>Umsatz und Bestellanzahl je Lieferant werden automatisch befüllt. Qualität, Termintreue und Kommunikation (Spalten F–H) manuell auf Skala 1–5 eintragen. Gesamtnote und Empfehlung werden automatisch berechnet.</t>
  </si>
  <si>
    <t>Stammdaten</t>
  </si>
  <si>
    <t>Kategorien, Lieferanten, Einheiten und Status-Optionen können hier angepasst werden. Dropdowns in der Bestellliste greifen automatisch auf diese Listen zurück.</t>
  </si>
  <si>
    <t>Neue Zeile einfügen</t>
  </si>
  <si>
    <t>Zeile in der Bestellliste markieren → Rechtsklick → Einfügen. Formeln in den Spalten J und L (EP nach Rabatt, Gesamtbetrag) aus der darüber liegenden Zeile nach unten kopieren. KPI-Felder (Zeile 7) werden automatisch aktualisiert.</t>
  </si>
  <si>
    <t>Überfällige Bestellungen</t>
  </si>
  <si>
    <t>Zeilen werden automatisch rot hinterlegt, wenn das Lieferdatum in der Vergangenheit liegt und der Status noch 'Bestellt' oder 'Angefragt' ist. Anzahl überfälliger Bestellungen im KPI-Feld oben rechts.</t>
  </si>
  <si>
    <t>MwSt.-Satz</t>
  </si>
  <si>
    <t>Standard 19 % in Spalte K eingetragen. Für Artikel mit 7 % (z. B. Lebensmittel) den Wert entsprechend auf 0,07 ändern. Der Gesamtbetrag wird sofort neu berechnet.</t>
  </si>
  <si>
    <t>Währung &amp; Beträge</t>
  </si>
  <si>
    <t>Alle Beträge sind in EUR. Einzelpreise netto ohne MwSt. eingeben — die Tabelle berechnet Rabatt, Nettopreis nach Rabatt und Bruttobetrag automatisch.</t>
  </si>
  <si>
    <t>BESTELLLISTE  ·  EINKAUFS- UND BESTELLVERWALTUNG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</si>
</sst>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€&quot;"/>
    <numFmt numFmtId="165" formatCode="0.0%"/>
    <numFmt numFmtId="166" formatCode="0.0"/>
  </numFmts>
  <fonts count="19" x14ac:knownFonts="1">
    <font>
      <sz val="11"/>
      <color theme="1"/>
      <name val="Calibri"/>
      <family val="2"/>
      <charset val="1"/>
    </font>
    <font>
      <b/>
      <sz val="16"/>
      <color rgb="FFFFFFFF"/>
      <name val="Calibri"/>
      <charset val="1"/>
    </font>
    <font>
      <b/>
      <sz val="9"/>
      <color rgb="FFFFFFFF"/>
      <name val="Calibri"/>
      <charset val="1"/>
    </font>
    <font>
      <sz val="9"/>
      <color rgb="FF2C2C2C"/>
      <name val="Calibri"/>
      <charset val="1"/>
    </font>
    <font>
      <i/>
      <sz val="8"/>
      <color rgb="FF2D6A4F"/>
      <name val="Calibri"/>
      <charset val="1"/>
    </font>
    <font>
      <b/>
      <sz val="20"/>
      <color rgb="FFFFFFFF"/>
      <name val="Calibri"/>
      <charset val="1"/>
    </font>
    <font>
      <i/>
      <sz val="9"/>
      <color rgb="FFD4A017"/>
      <name val="Calibri"/>
      <charset val="1"/>
    </font>
    <font>
      <b/>
      <sz val="9"/>
      <color rgb="FFD4A017"/>
      <name val="Calibri"/>
      <charset val="1"/>
    </font>
    <font>
      <sz val="9"/>
      <color rgb="FFFFFFFF"/>
      <name val="Calibri"/>
      <charset val="1"/>
    </font>
    <font>
      <b/>
      <sz val="9"/>
      <color rgb="FF2C2C2C"/>
      <name val="Calibri"/>
      <charset val="1"/>
    </font>
    <font>
      <b/>
      <sz val="8"/>
      <color rgb="FFFFFFFF"/>
      <name val="Calibri"/>
      <charset val="1"/>
    </font>
    <font>
      <b/>
      <sz val="14"/>
      <color rgb="FF1A3C34"/>
      <name val="Calibri"/>
      <charset val="1"/>
    </font>
    <font>
      <b/>
      <sz val="16"/>
      <color rgb="FF1A3C34"/>
      <name val="Calibri"/>
      <charset val="1"/>
    </font>
    <font>
      <b/>
      <sz val="14"/>
      <color rgb="FFC0392B"/>
      <name val="Calibri"/>
      <charset val="1"/>
    </font>
    <font>
      <b/>
      <sz val="8"/>
      <color rgb="FF2D6A4F"/>
      <name val="Calibri"/>
      <charset val="1"/>
    </font>
    <font>
      <b/>
      <sz val="9"/>
      <color rgb="FF1A3C34"/>
      <name val="Calibri"/>
      <charset val="1"/>
    </font>
    <font>
      <b/>
      <sz val="10"/>
      <color rgb="FFFFFFFF"/>
      <name val="Calibri"/>
      <charset val="1"/>
    </font>
    <font>
      <b/>
      <sz val="11"/>
      <color rgb="FFFFFFFF"/>
      <name val="Calibri"/>
      <charset val="1"/>
    </font>
    <font>
      <b/>
      <sz val="18"/>
      <color rgb="FFFFFFFF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1A3C34"/>
        <bgColor rgb="FF2C2C2C"/>
      </patternFill>
    </fill>
    <fill>
      <patternFill patternType="solid">
        <fgColor rgb="FF2D6A4F"/>
        <bgColor rgb="FF1E8449"/>
      </patternFill>
    </fill>
    <fill>
      <patternFill patternType="solid">
        <fgColor rgb="FFFFFFFF"/>
        <bgColor rgb="FFFFFDE7"/>
      </patternFill>
    </fill>
    <fill>
      <patternFill patternType="solid">
        <fgColor rgb="FFF7F4EF"/>
        <bgColor rgb="FFFDEDEC"/>
      </patternFill>
    </fill>
    <fill>
      <patternFill patternType="solid">
        <fgColor rgb="FFD4A017"/>
        <bgColor rgb="FFE67E22"/>
      </patternFill>
    </fill>
    <fill>
      <patternFill patternType="solid">
        <fgColor rgb="FFFFFDE7"/>
        <bgColor rgb="FFFFFFFF"/>
      </patternFill>
    </fill>
    <fill>
      <patternFill patternType="solid">
        <fgColor rgb="FFFDEDEC"/>
        <bgColor rgb="FFF7F4EF"/>
      </patternFill>
    </fill>
  </fills>
  <borders count="8">
    <border>
      <left/>
      <right/>
      <top/>
      <bottom/>
      <diagonal/>
    </border>
    <border>
      <left style="thin">
        <color rgb="FF2D6A4F"/>
      </left>
      <right style="thin">
        <color rgb="FF2D6A4F"/>
      </right>
      <top style="thin">
        <color rgb="FF2D6A4F"/>
      </top>
      <bottom style="thin">
        <color rgb="FF2D6A4F"/>
      </bottom>
      <diagonal/>
    </border>
    <border>
      <left style="thin">
        <color rgb="FFC8D6C0"/>
      </left>
      <right style="thin">
        <color rgb="FFC8D6C0"/>
      </right>
      <top style="thin">
        <color rgb="FFC8D6C0"/>
      </top>
      <bottom style="thin">
        <color rgb="FFC8D6C0"/>
      </bottom>
      <diagonal/>
    </border>
    <border>
      <left style="thin">
        <color rgb="FF1A3C34"/>
      </left>
      <right style="thin">
        <color rgb="FF1A3C34"/>
      </right>
      <top style="thin">
        <color rgb="FF1A3C34"/>
      </top>
      <bottom style="thin">
        <color rgb="FF1A3C34"/>
      </bottom>
      <diagonal/>
    </border>
    <border>
      <left style="medium">
        <color rgb="FFD4A017"/>
      </left>
      <right/>
      <top style="medium">
        <color rgb="FFD4A017"/>
      </top>
      <bottom style="medium">
        <color rgb="FFD4A017"/>
      </bottom>
      <diagonal/>
    </border>
    <border>
      <left style="medium">
        <color rgb="FF1A3C34"/>
      </left>
      <right style="medium">
        <color rgb="FF1A3C34"/>
      </right>
      <top style="medium">
        <color rgb="FF1A3C34"/>
      </top>
      <bottom style="medium">
        <color rgb="FF1A3C34"/>
      </bottom>
      <diagonal/>
    </border>
    <border>
      <left style="medium">
        <color rgb="FFD4A017"/>
      </left>
      <right style="medium">
        <color rgb="FFD4A017"/>
      </right>
      <top style="medium">
        <color rgb="FFD4A017"/>
      </top>
      <bottom style="medium">
        <color rgb="FFD4A017"/>
      </bottom>
      <diagonal/>
    </border>
    <border>
      <left/>
      <right/>
      <top/>
      <bottom style="thin">
        <color rgb="FF1A3C3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0" xfId="0" applyFont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1" fontId="13" fillId="8" borderId="2" xfId="0" applyNumberFormat="1" applyFont="1" applyFill="1" applyBorder="1" applyAlignment="1">
      <alignment horizontal="center" vertical="center"/>
    </xf>
    <xf numFmtId="165" fontId="12" fillId="6" borderId="2" xfId="0" applyNumberFormat="1" applyFont="1" applyFill="1" applyBorder="1" applyAlignment="1">
      <alignment horizontal="center" vertical="center"/>
    </xf>
    <xf numFmtId="164" fontId="11" fillId="5" borderId="2" xfId="0" applyNumberFormat="1" applyFont="1" applyFill="1" applyBorder="1" applyAlignment="1">
      <alignment horizontal="center" vertical="center"/>
    </xf>
    <xf numFmtId="1" fontId="11" fillId="5" borderId="2" xfId="0" applyNumberFormat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0" fillId="6" borderId="0" xfId="0" applyFill="1"/>
    <xf numFmtId="0" fontId="2" fillId="3" borderId="1" xfId="0" applyFont="1" applyFill="1" applyBorder="1" applyAlignment="1">
      <alignment horizontal="center" vertical="center"/>
    </xf>
    <xf numFmtId="0" fontId="3" fillId="4" borderId="2" xfId="0" applyFont="1" applyFill="1" applyBorder="1"/>
    <xf numFmtId="0" fontId="3" fillId="5" borderId="2" xfId="0" applyFont="1" applyFill="1" applyBorder="1"/>
    <xf numFmtId="0" fontId="4" fillId="0" borderId="0" xfId="0" applyFont="1"/>
    <xf numFmtId="0" fontId="7" fillId="2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left" vertical="center"/>
    </xf>
    <xf numFmtId="164" fontId="9" fillId="7" borderId="0" xfId="0" applyNumberFormat="1" applyFont="1" applyFill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left" vertical="center"/>
    </xf>
    <xf numFmtId="3" fontId="3" fillId="7" borderId="2" xfId="0" applyNumberFormat="1" applyFont="1" applyFill="1" applyBorder="1" applyAlignment="1">
      <alignment horizontal="center" vertical="center"/>
    </xf>
    <xf numFmtId="164" fontId="3" fillId="7" borderId="2" xfId="0" applyNumberFormat="1" applyFont="1" applyFill="1" applyBorder="1" applyAlignment="1">
      <alignment horizontal="right" vertical="center"/>
    </xf>
    <xf numFmtId="9" fontId="3" fillId="7" borderId="2" xfId="0" applyNumberFormat="1" applyFont="1" applyFill="1" applyBorder="1" applyAlignment="1">
      <alignment horizontal="center" vertical="center"/>
    </xf>
    <xf numFmtId="164" fontId="3" fillId="5" borderId="2" xfId="0" applyNumberFormat="1" applyFont="1" applyFill="1" applyBorder="1" applyAlignment="1">
      <alignment horizontal="right" vertical="center"/>
    </xf>
    <xf numFmtId="164" fontId="15" fillId="5" borderId="2" xfId="0" applyNumberFormat="1" applyFont="1" applyFill="1" applyBorder="1" applyAlignment="1">
      <alignment horizontal="right" vertical="center"/>
    </xf>
    <xf numFmtId="0" fontId="9" fillId="7" borderId="2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right" vertical="center"/>
    </xf>
    <xf numFmtId="164" fontId="15" fillId="4" borderId="2" xfId="0" applyNumberFormat="1" applyFont="1" applyFill="1" applyBorder="1" applyAlignment="1">
      <alignment horizontal="right" vertical="center"/>
    </xf>
    <xf numFmtId="0" fontId="0" fillId="4" borderId="2" xfId="0" applyFill="1" applyBorder="1"/>
    <xf numFmtId="0" fontId="0" fillId="7" borderId="2" xfId="0" applyFill="1" applyBorder="1"/>
    <xf numFmtId="164" fontId="0" fillId="4" borderId="2" xfId="0" applyNumberFormat="1" applyFill="1" applyBorder="1"/>
    <xf numFmtId="164" fontId="15" fillId="4" borderId="2" xfId="0" applyNumberFormat="1" applyFont="1" applyFill="1" applyBorder="1"/>
    <xf numFmtId="0" fontId="0" fillId="5" borderId="2" xfId="0" applyFill="1" applyBorder="1"/>
    <xf numFmtId="164" fontId="0" fillId="5" borderId="2" xfId="0" applyNumberFormat="1" applyFill="1" applyBorder="1"/>
    <xf numFmtId="164" fontId="15" fillId="5" borderId="2" xfId="0" applyNumberFormat="1" applyFont="1" applyFill="1" applyBorder="1"/>
    <xf numFmtId="164" fontId="17" fillId="6" borderId="5" xfId="0" applyNumberFormat="1" applyFont="1" applyFill="1" applyBorder="1" applyAlignment="1">
      <alignment horizontal="right" vertical="center"/>
    </xf>
    <xf numFmtId="0" fontId="0" fillId="2" borderId="6" xfId="0" applyFill="1" applyBorder="1"/>
    <xf numFmtId="0" fontId="15" fillId="5" borderId="2" xfId="0" applyFont="1" applyFill="1" applyBorder="1" applyAlignment="1">
      <alignment horizontal="left" vertical="center"/>
    </xf>
    <xf numFmtId="165" fontId="9" fillId="5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left" vertical="center"/>
    </xf>
    <xf numFmtId="165" fontId="9" fillId="4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left" vertical="center"/>
    </xf>
    <xf numFmtId="164" fontId="16" fillId="2" borderId="6" xfId="0" applyNumberFormat="1" applyFont="1" applyFill="1" applyBorder="1" applyAlignment="1">
      <alignment horizontal="right" vertical="center"/>
    </xf>
    <xf numFmtId="165" fontId="16" fillId="2" borderId="6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165" fontId="3" fillId="5" borderId="2" xfId="0" applyNumberFormat="1" applyFont="1" applyFill="1" applyBorder="1" applyAlignment="1">
      <alignment horizontal="center" vertical="center"/>
    </xf>
    <xf numFmtId="166" fontId="15" fillId="5" borderId="2" xfId="0" applyNumberFormat="1" applyFont="1" applyFill="1" applyBorder="1" applyAlignment="1">
      <alignment horizontal="center" vertical="center"/>
    </xf>
    <xf numFmtId="165" fontId="3" fillId="4" borderId="2" xfId="0" applyNumberFormat="1" applyFont="1" applyFill="1" applyBorder="1" applyAlignment="1">
      <alignment horizontal="center" vertical="center"/>
    </xf>
    <xf numFmtId="166" fontId="15" fillId="4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</cellXfs>
  <cellStyles count="1">
    <cellStyle name="Standard" xfId="0" builtinId="0"/>
  </cellStyles>
  <dxfs count="11">
    <dxf>
      <font>
        <b/>
        <sz val="9"/>
        <color rgb="FFC0392B"/>
        <name val="Calibri"/>
        <charset val="1"/>
      </font>
      <fill>
        <patternFill>
          <bgColor rgb="FFFDEDEC"/>
        </patternFill>
      </fill>
    </dxf>
    <dxf>
      <font>
        <b/>
        <sz val="9"/>
        <color rgb="FF1E8449"/>
        <name val="Calibri"/>
        <charset val="1"/>
      </font>
      <fill>
        <patternFill>
          <bgColor rgb="FFD5F5E3"/>
        </patternFill>
      </fill>
    </dxf>
    <dxf>
      <font>
        <b/>
        <sz val="9"/>
        <color rgb="FF1E8449"/>
        <name val="Calibri"/>
        <charset val="1"/>
      </font>
      <fill>
        <patternFill>
          <bgColor rgb="FFD5F5E3"/>
        </patternFill>
      </fill>
    </dxf>
    <dxf>
      <font>
        <b/>
        <sz val="9"/>
        <color rgb="FFC0392B"/>
        <name val="Calibri"/>
        <charset val="1"/>
      </font>
      <fill>
        <patternFill>
          <bgColor rgb="FFFDEDEC"/>
        </patternFill>
      </fill>
    </dxf>
    <dxf>
      <font>
        <b/>
        <sz val="9"/>
        <color rgb="FF2C2C2C"/>
        <name val="Calibri"/>
        <charset val="1"/>
      </font>
    </dxf>
    <dxf>
      <font>
        <b/>
        <sz val="9"/>
        <color rgb="FFC0392B"/>
        <name val="Calibri"/>
        <charset val="1"/>
      </font>
    </dxf>
    <dxf>
      <font>
        <b/>
        <sz val="9"/>
        <color rgb="FFE67E22"/>
        <name val="Calibri"/>
        <charset val="1"/>
      </font>
    </dxf>
    <dxf>
      <font>
        <b/>
        <sz val="9"/>
        <color rgb="FFE67E22"/>
        <name val="Calibri"/>
        <charset val="1"/>
      </font>
    </dxf>
    <dxf>
      <font>
        <b/>
        <sz val="9"/>
        <color rgb="FF1E8449"/>
        <name val="Calibri"/>
        <charset val="1"/>
      </font>
    </dxf>
    <dxf>
      <font>
        <b/>
        <sz val="9"/>
        <color rgb="FF1E8449"/>
        <name val="Calibri"/>
        <charset val="1"/>
      </font>
    </dxf>
    <dxf>
      <fill>
        <patternFill>
          <bgColor rgb="FFFDEDE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D6A4F"/>
      <rgbColor rgb="FFC8D6C0"/>
      <rgbColor rgb="FF808080"/>
      <rgbColor rgb="FF9999FF"/>
      <rgbColor rgb="FF993366"/>
      <rgbColor rgb="FFFFFDE7"/>
      <rgbColor rgb="FFF7F4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5F5E3"/>
      <rgbColor rgb="FFFDEDEC"/>
      <rgbColor rgb="FF99CCFF"/>
      <rgbColor rgb="FFFF99CC"/>
      <rgbColor rgb="FFCC99FF"/>
      <rgbColor rgb="FFFFCC99"/>
      <rgbColor rgb="FF3366FF"/>
      <rgbColor rgb="FF52B788"/>
      <rgbColor rgb="FF99CC00"/>
      <rgbColor rgb="FFFFCC00"/>
      <rgbColor rgb="FFD4A017"/>
      <rgbColor rgb="FFE67E22"/>
      <rgbColor rgb="FF666699"/>
      <rgbColor rgb="FF969696"/>
      <rgbColor rgb="FF1A3C34"/>
      <rgbColor rgb="FF1E8449"/>
      <rgbColor rgb="FF003300"/>
      <rgbColor rgb="FF333300"/>
      <rgbColor rgb="FFC0392B"/>
      <rgbColor rgb="FF993366"/>
      <rgbColor rgb="FF333399"/>
      <rgbColor rgb="FF2C2C2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D6A4F"/>
  </sheetPr>
  <dimension ref="A1:G16"/>
  <sheetViews>
    <sheetView showGridLines="0" zoomScaleNormal="100" workbookViewId="0"/>
  </sheetViews>
  <sheetFormatPr baseColWidth="10" defaultColWidth="8.7109375" defaultRowHeight="15" x14ac:dyDescent="0.25"/>
  <cols>
    <col min="1" max="1" width="20" customWidth="1"/>
    <col min="2" max="2" width="22" customWidth="1"/>
    <col min="3" max="6" width="18" customWidth="1"/>
    <col min="7" max="7" width="20" customWidth="1"/>
  </cols>
  <sheetData>
    <row r="1" spans="1:7" ht="7.5" customHeight="1" x14ac:dyDescent="0.25"/>
    <row r="2" spans="1:7" ht="36" customHeight="1" x14ac:dyDescent="0.25">
      <c r="A2" s="4" t="s">
        <v>0</v>
      </c>
      <c r="B2" s="4"/>
      <c r="C2" s="4"/>
      <c r="D2" s="4"/>
      <c r="E2" s="4"/>
      <c r="F2" s="4"/>
      <c r="G2" s="4"/>
    </row>
    <row r="4" spans="1:7" ht="21.75" customHeight="1" x14ac:dyDescent="0.25">
      <c r="A4" s="14" t="s">
        <v>1</v>
      </c>
      <c r="B4" s="14" t="s">
        <v>2</v>
      </c>
      <c r="C4" s="14" t="s">
        <v>3</v>
      </c>
      <c r="D4" s="14" t="s">
        <v>4</v>
      </c>
      <c r="E4" s="14" t="s">
        <v>5</v>
      </c>
      <c r="F4" s="14" t="s">
        <v>6</v>
      </c>
      <c r="G4" s="14" t="s">
        <v>7</v>
      </c>
    </row>
    <row r="5" spans="1:7" ht="15.75" customHeight="1" x14ac:dyDescent="0.25">
      <c r="A5" s="15" t="s">
        <v>8</v>
      </c>
      <c r="B5" s="15" t="s">
        <v>9</v>
      </c>
      <c r="C5" s="15" t="s">
        <v>10</v>
      </c>
      <c r="D5" s="15" t="s">
        <v>11</v>
      </c>
      <c r="E5" s="15" t="s">
        <v>12</v>
      </c>
      <c r="F5" s="15">
        <v>3</v>
      </c>
      <c r="G5" s="15" t="s">
        <v>13</v>
      </c>
    </row>
    <row r="6" spans="1:7" ht="15.75" customHeight="1" x14ac:dyDescent="0.25">
      <c r="A6" s="16" t="s">
        <v>14</v>
      </c>
      <c r="B6" s="16" t="s">
        <v>15</v>
      </c>
      <c r="C6" s="16" t="s">
        <v>16</v>
      </c>
      <c r="D6" s="16" t="s">
        <v>17</v>
      </c>
      <c r="E6" s="16" t="s">
        <v>18</v>
      </c>
      <c r="F6" s="16">
        <v>5</v>
      </c>
      <c r="G6" s="16" t="s">
        <v>19</v>
      </c>
    </row>
    <row r="7" spans="1:7" ht="15.75" customHeight="1" x14ac:dyDescent="0.25">
      <c r="A7" s="15" t="s">
        <v>20</v>
      </c>
      <c r="B7" s="15" t="s">
        <v>21</v>
      </c>
      <c r="C7" s="15" t="s">
        <v>22</v>
      </c>
      <c r="D7" s="15" t="s">
        <v>23</v>
      </c>
      <c r="E7" s="15" t="s">
        <v>24</v>
      </c>
      <c r="F7" s="15">
        <v>2</v>
      </c>
      <c r="G7" s="15" t="s">
        <v>25</v>
      </c>
    </row>
    <row r="8" spans="1:7" ht="15.75" customHeight="1" x14ac:dyDescent="0.25">
      <c r="A8" s="16" t="s">
        <v>26</v>
      </c>
      <c r="B8" s="16" t="s">
        <v>27</v>
      </c>
      <c r="C8" s="16" t="s">
        <v>28</v>
      </c>
      <c r="D8" s="16" t="s">
        <v>29</v>
      </c>
      <c r="F8" s="16">
        <v>4</v>
      </c>
      <c r="G8" s="16" t="s">
        <v>30</v>
      </c>
    </row>
    <row r="9" spans="1:7" ht="15.75" customHeight="1" x14ac:dyDescent="0.25">
      <c r="A9" s="15" t="s">
        <v>31</v>
      </c>
      <c r="B9" s="15" t="s">
        <v>32</v>
      </c>
      <c r="C9" s="15" t="s">
        <v>33</v>
      </c>
      <c r="D9" s="15" t="s">
        <v>34</v>
      </c>
      <c r="F9" s="15">
        <v>7</v>
      </c>
      <c r="G9" s="15" t="s">
        <v>35</v>
      </c>
    </row>
    <row r="10" spans="1:7" ht="15.75" customHeight="1" x14ac:dyDescent="0.25">
      <c r="A10" s="16" t="s">
        <v>36</v>
      </c>
      <c r="B10" s="16" t="s">
        <v>37</v>
      </c>
      <c r="C10" s="16" t="s">
        <v>38</v>
      </c>
      <c r="D10" s="16" t="s">
        <v>39</v>
      </c>
      <c r="F10" s="16">
        <v>10</v>
      </c>
      <c r="G10" s="16" t="s">
        <v>40</v>
      </c>
    </row>
    <row r="11" spans="1:7" ht="15.75" customHeight="1" x14ac:dyDescent="0.25">
      <c r="A11" s="15" t="s">
        <v>41</v>
      </c>
      <c r="B11" s="15" t="s">
        <v>42</v>
      </c>
      <c r="C11" s="15" t="s">
        <v>43</v>
      </c>
      <c r="D11" s="15" t="s">
        <v>44</v>
      </c>
      <c r="F11" s="15">
        <v>14</v>
      </c>
      <c r="G11" s="15" t="s">
        <v>45</v>
      </c>
    </row>
    <row r="12" spans="1:7" ht="15.75" customHeight="1" x14ac:dyDescent="0.25">
      <c r="A12" s="16" t="s">
        <v>46</v>
      </c>
      <c r="B12" s="16" t="s">
        <v>47</v>
      </c>
      <c r="D12" s="16" t="s">
        <v>48</v>
      </c>
      <c r="F12" s="16">
        <v>1</v>
      </c>
      <c r="G12" s="16" t="s">
        <v>49</v>
      </c>
    </row>
    <row r="13" spans="1:7" ht="15.75" customHeight="1" x14ac:dyDescent="0.25">
      <c r="A13" s="15" t="s">
        <v>50</v>
      </c>
      <c r="G13" s="15" t="s">
        <v>51</v>
      </c>
    </row>
    <row r="16" spans="1:7" x14ac:dyDescent="0.25">
      <c r="A16" s="17" t="s">
        <v>52</v>
      </c>
    </row>
  </sheetData>
  <mergeCells count="1">
    <mergeCell ref="A2:G2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A3C34"/>
  </sheetPr>
  <dimension ref="A1:O32"/>
  <sheetViews>
    <sheetView showGridLines="0" tabSelected="1" zoomScaleNormal="100" workbookViewId="0">
      <pane ySplit="8" topLeftCell="A9" activePane="bottomLeft" state="frozen"/>
      <selection pane="bottomLeft" activeCell="G38" sqref="G38"/>
    </sheetView>
  </sheetViews>
  <sheetFormatPr baseColWidth="10" defaultColWidth="8.7109375" defaultRowHeight="15" x14ac:dyDescent="0.25"/>
  <cols>
    <col min="1" max="1" width="2.42578125" customWidth="1"/>
    <col min="2" max="2" width="7" customWidth="1"/>
    <col min="3" max="3" width="9" customWidth="1"/>
    <col min="4" max="4" width="30" customWidth="1"/>
    <col min="5" max="5" width="16" customWidth="1"/>
    <col min="6" max="7" width="9" customWidth="1"/>
    <col min="8" max="11" width="13" customWidth="1"/>
    <col min="12" max="13" width="14" customWidth="1"/>
    <col min="14" max="14" width="10" customWidth="1"/>
    <col min="15" max="15" width="22" customWidth="1"/>
    <col min="16" max="16" width="2.42578125" customWidth="1"/>
  </cols>
  <sheetData>
    <row r="1" spans="1:15" ht="7.5" customHeight="1" x14ac:dyDescent="0.25"/>
    <row r="2" spans="1:15" ht="43.5" customHeight="1" x14ac:dyDescent="0.25">
      <c r="A2" s="13"/>
      <c r="B2" s="12" t="s">
        <v>193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8" customHeight="1" x14ac:dyDescent="0.25">
      <c r="A3" s="13"/>
      <c r="B3" s="11" t="s">
        <v>53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ht="7.5" customHeight="1" x14ac:dyDescent="0.25">
      <c r="A4" s="13"/>
    </row>
    <row r="5" spans="1:15" ht="9" customHeight="1" x14ac:dyDescent="0.25">
      <c r="A5" s="13"/>
      <c r="B5" s="61" t="s">
        <v>54</v>
      </c>
      <c r="C5" s="61"/>
      <c r="D5" s="19" t="s">
        <v>55</v>
      </c>
      <c r="E5" s="61" t="s">
        <v>56</v>
      </c>
      <c r="F5" s="61"/>
      <c r="G5" s="62" t="s">
        <v>57</v>
      </c>
      <c r="H5" s="62"/>
      <c r="I5" s="62"/>
      <c r="J5" s="18" t="s">
        <v>58</v>
      </c>
      <c r="K5" s="62" t="s">
        <v>59</v>
      </c>
      <c r="L5" s="62"/>
      <c r="M5" s="18" t="s">
        <v>60</v>
      </c>
      <c r="N5" s="20">
        <v>0</v>
      </c>
    </row>
    <row r="6" spans="1:15" ht="18" customHeight="1" x14ac:dyDescent="0.25">
      <c r="A6" s="13"/>
      <c r="B6" s="10" t="s">
        <v>61</v>
      </c>
      <c r="C6" s="10"/>
      <c r="D6" s="10"/>
      <c r="E6" s="10" t="s">
        <v>62</v>
      </c>
      <c r="F6" s="10"/>
      <c r="G6" s="10"/>
      <c r="H6" s="10" t="s">
        <v>63</v>
      </c>
      <c r="I6" s="10"/>
      <c r="J6" s="10" t="s">
        <v>64</v>
      </c>
      <c r="K6" s="10"/>
      <c r="L6" s="10" t="s">
        <v>65</v>
      </c>
      <c r="M6" s="10"/>
      <c r="N6" s="10" t="s">
        <v>66</v>
      </c>
      <c r="O6" s="10"/>
    </row>
    <row r="7" spans="1:15" ht="30" customHeight="1" x14ac:dyDescent="0.25">
      <c r="A7" s="13"/>
      <c r="B7" s="9">
        <f>COUNTA(D9:D500)-COUNTBLANK(D9:D500)</f>
        <v>-456</v>
      </c>
      <c r="C7" s="9"/>
      <c r="D7" s="9"/>
      <c r="E7" s="8">
        <f>IFERROR(SUMIF(L9:L500,"&lt;&gt;",L9:L500),0)</f>
        <v>16707.421000000002</v>
      </c>
      <c r="F7" s="8"/>
      <c r="G7" s="8"/>
      <c r="H7" s="8">
        <f>IFERROR(SUMIF(N9:N500,"Abgeschlossen",L9:L500),0)</f>
        <v>2114.0111999999999</v>
      </c>
      <c r="I7" s="8"/>
      <c r="J7" s="8">
        <f>IFERROR(SUMIF(N9:N500,"Offen",L9:L500)+SUMIF(N9:N500,"Angefragt",L9:L500)+SUMIF(N9:N500,"Bestellt",L9:L500),0)</f>
        <v>3082.8735000000001</v>
      </c>
      <c r="K7" s="8"/>
      <c r="L7" s="7">
        <f>IFERROR(E7/N5,0)</f>
        <v>0</v>
      </c>
      <c r="M7" s="7"/>
      <c r="N7" s="6">
        <f ca="1">COUNTIFS(M9:M500,"&lt;"&amp;TODAY(),N9:N500,"Bestellt")+COUNTIFS(M9:M500,"&lt;"&amp;TODAY(),N9:N500,"Angefragt")</f>
        <v>0</v>
      </c>
      <c r="O7" s="6"/>
    </row>
    <row r="8" spans="1:15" ht="27.75" customHeight="1" x14ac:dyDescent="0.25">
      <c r="A8" s="13"/>
      <c r="B8" s="21" t="s">
        <v>67</v>
      </c>
      <c r="C8" s="21" t="s">
        <v>68</v>
      </c>
      <c r="D8" s="21" t="s">
        <v>69</v>
      </c>
      <c r="E8" s="21" t="s">
        <v>1</v>
      </c>
      <c r="F8" s="21" t="s">
        <v>70</v>
      </c>
      <c r="G8" s="21" t="s">
        <v>7</v>
      </c>
      <c r="H8" s="21" t="s">
        <v>71</v>
      </c>
      <c r="I8" s="21" t="s">
        <v>72</v>
      </c>
      <c r="J8" s="21" t="s">
        <v>73</v>
      </c>
      <c r="K8" s="21" t="s">
        <v>74</v>
      </c>
      <c r="L8" s="21" t="s">
        <v>75</v>
      </c>
      <c r="M8" s="21" t="s">
        <v>76</v>
      </c>
      <c r="N8" s="21" t="s">
        <v>77</v>
      </c>
      <c r="O8" s="21" t="s">
        <v>78</v>
      </c>
    </row>
    <row r="9" spans="1:15" ht="18" customHeight="1" x14ac:dyDescent="0.25">
      <c r="B9" s="22" t="s">
        <v>79</v>
      </c>
      <c r="C9" s="23" t="s">
        <v>80</v>
      </c>
      <c r="D9" s="24" t="s">
        <v>81</v>
      </c>
      <c r="E9" s="24" t="s">
        <v>8</v>
      </c>
      <c r="F9" s="25">
        <v>50</v>
      </c>
      <c r="G9" s="23" t="s">
        <v>19</v>
      </c>
      <c r="H9" s="26">
        <v>3.9</v>
      </c>
      <c r="I9" s="27">
        <v>0.05</v>
      </c>
      <c r="J9" s="28">
        <f t="shared" ref="J9:J26" si="0">H9*(1-I9)</f>
        <v>3.7049999999999996</v>
      </c>
      <c r="K9" s="27">
        <v>0.19</v>
      </c>
      <c r="L9" s="29">
        <f t="shared" ref="L9:L26" si="1">F9*J9*(1+K9)</f>
        <v>220.44749999999996</v>
      </c>
      <c r="M9" s="23" t="s">
        <v>82</v>
      </c>
      <c r="N9" s="30" t="s">
        <v>33</v>
      </c>
      <c r="O9" s="24" t="s">
        <v>9</v>
      </c>
    </row>
    <row r="10" spans="1:15" ht="18" customHeight="1" x14ac:dyDescent="0.25">
      <c r="B10" s="31" t="s">
        <v>83</v>
      </c>
      <c r="C10" s="23" t="s">
        <v>84</v>
      </c>
      <c r="D10" s="24" t="s">
        <v>85</v>
      </c>
      <c r="E10" s="24" t="s">
        <v>14</v>
      </c>
      <c r="F10" s="25">
        <v>12</v>
      </c>
      <c r="G10" s="23" t="s">
        <v>51</v>
      </c>
      <c r="H10" s="26">
        <v>18.5</v>
      </c>
      <c r="I10" s="27">
        <v>0</v>
      </c>
      <c r="J10" s="32">
        <f t="shared" si="0"/>
        <v>18.5</v>
      </c>
      <c r="K10" s="27">
        <v>0.19</v>
      </c>
      <c r="L10" s="33">
        <f t="shared" si="1"/>
        <v>264.18</v>
      </c>
      <c r="M10" s="23" t="s">
        <v>86</v>
      </c>
      <c r="N10" s="30" t="s">
        <v>33</v>
      </c>
      <c r="O10" s="24" t="s">
        <v>15</v>
      </c>
    </row>
    <row r="11" spans="1:15" ht="18" customHeight="1" x14ac:dyDescent="0.25">
      <c r="B11" s="22" t="s">
        <v>87</v>
      </c>
      <c r="C11" s="23" t="s">
        <v>88</v>
      </c>
      <c r="D11" s="24" t="s">
        <v>89</v>
      </c>
      <c r="E11" s="24" t="s">
        <v>20</v>
      </c>
      <c r="F11" s="25">
        <v>20</v>
      </c>
      <c r="G11" s="23" t="s">
        <v>13</v>
      </c>
      <c r="H11" s="26">
        <v>6.4</v>
      </c>
      <c r="I11" s="27">
        <v>0.1</v>
      </c>
      <c r="J11" s="28">
        <f t="shared" si="0"/>
        <v>5.7600000000000007</v>
      </c>
      <c r="K11" s="27">
        <v>0.19</v>
      </c>
      <c r="L11" s="29">
        <f t="shared" si="1"/>
        <v>137.08800000000002</v>
      </c>
      <c r="M11" s="23" t="s">
        <v>90</v>
      </c>
      <c r="N11" s="30" t="s">
        <v>33</v>
      </c>
      <c r="O11" s="24" t="s">
        <v>21</v>
      </c>
    </row>
    <row r="12" spans="1:15" ht="18" customHeight="1" x14ac:dyDescent="0.25">
      <c r="B12" s="31" t="s">
        <v>91</v>
      </c>
      <c r="C12" s="23" t="s">
        <v>92</v>
      </c>
      <c r="D12" s="24" t="s">
        <v>93</v>
      </c>
      <c r="E12" s="24" t="s">
        <v>26</v>
      </c>
      <c r="F12" s="25">
        <v>200</v>
      </c>
      <c r="G12" s="23" t="s">
        <v>25</v>
      </c>
      <c r="H12" s="26">
        <v>0.85</v>
      </c>
      <c r="I12" s="27">
        <v>0</v>
      </c>
      <c r="J12" s="32">
        <f t="shared" si="0"/>
        <v>0.85</v>
      </c>
      <c r="K12" s="27">
        <v>0.19</v>
      </c>
      <c r="L12" s="33">
        <f t="shared" si="1"/>
        <v>202.29999999999998</v>
      </c>
      <c r="M12" s="23" t="s">
        <v>94</v>
      </c>
      <c r="N12" s="30" t="s">
        <v>33</v>
      </c>
      <c r="O12" s="24" t="s">
        <v>27</v>
      </c>
    </row>
    <row r="13" spans="1:15" ht="18" customHeight="1" x14ac:dyDescent="0.25">
      <c r="B13" s="22" t="s">
        <v>95</v>
      </c>
      <c r="C13" s="23" t="s">
        <v>96</v>
      </c>
      <c r="D13" s="24" t="s">
        <v>97</v>
      </c>
      <c r="E13" s="24" t="s">
        <v>31</v>
      </c>
      <c r="F13" s="25">
        <v>3</v>
      </c>
      <c r="G13" s="23" t="s">
        <v>51</v>
      </c>
      <c r="H13" s="26">
        <v>89</v>
      </c>
      <c r="I13" s="27">
        <v>0.05</v>
      </c>
      <c r="J13" s="28">
        <f t="shared" si="0"/>
        <v>84.55</v>
      </c>
      <c r="K13" s="27">
        <v>0.19</v>
      </c>
      <c r="L13" s="29">
        <f t="shared" si="1"/>
        <v>301.84349999999995</v>
      </c>
      <c r="M13" s="23" t="s">
        <v>98</v>
      </c>
      <c r="N13" s="30" t="s">
        <v>33</v>
      </c>
      <c r="O13" s="24" t="s">
        <v>32</v>
      </c>
    </row>
    <row r="14" spans="1:15" ht="18" customHeight="1" x14ac:dyDescent="0.25">
      <c r="B14" s="31" t="s">
        <v>99</v>
      </c>
      <c r="C14" s="23" t="s">
        <v>100</v>
      </c>
      <c r="D14" s="24" t="s">
        <v>101</v>
      </c>
      <c r="E14" s="24" t="s">
        <v>36</v>
      </c>
      <c r="F14" s="25">
        <v>1</v>
      </c>
      <c r="G14" s="23" t="s">
        <v>102</v>
      </c>
      <c r="H14" s="26">
        <v>320</v>
      </c>
      <c r="I14" s="27">
        <v>0</v>
      </c>
      <c r="J14" s="32">
        <f t="shared" si="0"/>
        <v>320</v>
      </c>
      <c r="K14" s="27">
        <v>0.19</v>
      </c>
      <c r="L14" s="33">
        <f t="shared" si="1"/>
        <v>380.79999999999995</v>
      </c>
      <c r="M14" s="23" t="s">
        <v>103</v>
      </c>
      <c r="N14" s="30" t="s">
        <v>38</v>
      </c>
      <c r="O14" s="24" t="s">
        <v>37</v>
      </c>
    </row>
    <row r="15" spans="1:15" ht="18" customHeight="1" x14ac:dyDescent="0.25">
      <c r="B15" s="22" t="s">
        <v>104</v>
      </c>
      <c r="C15" s="23" t="s">
        <v>105</v>
      </c>
      <c r="D15" s="24" t="s">
        <v>106</v>
      </c>
      <c r="E15" s="24" t="s">
        <v>41</v>
      </c>
      <c r="F15" s="25">
        <v>6</v>
      </c>
      <c r="G15" s="23" t="s">
        <v>13</v>
      </c>
      <c r="H15" s="26">
        <v>249</v>
      </c>
      <c r="I15" s="27">
        <v>0.08</v>
      </c>
      <c r="J15" s="28">
        <f t="shared" si="0"/>
        <v>229.08</v>
      </c>
      <c r="K15" s="27">
        <v>0.19</v>
      </c>
      <c r="L15" s="29">
        <f t="shared" si="1"/>
        <v>1635.6312</v>
      </c>
      <c r="M15" s="23" t="s">
        <v>107</v>
      </c>
      <c r="N15" s="30" t="s">
        <v>38</v>
      </c>
      <c r="O15" s="24" t="s">
        <v>42</v>
      </c>
    </row>
    <row r="16" spans="1:15" ht="18" customHeight="1" x14ac:dyDescent="0.25">
      <c r="B16" s="31" t="s">
        <v>108</v>
      </c>
      <c r="C16" s="23" t="s">
        <v>109</v>
      </c>
      <c r="D16" s="24" t="s">
        <v>110</v>
      </c>
      <c r="E16" s="24" t="s">
        <v>46</v>
      </c>
      <c r="F16" s="25">
        <v>10</v>
      </c>
      <c r="G16" s="23" t="s">
        <v>30</v>
      </c>
      <c r="H16" s="26">
        <v>14.9</v>
      </c>
      <c r="I16" s="27">
        <v>0</v>
      </c>
      <c r="J16" s="32">
        <f t="shared" si="0"/>
        <v>14.9</v>
      </c>
      <c r="K16" s="27">
        <v>7.0000000000000007E-2</v>
      </c>
      <c r="L16" s="33">
        <f t="shared" si="1"/>
        <v>159.43</v>
      </c>
      <c r="M16" s="23" t="s">
        <v>111</v>
      </c>
      <c r="N16" s="30" t="s">
        <v>33</v>
      </c>
      <c r="O16" s="24" t="s">
        <v>47</v>
      </c>
    </row>
    <row r="17" spans="2:15" ht="18" customHeight="1" x14ac:dyDescent="0.25">
      <c r="B17" s="22" t="s">
        <v>112</v>
      </c>
      <c r="C17" s="23" t="s">
        <v>113</v>
      </c>
      <c r="D17" s="24" t="s">
        <v>114</v>
      </c>
      <c r="E17" s="24" t="s">
        <v>20</v>
      </c>
      <c r="F17" s="25">
        <v>2</v>
      </c>
      <c r="G17" s="23" t="s">
        <v>25</v>
      </c>
      <c r="H17" s="26">
        <v>98</v>
      </c>
      <c r="I17" s="27">
        <v>0.05</v>
      </c>
      <c r="J17" s="28">
        <f t="shared" si="0"/>
        <v>93.1</v>
      </c>
      <c r="K17" s="27">
        <v>0.19</v>
      </c>
      <c r="L17" s="29">
        <f t="shared" si="1"/>
        <v>221.57799999999997</v>
      </c>
      <c r="M17" s="23" t="s">
        <v>115</v>
      </c>
      <c r="N17" s="30" t="s">
        <v>33</v>
      </c>
      <c r="O17" s="24" t="s">
        <v>21</v>
      </c>
    </row>
    <row r="18" spans="2:15" ht="18" customHeight="1" x14ac:dyDescent="0.25">
      <c r="B18" s="31" t="s">
        <v>116</v>
      </c>
      <c r="C18" s="23" t="s">
        <v>117</v>
      </c>
      <c r="D18" s="24" t="s">
        <v>118</v>
      </c>
      <c r="E18" s="24" t="s">
        <v>14</v>
      </c>
      <c r="F18" s="25">
        <v>4</v>
      </c>
      <c r="G18" s="23" t="s">
        <v>13</v>
      </c>
      <c r="H18" s="26">
        <v>329</v>
      </c>
      <c r="I18" s="27">
        <v>0.03</v>
      </c>
      <c r="J18" s="32">
        <f t="shared" si="0"/>
        <v>319.13</v>
      </c>
      <c r="K18" s="27">
        <v>0.19</v>
      </c>
      <c r="L18" s="33">
        <f t="shared" si="1"/>
        <v>1519.0588</v>
      </c>
      <c r="M18" s="23" t="s">
        <v>119</v>
      </c>
      <c r="N18" s="30" t="s">
        <v>33</v>
      </c>
      <c r="O18" s="24" t="s">
        <v>15</v>
      </c>
    </row>
    <row r="19" spans="2:15" ht="18" customHeight="1" x14ac:dyDescent="0.25">
      <c r="B19" s="22" t="s">
        <v>120</v>
      </c>
      <c r="C19" s="23" t="s">
        <v>121</v>
      </c>
      <c r="D19" s="24" t="s">
        <v>122</v>
      </c>
      <c r="E19" s="24" t="s">
        <v>8</v>
      </c>
      <c r="F19" s="25">
        <v>10</v>
      </c>
      <c r="G19" s="23" t="s">
        <v>19</v>
      </c>
      <c r="H19" s="26">
        <v>8.1999999999999993</v>
      </c>
      <c r="I19" s="27">
        <v>0</v>
      </c>
      <c r="J19" s="28">
        <f t="shared" si="0"/>
        <v>8.1999999999999993</v>
      </c>
      <c r="K19" s="27">
        <v>0.19</v>
      </c>
      <c r="L19" s="29">
        <f t="shared" si="1"/>
        <v>97.58</v>
      </c>
      <c r="M19" s="23" t="s">
        <v>123</v>
      </c>
      <c r="N19" s="30" t="s">
        <v>38</v>
      </c>
      <c r="O19" s="24" t="s">
        <v>9</v>
      </c>
    </row>
    <row r="20" spans="2:15" ht="18" customHeight="1" x14ac:dyDescent="0.25">
      <c r="B20" s="31" t="s">
        <v>124</v>
      </c>
      <c r="C20" s="23" t="s">
        <v>125</v>
      </c>
      <c r="D20" s="24" t="s">
        <v>126</v>
      </c>
      <c r="E20" s="24" t="s">
        <v>8</v>
      </c>
      <c r="F20" s="25">
        <v>30</v>
      </c>
      <c r="G20" s="23" t="s">
        <v>19</v>
      </c>
      <c r="H20" s="26">
        <v>4.5</v>
      </c>
      <c r="I20" s="27">
        <v>0.05</v>
      </c>
      <c r="J20" s="32">
        <f t="shared" si="0"/>
        <v>4.2749999999999995</v>
      </c>
      <c r="K20" s="27">
        <v>0.19</v>
      </c>
      <c r="L20" s="33">
        <f t="shared" si="1"/>
        <v>152.61749999999995</v>
      </c>
      <c r="M20" s="23" t="s">
        <v>127</v>
      </c>
      <c r="N20" s="30" t="s">
        <v>22</v>
      </c>
      <c r="O20" s="24" t="s">
        <v>9</v>
      </c>
    </row>
    <row r="21" spans="2:15" ht="18" customHeight="1" x14ac:dyDescent="0.25">
      <c r="B21" s="22" t="s">
        <v>128</v>
      </c>
      <c r="C21" s="23" t="s">
        <v>129</v>
      </c>
      <c r="D21" s="24" t="s">
        <v>130</v>
      </c>
      <c r="E21" s="24" t="s">
        <v>41</v>
      </c>
      <c r="F21" s="25">
        <v>4</v>
      </c>
      <c r="G21" s="23" t="s">
        <v>13</v>
      </c>
      <c r="H21" s="26">
        <v>489</v>
      </c>
      <c r="I21" s="27">
        <v>0.1</v>
      </c>
      <c r="J21" s="28">
        <f t="shared" si="0"/>
        <v>440.1</v>
      </c>
      <c r="K21" s="27">
        <v>0.19</v>
      </c>
      <c r="L21" s="29">
        <f t="shared" si="1"/>
        <v>2094.8760000000002</v>
      </c>
      <c r="M21" s="23" t="s">
        <v>131</v>
      </c>
      <c r="N21" s="30" t="s">
        <v>22</v>
      </c>
      <c r="O21" s="24" t="s">
        <v>42</v>
      </c>
    </row>
    <row r="22" spans="2:15" ht="18" customHeight="1" x14ac:dyDescent="0.25">
      <c r="B22" s="31" t="s">
        <v>132</v>
      </c>
      <c r="C22" s="23" t="s">
        <v>133</v>
      </c>
      <c r="D22" s="24" t="s">
        <v>134</v>
      </c>
      <c r="E22" s="24" t="s">
        <v>20</v>
      </c>
      <c r="F22" s="25">
        <v>5</v>
      </c>
      <c r="G22" s="23" t="s">
        <v>25</v>
      </c>
      <c r="H22" s="26">
        <v>22</v>
      </c>
      <c r="I22" s="27">
        <v>0</v>
      </c>
      <c r="J22" s="32">
        <f t="shared" si="0"/>
        <v>22</v>
      </c>
      <c r="K22" s="27">
        <v>0.19</v>
      </c>
      <c r="L22" s="33">
        <f t="shared" si="1"/>
        <v>130.9</v>
      </c>
      <c r="M22" s="23" t="s">
        <v>135</v>
      </c>
      <c r="N22" s="30" t="s">
        <v>28</v>
      </c>
      <c r="O22" s="24" t="s">
        <v>21</v>
      </c>
    </row>
    <row r="23" spans="2:15" ht="18" customHeight="1" x14ac:dyDescent="0.25">
      <c r="B23" s="22" t="s">
        <v>136</v>
      </c>
      <c r="C23" s="23" t="s">
        <v>137</v>
      </c>
      <c r="D23" s="24" t="s">
        <v>138</v>
      </c>
      <c r="E23" s="24" t="s">
        <v>14</v>
      </c>
      <c r="F23" s="25">
        <v>10</v>
      </c>
      <c r="G23" s="23" t="s">
        <v>13</v>
      </c>
      <c r="H23" s="26">
        <v>42.9</v>
      </c>
      <c r="I23" s="27">
        <v>0</v>
      </c>
      <c r="J23" s="28">
        <f t="shared" si="0"/>
        <v>42.9</v>
      </c>
      <c r="K23" s="27">
        <v>0.19</v>
      </c>
      <c r="L23" s="29">
        <f t="shared" si="1"/>
        <v>510.51</v>
      </c>
      <c r="M23" s="23" t="s">
        <v>139</v>
      </c>
      <c r="N23" s="30" t="s">
        <v>16</v>
      </c>
      <c r="O23" s="24" t="s">
        <v>15</v>
      </c>
    </row>
    <row r="24" spans="2:15" ht="18" customHeight="1" x14ac:dyDescent="0.25">
      <c r="B24" s="31" t="s">
        <v>140</v>
      </c>
      <c r="C24" s="23" t="s">
        <v>141</v>
      </c>
      <c r="D24" s="24" t="s">
        <v>142</v>
      </c>
      <c r="E24" s="24" t="s">
        <v>26</v>
      </c>
      <c r="F24" s="25">
        <v>8</v>
      </c>
      <c r="G24" s="23" t="s">
        <v>45</v>
      </c>
      <c r="H24" s="26">
        <v>18.75</v>
      </c>
      <c r="I24" s="27">
        <v>0.05</v>
      </c>
      <c r="J24" s="32">
        <f t="shared" si="0"/>
        <v>17.8125</v>
      </c>
      <c r="K24" s="27">
        <v>0.19</v>
      </c>
      <c r="L24" s="33">
        <f t="shared" si="1"/>
        <v>169.57499999999999</v>
      </c>
      <c r="M24" s="23" t="s">
        <v>143</v>
      </c>
      <c r="N24" s="30" t="s">
        <v>10</v>
      </c>
      <c r="O24" s="24" t="s">
        <v>27</v>
      </c>
    </row>
    <row r="25" spans="2:15" ht="18" customHeight="1" x14ac:dyDescent="0.25">
      <c r="B25" s="22" t="s">
        <v>144</v>
      </c>
      <c r="C25" s="23" t="s">
        <v>145</v>
      </c>
      <c r="D25" s="24" t="s">
        <v>146</v>
      </c>
      <c r="E25" s="24" t="s">
        <v>36</v>
      </c>
      <c r="F25" s="25">
        <v>2</v>
      </c>
      <c r="G25" s="23" t="s">
        <v>19</v>
      </c>
      <c r="H25" s="26">
        <v>34</v>
      </c>
      <c r="I25" s="27">
        <v>0</v>
      </c>
      <c r="J25" s="28">
        <f t="shared" si="0"/>
        <v>34</v>
      </c>
      <c r="K25" s="27">
        <v>0.19</v>
      </c>
      <c r="L25" s="29">
        <f t="shared" si="1"/>
        <v>80.92</v>
      </c>
      <c r="M25" s="23" t="s">
        <v>147</v>
      </c>
      <c r="N25" s="30" t="s">
        <v>10</v>
      </c>
      <c r="O25" s="24" t="s">
        <v>37</v>
      </c>
    </row>
    <row r="26" spans="2:15" ht="18" customHeight="1" x14ac:dyDescent="0.25">
      <c r="B26" s="31" t="s">
        <v>148</v>
      </c>
      <c r="C26" s="23" t="s">
        <v>149</v>
      </c>
      <c r="D26" s="24" t="s">
        <v>150</v>
      </c>
      <c r="E26" s="24" t="s">
        <v>14</v>
      </c>
      <c r="F26" s="25">
        <v>5</v>
      </c>
      <c r="G26" s="23" t="s">
        <v>13</v>
      </c>
      <c r="H26" s="26">
        <v>12.5</v>
      </c>
      <c r="I26" s="27">
        <v>0</v>
      </c>
      <c r="J26" s="32">
        <f t="shared" si="0"/>
        <v>12.5</v>
      </c>
      <c r="K26" s="27">
        <v>0.19</v>
      </c>
      <c r="L26" s="33">
        <f t="shared" si="1"/>
        <v>74.375</v>
      </c>
      <c r="M26" s="23" t="s">
        <v>151</v>
      </c>
      <c r="N26" s="30" t="s">
        <v>10</v>
      </c>
      <c r="O26" s="24" t="s">
        <v>15</v>
      </c>
    </row>
    <row r="27" spans="2:15" ht="18" customHeight="1" x14ac:dyDescent="0.25">
      <c r="B27" s="34"/>
      <c r="C27" s="35"/>
      <c r="D27" s="35"/>
      <c r="E27" s="35"/>
      <c r="F27" s="35"/>
      <c r="G27" s="35"/>
      <c r="H27" s="35"/>
      <c r="I27" s="35"/>
      <c r="J27" s="36" t="str">
        <f>IF(H27="","",H27*(1-I27))</f>
        <v/>
      </c>
      <c r="K27" s="35"/>
      <c r="L27" s="37" t="str">
        <f>IF(F27="","",F27*J27*(1+K27))</f>
        <v/>
      </c>
      <c r="M27" s="35"/>
      <c r="N27" s="35"/>
      <c r="O27" s="35"/>
    </row>
    <row r="28" spans="2:15" ht="18" customHeight="1" x14ac:dyDescent="0.25">
      <c r="B28" s="38"/>
      <c r="C28" s="35"/>
      <c r="D28" s="35"/>
      <c r="E28" s="35"/>
      <c r="F28" s="35"/>
      <c r="G28" s="35"/>
      <c r="H28" s="35"/>
      <c r="I28" s="35"/>
      <c r="J28" s="39" t="str">
        <f>IF(H28="","",H28*(1-I28))</f>
        <v/>
      </c>
      <c r="K28" s="35"/>
      <c r="L28" s="40" t="str">
        <f>IF(F28="","",F28*J28*(1+K28))</f>
        <v/>
      </c>
      <c r="M28" s="35"/>
      <c r="N28" s="35"/>
      <c r="O28" s="35"/>
    </row>
    <row r="29" spans="2:15" ht="18" customHeight="1" x14ac:dyDescent="0.25">
      <c r="B29" s="34"/>
      <c r="C29" s="35"/>
      <c r="D29" s="35"/>
      <c r="E29" s="35"/>
      <c r="F29" s="35"/>
      <c r="G29" s="35"/>
      <c r="H29" s="35"/>
      <c r="I29" s="35"/>
      <c r="J29" s="36" t="str">
        <f>IF(H29="","",H29*(1-I29))</f>
        <v/>
      </c>
      <c r="K29" s="35"/>
      <c r="L29" s="37" t="str">
        <f>IF(F29="","",F29*J29*(1+K29))</f>
        <v/>
      </c>
      <c r="M29" s="35"/>
      <c r="N29" s="35"/>
      <c r="O29" s="35"/>
    </row>
    <row r="30" spans="2:15" ht="18" customHeight="1" x14ac:dyDescent="0.25">
      <c r="B30" s="38"/>
      <c r="C30" s="35"/>
      <c r="D30" s="35"/>
      <c r="E30" s="35"/>
      <c r="F30" s="35"/>
      <c r="G30" s="35"/>
      <c r="H30" s="35"/>
      <c r="I30" s="35"/>
      <c r="J30" s="39" t="str">
        <f>IF(H30="","",H30*(1-I30))</f>
        <v/>
      </c>
      <c r="K30" s="35"/>
      <c r="L30" s="40" t="str">
        <f>IF(F30="","",F30*J30*(1+K30))</f>
        <v/>
      </c>
      <c r="M30" s="35"/>
      <c r="N30" s="35"/>
      <c r="O30" s="35"/>
    </row>
    <row r="31" spans="2:15" ht="18" customHeight="1" x14ac:dyDescent="0.25">
      <c r="B31" s="34"/>
      <c r="C31" s="35"/>
      <c r="D31" s="35"/>
      <c r="E31" s="35"/>
      <c r="F31" s="35"/>
      <c r="G31" s="35"/>
      <c r="H31" s="35"/>
      <c r="I31" s="35"/>
      <c r="J31" s="36" t="str">
        <f>IF(H31="","",H31*(1-I31))</f>
        <v/>
      </c>
      <c r="K31" s="35"/>
      <c r="L31" s="37" t="str">
        <f>IF(F31="","",F31*J31*(1+K31))</f>
        <v/>
      </c>
      <c r="M31" s="35"/>
      <c r="N31" s="35"/>
      <c r="O31" s="35"/>
    </row>
    <row r="32" spans="2:15" ht="24" customHeight="1" x14ac:dyDescent="0.25">
      <c r="B32" s="5" t="s">
        <v>152</v>
      </c>
      <c r="C32" s="5"/>
      <c r="D32" s="5"/>
      <c r="E32" s="5"/>
      <c r="F32" s="5"/>
      <c r="G32" s="5"/>
      <c r="H32" s="5"/>
      <c r="I32" s="5"/>
      <c r="J32" s="5"/>
      <c r="K32" s="5"/>
      <c r="L32" s="41">
        <f>IFERROR(SUM(L9:L31),0)</f>
        <v>8353.710500000001</v>
      </c>
      <c r="M32" s="42"/>
      <c r="N32" s="42"/>
      <c r="O32" s="42"/>
    </row>
  </sheetData>
  <mergeCells count="20">
    <mergeCell ref="B32:K32"/>
    <mergeCell ref="B5:C5"/>
    <mergeCell ref="K5:L5"/>
    <mergeCell ref="E5:F5"/>
    <mergeCell ref="G5:I5"/>
    <mergeCell ref="A2:A8"/>
    <mergeCell ref="B2:O2"/>
    <mergeCell ref="B3:O3"/>
    <mergeCell ref="B6:D6"/>
    <mergeCell ref="E6:G6"/>
    <mergeCell ref="H6:I6"/>
    <mergeCell ref="J6:K6"/>
    <mergeCell ref="L6:M6"/>
    <mergeCell ref="N6:O6"/>
    <mergeCell ref="B7:D7"/>
    <mergeCell ref="E7:G7"/>
    <mergeCell ref="H7:I7"/>
    <mergeCell ref="J7:K7"/>
    <mergeCell ref="L7:M7"/>
    <mergeCell ref="N7:O7"/>
  </mergeCells>
  <conditionalFormatting sqref="B9:O31">
    <cfRule type="expression" dxfId="10" priority="8">
      <formula>AND($M9&lt;TODAY(),OR($N9="Bestellt",$N9="Angefragt"))</formula>
    </cfRule>
  </conditionalFormatting>
  <conditionalFormatting sqref="N9:N31">
    <cfRule type="expression" dxfId="9" priority="2">
      <formula>$N9="Geliefert"</formula>
    </cfRule>
    <cfRule type="expression" dxfId="8" priority="3">
      <formula>$N9="Abgeschlossen"</formula>
    </cfRule>
    <cfRule type="expression" dxfId="7" priority="4">
      <formula>$N9="Bestellt"</formula>
    </cfRule>
    <cfRule type="expression" dxfId="6" priority="5">
      <formula>$N9="Teilgeliefert"</formula>
    </cfRule>
    <cfRule type="expression" dxfId="5" priority="6">
      <formula>$N9="Offen"</formula>
    </cfRule>
    <cfRule type="expression" dxfId="4" priority="7">
      <formula>$N9="Storniert"</formula>
    </cfRule>
  </conditionalFormatting>
  <dataValidations count="1">
    <dataValidation type="list" allowBlank="1" showErrorMessage="1" errorTitle="Ungültige Eingabe" error="Bitte einen gültigen Status wählen." sqref="N9:N31" xr:uid="{00000000-0002-0000-0100-000000000000}">
      <formula1>"Offen,Angefragt,Bestellt,Teilgeliefert,Geliefert,Abgeschlossen,Storniert"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00000000-0002-0000-0100-000001000000}">
          <x14:formula1>
            <xm:f>Stammdaten!$A$5:$A$13</xm:f>
          </x14:formula1>
          <x14:formula2>
            <xm:f>0</xm:f>
          </x14:formula2>
          <xm:sqref>E9:E31</xm:sqref>
        </x14:dataValidation>
        <x14:dataValidation type="list" allowBlank="1" xr:uid="{00000000-0002-0000-0100-000002000000}">
          <x14:formula1>
            <xm:f>Stammdaten!$G$5:$G$13</xm:f>
          </x14:formula1>
          <x14:formula2>
            <xm:f>0</xm:f>
          </x14:formula2>
          <xm:sqref>G9:G31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4A017"/>
  </sheetPr>
  <dimension ref="A1:J17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22" customWidth="1"/>
    <col min="3" max="8" width="14" customWidth="1"/>
    <col min="9" max="10" width="18" customWidth="1"/>
    <col min="11" max="11" width="2.42578125" customWidth="1"/>
  </cols>
  <sheetData>
    <row r="1" spans="1:10" ht="7.5" customHeight="1" x14ac:dyDescent="0.25"/>
    <row r="2" spans="1:10" ht="43.5" customHeight="1" x14ac:dyDescent="0.25">
      <c r="A2" s="13"/>
      <c r="B2" s="3" t="s">
        <v>153</v>
      </c>
      <c r="C2" s="3"/>
      <c r="D2" s="3"/>
      <c r="E2" s="3"/>
      <c r="F2" s="3"/>
      <c r="G2" s="3"/>
      <c r="H2" s="3"/>
      <c r="I2" s="3"/>
      <c r="J2" s="3"/>
    </row>
    <row r="3" spans="1:10" x14ac:dyDescent="0.25">
      <c r="A3" s="13"/>
      <c r="B3" s="11" t="s">
        <v>154</v>
      </c>
      <c r="C3" s="11"/>
      <c r="D3" s="11"/>
      <c r="E3" s="11"/>
      <c r="F3" s="11"/>
      <c r="G3" s="11"/>
      <c r="H3" s="11"/>
      <c r="I3" s="11"/>
      <c r="J3" s="11"/>
    </row>
    <row r="4" spans="1:10" x14ac:dyDescent="0.25">
      <c r="A4" s="13"/>
    </row>
    <row r="5" spans="1:10" ht="19.5" customHeight="1" x14ac:dyDescent="0.25">
      <c r="A5" s="13"/>
      <c r="B5" s="2" t="s">
        <v>155</v>
      </c>
      <c r="C5" s="2"/>
      <c r="D5" s="2"/>
    </row>
    <row r="6" spans="1:10" ht="30" customHeight="1" x14ac:dyDescent="0.25">
      <c r="A6" s="13"/>
    </row>
    <row r="7" spans="1:10" ht="27.75" customHeight="1" x14ac:dyDescent="0.25">
      <c r="B7" s="21" t="s">
        <v>1</v>
      </c>
      <c r="C7" s="21" t="s">
        <v>156</v>
      </c>
      <c r="D7" s="21" t="s">
        <v>157</v>
      </c>
      <c r="E7" s="21" t="s">
        <v>158</v>
      </c>
      <c r="F7" s="21" t="s">
        <v>159</v>
      </c>
      <c r="G7" s="21" t="s">
        <v>160</v>
      </c>
      <c r="H7" s="21" t="s">
        <v>161</v>
      </c>
      <c r="I7" s="21" t="s">
        <v>162</v>
      </c>
      <c r="J7" s="21" t="s">
        <v>163</v>
      </c>
    </row>
    <row r="8" spans="1:10" ht="19.5" customHeight="1" x14ac:dyDescent="0.25">
      <c r="B8" s="43" t="s">
        <v>8</v>
      </c>
      <c r="C8" s="26">
        <v>2500</v>
      </c>
      <c r="D8" s="28">
        <f>IFERROR(SUMIF(Bestellliste!$E$9:$E$500,B8,Bestellliste!$L$9:$L$500),0)</f>
        <v>470.64499999999992</v>
      </c>
      <c r="E8" s="28">
        <f>IFERROR(SUMIFS(Bestellliste!$L$9:$L$500,Bestellliste!$E$9:$E$500,B8,Bestellliste!$N$9:$N$500,"Abgeschlossen"),0)</f>
        <v>97.58</v>
      </c>
      <c r="F8" s="28">
        <f t="shared" ref="F8:F16" si="0">D8-E8</f>
        <v>373.06499999999994</v>
      </c>
      <c r="G8" s="44">
        <f t="shared" ref="G8:G17" si="1">IFERROR(D8/C8,0)</f>
        <v>0.18825799999999998</v>
      </c>
      <c r="H8" s="28">
        <f t="shared" ref="H8:H16" si="2">C8-D8</f>
        <v>2029.355</v>
      </c>
      <c r="I8" s="45">
        <f>COUNTIF(Bestellliste!$E$9:$E$500,B8)</f>
        <v>3</v>
      </c>
      <c r="J8" s="46" t="str">
        <f t="shared" ref="J8:J16" si="3">IFERROR(IF(G8&gt;=1,"⚠ Budgetüberschreitung",IF(G8&gt;=0.8,"➡ Nahe am Limit","✔ Im Rahmen")),"—")</f>
        <v>✔ Im Rahmen</v>
      </c>
    </row>
    <row r="9" spans="1:10" ht="19.5" customHeight="1" x14ac:dyDescent="0.25">
      <c r="B9" s="47" t="s">
        <v>14</v>
      </c>
      <c r="C9" s="26">
        <v>8000</v>
      </c>
      <c r="D9" s="32">
        <f>IFERROR(SUMIF(Bestellliste!$E$9:$E$500,B9,Bestellliste!$L$9:$L$500),0)</f>
        <v>2368.1238000000003</v>
      </c>
      <c r="E9" s="32">
        <f>IFERROR(SUMIFS(Bestellliste!$L$9:$L$500,Bestellliste!$E$9:$E$500,B9,Bestellliste!$N$9:$N$500,"Abgeschlossen"),0)</f>
        <v>0</v>
      </c>
      <c r="F9" s="32">
        <f t="shared" si="0"/>
        <v>2368.1238000000003</v>
      </c>
      <c r="G9" s="48">
        <f t="shared" si="1"/>
        <v>0.29601547500000003</v>
      </c>
      <c r="H9" s="32">
        <f t="shared" si="2"/>
        <v>5631.8761999999997</v>
      </c>
      <c r="I9" s="49">
        <f>COUNTIF(Bestellliste!$E$9:$E$500,B9)</f>
        <v>4</v>
      </c>
      <c r="J9" s="50" t="str">
        <f t="shared" si="3"/>
        <v>✔ Im Rahmen</v>
      </c>
    </row>
    <row r="10" spans="1:10" ht="19.5" customHeight="1" x14ac:dyDescent="0.25">
      <c r="B10" s="43" t="s">
        <v>20</v>
      </c>
      <c r="C10" s="26">
        <v>1500</v>
      </c>
      <c r="D10" s="28">
        <f>IFERROR(SUMIF(Bestellliste!$E$9:$E$500,B10,Bestellliste!$L$9:$L$500),0)</f>
        <v>489.56600000000003</v>
      </c>
      <c r="E10" s="28">
        <f>IFERROR(SUMIFS(Bestellliste!$L$9:$L$500,Bestellliste!$E$9:$E$500,B10,Bestellliste!$N$9:$N$500,"Abgeschlossen"),0)</f>
        <v>0</v>
      </c>
      <c r="F10" s="28">
        <f t="shared" si="0"/>
        <v>489.56600000000003</v>
      </c>
      <c r="G10" s="44">
        <f t="shared" si="1"/>
        <v>0.32637733333333335</v>
      </c>
      <c r="H10" s="28">
        <f t="shared" si="2"/>
        <v>1010.434</v>
      </c>
      <c r="I10" s="45">
        <f>COUNTIF(Bestellliste!$E$9:$E$500,B10)</f>
        <v>3</v>
      </c>
      <c r="J10" s="46" t="str">
        <f t="shared" si="3"/>
        <v>✔ Im Rahmen</v>
      </c>
    </row>
    <row r="11" spans="1:10" ht="19.5" customHeight="1" x14ac:dyDescent="0.25">
      <c r="B11" s="47" t="s">
        <v>26</v>
      </c>
      <c r="C11" s="26">
        <v>1200</v>
      </c>
      <c r="D11" s="32">
        <f>IFERROR(SUMIF(Bestellliste!$E$9:$E$500,B11,Bestellliste!$L$9:$L$500),0)</f>
        <v>371.875</v>
      </c>
      <c r="E11" s="32">
        <f>IFERROR(SUMIFS(Bestellliste!$L$9:$L$500,Bestellliste!$E$9:$E$500,B11,Bestellliste!$N$9:$N$500,"Abgeschlossen"),0)</f>
        <v>0</v>
      </c>
      <c r="F11" s="32">
        <f t="shared" si="0"/>
        <v>371.875</v>
      </c>
      <c r="G11" s="48">
        <f t="shared" si="1"/>
        <v>0.30989583333333331</v>
      </c>
      <c r="H11" s="32">
        <f t="shared" si="2"/>
        <v>828.125</v>
      </c>
      <c r="I11" s="49">
        <f>COUNTIF(Bestellliste!$E$9:$E$500,B11)</f>
        <v>2</v>
      </c>
      <c r="J11" s="50" t="str">
        <f t="shared" si="3"/>
        <v>✔ Im Rahmen</v>
      </c>
    </row>
    <row r="12" spans="1:10" ht="19.5" customHeight="1" x14ac:dyDescent="0.25">
      <c r="B12" s="43" t="s">
        <v>31</v>
      </c>
      <c r="C12" s="26">
        <v>3000</v>
      </c>
      <c r="D12" s="28">
        <f>IFERROR(SUMIF(Bestellliste!$E$9:$E$500,B12,Bestellliste!$L$9:$L$500),0)</f>
        <v>301.84349999999995</v>
      </c>
      <c r="E12" s="28">
        <f>IFERROR(SUMIFS(Bestellliste!$L$9:$L$500,Bestellliste!$E$9:$E$500,B12,Bestellliste!$N$9:$N$500,"Abgeschlossen"),0)</f>
        <v>0</v>
      </c>
      <c r="F12" s="28">
        <f t="shared" si="0"/>
        <v>301.84349999999995</v>
      </c>
      <c r="G12" s="44">
        <f t="shared" si="1"/>
        <v>0.10061449999999998</v>
      </c>
      <c r="H12" s="28">
        <f t="shared" si="2"/>
        <v>2698.1565000000001</v>
      </c>
      <c r="I12" s="45">
        <f>COUNTIF(Bestellliste!$E$9:$E$500,B12)</f>
        <v>1</v>
      </c>
      <c r="J12" s="46" t="str">
        <f t="shared" si="3"/>
        <v>✔ Im Rahmen</v>
      </c>
    </row>
    <row r="13" spans="1:10" ht="19.5" customHeight="1" x14ac:dyDescent="0.25">
      <c r="B13" s="47" t="s">
        <v>36</v>
      </c>
      <c r="C13" s="26">
        <v>2000</v>
      </c>
      <c r="D13" s="32">
        <f>IFERROR(SUMIF(Bestellliste!$E$9:$E$500,B13,Bestellliste!$L$9:$L$500),0)</f>
        <v>461.71999999999997</v>
      </c>
      <c r="E13" s="32">
        <f>IFERROR(SUMIFS(Bestellliste!$L$9:$L$500,Bestellliste!$E$9:$E$500,B13,Bestellliste!$N$9:$N$500,"Abgeschlossen"),0)</f>
        <v>380.79999999999995</v>
      </c>
      <c r="F13" s="32">
        <f t="shared" si="0"/>
        <v>80.920000000000016</v>
      </c>
      <c r="G13" s="48">
        <f t="shared" si="1"/>
        <v>0.23085999999999998</v>
      </c>
      <c r="H13" s="32">
        <f t="shared" si="2"/>
        <v>1538.28</v>
      </c>
      <c r="I13" s="49">
        <f>COUNTIF(Bestellliste!$E$9:$E$500,B13)</f>
        <v>2</v>
      </c>
      <c r="J13" s="50" t="str">
        <f t="shared" si="3"/>
        <v>✔ Im Rahmen</v>
      </c>
    </row>
    <row r="14" spans="1:10" ht="19.5" customHeight="1" x14ac:dyDescent="0.25">
      <c r="B14" s="43" t="s">
        <v>41</v>
      </c>
      <c r="C14" s="26">
        <v>5000</v>
      </c>
      <c r="D14" s="28">
        <f>IFERROR(SUMIF(Bestellliste!$E$9:$E$500,B14,Bestellliste!$L$9:$L$500),0)</f>
        <v>3730.5072</v>
      </c>
      <c r="E14" s="28">
        <f>IFERROR(SUMIFS(Bestellliste!$L$9:$L$500,Bestellliste!$E$9:$E$500,B14,Bestellliste!$N$9:$N$500,"Abgeschlossen"),0)</f>
        <v>1635.6312</v>
      </c>
      <c r="F14" s="28">
        <f t="shared" si="0"/>
        <v>2094.8760000000002</v>
      </c>
      <c r="G14" s="44">
        <f t="shared" si="1"/>
        <v>0.74610144</v>
      </c>
      <c r="H14" s="28">
        <f t="shared" si="2"/>
        <v>1269.4928</v>
      </c>
      <c r="I14" s="45">
        <f>COUNTIF(Bestellliste!$E$9:$E$500,B14)</f>
        <v>2</v>
      </c>
      <c r="J14" s="46" t="str">
        <f t="shared" si="3"/>
        <v>✔ Im Rahmen</v>
      </c>
    </row>
    <row r="15" spans="1:10" ht="19.5" customHeight="1" x14ac:dyDescent="0.25">
      <c r="B15" s="47" t="s">
        <v>46</v>
      </c>
      <c r="C15" s="26">
        <v>800</v>
      </c>
      <c r="D15" s="32">
        <f>IFERROR(SUMIF(Bestellliste!$E$9:$E$500,B15,Bestellliste!$L$9:$L$500),0)</f>
        <v>159.43</v>
      </c>
      <c r="E15" s="32">
        <f>IFERROR(SUMIFS(Bestellliste!$L$9:$L$500,Bestellliste!$E$9:$E$500,B15,Bestellliste!$N$9:$N$500,"Abgeschlossen"),0)</f>
        <v>0</v>
      </c>
      <c r="F15" s="32">
        <f t="shared" si="0"/>
        <v>159.43</v>
      </c>
      <c r="G15" s="48">
        <f t="shared" si="1"/>
        <v>0.19928750000000001</v>
      </c>
      <c r="H15" s="32">
        <f t="shared" si="2"/>
        <v>640.56999999999994</v>
      </c>
      <c r="I15" s="49">
        <f>COUNTIF(Bestellliste!$E$9:$E$500,B15)</f>
        <v>1</v>
      </c>
      <c r="J15" s="50" t="str">
        <f t="shared" si="3"/>
        <v>✔ Im Rahmen</v>
      </c>
    </row>
    <row r="16" spans="1:10" ht="19.5" customHeight="1" x14ac:dyDescent="0.25">
      <c r="B16" s="43" t="s">
        <v>50</v>
      </c>
      <c r="C16" s="26">
        <v>500</v>
      </c>
      <c r="D16" s="28">
        <f>IFERROR(SUMIF(Bestellliste!$E$9:$E$500,B16,Bestellliste!$L$9:$L$500),0)</f>
        <v>0</v>
      </c>
      <c r="E16" s="28">
        <f>IFERROR(SUMIFS(Bestellliste!$L$9:$L$500,Bestellliste!$E$9:$E$500,B16,Bestellliste!$N$9:$N$500,"Abgeschlossen"),0)</f>
        <v>0</v>
      </c>
      <c r="F16" s="28">
        <f t="shared" si="0"/>
        <v>0</v>
      </c>
      <c r="G16" s="44">
        <f t="shared" si="1"/>
        <v>0</v>
      </c>
      <c r="H16" s="28">
        <f t="shared" si="2"/>
        <v>500</v>
      </c>
      <c r="I16" s="45">
        <f>COUNTIF(Bestellliste!$E$9:$E$500,B16)</f>
        <v>0</v>
      </c>
      <c r="J16" s="46" t="str">
        <f t="shared" si="3"/>
        <v>✔ Im Rahmen</v>
      </c>
    </row>
    <row r="17" spans="2:10" ht="24" customHeight="1" x14ac:dyDescent="0.25">
      <c r="B17" s="51" t="s">
        <v>164</v>
      </c>
      <c r="C17" s="52">
        <f>SUM(C8:C16)</f>
        <v>24500</v>
      </c>
      <c r="D17" s="52">
        <f>SUM(D8:D16)</f>
        <v>8353.710500000001</v>
      </c>
      <c r="E17" s="52">
        <f>SUM(E8:E16)</f>
        <v>2114.0111999999999</v>
      </c>
      <c r="F17" s="52">
        <f>SUM(F8:F16)</f>
        <v>6239.6993000000011</v>
      </c>
      <c r="G17" s="53">
        <f t="shared" si="1"/>
        <v>0.34096777551020413</v>
      </c>
      <c r="H17" s="52">
        <f>SUM(H8:H16)</f>
        <v>16146.289500000001</v>
      </c>
      <c r="I17" s="54">
        <f>SUM(I8:I16)</f>
        <v>18</v>
      </c>
      <c r="J17" s="42"/>
    </row>
  </sheetData>
  <mergeCells count="4">
    <mergeCell ref="A2:A6"/>
    <mergeCell ref="B2:J2"/>
    <mergeCell ref="B3:J3"/>
    <mergeCell ref="B5:D5"/>
  </mergeCells>
  <conditionalFormatting sqref="G8:G16">
    <cfRule type="colorScale" priority="2">
      <colorScale>
        <cfvo type="num" val="0"/>
        <cfvo type="num" val="0.7"/>
        <cfvo type="num" val="1"/>
        <color rgb="FF63BE7B"/>
        <color rgb="FFFFEB84"/>
        <color rgb="FFF8696B"/>
      </colorScale>
    </cfRule>
  </conditionalFormatting>
  <conditionalFormatting sqref="J8:J16">
    <cfRule type="expression" dxfId="3" priority="3">
      <formula>$J8="⚠ Budgetüberschreitung"</formula>
    </cfRule>
    <cfRule type="expression" dxfId="2" priority="4">
      <formula>$J8="✔ Im Rahmen"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2B788"/>
  </sheetPr>
  <dimension ref="A1:K16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25" customWidth="1"/>
    <col min="3" max="5" width="12" customWidth="1"/>
    <col min="6" max="8" width="14" customWidth="1"/>
    <col min="9" max="9" width="10" customWidth="1"/>
    <col min="10" max="11" width="14" customWidth="1"/>
    <col min="12" max="12" width="2.42578125" customWidth="1"/>
  </cols>
  <sheetData>
    <row r="1" spans="1:11" ht="7.5" customHeight="1" x14ac:dyDescent="0.25"/>
    <row r="2" spans="1:11" ht="43.5" customHeight="1" x14ac:dyDescent="0.25">
      <c r="A2" s="13"/>
      <c r="B2" s="3" t="s">
        <v>165</v>
      </c>
      <c r="C2" s="3"/>
      <c r="D2" s="3"/>
      <c r="E2" s="3"/>
      <c r="F2" s="3"/>
      <c r="G2" s="3"/>
      <c r="H2" s="3"/>
      <c r="I2" s="3"/>
      <c r="J2" s="3"/>
      <c r="K2" s="3"/>
    </row>
    <row r="3" spans="1:11" x14ac:dyDescent="0.25">
      <c r="A3" s="13"/>
      <c r="B3" s="11" t="s">
        <v>166</v>
      </c>
      <c r="C3" s="11"/>
      <c r="D3" s="11"/>
      <c r="E3" s="11"/>
      <c r="F3" s="11"/>
      <c r="G3" s="11"/>
      <c r="H3" s="11"/>
      <c r="I3" s="11"/>
      <c r="J3" s="11"/>
      <c r="K3" s="11"/>
    </row>
    <row r="4" spans="1:11" x14ac:dyDescent="0.25">
      <c r="A4" s="13"/>
    </row>
    <row r="5" spans="1:11" ht="30" customHeight="1" x14ac:dyDescent="0.25">
      <c r="A5" s="13"/>
      <c r="B5" s="21" t="s">
        <v>2</v>
      </c>
      <c r="C5" s="21" t="s">
        <v>167</v>
      </c>
      <c r="D5" s="21" t="s">
        <v>168</v>
      </c>
      <c r="E5" s="21" t="s">
        <v>169</v>
      </c>
      <c r="F5" s="21" t="s">
        <v>170</v>
      </c>
      <c r="G5" s="21" t="s">
        <v>171</v>
      </c>
      <c r="H5" s="21" t="s">
        <v>172</v>
      </c>
      <c r="I5" s="21" t="s">
        <v>173</v>
      </c>
      <c r="J5" s="21" t="s">
        <v>174</v>
      </c>
    </row>
    <row r="6" spans="1:11" ht="19.5" customHeight="1" x14ac:dyDescent="0.25">
      <c r="B6" s="43" t="s">
        <v>9</v>
      </c>
      <c r="C6" s="45">
        <f>COUNTIF(Bestellliste!$O$9:$O$500,B6)</f>
        <v>3</v>
      </c>
      <c r="D6" s="28">
        <f>IFERROR(SUMIF(Bestellliste!$O$9:$O$500,B6,Bestellliste!$L$9:$L$500),0)</f>
        <v>470.64499999999992</v>
      </c>
      <c r="E6" s="55">
        <f>IFERROR(D6/(SUM(D6:D13)),0)</f>
        <v>5.6339634944256194E-2</v>
      </c>
      <c r="F6" s="23">
        <v>2</v>
      </c>
      <c r="G6" s="23">
        <v>5</v>
      </c>
      <c r="H6" s="23">
        <v>4</v>
      </c>
      <c r="I6" s="56">
        <f t="shared" ref="I6:I13" si="0">IFERROR(AVERAGE(F6:H6),"—")</f>
        <v>3.6666666666666665</v>
      </c>
      <c r="J6" s="46" t="str">
        <f t="shared" ref="J6:J13" si="1">IFERROR(IF(I6&lt;=2,"★★★ Bevorzugt",IF(I6&lt;=3.5,"★★ Geeignet","★ Kritisch prüfen")),"—")</f>
        <v>★ Kritisch prüfen</v>
      </c>
    </row>
    <row r="7" spans="1:11" ht="19.5" customHeight="1" x14ac:dyDescent="0.25">
      <c r="B7" s="47" t="s">
        <v>15</v>
      </c>
      <c r="C7" s="49">
        <f>COUNTIF(Bestellliste!$O$9:$O$500,B7)</f>
        <v>4</v>
      </c>
      <c r="D7" s="32">
        <f>IFERROR(SUMIF(Bestellliste!$O$9:$O$500,B7,Bestellliste!$L$9:$L$500),0)</f>
        <v>2368.1238000000003</v>
      </c>
      <c r="E7" s="57">
        <f>IFERROR(D7/(SUM(D6:D13)),0)</f>
        <v>0.28348166961256316</v>
      </c>
      <c r="F7" s="23">
        <v>1</v>
      </c>
      <c r="G7" s="23">
        <v>5</v>
      </c>
      <c r="H7" s="23">
        <v>4</v>
      </c>
      <c r="I7" s="58">
        <f t="shared" si="0"/>
        <v>3.3333333333333335</v>
      </c>
      <c r="J7" s="50" t="str">
        <f t="shared" si="1"/>
        <v>★★ Geeignet</v>
      </c>
    </row>
    <row r="8" spans="1:11" ht="19.5" customHeight="1" x14ac:dyDescent="0.25">
      <c r="B8" s="43" t="s">
        <v>21</v>
      </c>
      <c r="C8" s="45">
        <f>COUNTIF(Bestellliste!$O$9:$O$500,B8)</f>
        <v>3</v>
      </c>
      <c r="D8" s="28">
        <f>IFERROR(SUMIF(Bestellliste!$O$9:$O$500,B8,Bestellliste!$L$9:$L$500),0)</f>
        <v>489.56600000000003</v>
      </c>
      <c r="E8" s="55">
        <f>IFERROR(D8/(SUM(D6:D13)),0)</f>
        <v>5.8604616475517075E-2</v>
      </c>
      <c r="F8" s="23">
        <v>2</v>
      </c>
      <c r="G8" s="23">
        <v>4</v>
      </c>
      <c r="H8" s="23">
        <v>5</v>
      </c>
      <c r="I8" s="56">
        <f t="shared" si="0"/>
        <v>3.6666666666666665</v>
      </c>
      <c r="J8" s="46" t="str">
        <f t="shared" si="1"/>
        <v>★ Kritisch prüfen</v>
      </c>
    </row>
    <row r="9" spans="1:11" ht="19.5" customHeight="1" x14ac:dyDescent="0.25">
      <c r="B9" s="47" t="s">
        <v>27</v>
      </c>
      <c r="C9" s="49">
        <f>COUNTIF(Bestellliste!$O$9:$O$500,B9)</f>
        <v>2</v>
      </c>
      <c r="D9" s="32">
        <f>IFERROR(SUMIF(Bestellliste!$O$9:$O$500,B9,Bestellliste!$L$9:$L$500),0)</f>
        <v>371.875</v>
      </c>
      <c r="E9" s="57">
        <f>IFERROR(D9/(SUM(D6:D13)),0)</f>
        <v>4.4516146447737201E-2</v>
      </c>
      <c r="F9" s="23">
        <v>1</v>
      </c>
      <c r="G9" s="23">
        <v>3</v>
      </c>
      <c r="H9" s="23">
        <v>4</v>
      </c>
      <c r="I9" s="58">
        <f t="shared" si="0"/>
        <v>2.6666666666666665</v>
      </c>
      <c r="J9" s="50" t="str">
        <f t="shared" si="1"/>
        <v>★★ Geeignet</v>
      </c>
    </row>
    <row r="10" spans="1:11" ht="19.5" customHeight="1" x14ac:dyDescent="0.25">
      <c r="B10" s="43" t="s">
        <v>32</v>
      </c>
      <c r="C10" s="45">
        <f>COUNTIF(Bestellliste!$O$9:$O$500,B10)</f>
        <v>1</v>
      </c>
      <c r="D10" s="28">
        <f>IFERROR(SUMIF(Bestellliste!$O$9:$O$500,B10,Bestellliste!$L$9:$L$500),0)</f>
        <v>301.84349999999995</v>
      </c>
      <c r="E10" s="55">
        <f>IFERROR(D10/(SUM(D6:D13)),0)</f>
        <v>3.6132865748699325E-2</v>
      </c>
      <c r="F10" s="23">
        <v>2</v>
      </c>
      <c r="G10" s="23">
        <v>4</v>
      </c>
      <c r="H10" s="23">
        <v>3</v>
      </c>
      <c r="I10" s="56">
        <f t="shared" si="0"/>
        <v>3</v>
      </c>
      <c r="J10" s="46" t="str">
        <f t="shared" si="1"/>
        <v>★★ Geeignet</v>
      </c>
    </row>
    <row r="11" spans="1:11" ht="19.5" customHeight="1" x14ac:dyDescent="0.25">
      <c r="B11" s="47" t="s">
        <v>37</v>
      </c>
      <c r="C11" s="49">
        <f>COUNTIF(Bestellliste!$O$9:$O$500,B11)</f>
        <v>2</v>
      </c>
      <c r="D11" s="32">
        <f>IFERROR(SUMIF(Bestellliste!$O$9:$O$500,B11,Bestellliste!$L$9:$L$500),0)</f>
        <v>461.71999999999997</v>
      </c>
      <c r="E11" s="57">
        <f>IFERROR(D11/(SUM(D6:D13)),0)</f>
        <v>5.5271247429510506E-2</v>
      </c>
      <c r="F11" s="23">
        <v>2</v>
      </c>
      <c r="G11" s="23">
        <v>5</v>
      </c>
      <c r="H11" s="23">
        <v>4</v>
      </c>
      <c r="I11" s="58">
        <f t="shared" si="0"/>
        <v>3.6666666666666665</v>
      </c>
      <c r="J11" s="50" t="str">
        <f t="shared" si="1"/>
        <v>★ Kritisch prüfen</v>
      </c>
    </row>
    <row r="12" spans="1:11" ht="19.5" customHeight="1" x14ac:dyDescent="0.25">
      <c r="B12" s="43" t="s">
        <v>42</v>
      </c>
      <c r="C12" s="45">
        <f>COUNTIF(Bestellliste!$O$9:$O$500,B12)</f>
        <v>2</v>
      </c>
      <c r="D12" s="28">
        <f>IFERROR(SUMIF(Bestellliste!$O$9:$O$500,B12,Bestellliste!$L$9:$L$500),0)</f>
        <v>3730.5072</v>
      </c>
      <c r="E12" s="55">
        <f>IFERROR(D12/(SUM(D6:D13)),0)</f>
        <v>0.44656888696346364</v>
      </c>
      <c r="F12" s="23">
        <v>3</v>
      </c>
      <c r="G12" s="23">
        <v>4</v>
      </c>
      <c r="H12" s="23">
        <v>3</v>
      </c>
      <c r="I12" s="56">
        <f t="shared" si="0"/>
        <v>3.3333333333333335</v>
      </c>
      <c r="J12" s="46" t="str">
        <f t="shared" si="1"/>
        <v>★★ Geeignet</v>
      </c>
    </row>
    <row r="13" spans="1:11" ht="19.5" customHeight="1" x14ac:dyDescent="0.25">
      <c r="B13" s="47" t="s">
        <v>47</v>
      </c>
      <c r="C13" s="49">
        <f>COUNTIF(Bestellliste!$O$9:$O$500,B13)</f>
        <v>1</v>
      </c>
      <c r="D13" s="32">
        <f>IFERROR(SUMIF(Bestellliste!$O$9:$O$500,B13,Bestellliste!$L$9:$L$500),0)</f>
        <v>159.43</v>
      </c>
      <c r="E13" s="57">
        <f>IFERROR(D13/(SUM(D6:D13)),0)</f>
        <v>1.9084932378252751E-2</v>
      </c>
      <c r="F13" s="23">
        <v>1</v>
      </c>
      <c r="G13" s="23">
        <v>5</v>
      </c>
      <c r="H13" s="23">
        <v>5</v>
      </c>
      <c r="I13" s="58">
        <f t="shared" si="0"/>
        <v>3.6666666666666665</v>
      </c>
      <c r="J13" s="50" t="str">
        <f t="shared" si="1"/>
        <v>★ Kritisch prüfen</v>
      </c>
    </row>
    <row r="16" spans="1:11" x14ac:dyDescent="0.25">
      <c r="B16" s="1" t="s">
        <v>175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A2:A5"/>
    <mergeCell ref="B2:K2"/>
    <mergeCell ref="B3:K3"/>
    <mergeCell ref="B16:J16"/>
  </mergeCells>
  <conditionalFormatting sqref="I6:I13">
    <cfRule type="colorScale" priority="18">
      <colorScale>
        <cfvo type="num" val="1"/>
        <cfvo type="num" val="3"/>
        <cfvo type="num" val="5"/>
        <color rgb="FF63BE7B"/>
        <color rgb="FFFFEB84"/>
        <color rgb="FFF8696B"/>
      </colorScale>
    </cfRule>
  </conditionalFormatting>
  <conditionalFormatting sqref="J6:J13">
    <cfRule type="expression" dxfId="1" priority="2">
      <formula>LEFT(J6,1)="★"</formula>
    </cfRule>
    <cfRule type="expression" dxfId="0" priority="3">
      <formula>J6="★ Kritisch prüfen"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C2C2C"/>
  </sheetPr>
  <dimension ref="A1:C19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22" customWidth="1"/>
    <col min="3" max="3" width="62" customWidth="1"/>
    <col min="4" max="4" width="2.42578125" customWidth="1"/>
  </cols>
  <sheetData>
    <row r="1" spans="1:3" ht="7.5" customHeight="1" x14ac:dyDescent="0.25"/>
    <row r="2" spans="1:3" ht="43.5" customHeight="1" x14ac:dyDescent="0.25">
      <c r="A2" s="13"/>
      <c r="B2" s="4" t="s">
        <v>176</v>
      </c>
      <c r="C2" s="4"/>
    </row>
    <row r="3" spans="1:3" x14ac:dyDescent="0.25">
      <c r="A3" s="13"/>
    </row>
    <row r="4" spans="1:3" ht="6" customHeight="1" x14ac:dyDescent="0.25">
      <c r="A4" s="13"/>
    </row>
    <row r="5" spans="1:3" ht="37.5" customHeight="1" x14ac:dyDescent="0.25">
      <c r="A5" s="13"/>
      <c r="B5" s="59" t="s">
        <v>177</v>
      </c>
      <c r="C5" s="60" t="s">
        <v>178</v>
      </c>
    </row>
    <row r="6" spans="1:3" ht="6" customHeight="1" x14ac:dyDescent="0.25">
      <c r="A6" s="13"/>
    </row>
    <row r="7" spans="1:3" ht="37.5" customHeight="1" x14ac:dyDescent="0.25">
      <c r="A7" s="13"/>
      <c r="B7" s="59" t="s">
        <v>179</v>
      </c>
      <c r="C7" s="60" t="s">
        <v>180</v>
      </c>
    </row>
    <row r="8" spans="1:3" ht="6" customHeight="1" x14ac:dyDescent="0.25">
      <c r="A8" s="13"/>
    </row>
    <row r="9" spans="1:3" ht="37.5" customHeight="1" x14ac:dyDescent="0.25">
      <c r="A9" s="13"/>
      <c r="B9" s="59" t="s">
        <v>181</v>
      </c>
      <c r="C9" s="60" t="s">
        <v>182</v>
      </c>
    </row>
    <row r="10" spans="1:3" ht="6" customHeight="1" x14ac:dyDescent="0.25"/>
    <row r="11" spans="1:3" ht="37.5" customHeight="1" x14ac:dyDescent="0.25">
      <c r="B11" s="59" t="s">
        <v>183</v>
      </c>
      <c r="C11" s="60" t="s">
        <v>184</v>
      </c>
    </row>
    <row r="12" spans="1:3" ht="6" customHeight="1" x14ac:dyDescent="0.25"/>
    <row r="13" spans="1:3" ht="37.5" customHeight="1" x14ac:dyDescent="0.25">
      <c r="B13" s="59" t="s">
        <v>185</v>
      </c>
      <c r="C13" s="60" t="s">
        <v>186</v>
      </c>
    </row>
    <row r="14" spans="1:3" ht="6" customHeight="1" x14ac:dyDescent="0.25"/>
    <row r="15" spans="1:3" ht="37.5" customHeight="1" x14ac:dyDescent="0.25">
      <c r="B15" s="59" t="s">
        <v>187</v>
      </c>
      <c r="C15" s="60" t="s">
        <v>188</v>
      </c>
    </row>
    <row r="16" spans="1:3" ht="6" customHeight="1" x14ac:dyDescent="0.25"/>
    <row r="17" spans="2:3" ht="37.5" customHeight="1" x14ac:dyDescent="0.25">
      <c r="B17" s="59" t="s">
        <v>189</v>
      </c>
      <c r="C17" s="60" t="s">
        <v>190</v>
      </c>
    </row>
    <row r="18" spans="2:3" ht="6" customHeight="1" x14ac:dyDescent="0.25"/>
    <row r="19" spans="2:3" ht="37.5" customHeight="1" x14ac:dyDescent="0.25">
      <c r="B19" s="59" t="s">
        <v>191</v>
      </c>
      <c r="C19" s="60" t="s">
        <v>192</v>
      </c>
    </row>
  </sheetData>
  <mergeCells count="2">
    <mergeCell ref="A2:A9"/>
    <mergeCell ref="B2:C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Stammdaten</vt:lpstr>
      <vt:lpstr>Bestellliste</vt:lpstr>
      <vt:lpstr>Budgetauswertung</vt:lpstr>
      <vt:lpstr>Lieferantenbewertung</vt:lpstr>
      <vt:lpstr>Anleitung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2026-08-11T17:11:34Z</dcterms:created>
  <dcterms:modified xsi:type="dcterms:W3CDTF">2026-08-12T16:09:24Z</dcterms:modified>
  <dc:language>en-US</dc:language>
</cp:coreProperties>
</file>