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D8E0625A-EBC0-47D3-9987-269211C4F3F6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Zeitplaner" sheetId="1" r:id="rId1"/>
    <sheet name="Auswertung" sheetId="2" r:id="rId2"/>
    <sheet name="Stammdaten" sheetId="3" r:id="rId3"/>
  </sheets>
  <definedNames>
    <definedName name="_xlnm._FilterDatabase" localSheetId="0" hidden="1">Zeitplaner!$A$5:$M$35</definedName>
    <definedName name="_xlnm.Print_Area" localSheetId="2">Stammdaten!$A$1:$D$75</definedName>
    <definedName name="_xlnm.Print_Area" localSheetId="0">Zeitplaner!$A$1:$AR$47</definedName>
    <definedName name="_xlnm.Print_Titles" localSheetId="0">Zeitplaner!$1:$5</definedName>
    <definedName name="Feiertage">Stammdaten!$B$47:$B$58</definedName>
    <definedName name="Kategorien">Stammdaten!$B$18:$B$26</definedName>
    <definedName name="Prioritaeten">Stammdaten!$B$41:$B$43</definedName>
    <definedName name="Schwelle_Ziel">Stammdaten!$C$11</definedName>
    <definedName name="Stichtag">Stammdaten!$C$12</definedName>
    <definedName name="Tageskapazitaet">Stammdaten!$C$38</definedName>
    <definedName name="Verantwortliche">Stammdaten!$B$30:$B$37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8" i="3" l="1"/>
  <c r="E27" i="2" s="1"/>
  <c r="C12" i="3"/>
  <c r="L18" i="1" s="1"/>
  <c r="C8" i="3"/>
  <c r="C31" i="2"/>
  <c r="E31" i="2" s="1"/>
  <c r="C30" i="2"/>
  <c r="E30" i="2" s="1"/>
  <c r="C29" i="2"/>
  <c r="E29" i="2" s="1"/>
  <c r="B29" i="2"/>
  <c r="C28" i="2"/>
  <c r="E28" i="2" s="1"/>
  <c r="B28" i="2"/>
  <c r="C27" i="2"/>
  <c r="B27" i="2"/>
  <c r="C26" i="2"/>
  <c r="B26" i="2"/>
  <c r="E21" i="2"/>
  <c r="D21" i="2"/>
  <c r="C21" i="2"/>
  <c r="B21" i="2"/>
  <c r="H20" i="2"/>
  <c r="K20" i="2" s="1"/>
  <c r="E20" i="2"/>
  <c r="D20" i="2"/>
  <c r="C20" i="2"/>
  <c r="B20" i="2"/>
  <c r="H19" i="2"/>
  <c r="K19" i="2" s="1"/>
  <c r="E19" i="2"/>
  <c r="C19" i="2"/>
  <c r="B19" i="2"/>
  <c r="D19" i="2" s="1"/>
  <c r="H18" i="2"/>
  <c r="J18" i="2" s="1"/>
  <c r="E18" i="2"/>
  <c r="B18" i="2"/>
  <c r="D18" i="2" s="1"/>
  <c r="H17" i="2"/>
  <c r="K17" i="2" s="1"/>
  <c r="E17" i="2"/>
  <c r="B17" i="2"/>
  <c r="D17" i="2" s="1"/>
  <c r="H16" i="2"/>
  <c r="K16" i="2" s="1"/>
  <c r="D16" i="2"/>
  <c r="B16" i="2"/>
  <c r="E16" i="2" s="1"/>
  <c r="H15" i="2"/>
  <c r="K15" i="2" s="1"/>
  <c r="B15" i="2"/>
  <c r="E15" i="2" s="1"/>
  <c r="K14" i="2"/>
  <c r="J14" i="2"/>
  <c r="H14" i="2"/>
  <c r="I14" i="2" s="1"/>
  <c r="B14" i="2"/>
  <c r="E14" i="2" s="1"/>
  <c r="L13" i="2"/>
  <c r="J13" i="2"/>
  <c r="H13" i="2"/>
  <c r="K13" i="2" s="1"/>
  <c r="B13" i="2"/>
  <c r="C13" i="2" s="1"/>
  <c r="J5" i="2"/>
  <c r="F8" i="2" s="1"/>
  <c r="B5" i="2"/>
  <c r="B2" i="2"/>
  <c r="AN40" i="1"/>
  <c r="AM40" i="1"/>
  <c r="AL40" i="1"/>
  <c r="AK40" i="1"/>
  <c r="AJ40" i="1"/>
  <c r="AG40" i="1"/>
  <c r="AC40" i="1"/>
  <c r="AB40" i="1"/>
  <c r="AA40" i="1"/>
  <c r="Z40" i="1"/>
  <c r="Y40" i="1"/>
  <c r="T40" i="1"/>
  <c r="S40" i="1"/>
  <c r="R40" i="1"/>
  <c r="Q40" i="1"/>
  <c r="P40" i="1"/>
  <c r="AM39" i="1"/>
  <c r="AL39" i="1"/>
  <c r="R39" i="1"/>
  <c r="Q39" i="1"/>
  <c r="AM38" i="1"/>
  <c r="AL38" i="1"/>
  <c r="AF38" i="1"/>
  <c r="AE38" i="1"/>
  <c r="R38" i="1"/>
  <c r="I36" i="1"/>
  <c r="B8" i="2" s="1"/>
  <c r="H8" i="2" s="1"/>
  <c r="H36" i="1"/>
  <c r="M35" i="1"/>
  <c r="L35" i="1"/>
  <c r="J35" i="1"/>
  <c r="H35" i="1"/>
  <c r="A35" i="1"/>
  <c r="M34" i="1"/>
  <c r="L34" i="1"/>
  <c r="H34" i="1"/>
  <c r="J34" i="1" s="1"/>
  <c r="A34" i="1"/>
  <c r="M33" i="1"/>
  <c r="L33" i="1"/>
  <c r="H33" i="1"/>
  <c r="J33" i="1" s="1"/>
  <c r="A33" i="1"/>
  <c r="M32" i="1"/>
  <c r="L32" i="1"/>
  <c r="H32" i="1"/>
  <c r="J32" i="1" s="1"/>
  <c r="A32" i="1"/>
  <c r="M31" i="1"/>
  <c r="L31" i="1"/>
  <c r="J31" i="1"/>
  <c r="H31" i="1"/>
  <c r="A31" i="1"/>
  <c r="M30" i="1"/>
  <c r="L30" i="1"/>
  <c r="H30" i="1"/>
  <c r="J30" i="1" s="1"/>
  <c r="A30" i="1"/>
  <c r="M29" i="1"/>
  <c r="L29" i="1"/>
  <c r="H29" i="1"/>
  <c r="J29" i="1" s="1"/>
  <c r="A29" i="1"/>
  <c r="M28" i="1"/>
  <c r="L28" i="1"/>
  <c r="H28" i="1"/>
  <c r="J28" i="1" s="1"/>
  <c r="A28" i="1"/>
  <c r="M27" i="1"/>
  <c r="L27" i="1"/>
  <c r="J27" i="1"/>
  <c r="H27" i="1"/>
  <c r="A27" i="1"/>
  <c r="M26" i="1"/>
  <c r="L26" i="1"/>
  <c r="H26" i="1"/>
  <c r="J26" i="1" s="1"/>
  <c r="A26" i="1"/>
  <c r="M25" i="1"/>
  <c r="H25" i="1"/>
  <c r="J25" i="1" s="1"/>
  <c r="A25" i="1"/>
  <c r="M24" i="1"/>
  <c r="H24" i="1"/>
  <c r="J24" i="1" s="1"/>
  <c r="A24" i="1"/>
  <c r="M23" i="1"/>
  <c r="J23" i="1"/>
  <c r="H23" i="1"/>
  <c r="A23" i="1"/>
  <c r="M22" i="1"/>
  <c r="H22" i="1"/>
  <c r="J22" i="1" s="1"/>
  <c r="A22" i="1"/>
  <c r="M21" i="1"/>
  <c r="H21" i="1"/>
  <c r="J21" i="1" s="1"/>
  <c r="A21" i="1"/>
  <c r="M20" i="1"/>
  <c r="H20" i="1"/>
  <c r="J20" i="1" s="1"/>
  <c r="A20" i="1"/>
  <c r="M19" i="1"/>
  <c r="L19" i="1"/>
  <c r="J19" i="1"/>
  <c r="H19" i="1"/>
  <c r="A19" i="1"/>
  <c r="M18" i="1"/>
  <c r="H18" i="1"/>
  <c r="J18" i="1" s="1"/>
  <c r="A18" i="1"/>
  <c r="M17" i="1"/>
  <c r="H17" i="1"/>
  <c r="J17" i="1" s="1"/>
  <c r="A17" i="1"/>
  <c r="M16" i="1"/>
  <c r="L16" i="1"/>
  <c r="H16" i="1"/>
  <c r="J16" i="1" s="1"/>
  <c r="A16" i="1"/>
  <c r="M15" i="1"/>
  <c r="J15" i="1"/>
  <c r="H15" i="1"/>
  <c r="A15" i="1"/>
  <c r="M14" i="1"/>
  <c r="H14" i="1"/>
  <c r="J14" i="1" s="1"/>
  <c r="A14" i="1"/>
  <c r="M13" i="1"/>
  <c r="L13" i="1"/>
  <c r="H13" i="1"/>
  <c r="J13" i="1" s="1"/>
  <c r="A13" i="1"/>
  <c r="M12" i="1"/>
  <c r="L12" i="1"/>
  <c r="H12" i="1"/>
  <c r="J12" i="1" s="1"/>
  <c r="A12" i="1"/>
  <c r="M11" i="1"/>
  <c r="L11" i="1"/>
  <c r="J11" i="1"/>
  <c r="H11" i="1"/>
  <c r="A11" i="1"/>
  <c r="M10" i="1"/>
  <c r="H10" i="1"/>
  <c r="J10" i="1" s="1"/>
  <c r="A10" i="1"/>
  <c r="M9" i="1"/>
  <c r="L9" i="1"/>
  <c r="H9" i="1"/>
  <c r="J9" i="1" s="1"/>
  <c r="A9" i="1"/>
  <c r="M8" i="1"/>
  <c r="L8" i="1"/>
  <c r="H8" i="1"/>
  <c r="J8" i="1" s="1"/>
  <c r="A8" i="1"/>
  <c r="M7" i="1"/>
  <c r="M36" i="1" s="1"/>
  <c r="D8" i="2" s="1"/>
  <c r="L7" i="1"/>
  <c r="J7" i="1"/>
  <c r="H7" i="1"/>
  <c r="A7" i="1"/>
  <c r="M6" i="1"/>
  <c r="L6" i="1"/>
  <c r="H6" i="1"/>
  <c r="J6" i="1" s="1"/>
  <c r="A6" i="1"/>
  <c r="AO5" i="1"/>
  <c r="AN5" i="1"/>
  <c r="AM5" i="1"/>
  <c r="AL5" i="1"/>
  <c r="AK5" i="1"/>
  <c r="AJ5" i="1"/>
  <c r="AI5" i="1"/>
  <c r="AH5" i="1"/>
  <c r="AG5" i="1"/>
  <c r="AF5" i="1"/>
  <c r="U5" i="1"/>
  <c r="T5" i="1"/>
  <c r="S5" i="1"/>
  <c r="R5" i="1"/>
  <c r="Q5" i="1"/>
  <c r="P5" i="1"/>
  <c r="O5" i="1"/>
  <c r="N5" i="1"/>
  <c r="AR4" i="1"/>
  <c r="AR40" i="1" s="1"/>
  <c r="AQ4" i="1"/>
  <c r="AP4" i="1"/>
  <c r="AP5" i="1" s="1"/>
  <c r="AO4" i="1"/>
  <c r="AN4" i="1"/>
  <c r="AM4" i="1"/>
  <c r="AL4" i="1"/>
  <c r="AK4" i="1"/>
  <c r="AJ4" i="1"/>
  <c r="AI4" i="1"/>
  <c r="AI40" i="1" s="1"/>
  <c r="AH4" i="1"/>
  <c r="AH40" i="1" s="1"/>
  <c r="AG4" i="1"/>
  <c r="AF4" i="1"/>
  <c r="AF40" i="1" s="1"/>
  <c r="AE4" i="1"/>
  <c r="AE40" i="1" s="1"/>
  <c r="AD4" i="1"/>
  <c r="AD40" i="1" s="1"/>
  <c r="AC4" i="1"/>
  <c r="AC5" i="1" s="1"/>
  <c r="AB4" i="1"/>
  <c r="AB5" i="1" s="1"/>
  <c r="AA4" i="1"/>
  <c r="AA5" i="1" s="1"/>
  <c r="Z4" i="1"/>
  <c r="Y4" i="1"/>
  <c r="Y39" i="1" s="1"/>
  <c r="X4" i="1"/>
  <c r="X40" i="1" s="1"/>
  <c r="W4" i="1"/>
  <c r="V4" i="1"/>
  <c r="V5" i="1" s="1"/>
  <c r="U4" i="1"/>
  <c r="T4" i="1"/>
  <c r="S4" i="1"/>
  <c r="R4" i="1"/>
  <c r="Q4" i="1"/>
  <c r="Q38" i="1" s="1"/>
  <c r="P4" i="1"/>
  <c r="O4" i="1"/>
  <c r="O40" i="1" s="1"/>
  <c r="N4" i="1"/>
  <c r="N40" i="1" s="1"/>
  <c r="M3" i="1"/>
  <c r="E3" i="1"/>
  <c r="AT2" i="1"/>
  <c r="A2" i="1"/>
  <c r="AT1" i="1"/>
  <c r="L20" i="1" l="1"/>
  <c r="L23" i="1"/>
  <c r="L10" i="1"/>
  <c r="L25" i="1"/>
  <c r="L15" i="1"/>
  <c r="L24" i="1"/>
  <c r="L14" i="1"/>
  <c r="L21" i="1"/>
  <c r="J3" i="1"/>
  <c r="L17" i="1"/>
  <c r="L22" i="1"/>
  <c r="AJ38" i="1"/>
  <c r="AJ39" i="1" s="1"/>
  <c r="AK38" i="1"/>
  <c r="AK39" i="1" s="1"/>
  <c r="P38" i="1"/>
  <c r="P39" i="1" s="1"/>
  <c r="AO38" i="1"/>
  <c r="AO39" i="1" s="1"/>
  <c r="AQ39" i="1"/>
  <c r="U38" i="1"/>
  <c r="U39" i="1" s="1"/>
  <c r="M18" i="2"/>
  <c r="W39" i="1"/>
  <c r="J21" i="2"/>
  <c r="AG39" i="1"/>
  <c r="AC38" i="1"/>
  <c r="AB38" i="1"/>
  <c r="AD38" i="1"/>
  <c r="AG38" i="1"/>
  <c r="AI38" i="1"/>
  <c r="AA38" i="1"/>
  <c r="O38" i="1"/>
  <c r="O39" i="1" s="1"/>
  <c r="S38" i="1"/>
  <c r="S39" i="1" s="1"/>
  <c r="AN38" i="1"/>
  <c r="AN39" i="1" s="1"/>
  <c r="T38" i="1"/>
  <c r="T39" i="1" s="1"/>
  <c r="I16" i="2"/>
  <c r="Y5" i="1"/>
  <c r="AC39" i="1"/>
  <c r="L14" i="2"/>
  <c r="M14" i="2" s="1"/>
  <c r="J16" i="2"/>
  <c r="M16" i="2" s="1"/>
  <c r="X5" i="1"/>
  <c r="AR5" i="1"/>
  <c r="AB39" i="1"/>
  <c r="B30" i="2"/>
  <c r="D13" i="2"/>
  <c r="L16" i="2"/>
  <c r="W38" i="1"/>
  <c r="AQ38" i="1"/>
  <c r="AF39" i="1"/>
  <c r="U40" i="1"/>
  <c r="AO40" i="1"/>
  <c r="E13" i="2"/>
  <c r="E22" i="2" s="1"/>
  <c r="C15" i="2"/>
  <c r="K18" i="2"/>
  <c r="K21" i="2" s="1"/>
  <c r="I20" i="2"/>
  <c r="I17" i="2"/>
  <c r="X39" i="1"/>
  <c r="AR39" i="1"/>
  <c r="AQ5" i="1"/>
  <c r="AA39" i="1"/>
  <c r="AD39" i="1"/>
  <c r="I18" i="2"/>
  <c r="V38" i="1"/>
  <c r="V39" i="1" s="1"/>
  <c r="AP38" i="1"/>
  <c r="AP39" i="1" s="1"/>
  <c r="AE39" i="1"/>
  <c r="X38" i="1"/>
  <c r="AR38" i="1"/>
  <c r="V40" i="1"/>
  <c r="AP40" i="1"/>
  <c r="D15" i="2"/>
  <c r="L18" i="2"/>
  <c r="J20" i="2"/>
  <c r="M20" i="2" s="1"/>
  <c r="J15" i="2"/>
  <c r="M15" i="2" s="1"/>
  <c r="W5" i="1"/>
  <c r="AD5" i="1"/>
  <c r="Y38" i="1"/>
  <c r="W40" i="1"/>
  <c r="AQ40" i="1"/>
  <c r="C17" i="2"/>
  <c r="E26" i="2"/>
  <c r="E32" i="2" s="1"/>
  <c r="Z5" i="1"/>
  <c r="AE5" i="1"/>
  <c r="Z38" i="1"/>
  <c r="Z39" i="1" s="1"/>
  <c r="AI39" i="1"/>
  <c r="I13" i="2"/>
  <c r="L20" i="2"/>
  <c r="B31" i="2"/>
  <c r="I15" i="2"/>
  <c r="L15" i="2"/>
  <c r="J17" i="2"/>
  <c r="M17" i="2" s="1"/>
  <c r="K36" i="1"/>
  <c r="L5" i="2" s="1"/>
  <c r="C14" i="2"/>
  <c r="C22" i="2" s="1"/>
  <c r="I19" i="2"/>
  <c r="D14" i="2"/>
  <c r="L17" i="2"/>
  <c r="J19" i="2"/>
  <c r="M19" i="2" s="1"/>
  <c r="M13" i="2"/>
  <c r="N38" i="1"/>
  <c r="AH38" i="1"/>
  <c r="AH39" i="1" s="1"/>
  <c r="C16" i="2"/>
  <c r="L19" i="2"/>
  <c r="C18" i="2"/>
  <c r="F5" i="2" l="1"/>
  <c r="D5" i="2"/>
  <c r="H5" i="2"/>
  <c r="J8" i="2"/>
  <c r="D30" i="2"/>
  <c r="F30" i="2" s="1"/>
  <c r="D29" i="2"/>
  <c r="F29" i="2" s="1"/>
  <c r="D26" i="2"/>
  <c r="I21" i="2"/>
  <c r="D22" i="2"/>
  <c r="N39" i="1"/>
  <c r="L8" i="2" s="1"/>
  <c r="D27" i="2"/>
  <c r="F27" i="2" s="1"/>
  <c r="D31" i="2"/>
  <c r="F31" i="2" s="1"/>
  <c r="D28" i="2"/>
  <c r="F28" i="2" s="1"/>
  <c r="F14" i="2"/>
  <c r="L21" i="2"/>
  <c r="M21" i="2" s="1"/>
  <c r="F20" i="2" l="1"/>
  <c r="F21" i="2"/>
  <c r="F18" i="2"/>
  <c r="F17" i="2"/>
  <c r="F16" i="2"/>
  <c r="F19" i="2"/>
  <c r="F13" i="2"/>
  <c r="D32" i="2"/>
  <c r="F32" i="2" s="1"/>
  <c r="F26" i="2"/>
  <c r="F15" i="2"/>
  <c r="F22" i="2" l="1"/>
</calcChain>
</file>

<file path=xl/sharedStrings.xml><?xml version="1.0" encoding="utf-8"?>
<sst xmlns="http://schemas.openxmlformats.org/spreadsheetml/2006/main" count="258" uniqueCount="186">
  <si>
    <t>ZEITPLANER</t>
  </si>
  <si>
    <t>Monat</t>
  </si>
  <si>
    <t>Jahr</t>
  </si>
  <si>
    <t>Stichtag</t>
  </si>
  <si>
    <t>Kapazität/Tag</t>
  </si>
  <si>
    <t>Balken:  erledigt / geplant / Meilenstein  ·  graue Spalte = Wochenende  ·  farbiger Rahmen = heute</t>
  </si>
  <si>
    <t>AUFGABEN &amp; TERMINE</t>
  </si>
  <si>
    <t>Nr.</t>
  </si>
  <si>
    <t>Aufgabe / Termin</t>
  </si>
  <si>
    <t>Kategorie</t>
  </si>
  <si>
    <t>Verantwortlich</t>
  </si>
  <si>
    <t>Prio</t>
  </si>
  <si>
    <t>Beginn</t>
  </si>
  <si>
    <t>Ende</t>
  </si>
  <si>
    <t>AT</t>
  </si>
  <si>
    <t>Aufwand
(h)</t>
  </si>
  <si>
    <t>Ø h/AT</t>
  </si>
  <si>
    <t>Fortschritt</t>
  </si>
  <si>
    <t>Status</t>
  </si>
  <si>
    <t>Rest (h)</t>
  </si>
  <si>
    <t>Monatsplanung abstimmen</t>
  </si>
  <si>
    <t>Meeting / Termin</t>
  </si>
  <si>
    <t>M. Berger</t>
  </si>
  <si>
    <t>A</t>
  </si>
  <si>
    <t>Jahresziele Q3 herunterbrechen</t>
  </si>
  <si>
    <t>Projektarbeit</t>
  </si>
  <si>
    <t>Angebot Nr. 2026-118 erstellen</t>
  </si>
  <si>
    <t>Kundenkontakt</t>
  </si>
  <si>
    <t>S. Klein</t>
  </si>
  <si>
    <t>Wochenreporting aufbereiten</t>
  </si>
  <si>
    <t>Verwaltung</t>
  </si>
  <si>
    <t>T. Neumann</t>
  </si>
  <si>
    <t>B</t>
  </si>
  <si>
    <t>Ablage digitalisieren</t>
  </si>
  <si>
    <t>A. Hoffmann</t>
  </si>
  <si>
    <t>C</t>
  </si>
  <si>
    <t>Lieferantengespräch führen</t>
  </si>
  <si>
    <t>Konzeptentwurf abstimmen</t>
  </si>
  <si>
    <t>L. Vogel</t>
  </si>
  <si>
    <t>Schulung Grundlagen Teil 1</t>
  </si>
  <si>
    <t>Schulung</t>
  </si>
  <si>
    <t>R. Sander</t>
  </si>
  <si>
    <t>Rechnungslauf prüfen</t>
  </si>
  <si>
    <t>Wartungsfenster vorbereiten</t>
  </si>
  <si>
    <t>Wartung</t>
  </si>
  <si>
    <t>Kundentermin vor Ort</t>
  </si>
  <si>
    <t>Zwischenauswertung erstellen</t>
  </si>
  <si>
    <t>Freigabe Konzept</t>
  </si>
  <si>
    <t>Meilenstein</t>
  </si>
  <si>
    <t>Teamrunde / Jour fixe</t>
  </si>
  <si>
    <t>Team</t>
  </si>
  <si>
    <t>Dokumentation überarbeiten</t>
  </si>
  <si>
    <t>Angebotsnachfassung</t>
  </si>
  <si>
    <t>Wartung durchführen</t>
  </si>
  <si>
    <t>Schulung Grundlagen Teil 2</t>
  </si>
  <si>
    <t>Monatsabschluss vorbereiten</t>
  </si>
  <si>
    <t>Urlaubsübergabe dokumentieren</t>
  </si>
  <si>
    <t>Sonstiges</t>
  </si>
  <si>
    <t>SUMME / DURCHSCHNITT</t>
  </si>
  <si>
    <t>Tagesbelastung (h)   ·   Summe aller laufenden Aufgaben je Arbeitstag</t>
  </si>
  <si>
    <t>Auslastung (%)   ·   grün = im Ziel   gelb = eng   rot = überplant</t>
  </si>
  <si>
    <t>LEGENDE &amp; HINWEISE</t>
  </si>
  <si>
    <t>Eingabefeld – hier eintragen</t>
  </si>
  <si>
    <t>•  Monat und Jahr in Zeile 3 ändern – Kalender, Balken und Auswertung stellen sich automatisch um.</t>
  </si>
  <si>
    <t>Balken: geplanter Zeitraum</t>
  </si>
  <si>
    <t>•  Der Status wird aus Fortschritt, Endedatum und Stichtag berechnet und sollte nicht überschrieben werden.</t>
  </si>
  <si>
    <t>Balken: bereits erledigter Anteil</t>
  </si>
  <si>
    <t>•  Ø h/AT verteilt den Aufwand gleichmäßig auf die Arbeitstage – Grundlage der Tagesbelastung.</t>
  </si>
  <si>
    <t>Balken: Meilenstein (Beginn = Ende)</t>
  </si>
  <si>
    <t>•  Kategorien, Verantwortliche, Kapazitäten und Feiertage werden im Blatt „Stammdaten“ gepflegt.</t>
  </si>
  <si>
    <t>Wochenende bzw. Feiertag</t>
  </si>
  <si>
    <t>•  Rote Tage in Zeile 39 sind überplant: Aufgaben verschieben oder Aufwand reduzieren.</t>
  </si>
  <si>
    <t>AUSWERTUNG &amp; KAPAZITÄT</t>
  </si>
  <si>
    <t>Aufgaben gesamt</t>
  </si>
  <si>
    <t>Abgeschlossen</t>
  </si>
  <si>
    <t>In Arbeit</t>
  </si>
  <si>
    <t>Überfällig</t>
  </si>
  <si>
    <t>Arbeitstage im Monat</t>
  </si>
  <si>
    <t>Ø Fortschritt</t>
  </si>
  <si>
    <t>Geplanter Aufwand (h)</t>
  </si>
  <si>
    <t>Offener Aufwand (h)</t>
  </si>
  <si>
    <t>Monatskapazität (h)</t>
  </si>
  <si>
    <t>Auslastung im Monat</t>
  </si>
  <si>
    <t>Spitzenbelastung (h/Tag)</t>
  </si>
  <si>
    <t>Tage über Kapazität</t>
  </si>
  <si>
    <t>AUFWAND JE KATEGORIE</t>
  </si>
  <si>
    <t>AUSLASTUNG JE VERANTWORTLICHKEIT</t>
  </si>
  <si>
    <t>Aufgaben</t>
  </si>
  <si>
    <t>Aufwand (h)</t>
  </si>
  <si>
    <t>erledigt (h)</t>
  </si>
  <si>
    <t>Anteil</t>
  </si>
  <si>
    <t>offen (h)</t>
  </si>
  <si>
    <t>Kapazität (h)</t>
  </si>
  <si>
    <t>Auslastung</t>
  </si>
  <si>
    <t>Summe</t>
  </si>
  <si>
    <t>BELASTUNG JE KALENDERWOCHE</t>
  </si>
  <si>
    <t>LESEHILFE</t>
  </si>
  <si>
    <t>Woche</t>
  </si>
  <si>
    <t>ab Montag</t>
  </si>
  <si>
    <t>geplant (h)</t>
  </si>
  <si>
    <t>•  Die Kapazität ergibt sich aus den planbaren Stunden je Verantwortlichkeit (Blatt „Stammdaten“) mal Arbeitstage.</t>
  </si>
  <si>
    <t>•  Auslastung bis zur Ziel-Schwelle wird grün, darüber gelb und ab 100 % rot dargestellt.</t>
  </si>
  <si>
    <t>•  „erledigt (h)“ gewichtet den Aufwand mit dem eingetragenen Fortschritt.</t>
  </si>
  <si>
    <t>•  Kalenderwochen werden nach ISO 8601 gezählt; angeschnittene Wochen zählen nur mit den Tagen des Monats.</t>
  </si>
  <si>
    <t>•  Überfällige Aufgaben sind noch nicht abgeschlossen, obwohl das Endedatum vor dem Stichtag liegt.</t>
  </si>
  <si>
    <t>•  Die Kennzahlen aktualisieren sich, sobald Monat, Jahr oder Aufgaben geändert werden.</t>
  </si>
  <si>
    <t>STAMMDATEN &amp; EINSTELLUNGEN</t>
  </si>
  <si>
    <t>Alle hell hinterlegten Felder sind frei anpassbar – sie steuern Auswahllisten, Kapazitäten und Feiertage.</t>
  </si>
  <si>
    <t>ORGANISATION</t>
  </si>
  <si>
    <t>Unternehmen / Organisation</t>
  </si>
  <si>
    <t>Muster Consulting &amp; Services GmbH</t>
  </si>
  <si>
    <t>Bereich / Abteilung</t>
  </si>
  <si>
    <t>Abteilung Organisation</t>
  </si>
  <si>
    <t>Plan erstellt von</t>
  </si>
  <si>
    <t>K. Bergmann</t>
  </si>
  <si>
    <t>Planungsstand</t>
  </si>
  <si>
    <t>PARAMETER</t>
  </si>
  <si>
    <t>Ziel-Auslastung (grün bis)</t>
  </si>
  <si>
    <t>Darüber wird die Auslastung gelb, ab 100 % rot dargestellt.</t>
  </si>
  <si>
    <t>Stichtag für die Statusberechnung</t>
  </si>
  <si>
    <t>Festes Datum eintragen, um den Planstand einzufrieren.</t>
  </si>
  <si>
    <t>KATEGORIEN   ·   Auswahlliste für Spalte C im Zeitplaner</t>
  </si>
  <si>
    <t>Kürzel</t>
  </si>
  <si>
    <t>Beschreibung</t>
  </si>
  <si>
    <t>PRJ</t>
  </si>
  <si>
    <t>Zeitlich begrenzte Vorhaben mit klarem Ergebnis</t>
  </si>
  <si>
    <t>Tagesgeschäft</t>
  </si>
  <si>
    <t>TAG</t>
  </si>
  <si>
    <t>Wiederkehrende operative Tätigkeiten</t>
  </si>
  <si>
    <t>MTG</t>
  </si>
  <si>
    <t>Besprechungen, Abstimmungen, Jour fixe</t>
  </si>
  <si>
    <t>KND</t>
  </si>
  <si>
    <t>Angebote, Gespräche, Betreuung</t>
  </si>
  <si>
    <t>VWL</t>
  </si>
  <si>
    <t>Administration, Reporting, Ablage</t>
  </si>
  <si>
    <t>SCH</t>
  </si>
  <si>
    <t>Qualifizierung und Einarbeitung</t>
  </si>
  <si>
    <t>WTG</t>
  </si>
  <si>
    <t>Instandhaltung, Pflege, Prüfungen</t>
  </si>
  <si>
    <t>MST</t>
  </si>
  <si>
    <t>Termin ohne Dauer – Beginn und Ende sind identisch</t>
  </si>
  <si>
    <t>SON</t>
  </si>
  <si>
    <t>Alles, was in keine andere Kategorie passt</t>
  </si>
  <si>
    <t>VERANTWORTLICHE   ·   Auswahlliste für Spalte D im Zeitplaner</t>
  </si>
  <si>
    <t>planbare h/Tag</t>
  </si>
  <si>
    <t>Hinweis</t>
  </si>
  <si>
    <t>Leitung – überwiegend Steuerung und Abstimmung</t>
  </si>
  <si>
    <t>Vertrieb und Kundenbetreuung</t>
  </si>
  <si>
    <t>Verwaltung und Reporting</t>
  </si>
  <si>
    <t>Sachbearbeitung</t>
  </si>
  <si>
    <t>Technik und Wartung</t>
  </si>
  <si>
    <t>Gemeinsame Termine, Sammelposition</t>
  </si>
  <si>
    <t>Extern</t>
  </si>
  <si>
    <t>Dienstleister und externe Unterstützung</t>
  </si>
  <si>
    <t>Planbare Stunden je Arbeitstag (gesamt)</t>
  </si>
  <si>
    <t>Grundlage für Tagesbelastung, Auslastung und Monatskapazität.</t>
  </si>
  <si>
    <t>PRIORITÄTEN   ·   Auswahlliste für Spalte E im Zeitplaner</t>
  </si>
  <si>
    <t>hoch – terminkritisch, zuerst einplanen</t>
  </si>
  <si>
    <t>mittel – im laufenden Monat zu erledigen</t>
  </si>
  <si>
    <t>niedrig – bei freier Kapazität</t>
  </si>
  <si>
    <t>FEIERTAGE 2026   ·   bundeseinheitlich, regionale Feiertage bitte ergänzen</t>
  </si>
  <si>
    <t>Datum</t>
  </si>
  <si>
    <t>Bezeichnung</t>
  </si>
  <si>
    <t>Neujahr</t>
  </si>
  <si>
    <t>Karfreitag</t>
  </si>
  <si>
    <t>Ostermontag</t>
  </si>
  <si>
    <t>Tag der Arbeit</t>
  </si>
  <si>
    <t>Christi Himmelfahrt</t>
  </si>
  <si>
    <t>Pfingstmontag</t>
  </si>
  <si>
    <t>Tag der Deutschen Einheit</t>
  </si>
  <si>
    <t>1. Weihnachtstag</t>
  </si>
  <si>
    <t>2. Weihnachtstag</t>
  </si>
  <si>
    <t>frei für regionale Feiertage</t>
  </si>
  <si>
    <t>ANWENDUNG IN SECHS SCHRITTEN</t>
  </si>
  <si>
    <t>1.   Stammdaten pflegen: Organisation, Ziel-Auslastung, Kategorien, Verantwortliche und Feiertage.</t>
  </si>
  <si>
    <t>2.   Im Blatt „Zeitplaner“ Monat und Jahr in Zeile 3 eintragen – der Kalender stellt sich automatisch um.</t>
  </si>
  <si>
    <t>3.   Aufgaben und Termine in den Spalten B bis G erfassen, Beginn und Ende als Datum eingeben.</t>
  </si>
  <si>
    <t>4.   Aufwand in Stunden und Fortschritt in Prozent ergänzen – Balken, Status und Rest rechnen sich selbst.</t>
  </si>
  <si>
    <t>5.   Zeile 38 und 39 prüfen: rote Tage sind überplant und sollten verschoben oder entlastet werden.</t>
  </si>
  <si>
    <t>6.   Blatt „Auswertung“ öffnen und Kennzahlen, Kategorien, Zuständigkeiten und Wochen kontrollieren.</t>
  </si>
  <si>
    <t>HINWEISE</t>
  </si>
  <si>
    <t>•  Ein Meilenstein entsteht durch identisches Beginn- und Endedatum und wird im Kalender farblich abgesetzt.</t>
  </si>
  <si>
    <t>•  Die Dauer wird in Arbeitstagen berechnet: Wochenenden und hinterlegte Feiertage bleiben unberücksichtigt.</t>
  </si>
  <si>
    <t>•  Der Aufwand wird für die Tagesbelastung gleichmäßig auf alle Arbeitstage einer Aufgabe verteilt.</t>
  </si>
  <si>
    <t>•  Die Zeilen 6 bis 35 im Zeitplaner lassen sich erweitern; Formelbereiche sind danach anzupassen.</t>
  </si>
  <si>
    <t>•  Sämtliche Namen, Zahlen und Termine dieser Vorlage sind frei erfunden und dienen nur der Veranschaulichung.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</si>
</sst>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dd\.mm\.yyyy"/>
    <numFmt numFmtId="165" formatCode="d"/>
    <numFmt numFmtId="166" formatCode="0;;&quot;&quot;"/>
    <numFmt numFmtId="167" formatCode="0.0;\-0.0;&quot;&quot;"/>
    <numFmt numFmtId="168" formatCode="0%;;&quot;&quot;"/>
    <numFmt numFmtId="169" formatCode="0.0"/>
    <numFmt numFmtId="170" formatCode="0.0;;&quot;&quot;"/>
    <numFmt numFmtId="171" formatCode="0.0%;;&quot;&quot;"/>
    <numFmt numFmtId="172" formatCode="0.0%"/>
  </numFmts>
  <fonts count="19" x14ac:knownFonts="1">
    <font>
      <sz val="11"/>
      <color theme="1"/>
      <name val="Calibri"/>
      <family val="2"/>
      <charset val="1"/>
    </font>
    <font>
      <b/>
      <sz val="20"/>
      <color rgb="FFFFFFFF"/>
      <name val="Calibri"/>
      <charset val="1"/>
    </font>
    <font>
      <sz val="11"/>
      <color rgb="FF000000"/>
      <name val="Calibri"/>
      <charset val="1"/>
    </font>
    <font>
      <sz val="10"/>
      <color rgb="FFF2E6E0"/>
      <name val="Calibri"/>
      <charset val="1"/>
    </font>
    <font>
      <b/>
      <sz val="10"/>
      <color rgb="FF000000"/>
      <name val="Calibri"/>
      <charset val="1"/>
    </font>
    <font>
      <b/>
      <sz val="11"/>
      <color rgb="FF000000"/>
      <name val="Calibri"/>
      <charset val="1"/>
    </font>
    <font>
      <b/>
      <sz val="12"/>
      <color rgb="FF9B3B2A"/>
      <name val="Calibri"/>
      <charset val="1"/>
    </font>
    <font>
      <i/>
      <sz val="9"/>
      <color rgb="FF5C6166"/>
      <name val="Calibri"/>
      <charset val="1"/>
    </font>
    <font>
      <b/>
      <sz val="10"/>
      <color rgb="FFFFFFFF"/>
      <name val="Calibri"/>
      <charset val="1"/>
    </font>
    <font>
      <b/>
      <sz val="9"/>
      <color rgb="FFFFFFFF"/>
      <name val="Calibri"/>
      <charset val="1"/>
    </font>
    <font>
      <b/>
      <sz val="8"/>
      <color rgb="FFFFFFFF"/>
      <name val="Calibri"/>
      <charset val="1"/>
    </font>
    <font>
      <sz val="10"/>
      <color rgb="FF000000"/>
      <name val="Calibri"/>
      <charset val="1"/>
    </font>
    <font>
      <sz val="8"/>
      <color rgb="FF000000"/>
      <name val="Calibri"/>
      <charset val="1"/>
    </font>
    <font>
      <i/>
      <sz val="10"/>
      <color rgb="FF5C6166"/>
      <name val="Calibri"/>
      <charset val="1"/>
    </font>
    <font>
      <b/>
      <sz val="18"/>
      <color rgb="FFFFFFFF"/>
      <name val="Calibri"/>
      <charset val="1"/>
    </font>
    <font>
      <sz val="9"/>
      <color rgb="FF5C6166"/>
      <name val="Calibri"/>
      <charset val="1"/>
    </font>
    <font>
      <b/>
      <sz val="16"/>
      <color rgb="FF2F3438"/>
      <name val="Calibri"/>
      <charset val="1"/>
    </font>
    <font>
      <b/>
      <sz val="11"/>
      <color rgb="FFFFFFFF"/>
      <name val="Calibri"/>
      <charset val="1"/>
    </font>
    <font>
      <i/>
      <sz val="9"/>
      <color rgb="FFEDE3DC"/>
      <name val="Calibri"/>
      <charset val="1"/>
    </font>
  </fonts>
  <fills count="12">
    <fill>
      <patternFill patternType="none"/>
    </fill>
    <fill>
      <patternFill patternType="gray125"/>
    </fill>
    <fill>
      <patternFill patternType="solid">
        <fgColor rgb="FF2F3438"/>
        <bgColor rgb="FF333300"/>
      </patternFill>
    </fill>
    <fill>
      <patternFill patternType="solid">
        <fgColor rgb="FF9B3B2A"/>
        <bgColor rgb="FFB5342A"/>
      </patternFill>
    </fill>
    <fill>
      <patternFill patternType="solid">
        <fgColor rgb="FFF5EFE9"/>
        <bgColor rgb="FFF0F0EE"/>
      </patternFill>
    </fill>
    <fill>
      <patternFill patternType="solid">
        <fgColor rgb="FFFCE9E2"/>
        <bgColor rgb="FFF8E2E0"/>
      </patternFill>
    </fill>
    <fill>
      <patternFill patternType="solid">
        <fgColor rgb="FFC1614B"/>
        <bgColor rgb="FFB8763F"/>
      </patternFill>
    </fill>
    <fill>
      <patternFill patternType="solid">
        <fgColor rgb="FFFFFFFF"/>
        <bgColor rgb="FFF0F0EE"/>
      </patternFill>
    </fill>
    <fill>
      <patternFill patternType="solid">
        <fgColor rgb="FF2E8B84"/>
        <bgColor rgb="FF3F7D4E"/>
      </patternFill>
    </fill>
    <fill>
      <patternFill patternType="solid">
        <fgColor rgb="FFE4F0EE"/>
        <bgColor rgb="FFE3EFE6"/>
      </patternFill>
    </fill>
    <fill>
      <patternFill patternType="solid">
        <fgColor rgb="FFE7DBD1"/>
        <bgColor rgb="FFEDE3DC"/>
      </patternFill>
    </fill>
    <fill>
      <patternFill patternType="solid">
        <fgColor rgb="FFF0F0EE"/>
        <bgColor rgb="FFF5EFE9"/>
      </patternFill>
    </fill>
  </fills>
  <borders count="5">
    <border>
      <left/>
      <right/>
      <top/>
      <bottom/>
      <diagonal/>
    </border>
    <border>
      <left style="thin">
        <color rgb="FFC9C2BB"/>
      </left>
      <right style="thin">
        <color rgb="FFC9C2BB"/>
      </right>
      <top style="thin">
        <color rgb="FFC9C2BB"/>
      </top>
      <bottom style="thin">
        <color rgb="FFC9C2BB"/>
      </bottom>
      <diagonal/>
    </border>
    <border>
      <left style="hair">
        <color rgb="FFD9D3CC"/>
      </left>
      <right style="hair">
        <color rgb="FFD9D3CC"/>
      </right>
      <top style="hair">
        <color rgb="FFD9D3CC"/>
      </top>
      <bottom style="hair">
        <color rgb="FFD9D3CC"/>
      </bottom>
      <diagonal/>
    </border>
    <border>
      <left/>
      <right/>
      <top style="medium">
        <color rgb="FF9B3B2A"/>
      </top>
      <bottom/>
      <diagonal/>
    </border>
    <border>
      <left/>
      <right/>
      <top style="medium">
        <color rgb="FF2E8B8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169" fontId="16" fillId="4" borderId="0" xfId="0" applyNumberFormat="1" applyFont="1" applyFill="1" applyAlignment="1">
      <alignment horizontal="left" vertical="center"/>
    </xf>
    <xf numFmtId="0" fontId="15" fillId="4" borderId="4" xfId="0" applyFont="1" applyFill="1" applyBorder="1" applyAlignment="1">
      <alignment horizontal="left" vertical="center"/>
    </xf>
    <xf numFmtId="9" fontId="16" fillId="4" borderId="0" xfId="0" applyNumberFormat="1" applyFont="1" applyFill="1" applyAlignment="1">
      <alignment horizontal="left" vertical="center"/>
    </xf>
    <xf numFmtId="1" fontId="16" fillId="4" borderId="0" xfId="0" applyNumberFormat="1" applyFont="1" applyFill="1" applyAlignment="1">
      <alignment horizontal="left" vertical="center"/>
    </xf>
    <xf numFmtId="0" fontId="15" fillId="4" borderId="3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8" fillId="8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right" vertical="center"/>
    </xf>
    <xf numFmtId="0" fontId="6" fillId="4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164" fontId="2" fillId="0" borderId="0" xfId="0" applyNumberFormat="1" applyFont="1" applyAlignment="1">
      <alignment vertical="center"/>
    </xf>
    <xf numFmtId="9" fontId="2" fillId="0" borderId="0" xfId="0" applyNumberFormat="1" applyFont="1" applyAlignment="1">
      <alignment vertical="center"/>
    </xf>
    <xf numFmtId="0" fontId="4" fillId="4" borderId="0" xfId="0" applyFont="1" applyFill="1" applyAlignment="1">
      <alignment horizontal="right" vertical="center"/>
    </xf>
    <xf numFmtId="1" fontId="5" fillId="5" borderId="1" xfId="0" applyNumberFormat="1" applyFont="1" applyFill="1" applyBorder="1" applyAlignment="1">
      <alignment horizontal="center" vertical="center"/>
    </xf>
    <xf numFmtId="164" fontId="4" fillId="4" borderId="0" xfId="0" applyNumberFormat="1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165" fontId="9" fillId="2" borderId="2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  <xf numFmtId="164" fontId="11" fillId="5" borderId="1" xfId="0" applyNumberFormat="1" applyFont="1" applyFill="1" applyBorder="1" applyAlignment="1">
      <alignment horizontal="center" vertical="center"/>
    </xf>
    <xf numFmtId="166" fontId="11" fillId="7" borderId="1" xfId="0" applyNumberFormat="1" applyFont="1" applyFill="1" applyBorder="1" applyAlignment="1">
      <alignment horizontal="center" vertical="center"/>
    </xf>
    <xf numFmtId="167" fontId="11" fillId="5" borderId="1" xfId="0" applyNumberFormat="1" applyFont="1" applyFill="1" applyBorder="1" applyAlignment="1">
      <alignment horizontal="center" vertical="center"/>
    </xf>
    <xf numFmtId="167" fontId="11" fillId="7" borderId="1" xfId="0" applyNumberFormat="1" applyFont="1" applyFill="1" applyBorder="1" applyAlignment="1">
      <alignment horizontal="center" vertical="center"/>
    </xf>
    <xf numFmtId="168" fontId="11" fillId="5" borderId="1" xfId="0" applyNumberFormat="1" applyFont="1" applyFill="1" applyBorder="1" applyAlignment="1">
      <alignment horizontal="center" vertical="center"/>
    </xf>
    <xf numFmtId="0" fontId="0" fillId="7" borderId="2" xfId="0" applyFill="1" applyBorder="1"/>
    <xf numFmtId="0" fontId="11" fillId="4" borderId="1" xfId="0" applyFont="1" applyFill="1" applyBorder="1" applyAlignment="1">
      <alignment horizontal="center" vertical="center"/>
    </xf>
    <xf numFmtId="166" fontId="11" fillId="4" borderId="1" xfId="0" applyNumberFormat="1" applyFont="1" applyFill="1" applyBorder="1" applyAlignment="1">
      <alignment horizontal="center" vertical="center"/>
    </xf>
    <xf numFmtId="167" fontId="11" fillId="4" borderId="1" xfId="0" applyNumberFormat="1" applyFont="1" applyFill="1" applyBorder="1" applyAlignment="1">
      <alignment horizontal="center" vertical="center"/>
    </xf>
    <xf numFmtId="0" fontId="0" fillId="4" borderId="2" xfId="0" applyFill="1" applyBorder="1"/>
    <xf numFmtId="1" fontId="8" fillId="2" borderId="0" xfId="0" applyNumberFormat="1" applyFont="1" applyFill="1" applyAlignment="1">
      <alignment horizontal="center" vertical="center"/>
    </xf>
    <xf numFmtId="169" fontId="8" fillId="2" borderId="0" xfId="0" applyNumberFormat="1" applyFont="1" applyFill="1" applyAlignment="1">
      <alignment horizontal="center" vertical="center"/>
    </xf>
    <xf numFmtId="0" fontId="0" fillId="2" borderId="0" xfId="0" applyFill="1"/>
    <xf numFmtId="9" fontId="8" fillId="2" borderId="0" xfId="0" applyNumberFormat="1" applyFont="1" applyFill="1" applyAlignment="1">
      <alignment horizontal="center" vertical="center"/>
    </xf>
    <xf numFmtId="170" fontId="12" fillId="9" borderId="2" xfId="0" applyNumberFormat="1" applyFont="1" applyFill="1" applyBorder="1" applyAlignment="1">
      <alignment horizontal="center" vertical="center"/>
    </xf>
    <xf numFmtId="168" fontId="12" fillId="7" borderId="2" xfId="0" applyNumberFormat="1" applyFont="1" applyFill="1" applyBorder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2" fillId="10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8" borderId="1" xfId="0" applyFont="1" applyFill="1" applyBorder="1" applyAlignment="1">
      <alignment vertical="center"/>
    </xf>
    <xf numFmtId="0" fontId="2" fillId="11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left" vertical="center"/>
    </xf>
    <xf numFmtId="170" fontId="11" fillId="7" borderId="1" xfId="0" applyNumberFormat="1" applyFont="1" applyFill="1" applyBorder="1" applyAlignment="1">
      <alignment horizontal="center" vertical="center"/>
    </xf>
    <xf numFmtId="171" fontId="11" fillId="7" borderId="1" xfId="0" applyNumberFormat="1" applyFont="1" applyFill="1" applyBorder="1" applyAlignment="1">
      <alignment horizontal="center" vertical="center"/>
    </xf>
    <xf numFmtId="168" fontId="11" fillId="7" borderId="1" xfId="0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left" vertical="center"/>
    </xf>
    <xf numFmtId="170" fontId="11" fillId="4" borderId="1" xfId="0" applyNumberFormat="1" applyFont="1" applyFill="1" applyBorder="1" applyAlignment="1">
      <alignment horizontal="center" vertical="center"/>
    </xf>
    <xf numFmtId="171" fontId="11" fillId="4" borderId="1" xfId="0" applyNumberFormat="1" applyFont="1" applyFill="1" applyBorder="1" applyAlignment="1">
      <alignment horizontal="center" vertical="center"/>
    </xf>
    <xf numFmtId="168" fontId="11" fillId="4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1" fontId="8" fillId="2" borderId="1" xfId="0" applyNumberFormat="1" applyFont="1" applyFill="1" applyBorder="1" applyAlignment="1">
      <alignment horizontal="center" vertical="center"/>
    </xf>
    <xf numFmtId="169" fontId="8" fillId="2" borderId="1" xfId="0" applyNumberFormat="1" applyFont="1" applyFill="1" applyBorder="1" applyAlignment="1">
      <alignment horizontal="center" vertical="center"/>
    </xf>
    <xf numFmtId="9" fontId="8" fillId="2" borderId="1" xfId="0" applyNumberFormat="1" applyFont="1" applyFill="1" applyBorder="1" applyAlignment="1">
      <alignment horizontal="center" vertical="center"/>
    </xf>
    <xf numFmtId="172" fontId="8" fillId="2" borderId="1" xfId="0" applyNumberFormat="1" applyFont="1" applyFill="1" applyBorder="1" applyAlignment="1">
      <alignment horizontal="center" vertical="center"/>
    </xf>
    <xf numFmtId="164" fontId="11" fillId="7" borderId="1" xfId="0" applyNumberFormat="1" applyFont="1" applyFill="1" applyBorder="1" applyAlignment="1">
      <alignment horizontal="center" vertical="center"/>
    </xf>
    <xf numFmtId="164" fontId="11" fillId="4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9" fontId="5" fillId="5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164" fontId="5" fillId="5" borderId="1" xfId="0" applyNumberFormat="1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left" vertical="center"/>
    </xf>
    <xf numFmtId="0" fontId="15" fillId="4" borderId="1" xfId="0" applyFont="1" applyFill="1" applyBorder="1" applyAlignment="1">
      <alignment horizontal="left" vertical="center"/>
    </xf>
    <xf numFmtId="169" fontId="11" fillId="5" borderId="1" xfId="0" applyNumberFormat="1" applyFont="1" applyFill="1" applyBorder="1" applyAlignment="1">
      <alignment horizontal="center" vertical="center"/>
    </xf>
    <xf numFmtId="169" fontId="17" fillId="2" borderId="1" xfId="0" applyNumberFormat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left" vertical="center"/>
    </xf>
    <xf numFmtId="0" fontId="7" fillId="7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/>
    </xf>
    <xf numFmtId="0" fontId="15" fillId="7" borderId="0" xfId="0" applyFont="1" applyFill="1" applyAlignment="1">
      <alignment horizontal="left" vertical="center"/>
    </xf>
    <xf numFmtId="0" fontId="15" fillId="4" borderId="0" xfId="0" applyFont="1" applyFill="1" applyAlignment="1">
      <alignment horizontal="left" vertical="center"/>
    </xf>
    <xf numFmtId="0" fontId="11" fillId="5" borderId="1" xfId="0" applyFont="1" applyFill="1" applyBorder="1" applyAlignment="1">
      <alignment horizontal="left" vertical="center"/>
    </xf>
    <xf numFmtId="164" fontId="11" fillId="5" borderId="1" xfId="0" applyNumberFormat="1" applyFont="1" applyFill="1" applyBorder="1" applyAlignment="1">
      <alignment horizontal="left" vertical="center"/>
    </xf>
    <xf numFmtId="0" fontId="11" fillId="7" borderId="1" xfId="0" applyFont="1" applyFill="1" applyBorder="1" applyAlignment="1">
      <alignment horizontal="left" vertical="center"/>
    </xf>
    <xf numFmtId="0" fontId="11" fillId="4" borderId="1" xfId="0" applyFont="1" applyFill="1" applyBorder="1" applyAlignment="1">
      <alignment horizontal="left" vertical="center"/>
    </xf>
  </cellXfs>
  <cellStyles count="1">
    <cellStyle name="Standard" xfId="0" builtinId="0"/>
  </cellStyles>
  <dxfs count="26">
    <dxf>
      <font>
        <b/>
        <sz val="10"/>
        <color rgb="FF3F7D4E"/>
        <name val="Calibri"/>
        <charset val="1"/>
      </font>
      <fill>
        <patternFill>
          <bgColor rgb="FFD9EBDD"/>
        </patternFill>
      </fill>
    </dxf>
    <dxf>
      <font>
        <b/>
        <sz val="10"/>
        <color rgb="FF8A6A16"/>
        <name val="Calibri"/>
        <charset val="1"/>
      </font>
      <fill>
        <patternFill>
          <bgColor rgb="FFFAE7C2"/>
        </patternFill>
      </fill>
    </dxf>
    <dxf>
      <font>
        <b/>
        <sz val="10"/>
        <color rgb="FFB5342A"/>
        <name val="Calibri"/>
        <charset val="1"/>
      </font>
      <fill>
        <patternFill>
          <bgColor rgb="FFF2C4C0"/>
        </patternFill>
      </fill>
    </dxf>
    <dxf>
      <font>
        <b/>
        <sz val="16"/>
        <color rgb="FFB5342A"/>
        <name val="Calibri"/>
        <charset val="1"/>
      </font>
    </dxf>
    <dxf>
      <font>
        <b/>
        <sz val="16"/>
        <color rgb="FFB5342A"/>
        <name val="Calibri"/>
        <charset val="1"/>
      </font>
    </dxf>
    <dxf>
      <font>
        <b/>
        <sz val="16"/>
        <color rgb="FFB5342A"/>
        <name val="Calibri"/>
        <charset val="1"/>
      </font>
    </dxf>
    <dxf>
      <font>
        <b/>
        <sz val="10"/>
        <color rgb="FF3F7D4E"/>
        <name val="Calibri"/>
        <charset val="1"/>
      </font>
      <fill>
        <patternFill>
          <bgColor rgb="FFD9EBDD"/>
        </patternFill>
      </fill>
    </dxf>
    <dxf>
      <font>
        <b/>
        <sz val="10"/>
        <color rgb="FF8A6A16"/>
        <name val="Calibri"/>
        <charset val="1"/>
      </font>
      <fill>
        <patternFill>
          <bgColor rgb="FFFAE7C2"/>
        </patternFill>
      </fill>
    </dxf>
    <dxf>
      <font>
        <b/>
        <sz val="10"/>
        <color rgb="FFB5342A"/>
        <name val="Calibri"/>
        <charset val="1"/>
      </font>
      <fill>
        <patternFill>
          <bgColor rgb="FFF2C4C0"/>
        </patternFill>
      </fill>
    </dxf>
    <dxf>
      <font>
        <b/>
        <sz val="8"/>
        <color rgb="FF3F7D4E"/>
        <name val="Calibri"/>
        <charset val="1"/>
      </font>
      <fill>
        <patternFill>
          <bgColor rgb="FFD9EBDD"/>
        </patternFill>
      </fill>
    </dxf>
    <dxf>
      <font>
        <b/>
        <sz val="8"/>
        <color rgb="FF8A6A16"/>
        <name val="Calibri"/>
        <charset val="1"/>
      </font>
      <fill>
        <patternFill>
          <bgColor rgb="FFFAE7C2"/>
        </patternFill>
      </fill>
    </dxf>
    <dxf>
      <font>
        <b/>
        <sz val="8"/>
        <color rgb="FFB5342A"/>
        <name val="Calibri"/>
        <charset val="1"/>
      </font>
      <fill>
        <patternFill>
          <bgColor rgb="FFF2C4C0"/>
        </patternFill>
      </fill>
    </dxf>
    <dxf>
      <font>
        <b/>
        <color rgb="FF2E8B84"/>
        <name val="Calibri"/>
        <charset val="1"/>
      </font>
      <border diagonalUp="0" diagonalDown="0">
        <left style="medium">
          <color rgb="FF2E8B84"/>
        </left>
        <right style="medium">
          <color rgb="FF2E8B84"/>
        </right>
        <top/>
        <bottom/>
      </border>
    </dxf>
    <dxf>
      <fill>
        <patternFill>
          <bgColor rgb="FFF0F0EE"/>
        </patternFill>
      </fill>
    </dxf>
    <dxf>
      <fill>
        <patternFill>
          <bgColor rgb="FFE7DBD1"/>
        </patternFill>
      </fill>
    </dxf>
    <dxf>
      <fill>
        <patternFill>
          <bgColor rgb="FF9B3B2A"/>
        </patternFill>
      </fill>
    </dxf>
    <dxf>
      <fill>
        <patternFill>
          <bgColor rgb="FF2E8B84"/>
        </patternFill>
      </fill>
    </dxf>
    <dxf>
      <font>
        <b/>
        <color rgb="FF2E8B84"/>
        <name val="Calibri"/>
        <charset val="1"/>
      </font>
      <border diagonalUp="0" diagonalDown="0">
        <left style="medium">
          <color rgb="FF2E8B84"/>
        </left>
        <right style="medium">
          <color rgb="FF2E8B84"/>
        </right>
        <top/>
        <bottom/>
      </border>
    </dxf>
    <dxf>
      <fill>
        <patternFill>
          <bgColor rgb="FF6E7378"/>
        </patternFill>
      </fill>
    </dxf>
    <dxf>
      <font>
        <b/>
        <sz val="10"/>
        <color rgb="FF5C6166"/>
        <name val="Calibri"/>
        <charset val="1"/>
      </font>
      <fill>
        <patternFill>
          <bgColor rgb="FFECECEA"/>
        </patternFill>
      </fill>
    </dxf>
    <dxf>
      <font>
        <b/>
        <sz val="10"/>
        <color rgb="FF8A6A16"/>
        <name val="Calibri"/>
        <charset val="1"/>
      </font>
      <fill>
        <patternFill>
          <bgColor rgb="FFFBF0D8"/>
        </patternFill>
      </fill>
    </dxf>
    <dxf>
      <font>
        <b/>
        <sz val="10"/>
        <color rgb="FFB5342A"/>
        <name val="Calibri"/>
        <charset val="1"/>
      </font>
      <fill>
        <patternFill>
          <bgColor rgb="FFF8E2E0"/>
        </patternFill>
      </fill>
    </dxf>
    <dxf>
      <font>
        <b/>
        <sz val="10"/>
        <color rgb="FF3F7D4E"/>
        <name val="Calibri"/>
        <charset val="1"/>
      </font>
      <fill>
        <patternFill>
          <bgColor rgb="FFE3EFE6"/>
        </patternFill>
      </fill>
    </dxf>
    <dxf>
      <font>
        <b/>
        <sz val="10"/>
        <color rgb="FF4F5357"/>
        <name val="Calibri"/>
        <charset val="1"/>
      </font>
      <fill>
        <patternFill>
          <bgColor rgb="FFD9D9D6"/>
        </patternFill>
      </fill>
    </dxf>
    <dxf>
      <font>
        <b/>
        <sz val="10"/>
        <color rgb="FF8A6A16"/>
        <name val="Calibri"/>
        <charset val="1"/>
      </font>
      <fill>
        <patternFill>
          <bgColor rgb="FFF3D9A6"/>
        </patternFill>
      </fill>
    </dxf>
    <dxf>
      <font>
        <b/>
        <sz val="10"/>
        <color rgb="FFFFFFFF"/>
        <name val="Calibri"/>
        <charset val="1"/>
      </font>
      <fill>
        <patternFill>
          <bgColor rgb="FF9B3B2A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FCE9E2"/>
      <rgbColor rgb="FF0000FF"/>
      <rgbColor rgb="FFE7DBD1"/>
      <rgbColor rgb="FFFF00FF"/>
      <rgbColor rgb="FFF0F0EE"/>
      <rgbColor rgb="FF800000"/>
      <rgbColor rgb="FF008000"/>
      <rgbColor rgb="FF000080"/>
      <rgbColor rgb="FF8A6A16"/>
      <rgbColor rgb="FF800080"/>
      <rgbColor rgb="FF3F7D4E"/>
      <rgbColor rgb="FFC9C2BB"/>
      <rgbColor rgb="FF878787"/>
      <rgbColor rgb="FF7FB0A8"/>
      <rgbColor rgb="FFB5342A"/>
      <rgbColor rgb="FFFBF0D8"/>
      <rgbColor rgb="FFE4F0EE"/>
      <rgbColor rgb="FF660066"/>
      <rgbColor rgb="FFB8763F"/>
      <rgbColor rgb="FF0066CC"/>
      <rgbColor rgb="FFD9D9D9"/>
      <rgbColor rgb="FF000080"/>
      <rgbColor rgb="FFFF00FF"/>
      <rgbColor rgb="FFEDE3DC"/>
      <rgbColor rgb="FFF5EFE9"/>
      <rgbColor rgb="FF800080"/>
      <rgbColor rgb="FF800000"/>
      <rgbColor rgb="FF008080"/>
      <rgbColor rgb="FF0000FF"/>
      <rgbColor rgb="FFF8E2E0"/>
      <rgbColor rgb="FFE3EFE6"/>
      <rgbColor rgb="FFD9EBDD"/>
      <rgbColor rgb="FFFAE7C2"/>
      <rgbColor rgb="FFD9D9D6"/>
      <rgbColor rgb="FFF2C4C0"/>
      <rgbColor rgb="FFE0CDB8"/>
      <rgbColor rgb="FFF3D9A6"/>
      <rgbColor rgb="FF4F81BD"/>
      <rgbColor rgb="FFECECEA"/>
      <rgbColor rgb="FFF2E6E0"/>
      <rgbColor rgb="FFD9D3CC"/>
      <rgbColor rgb="FFD8A24A"/>
      <rgbColor rgb="FFC1614B"/>
      <rgbColor rgb="FF6E7378"/>
      <rgbColor rgb="FFA8ADB1"/>
      <rgbColor rgb="FF003366"/>
      <rgbColor rgb="FF2E8B84"/>
      <rgbColor rgb="FF003300"/>
      <rgbColor rgb="FF333300"/>
      <rgbColor rgb="FF9B3B2A"/>
      <rgbColor rgb="FF5C6166"/>
      <rgbColor rgb="FF4F5357"/>
      <rgbColor rgb="FF2F3438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Aufwandsverteilung je Kategorie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Auswertung!$D$12</c:f>
              <c:strCache>
                <c:ptCount val="1"/>
                <c:pt idx="0">
                  <c:v>Aufwand (h)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9B3B2A"/>
              </a:solidFill>
              <a:ln w="12600">
                <a:solidFill>
                  <a:srgbClr val="FFFFFF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1-9E75-4D43-8567-CB570126BFDC}"/>
              </c:ext>
            </c:extLst>
          </c:dPt>
          <c:dPt>
            <c:idx val="1"/>
            <c:bubble3D val="0"/>
            <c:spPr>
              <a:solidFill>
                <a:srgbClr val="2E8B84"/>
              </a:solidFill>
              <a:ln w="12600">
                <a:solidFill>
                  <a:srgbClr val="FFFFFF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3-9E75-4D43-8567-CB570126BFDC}"/>
              </c:ext>
            </c:extLst>
          </c:dPt>
          <c:dPt>
            <c:idx val="2"/>
            <c:bubble3D val="0"/>
            <c:spPr>
              <a:solidFill>
                <a:srgbClr val="D8A24A"/>
              </a:solidFill>
              <a:ln w="12600">
                <a:solidFill>
                  <a:srgbClr val="FFFFFF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5-9E75-4D43-8567-CB570126BFDC}"/>
              </c:ext>
            </c:extLst>
          </c:dPt>
          <c:dPt>
            <c:idx val="3"/>
            <c:bubble3D val="0"/>
            <c:spPr>
              <a:solidFill>
                <a:srgbClr val="5C6166"/>
              </a:solidFill>
              <a:ln w="12600">
                <a:solidFill>
                  <a:srgbClr val="FFFFFF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7-9E75-4D43-8567-CB570126BFDC}"/>
              </c:ext>
            </c:extLst>
          </c:dPt>
          <c:dPt>
            <c:idx val="4"/>
            <c:bubble3D val="0"/>
            <c:spPr>
              <a:solidFill>
                <a:srgbClr val="C1614B"/>
              </a:solidFill>
              <a:ln w="12600">
                <a:solidFill>
                  <a:srgbClr val="FFFFFF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9-9E75-4D43-8567-CB570126BFDC}"/>
              </c:ext>
            </c:extLst>
          </c:dPt>
          <c:dPt>
            <c:idx val="5"/>
            <c:bubble3D val="0"/>
            <c:spPr>
              <a:solidFill>
                <a:srgbClr val="7FB0A8"/>
              </a:solidFill>
              <a:ln w="12600">
                <a:solidFill>
                  <a:srgbClr val="FFFFFF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B-9E75-4D43-8567-CB570126BFDC}"/>
              </c:ext>
            </c:extLst>
          </c:dPt>
          <c:dPt>
            <c:idx val="6"/>
            <c:bubble3D val="0"/>
            <c:spPr>
              <a:solidFill>
                <a:srgbClr val="B8763F"/>
              </a:solidFill>
              <a:ln w="12600">
                <a:solidFill>
                  <a:srgbClr val="FFFFFF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D-9E75-4D43-8567-CB570126BFDC}"/>
              </c:ext>
            </c:extLst>
          </c:dPt>
          <c:dPt>
            <c:idx val="7"/>
            <c:bubble3D val="0"/>
            <c:spPr>
              <a:solidFill>
                <a:srgbClr val="A8ADB1"/>
              </a:solidFill>
              <a:ln w="12600">
                <a:solidFill>
                  <a:srgbClr val="FFFFFF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F-9E75-4D43-8567-CB570126BFDC}"/>
              </c:ext>
            </c:extLst>
          </c:dPt>
          <c:dPt>
            <c:idx val="8"/>
            <c:bubble3D val="0"/>
            <c:spPr>
              <a:solidFill>
                <a:srgbClr val="E0CDB8"/>
              </a:solidFill>
              <a:ln w="12600">
                <a:solidFill>
                  <a:srgbClr val="FFFFFF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11-9E75-4D43-8567-CB570126BFDC}"/>
              </c:ext>
            </c:extLst>
          </c:dPt>
          <c:dLbls>
            <c:dLbl>
              <c:idx val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1-9E75-4D43-8567-CB570126BFDC}"/>
                </c:ext>
              </c:extLst>
            </c:dLbl>
            <c:dLbl>
              <c:idx val="1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3-9E75-4D43-8567-CB570126BFDC}"/>
                </c:ext>
              </c:extLst>
            </c:dLbl>
            <c:dLbl>
              <c:idx val="2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5-9E75-4D43-8567-CB570126BFDC}"/>
                </c:ext>
              </c:extLst>
            </c:dLbl>
            <c:dLbl>
              <c:idx val="3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7-9E75-4D43-8567-CB570126BFDC}"/>
                </c:ext>
              </c:extLst>
            </c:dLbl>
            <c:dLbl>
              <c:idx val="4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9-9E75-4D43-8567-CB570126BFDC}"/>
                </c:ext>
              </c:extLst>
            </c:dLbl>
            <c:dLbl>
              <c:idx val="5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B-9E75-4D43-8567-CB570126BFDC}"/>
                </c:ext>
              </c:extLst>
            </c:dLbl>
            <c:dLbl>
              <c:idx val="6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D-9E75-4D43-8567-CB570126BFDC}"/>
                </c:ext>
              </c:extLst>
            </c:dLbl>
            <c:dLbl>
              <c:idx val="7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F-9E75-4D43-8567-CB570126BFDC}"/>
                </c:ext>
              </c:extLst>
            </c:dLbl>
            <c:dLbl>
              <c:idx val="8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11-9E75-4D43-8567-CB570126BF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de-DE"/>
              </a:p>
            </c:txPr>
            <c:dLblPos val="bestFit"/>
            <c:showLegendKey val="1"/>
            <c:showVal val="1"/>
            <c:showCatName val="1"/>
            <c:showSerName val="1"/>
            <c:showPercent val="1"/>
            <c:showBubbleSize val="1"/>
            <c:separator>;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Auswertung!$B$13:$B$21</c:f>
              <c:strCache>
                <c:ptCount val="9"/>
                <c:pt idx="0">
                  <c:v>Projektarbeit</c:v>
                </c:pt>
                <c:pt idx="1">
                  <c:v>Tagesgeschäft</c:v>
                </c:pt>
                <c:pt idx="2">
                  <c:v>Meeting / Termin</c:v>
                </c:pt>
                <c:pt idx="3">
                  <c:v>Kundenkontakt</c:v>
                </c:pt>
                <c:pt idx="4">
                  <c:v>Verwaltung</c:v>
                </c:pt>
                <c:pt idx="5">
                  <c:v>Schulung</c:v>
                </c:pt>
                <c:pt idx="6">
                  <c:v>Wartung</c:v>
                </c:pt>
                <c:pt idx="7">
                  <c:v>Meilenstein</c:v>
                </c:pt>
                <c:pt idx="8">
                  <c:v>Sonstiges</c:v>
                </c:pt>
              </c:strCache>
            </c:strRef>
          </c:cat>
          <c:val>
            <c:numRef>
              <c:f>Auswertung!$D$13:$D$21</c:f>
              <c:numCache>
                <c:formatCode>0.0;;""</c:formatCode>
                <c:ptCount val="9"/>
                <c:pt idx="0">
                  <c:v>63</c:v>
                </c:pt>
                <c:pt idx="1">
                  <c:v>0</c:v>
                </c:pt>
                <c:pt idx="2">
                  <c:v>3.5</c:v>
                </c:pt>
                <c:pt idx="3">
                  <c:v>22.5</c:v>
                </c:pt>
                <c:pt idx="4">
                  <c:v>40</c:v>
                </c:pt>
                <c:pt idx="5">
                  <c:v>24</c:v>
                </c:pt>
                <c:pt idx="6">
                  <c:v>24</c:v>
                </c:pt>
                <c:pt idx="7">
                  <c:v>1</c:v>
                </c:pt>
                <c:pt idx="8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E75-4D43-8567-CB570126BF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Aufwand und Kapazität je Verantwortlichkeit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Auswertung!$J$12</c:f>
              <c:strCache>
                <c:ptCount val="1"/>
                <c:pt idx="0">
                  <c:v>Aufwand (h)</c:v>
                </c:pt>
              </c:strCache>
            </c:strRef>
          </c:tx>
          <c:spPr>
            <a:solidFill>
              <a:srgbClr val="9B3B2A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Auswertung!$H$13:$H$20</c:f>
              <c:strCache>
                <c:ptCount val="8"/>
                <c:pt idx="0">
                  <c:v>M. Berger</c:v>
                </c:pt>
                <c:pt idx="1">
                  <c:v>S. Klein</c:v>
                </c:pt>
                <c:pt idx="2">
                  <c:v>T. Neumann</c:v>
                </c:pt>
                <c:pt idx="3">
                  <c:v>A. Hoffmann</c:v>
                </c:pt>
                <c:pt idx="4">
                  <c:v>L. Vogel</c:v>
                </c:pt>
                <c:pt idx="5">
                  <c:v>R. Sander</c:v>
                </c:pt>
                <c:pt idx="6">
                  <c:v>Team</c:v>
                </c:pt>
                <c:pt idx="7">
                  <c:v>Extern</c:v>
                </c:pt>
              </c:strCache>
            </c:strRef>
          </c:cat>
          <c:val>
            <c:numRef>
              <c:f>Auswertung!$J$13:$J$20</c:f>
              <c:numCache>
                <c:formatCode>0.0;;""</c:formatCode>
                <c:ptCount val="8"/>
                <c:pt idx="0">
                  <c:v>21</c:v>
                </c:pt>
                <c:pt idx="1">
                  <c:v>22.5</c:v>
                </c:pt>
                <c:pt idx="2">
                  <c:v>20</c:v>
                </c:pt>
                <c:pt idx="3">
                  <c:v>36</c:v>
                </c:pt>
                <c:pt idx="4">
                  <c:v>33</c:v>
                </c:pt>
                <c:pt idx="5">
                  <c:v>48</c:v>
                </c:pt>
                <c:pt idx="6">
                  <c:v>1.5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EE-43AB-BF0B-909D84A57847}"/>
            </c:ext>
          </c:extLst>
        </c:ser>
        <c:ser>
          <c:idx val="1"/>
          <c:order val="1"/>
          <c:tx>
            <c:strRef>
              <c:f>Auswertung!$L$12</c:f>
              <c:strCache>
                <c:ptCount val="1"/>
                <c:pt idx="0">
                  <c:v>Kapazität (h)</c:v>
                </c:pt>
              </c:strCache>
            </c:strRef>
          </c:tx>
          <c:spPr>
            <a:solidFill>
              <a:srgbClr val="D9D9D6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Auswertung!$H$13:$H$20</c:f>
              <c:strCache>
                <c:ptCount val="8"/>
                <c:pt idx="0">
                  <c:v>M. Berger</c:v>
                </c:pt>
                <c:pt idx="1">
                  <c:v>S. Klein</c:v>
                </c:pt>
                <c:pt idx="2">
                  <c:v>T. Neumann</c:v>
                </c:pt>
                <c:pt idx="3">
                  <c:v>A. Hoffmann</c:v>
                </c:pt>
                <c:pt idx="4">
                  <c:v>L. Vogel</c:v>
                </c:pt>
                <c:pt idx="5">
                  <c:v>R. Sander</c:v>
                </c:pt>
                <c:pt idx="6">
                  <c:v>Team</c:v>
                </c:pt>
                <c:pt idx="7">
                  <c:v>Extern</c:v>
                </c:pt>
              </c:strCache>
            </c:strRef>
          </c:cat>
          <c:val>
            <c:numRef>
              <c:f>Auswertung!$L$13:$L$20</c:f>
              <c:numCache>
                <c:formatCode>0.0;;""</c:formatCode>
                <c:ptCount val="8"/>
                <c:pt idx="0">
                  <c:v>34.5</c:v>
                </c:pt>
                <c:pt idx="1">
                  <c:v>46</c:v>
                </c:pt>
                <c:pt idx="2">
                  <c:v>34.5</c:v>
                </c:pt>
                <c:pt idx="3">
                  <c:v>46</c:v>
                </c:pt>
                <c:pt idx="4">
                  <c:v>46</c:v>
                </c:pt>
                <c:pt idx="5">
                  <c:v>34.5</c:v>
                </c:pt>
                <c:pt idx="6">
                  <c:v>11.5</c:v>
                </c:pt>
                <c:pt idx="7">
                  <c:v>11.5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EE-43AB-BF0B-909D84A57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123382"/>
        <c:axId val="24492849"/>
      </c:barChart>
      <c:catAx>
        <c:axId val="7512338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24492849"/>
        <c:crosses val="autoZero"/>
        <c:auto val="1"/>
        <c:lblAlgn val="ctr"/>
        <c:lblOffset val="100"/>
        <c:noMultiLvlLbl val="0"/>
      </c:catAx>
      <c:valAx>
        <c:axId val="24492849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1000" b="1" strike="noStrike" spc="-1">
                    <a:solidFill>
                      <a:srgbClr val="000000"/>
                    </a:solidFill>
                    <a:latin typeface="Calibri"/>
                  </a:rPr>
                  <a:t>Stunden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;;&quot;&quot;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75123382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Belastung je Kalenderwoche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Auswertung!$D$25</c:f>
              <c:strCache>
                <c:ptCount val="1"/>
                <c:pt idx="0">
                  <c:v>geplant (h)</c:v>
                </c:pt>
              </c:strCache>
            </c:strRef>
          </c:tx>
          <c:spPr>
            <a:solidFill>
              <a:srgbClr val="2E8B84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Auswertung!$B$26:$B$31</c:f>
              <c:strCache>
                <c:ptCount val="6"/>
                <c:pt idx="0">
                  <c:v>KW 27</c:v>
                </c:pt>
                <c:pt idx="1">
                  <c:v>KW 28</c:v>
                </c:pt>
                <c:pt idx="2">
                  <c:v>KW 29</c:v>
                </c:pt>
                <c:pt idx="3">
                  <c:v>KW 30</c:v>
                </c:pt>
                <c:pt idx="4">
                  <c:v>KW 31</c:v>
                </c:pt>
                <c:pt idx="5">
                  <c:v>KW 32</c:v>
                </c:pt>
              </c:strCache>
            </c:strRef>
          </c:cat>
          <c:val>
            <c:numRef>
              <c:f>Auswertung!$D$26:$D$31</c:f>
              <c:numCache>
                <c:formatCode>0.0;;""</c:formatCode>
                <c:ptCount val="6"/>
                <c:pt idx="0">
                  <c:v>18</c:v>
                </c:pt>
                <c:pt idx="1">
                  <c:v>46.166666666666671</c:v>
                </c:pt>
                <c:pt idx="2">
                  <c:v>44.544444444444444</c:v>
                </c:pt>
                <c:pt idx="3">
                  <c:v>38.955555555555563</c:v>
                </c:pt>
                <c:pt idx="4">
                  <c:v>34.333333333333336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3C-4B35-A50A-42AC83030A99}"/>
            </c:ext>
          </c:extLst>
        </c:ser>
        <c:ser>
          <c:idx val="1"/>
          <c:order val="1"/>
          <c:tx>
            <c:strRef>
              <c:f>Auswertung!$E$25</c:f>
              <c:strCache>
                <c:ptCount val="1"/>
                <c:pt idx="0">
                  <c:v>Kapazität (h)</c:v>
                </c:pt>
              </c:strCache>
            </c:strRef>
          </c:tx>
          <c:spPr>
            <a:solidFill>
              <a:srgbClr val="D9D9D6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Auswertung!$B$26:$B$31</c:f>
              <c:strCache>
                <c:ptCount val="6"/>
                <c:pt idx="0">
                  <c:v>KW 27</c:v>
                </c:pt>
                <c:pt idx="1">
                  <c:v>KW 28</c:v>
                </c:pt>
                <c:pt idx="2">
                  <c:v>KW 29</c:v>
                </c:pt>
                <c:pt idx="3">
                  <c:v>KW 30</c:v>
                </c:pt>
                <c:pt idx="4">
                  <c:v>KW 31</c:v>
                </c:pt>
                <c:pt idx="5">
                  <c:v>KW 32</c:v>
                </c:pt>
              </c:strCache>
            </c:strRef>
          </c:cat>
          <c:val>
            <c:numRef>
              <c:f>Auswertung!$E$26:$E$31</c:f>
              <c:numCache>
                <c:formatCode>0.0;;""</c:formatCode>
                <c:ptCount val="6"/>
                <c:pt idx="0">
                  <c:v>34.5</c:v>
                </c:pt>
                <c:pt idx="1">
                  <c:v>57.5</c:v>
                </c:pt>
                <c:pt idx="2">
                  <c:v>57.5</c:v>
                </c:pt>
                <c:pt idx="3">
                  <c:v>57.5</c:v>
                </c:pt>
                <c:pt idx="4">
                  <c:v>57.5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3C-4B35-A50A-42AC83030A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2473164"/>
        <c:axId val="57187486"/>
      </c:barChart>
      <c:catAx>
        <c:axId val="924731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57187486"/>
        <c:crosses val="autoZero"/>
        <c:auto val="1"/>
        <c:lblAlgn val="ctr"/>
        <c:lblOffset val="100"/>
        <c:noMultiLvlLbl val="0"/>
      </c:catAx>
      <c:valAx>
        <c:axId val="5718748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1000" b="1" strike="noStrike" spc="-1">
                    <a:solidFill>
                      <a:srgbClr val="000000"/>
                    </a:solidFill>
                    <a:latin typeface="Calibri"/>
                  </a:rPr>
                  <a:t>Stunden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;;&quot;&quot;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92473164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4</xdr:col>
      <xdr:colOff>572400</xdr:colOff>
      <xdr:row>47</xdr:row>
      <xdr:rowOff>68400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0</xdr:colOff>
      <xdr:row>33</xdr:row>
      <xdr:rowOff>0</xdr:rowOff>
    </xdr:from>
    <xdr:to>
      <xdr:col>10</xdr:col>
      <xdr:colOff>56880</xdr:colOff>
      <xdr:row>47</xdr:row>
      <xdr:rowOff>68400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0</xdr:colOff>
      <xdr:row>33</xdr:row>
      <xdr:rowOff>0</xdr:rowOff>
    </xdr:from>
    <xdr:to>
      <xdr:col>14</xdr:col>
      <xdr:colOff>559800</xdr:colOff>
      <xdr:row>47</xdr:row>
      <xdr:rowOff>68400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47"/>
  <sheetViews>
    <sheetView showGridLines="0" tabSelected="1" zoomScaleNormal="100" workbookViewId="0">
      <pane ySplit="5" topLeftCell="A6" activePane="bottomLeft" state="frozen"/>
      <selection pane="bottomLeft" activeCell="D55" sqref="D55"/>
    </sheetView>
  </sheetViews>
  <sheetFormatPr baseColWidth="10" defaultColWidth="8.7109375" defaultRowHeight="15" x14ac:dyDescent="0.25"/>
  <cols>
    <col min="1" max="1" width="4.42578125" customWidth="1"/>
    <col min="2" max="2" width="29.140625" bestFit="1" customWidth="1"/>
    <col min="3" max="3" width="14.28515625" bestFit="1" customWidth="1"/>
    <col min="4" max="4" width="14" customWidth="1"/>
    <col min="5" max="5" width="6.5703125" customWidth="1"/>
    <col min="6" max="7" width="10.5703125" customWidth="1"/>
    <col min="8" max="8" width="4.7109375" customWidth="1"/>
    <col min="9" max="9" width="8.42578125" customWidth="1"/>
    <col min="10" max="11" width="10" customWidth="1"/>
    <col min="12" max="12" width="12.42578125" customWidth="1"/>
    <col min="13" max="13" width="8.42578125" customWidth="1"/>
    <col min="14" max="44" width="2.85546875" customWidth="1"/>
    <col min="46" max="46" width="13" hidden="1" customWidth="1"/>
  </cols>
  <sheetData>
    <row r="1" spans="1:46" ht="33.75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T1" s="15">
        <f ca="1">TODAY()</f>
        <v>46221</v>
      </c>
    </row>
    <row r="2" spans="1:46" ht="16.5" customHeight="1" x14ac:dyDescent="0.25">
      <c r="A2" s="13" t="str">
        <f>Stammdaten!$C$5&amp;"  ·  "&amp;Stammdaten!$C$6&amp;"  ·  Monats- und Aufgabenplanung"</f>
        <v>Muster Consulting &amp; Services GmbH  ·  Abteilung Organisation  ·  Monats- und Aufgabenplanung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T2" s="16">
        <f>Schwelle_Ziel</f>
        <v>0.85</v>
      </c>
    </row>
    <row r="3" spans="1:46" ht="21" customHeight="1" x14ac:dyDescent="0.25">
      <c r="A3" s="17" t="s">
        <v>1</v>
      </c>
      <c r="B3" s="18">
        <v>7</v>
      </c>
      <c r="C3" s="17" t="s">
        <v>2</v>
      </c>
      <c r="D3" s="18">
        <v>2026</v>
      </c>
      <c r="E3" s="12" t="str">
        <f>INDEX({"Januar";"Februar";"März";"April";"Mai";"Juni";"Juli";"August";"September";"Oktober";"November";"Dezember"},$B$3)&amp;" "&amp;$D$3</f>
        <v>Juli 2026</v>
      </c>
      <c r="F3" s="12"/>
      <c r="G3" s="12"/>
      <c r="H3" s="11" t="s">
        <v>3</v>
      </c>
      <c r="I3" s="11"/>
      <c r="J3" s="19">
        <f ca="1">Stichtag</f>
        <v>46221</v>
      </c>
      <c r="K3" s="11" t="s">
        <v>4</v>
      </c>
      <c r="L3" s="11"/>
      <c r="M3" s="20" t="str">
        <f>Tageskapazitaet&amp;" h"</f>
        <v>11,5 h</v>
      </c>
      <c r="N3" s="10" t="s">
        <v>5</v>
      </c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</row>
    <row r="4" spans="1:46" ht="18" customHeight="1" x14ac:dyDescent="0.25">
      <c r="A4" s="9" t="s">
        <v>6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21">
        <f>IF(DAY(DATE($D$3,$B$3,1))=1,DATE($D$3,$B$3,1),"")</f>
        <v>46204</v>
      </c>
      <c r="O4" s="21">
        <f>IF(DAY(DATE($D$3,$B$3,2))=2,DATE($D$3,$B$3,2),"")</f>
        <v>46205</v>
      </c>
      <c r="P4" s="21">
        <f>IF(DAY(DATE($D$3,$B$3,3))=3,DATE($D$3,$B$3,3),"")</f>
        <v>46206</v>
      </c>
      <c r="Q4" s="21">
        <f>IF(DAY(DATE($D$3,$B$3,4))=4,DATE($D$3,$B$3,4),"")</f>
        <v>46207</v>
      </c>
      <c r="R4" s="21">
        <f>IF(DAY(DATE($D$3,$B$3,5))=5,DATE($D$3,$B$3,5),"")</f>
        <v>46208</v>
      </c>
      <c r="S4" s="21">
        <f>IF(DAY(DATE($D$3,$B$3,6))=6,DATE($D$3,$B$3,6),"")</f>
        <v>46209</v>
      </c>
      <c r="T4" s="21">
        <f>IF(DAY(DATE($D$3,$B$3,7))=7,DATE($D$3,$B$3,7),"")</f>
        <v>46210</v>
      </c>
      <c r="U4" s="21">
        <f>IF(DAY(DATE($D$3,$B$3,8))=8,DATE($D$3,$B$3,8),"")</f>
        <v>46211</v>
      </c>
      <c r="V4" s="21">
        <f>IF(DAY(DATE($D$3,$B$3,9))=9,DATE($D$3,$B$3,9),"")</f>
        <v>46212</v>
      </c>
      <c r="W4" s="21">
        <f>IF(DAY(DATE($D$3,$B$3,10))=10,DATE($D$3,$B$3,10),"")</f>
        <v>46213</v>
      </c>
      <c r="X4" s="21">
        <f>IF(DAY(DATE($D$3,$B$3,11))=11,DATE($D$3,$B$3,11),"")</f>
        <v>46214</v>
      </c>
      <c r="Y4" s="21">
        <f>IF(DAY(DATE($D$3,$B$3,12))=12,DATE($D$3,$B$3,12),"")</f>
        <v>46215</v>
      </c>
      <c r="Z4" s="21">
        <f>IF(DAY(DATE($D$3,$B$3,13))=13,DATE($D$3,$B$3,13),"")</f>
        <v>46216</v>
      </c>
      <c r="AA4" s="21">
        <f>IF(DAY(DATE($D$3,$B$3,14))=14,DATE($D$3,$B$3,14),"")</f>
        <v>46217</v>
      </c>
      <c r="AB4" s="21">
        <f>IF(DAY(DATE($D$3,$B$3,15))=15,DATE($D$3,$B$3,15),"")</f>
        <v>46218</v>
      </c>
      <c r="AC4" s="21">
        <f>IF(DAY(DATE($D$3,$B$3,16))=16,DATE($D$3,$B$3,16),"")</f>
        <v>46219</v>
      </c>
      <c r="AD4" s="21">
        <f>IF(DAY(DATE($D$3,$B$3,17))=17,DATE($D$3,$B$3,17),"")</f>
        <v>46220</v>
      </c>
      <c r="AE4" s="21">
        <f>IF(DAY(DATE($D$3,$B$3,18))=18,DATE($D$3,$B$3,18),"")</f>
        <v>46221</v>
      </c>
      <c r="AF4" s="21">
        <f>IF(DAY(DATE($D$3,$B$3,19))=19,DATE($D$3,$B$3,19),"")</f>
        <v>46222</v>
      </c>
      <c r="AG4" s="21">
        <f>IF(DAY(DATE($D$3,$B$3,20))=20,DATE($D$3,$B$3,20),"")</f>
        <v>46223</v>
      </c>
      <c r="AH4" s="21">
        <f>IF(DAY(DATE($D$3,$B$3,21))=21,DATE($D$3,$B$3,21),"")</f>
        <v>46224</v>
      </c>
      <c r="AI4" s="21">
        <f>IF(DAY(DATE($D$3,$B$3,22))=22,DATE($D$3,$B$3,22),"")</f>
        <v>46225</v>
      </c>
      <c r="AJ4" s="21">
        <f>IF(DAY(DATE($D$3,$B$3,23))=23,DATE($D$3,$B$3,23),"")</f>
        <v>46226</v>
      </c>
      <c r="AK4" s="21">
        <f>IF(DAY(DATE($D$3,$B$3,24))=24,DATE($D$3,$B$3,24),"")</f>
        <v>46227</v>
      </c>
      <c r="AL4" s="21">
        <f>IF(DAY(DATE($D$3,$B$3,25))=25,DATE($D$3,$B$3,25),"")</f>
        <v>46228</v>
      </c>
      <c r="AM4" s="21">
        <f>IF(DAY(DATE($D$3,$B$3,26))=26,DATE($D$3,$B$3,26),"")</f>
        <v>46229</v>
      </c>
      <c r="AN4" s="21">
        <f>IF(DAY(DATE($D$3,$B$3,27))=27,DATE($D$3,$B$3,27),"")</f>
        <v>46230</v>
      </c>
      <c r="AO4" s="21">
        <f>IF(DAY(DATE($D$3,$B$3,28))=28,DATE($D$3,$B$3,28),"")</f>
        <v>46231</v>
      </c>
      <c r="AP4" s="21">
        <f>IF(DAY(DATE($D$3,$B$3,29))=29,DATE($D$3,$B$3,29),"")</f>
        <v>46232</v>
      </c>
      <c r="AQ4" s="21">
        <f>IF(DAY(DATE($D$3,$B$3,30))=30,DATE($D$3,$B$3,30),"")</f>
        <v>46233</v>
      </c>
      <c r="AR4" s="21">
        <f>IF(DAY(DATE($D$3,$B$3,31))=31,DATE($D$3,$B$3,31),"")</f>
        <v>46234</v>
      </c>
    </row>
    <row r="5" spans="1:46" ht="30" customHeight="1" x14ac:dyDescent="0.25">
      <c r="A5" s="22" t="s">
        <v>7</v>
      </c>
      <c r="B5" s="22" t="s">
        <v>8</v>
      </c>
      <c r="C5" s="22" t="s">
        <v>9</v>
      </c>
      <c r="D5" s="22" t="s">
        <v>10</v>
      </c>
      <c r="E5" s="22" t="s">
        <v>11</v>
      </c>
      <c r="F5" s="22" t="s">
        <v>12</v>
      </c>
      <c r="G5" s="22" t="s">
        <v>13</v>
      </c>
      <c r="H5" s="22" t="s">
        <v>14</v>
      </c>
      <c r="I5" s="22" t="s">
        <v>15</v>
      </c>
      <c r="J5" s="22" t="s">
        <v>16</v>
      </c>
      <c r="K5" s="22" t="s">
        <v>17</v>
      </c>
      <c r="L5" s="22" t="s">
        <v>18</v>
      </c>
      <c r="M5" s="22" t="s">
        <v>19</v>
      </c>
      <c r="N5" s="23" t="str">
        <f>IF(N$4="","",INDEX({"Mo";"Di";"Mi";"Do";"Fr";"Sa";"So"},WEEKDAY(N$4,2)))</f>
        <v>Mi</v>
      </c>
      <c r="O5" s="23" t="str">
        <f>IF(O$4="","",INDEX({"Mo";"Di";"Mi";"Do";"Fr";"Sa";"So"},WEEKDAY(O$4,2)))</f>
        <v>Do</v>
      </c>
      <c r="P5" s="23" t="str">
        <f>IF(P$4="","",INDEX({"Mo";"Di";"Mi";"Do";"Fr";"Sa";"So"},WEEKDAY(P$4,2)))</f>
        <v>Fr</v>
      </c>
      <c r="Q5" s="23" t="str">
        <f>IF(Q$4="","",INDEX({"Mo";"Di";"Mi";"Do";"Fr";"Sa";"So"},WEEKDAY(Q$4,2)))</f>
        <v>Sa</v>
      </c>
      <c r="R5" s="23" t="str">
        <f>IF(R$4="","",INDEX({"Mo";"Di";"Mi";"Do";"Fr";"Sa";"So"},WEEKDAY(R$4,2)))</f>
        <v>So</v>
      </c>
      <c r="S5" s="23" t="str">
        <f>IF(S$4="","",INDEX({"Mo";"Di";"Mi";"Do";"Fr";"Sa";"So"},WEEKDAY(S$4,2)))</f>
        <v>Mo</v>
      </c>
      <c r="T5" s="23" t="str">
        <f>IF(T$4="","",INDEX({"Mo";"Di";"Mi";"Do";"Fr";"Sa";"So"},WEEKDAY(T$4,2)))</f>
        <v>Di</v>
      </c>
      <c r="U5" s="23" t="str">
        <f>IF(U$4="","",INDEX({"Mo";"Di";"Mi";"Do";"Fr";"Sa";"So"},WEEKDAY(U$4,2)))</f>
        <v>Mi</v>
      </c>
      <c r="V5" s="23" t="str">
        <f>IF(V$4="","",INDEX({"Mo";"Di";"Mi";"Do";"Fr";"Sa";"So"},WEEKDAY(V$4,2)))</f>
        <v>Do</v>
      </c>
      <c r="W5" s="23" t="str">
        <f>IF(W$4="","",INDEX({"Mo";"Di";"Mi";"Do";"Fr";"Sa";"So"},WEEKDAY(W$4,2)))</f>
        <v>Fr</v>
      </c>
      <c r="X5" s="23" t="str">
        <f>IF(X$4="","",INDEX({"Mo";"Di";"Mi";"Do";"Fr";"Sa";"So"},WEEKDAY(X$4,2)))</f>
        <v>Sa</v>
      </c>
      <c r="Y5" s="23" t="str">
        <f>IF(Y$4="","",INDEX({"Mo";"Di";"Mi";"Do";"Fr";"Sa";"So"},WEEKDAY(Y$4,2)))</f>
        <v>So</v>
      </c>
      <c r="Z5" s="23" t="str">
        <f>IF(Z$4="","",INDEX({"Mo";"Di";"Mi";"Do";"Fr";"Sa";"So"},WEEKDAY(Z$4,2)))</f>
        <v>Mo</v>
      </c>
      <c r="AA5" s="23" t="str">
        <f>IF(AA$4="","",INDEX({"Mo";"Di";"Mi";"Do";"Fr";"Sa";"So"},WEEKDAY(AA$4,2)))</f>
        <v>Di</v>
      </c>
      <c r="AB5" s="23" t="str">
        <f>IF(AB$4="","",INDEX({"Mo";"Di";"Mi";"Do";"Fr";"Sa";"So"},WEEKDAY(AB$4,2)))</f>
        <v>Mi</v>
      </c>
      <c r="AC5" s="23" t="str">
        <f>IF(AC$4="","",INDEX({"Mo";"Di";"Mi";"Do";"Fr";"Sa";"So"},WEEKDAY(AC$4,2)))</f>
        <v>Do</v>
      </c>
      <c r="AD5" s="23" t="str">
        <f>IF(AD$4="","",INDEX({"Mo";"Di";"Mi";"Do";"Fr";"Sa";"So"},WEEKDAY(AD$4,2)))</f>
        <v>Fr</v>
      </c>
      <c r="AE5" s="23" t="str">
        <f>IF(AE$4="","",INDEX({"Mo";"Di";"Mi";"Do";"Fr";"Sa";"So"},WEEKDAY(AE$4,2)))</f>
        <v>Sa</v>
      </c>
      <c r="AF5" s="23" t="str">
        <f>IF(AF$4="","",INDEX({"Mo";"Di";"Mi";"Do";"Fr";"Sa";"So"},WEEKDAY(AF$4,2)))</f>
        <v>So</v>
      </c>
      <c r="AG5" s="23" t="str">
        <f>IF(AG$4="","",INDEX({"Mo";"Di";"Mi";"Do";"Fr";"Sa";"So"},WEEKDAY(AG$4,2)))</f>
        <v>Mo</v>
      </c>
      <c r="AH5" s="23" t="str">
        <f>IF(AH$4="","",INDEX({"Mo";"Di";"Mi";"Do";"Fr";"Sa";"So"},WEEKDAY(AH$4,2)))</f>
        <v>Di</v>
      </c>
      <c r="AI5" s="23" t="str">
        <f>IF(AI$4="","",INDEX({"Mo";"Di";"Mi";"Do";"Fr";"Sa";"So"},WEEKDAY(AI$4,2)))</f>
        <v>Mi</v>
      </c>
      <c r="AJ5" s="23" t="str">
        <f>IF(AJ$4="","",INDEX({"Mo";"Di";"Mi";"Do";"Fr";"Sa";"So"},WEEKDAY(AJ$4,2)))</f>
        <v>Do</v>
      </c>
      <c r="AK5" s="23" t="str">
        <f>IF(AK$4="","",INDEX({"Mo";"Di";"Mi";"Do";"Fr";"Sa";"So"},WEEKDAY(AK$4,2)))</f>
        <v>Fr</v>
      </c>
      <c r="AL5" s="23" t="str">
        <f>IF(AL$4="","",INDEX({"Mo";"Di";"Mi";"Do";"Fr";"Sa";"So"},WEEKDAY(AL$4,2)))</f>
        <v>Sa</v>
      </c>
      <c r="AM5" s="23" t="str">
        <f>IF(AM$4="","",INDEX({"Mo";"Di";"Mi";"Do";"Fr";"Sa";"So"},WEEKDAY(AM$4,2)))</f>
        <v>So</v>
      </c>
      <c r="AN5" s="23" t="str">
        <f>IF(AN$4="","",INDEX({"Mo";"Di";"Mi";"Do";"Fr";"Sa";"So"},WEEKDAY(AN$4,2)))</f>
        <v>Mo</v>
      </c>
      <c r="AO5" s="23" t="str">
        <f>IF(AO$4="","",INDEX({"Mo";"Di";"Mi";"Do";"Fr";"Sa";"So"},WEEKDAY(AO$4,2)))</f>
        <v>Di</v>
      </c>
      <c r="AP5" s="23" t="str">
        <f>IF(AP$4="","",INDEX({"Mo";"Di";"Mi";"Do";"Fr";"Sa";"So"},WEEKDAY(AP$4,2)))</f>
        <v>Mi</v>
      </c>
      <c r="AQ5" s="23" t="str">
        <f>IF(AQ$4="","",INDEX({"Mo";"Di";"Mi";"Do";"Fr";"Sa";"So"},WEEKDAY(AQ$4,2)))</f>
        <v>Do</v>
      </c>
      <c r="AR5" s="23" t="str">
        <f>IF(AR$4="","",INDEX({"Mo";"Di";"Mi";"Do";"Fr";"Sa";"So"},WEEKDAY(AR$4,2)))</f>
        <v>Fr</v>
      </c>
    </row>
    <row r="6" spans="1:46" ht="16.5" customHeight="1" x14ac:dyDescent="0.25">
      <c r="A6" s="24">
        <f t="shared" ref="A6:A35" si="0">IF($B6="","",ROW()-5)</f>
        <v>1</v>
      </c>
      <c r="B6" s="25" t="s">
        <v>20</v>
      </c>
      <c r="C6" s="25" t="s">
        <v>21</v>
      </c>
      <c r="D6" s="25" t="s">
        <v>22</v>
      </c>
      <c r="E6" s="26" t="s">
        <v>23</v>
      </c>
      <c r="F6" s="27">
        <v>46204</v>
      </c>
      <c r="G6" s="27">
        <v>46204</v>
      </c>
      <c r="H6" s="28">
        <f t="shared" ref="H6:H35" si="1">IF(OR($F6="",$G6=""),"",NETWORKDAYS($F6,$G6,Feiertage))</f>
        <v>1</v>
      </c>
      <c r="I6" s="29">
        <v>2</v>
      </c>
      <c r="J6" s="30">
        <f t="shared" ref="J6:J35" si="2">IF(OR($H6="",$H6=0,$I6=""),0,$I6/$H6)</f>
        <v>2</v>
      </c>
      <c r="K6" s="31">
        <v>1</v>
      </c>
      <c r="L6" s="24" t="str">
        <f t="shared" ref="L6:L35" si="3">IF($B6="","",IF($K6&gt;=1,"Abgeschlossen",IF(AND($G6&lt;&gt;"",$G6&lt;Stichtag),"Überfällig",IF(AND($F6&lt;&gt;"",$F6&lt;=Stichtag),"In Arbeit","Geplant"))))</f>
        <v>Abgeschlossen</v>
      </c>
      <c r="M6" s="30">
        <f t="shared" ref="M6:M35" si="4">IF($I6="","",$I6*(1-$K6))</f>
        <v>0</v>
      </c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</row>
    <row r="7" spans="1:46" ht="16.5" customHeight="1" x14ac:dyDescent="0.25">
      <c r="A7" s="33">
        <f t="shared" si="0"/>
        <v>2</v>
      </c>
      <c r="B7" s="25" t="s">
        <v>24</v>
      </c>
      <c r="C7" s="25" t="s">
        <v>25</v>
      </c>
      <c r="D7" s="25" t="s">
        <v>22</v>
      </c>
      <c r="E7" s="26" t="s">
        <v>23</v>
      </c>
      <c r="F7" s="27">
        <v>46204</v>
      </c>
      <c r="G7" s="27">
        <v>46211</v>
      </c>
      <c r="H7" s="34">
        <f t="shared" si="1"/>
        <v>6</v>
      </c>
      <c r="I7" s="29">
        <v>14</v>
      </c>
      <c r="J7" s="35">
        <f t="shared" si="2"/>
        <v>2.3333333333333335</v>
      </c>
      <c r="K7" s="31">
        <v>1</v>
      </c>
      <c r="L7" s="33" t="str">
        <f t="shared" si="3"/>
        <v>Abgeschlossen</v>
      </c>
      <c r="M7" s="35">
        <f t="shared" si="4"/>
        <v>0</v>
      </c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</row>
    <row r="8" spans="1:46" ht="16.5" customHeight="1" x14ac:dyDescent="0.25">
      <c r="A8" s="24">
        <f t="shared" si="0"/>
        <v>3</v>
      </c>
      <c r="B8" s="25" t="s">
        <v>26</v>
      </c>
      <c r="C8" s="25" t="s">
        <v>27</v>
      </c>
      <c r="D8" s="25" t="s">
        <v>28</v>
      </c>
      <c r="E8" s="26" t="s">
        <v>23</v>
      </c>
      <c r="F8" s="27">
        <v>46205</v>
      </c>
      <c r="G8" s="27">
        <v>46209</v>
      </c>
      <c r="H8" s="28">
        <f t="shared" si="1"/>
        <v>3</v>
      </c>
      <c r="I8" s="29">
        <v>9</v>
      </c>
      <c r="J8" s="30">
        <f t="shared" si="2"/>
        <v>3</v>
      </c>
      <c r="K8" s="31">
        <v>1</v>
      </c>
      <c r="L8" s="24" t="str">
        <f t="shared" si="3"/>
        <v>Abgeschlossen</v>
      </c>
      <c r="M8" s="30">
        <f t="shared" si="4"/>
        <v>0</v>
      </c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</row>
    <row r="9" spans="1:46" ht="16.5" customHeight="1" x14ac:dyDescent="0.25">
      <c r="A9" s="33">
        <f t="shared" si="0"/>
        <v>4</v>
      </c>
      <c r="B9" s="25" t="s">
        <v>29</v>
      </c>
      <c r="C9" s="25" t="s">
        <v>30</v>
      </c>
      <c r="D9" s="25" t="s">
        <v>31</v>
      </c>
      <c r="E9" s="26" t="s">
        <v>32</v>
      </c>
      <c r="F9" s="27">
        <v>46206</v>
      </c>
      <c r="G9" s="27">
        <v>46206</v>
      </c>
      <c r="H9" s="34">
        <f t="shared" si="1"/>
        <v>1</v>
      </c>
      <c r="I9" s="29">
        <v>3</v>
      </c>
      <c r="J9" s="35">
        <f t="shared" si="2"/>
        <v>3</v>
      </c>
      <c r="K9" s="31">
        <v>1</v>
      </c>
      <c r="L9" s="33" t="str">
        <f t="shared" si="3"/>
        <v>Abgeschlossen</v>
      </c>
      <c r="M9" s="35">
        <f t="shared" si="4"/>
        <v>0</v>
      </c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</row>
    <row r="10" spans="1:46" ht="16.5" customHeight="1" x14ac:dyDescent="0.25">
      <c r="A10" s="24">
        <f t="shared" si="0"/>
        <v>5</v>
      </c>
      <c r="B10" s="25" t="s">
        <v>33</v>
      </c>
      <c r="C10" s="25" t="s">
        <v>30</v>
      </c>
      <c r="D10" s="25" t="s">
        <v>34</v>
      </c>
      <c r="E10" s="26" t="s">
        <v>35</v>
      </c>
      <c r="F10" s="27">
        <v>46209</v>
      </c>
      <c r="G10" s="27">
        <v>46227</v>
      </c>
      <c r="H10" s="28">
        <f t="shared" si="1"/>
        <v>15</v>
      </c>
      <c r="I10" s="29">
        <v>20</v>
      </c>
      <c r="J10" s="30">
        <f t="shared" si="2"/>
        <v>1.3333333333333333</v>
      </c>
      <c r="K10" s="31">
        <v>0.45</v>
      </c>
      <c r="L10" s="24" t="str">
        <f t="shared" ca="1" si="3"/>
        <v>In Arbeit</v>
      </c>
      <c r="M10" s="30">
        <f t="shared" si="4"/>
        <v>11</v>
      </c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</row>
    <row r="11" spans="1:46" ht="16.5" customHeight="1" x14ac:dyDescent="0.25">
      <c r="A11" s="33">
        <f t="shared" si="0"/>
        <v>6</v>
      </c>
      <c r="B11" s="25" t="s">
        <v>36</v>
      </c>
      <c r="C11" s="25" t="s">
        <v>27</v>
      </c>
      <c r="D11" s="25" t="s">
        <v>28</v>
      </c>
      <c r="E11" s="26" t="s">
        <v>32</v>
      </c>
      <c r="F11" s="27">
        <v>46210</v>
      </c>
      <c r="G11" s="27">
        <v>46210</v>
      </c>
      <c r="H11" s="34">
        <f t="shared" si="1"/>
        <v>1</v>
      </c>
      <c r="I11" s="29">
        <v>2.5</v>
      </c>
      <c r="J11" s="35">
        <f t="shared" si="2"/>
        <v>2.5</v>
      </c>
      <c r="K11" s="31">
        <v>1</v>
      </c>
      <c r="L11" s="33" t="str">
        <f t="shared" si="3"/>
        <v>Abgeschlossen</v>
      </c>
      <c r="M11" s="35">
        <f t="shared" si="4"/>
        <v>0</v>
      </c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</row>
    <row r="12" spans="1:46" ht="16.5" customHeight="1" x14ac:dyDescent="0.25">
      <c r="A12" s="24">
        <f t="shared" si="0"/>
        <v>7</v>
      </c>
      <c r="B12" s="25" t="s">
        <v>37</v>
      </c>
      <c r="C12" s="25" t="s">
        <v>25</v>
      </c>
      <c r="D12" s="25" t="s">
        <v>38</v>
      </c>
      <c r="E12" s="26" t="s">
        <v>23</v>
      </c>
      <c r="F12" s="27">
        <v>46211</v>
      </c>
      <c r="G12" s="27">
        <v>46218</v>
      </c>
      <c r="H12" s="28">
        <f t="shared" si="1"/>
        <v>6</v>
      </c>
      <c r="I12" s="29">
        <v>22</v>
      </c>
      <c r="J12" s="30">
        <f t="shared" si="2"/>
        <v>3.6666666666666665</v>
      </c>
      <c r="K12" s="31">
        <v>1</v>
      </c>
      <c r="L12" s="24" t="str">
        <f t="shared" si="3"/>
        <v>Abgeschlossen</v>
      </c>
      <c r="M12" s="30">
        <f t="shared" si="4"/>
        <v>0</v>
      </c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</row>
    <row r="13" spans="1:46" ht="16.5" customHeight="1" x14ac:dyDescent="0.25">
      <c r="A13" s="33">
        <f t="shared" si="0"/>
        <v>8</v>
      </c>
      <c r="B13" s="25" t="s">
        <v>39</v>
      </c>
      <c r="C13" s="25" t="s">
        <v>40</v>
      </c>
      <c r="D13" s="25" t="s">
        <v>41</v>
      </c>
      <c r="E13" s="26" t="s">
        <v>32</v>
      </c>
      <c r="F13" s="27">
        <v>46212</v>
      </c>
      <c r="G13" s="27">
        <v>46213</v>
      </c>
      <c r="H13" s="34">
        <f t="shared" si="1"/>
        <v>2</v>
      </c>
      <c r="I13" s="29">
        <v>12</v>
      </c>
      <c r="J13" s="35">
        <f t="shared" si="2"/>
        <v>6</v>
      </c>
      <c r="K13" s="31">
        <v>1</v>
      </c>
      <c r="L13" s="33" t="str">
        <f t="shared" si="3"/>
        <v>Abgeschlossen</v>
      </c>
      <c r="M13" s="35">
        <f t="shared" si="4"/>
        <v>0</v>
      </c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</row>
    <row r="14" spans="1:46" ht="16.5" customHeight="1" x14ac:dyDescent="0.25">
      <c r="A14" s="24">
        <f t="shared" si="0"/>
        <v>9</v>
      </c>
      <c r="B14" s="25" t="s">
        <v>42</v>
      </c>
      <c r="C14" s="25" t="s">
        <v>30</v>
      </c>
      <c r="D14" s="25" t="s">
        <v>31</v>
      </c>
      <c r="E14" s="26" t="s">
        <v>32</v>
      </c>
      <c r="F14" s="27">
        <v>46213</v>
      </c>
      <c r="G14" s="27">
        <v>46213</v>
      </c>
      <c r="H14" s="28">
        <f t="shared" si="1"/>
        <v>1</v>
      </c>
      <c r="I14" s="29">
        <v>4</v>
      </c>
      <c r="J14" s="30">
        <f t="shared" si="2"/>
        <v>4</v>
      </c>
      <c r="K14" s="31">
        <v>0.9</v>
      </c>
      <c r="L14" s="24" t="str">
        <f t="shared" ca="1" si="3"/>
        <v>Überfällig</v>
      </c>
      <c r="M14" s="30">
        <f t="shared" si="4"/>
        <v>0.39999999999999991</v>
      </c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</row>
    <row r="15" spans="1:46" ht="16.5" customHeight="1" x14ac:dyDescent="0.25">
      <c r="A15" s="33">
        <f t="shared" si="0"/>
        <v>10</v>
      </c>
      <c r="B15" s="25" t="s">
        <v>43</v>
      </c>
      <c r="C15" s="25" t="s">
        <v>44</v>
      </c>
      <c r="D15" s="25" t="s">
        <v>41</v>
      </c>
      <c r="E15" s="26" t="s">
        <v>32</v>
      </c>
      <c r="F15" s="27">
        <v>46216</v>
      </c>
      <c r="G15" s="27">
        <v>46220</v>
      </c>
      <c r="H15" s="34">
        <f t="shared" si="1"/>
        <v>5</v>
      </c>
      <c r="I15" s="29">
        <v>10</v>
      </c>
      <c r="J15" s="35">
        <f t="shared" si="2"/>
        <v>2</v>
      </c>
      <c r="K15" s="31">
        <v>0.7</v>
      </c>
      <c r="L15" s="33" t="str">
        <f t="shared" ca="1" si="3"/>
        <v>Überfällig</v>
      </c>
      <c r="M15" s="35">
        <f t="shared" si="4"/>
        <v>3.0000000000000004</v>
      </c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</row>
    <row r="16" spans="1:46" ht="16.5" customHeight="1" x14ac:dyDescent="0.25">
      <c r="A16" s="24">
        <f t="shared" si="0"/>
        <v>11</v>
      </c>
      <c r="B16" s="25" t="s">
        <v>45</v>
      </c>
      <c r="C16" s="25" t="s">
        <v>27</v>
      </c>
      <c r="D16" s="25" t="s">
        <v>28</v>
      </c>
      <c r="E16" s="26" t="s">
        <v>23</v>
      </c>
      <c r="F16" s="27">
        <v>46217</v>
      </c>
      <c r="G16" s="27">
        <v>46217</v>
      </c>
      <c r="H16" s="28">
        <f t="shared" si="1"/>
        <v>1</v>
      </c>
      <c r="I16" s="29">
        <v>6</v>
      </c>
      <c r="J16" s="30">
        <f t="shared" si="2"/>
        <v>6</v>
      </c>
      <c r="K16" s="31">
        <v>1</v>
      </c>
      <c r="L16" s="24" t="str">
        <f t="shared" si="3"/>
        <v>Abgeschlossen</v>
      </c>
      <c r="M16" s="30">
        <f t="shared" si="4"/>
        <v>0</v>
      </c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</row>
    <row r="17" spans="1:44" ht="16.5" customHeight="1" x14ac:dyDescent="0.25">
      <c r="A17" s="33">
        <f t="shared" si="0"/>
        <v>12</v>
      </c>
      <c r="B17" s="25" t="s">
        <v>46</v>
      </c>
      <c r="C17" s="25" t="s">
        <v>25</v>
      </c>
      <c r="D17" s="25" t="s">
        <v>38</v>
      </c>
      <c r="E17" s="26" t="s">
        <v>32</v>
      </c>
      <c r="F17" s="27">
        <v>46218</v>
      </c>
      <c r="G17" s="27">
        <v>46224</v>
      </c>
      <c r="H17" s="34">
        <f t="shared" si="1"/>
        <v>5</v>
      </c>
      <c r="I17" s="29">
        <v>11</v>
      </c>
      <c r="J17" s="35">
        <f t="shared" si="2"/>
        <v>2.2000000000000002</v>
      </c>
      <c r="K17" s="31">
        <v>0.55000000000000004</v>
      </c>
      <c r="L17" s="33" t="str">
        <f t="shared" ca="1" si="3"/>
        <v>In Arbeit</v>
      </c>
      <c r="M17" s="35">
        <f t="shared" si="4"/>
        <v>4.9499999999999993</v>
      </c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</row>
    <row r="18" spans="1:44" ht="16.5" customHeight="1" x14ac:dyDescent="0.25">
      <c r="A18" s="24">
        <f t="shared" si="0"/>
        <v>13</v>
      </c>
      <c r="B18" s="25" t="s">
        <v>47</v>
      </c>
      <c r="C18" s="25" t="s">
        <v>48</v>
      </c>
      <c r="D18" s="25" t="s">
        <v>22</v>
      </c>
      <c r="E18" s="26" t="s">
        <v>23</v>
      </c>
      <c r="F18" s="27">
        <v>46219</v>
      </c>
      <c r="G18" s="27">
        <v>46219</v>
      </c>
      <c r="H18" s="28">
        <f t="shared" si="1"/>
        <v>1</v>
      </c>
      <c r="I18" s="29">
        <v>1</v>
      </c>
      <c r="J18" s="30">
        <f t="shared" si="2"/>
        <v>1</v>
      </c>
      <c r="K18" s="31">
        <v>0</v>
      </c>
      <c r="L18" s="24" t="str">
        <f t="shared" ca="1" si="3"/>
        <v>Überfällig</v>
      </c>
      <c r="M18" s="30">
        <f t="shared" si="4"/>
        <v>1</v>
      </c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</row>
    <row r="19" spans="1:44" ht="16.5" customHeight="1" x14ac:dyDescent="0.25">
      <c r="A19" s="33">
        <f t="shared" si="0"/>
        <v>14</v>
      </c>
      <c r="B19" s="25" t="s">
        <v>49</v>
      </c>
      <c r="C19" s="25" t="s">
        <v>21</v>
      </c>
      <c r="D19" s="25" t="s">
        <v>50</v>
      </c>
      <c r="E19" s="26" t="s">
        <v>35</v>
      </c>
      <c r="F19" s="27">
        <v>46219</v>
      </c>
      <c r="G19" s="27">
        <v>46219</v>
      </c>
      <c r="H19" s="34">
        <f t="shared" si="1"/>
        <v>1</v>
      </c>
      <c r="I19" s="29">
        <v>1.5</v>
      </c>
      <c r="J19" s="35">
        <f t="shared" si="2"/>
        <v>1.5</v>
      </c>
      <c r="K19" s="31">
        <v>1</v>
      </c>
      <c r="L19" s="33" t="str">
        <f t="shared" si="3"/>
        <v>Abgeschlossen</v>
      </c>
      <c r="M19" s="35">
        <f t="shared" si="4"/>
        <v>0</v>
      </c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</row>
    <row r="20" spans="1:44" ht="16.5" customHeight="1" x14ac:dyDescent="0.25">
      <c r="A20" s="24">
        <f t="shared" si="0"/>
        <v>15</v>
      </c>
      <c r="B20" s="25" t="s">
        <v>51</v>
      </c>
      <c r="C20" s="25" t="s">
        <v>25</v>
      </c>
      <c r="D20" s="25" t="s">
        <v>34</v>
      </c>
      <c r="E20" s="26" t="s">
        <v>32</v>
      </c>
      <c r="F20" s="27">
        <v>46220</v>
      </c>
      <c r="G20" s="27">
        <v>46232</v>
      </c>
      <c r="H20" s="28">
        <f t="shared" si="1"/>
        <v>9</v>
      </c>
      <c r="I20" s="29">
        <v>16</v>
      </c>
      <c r="J20" s="30">
        <f t="shared" si="2"/>
        <v>1.7777777777777777</v>
      </c>
      <c r="K20" s="31">
        <v>0.1</v>
      </c>
      <c r="L20" s="24" t="str">
        <f t="shared" ca="1" si="3"/>
        <v>In Arbeit</v>
      </c>
      <c r="M20" s="30">
        <f t="shared" si="4"/>
        <v>14.4</v>
      </c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</row>
    <row r="21" spans="1:44" ht="16.5" customHeight="1" x14ac:dyDescent="0.25">
      <c r="A21" s="33">
        <f t="shared" si="0"/>
        <v>16</v>
      </c>
      <c r="B21" s="25" t="s">
        <v>52</v>
      </c>
      <c r="C21" s="25" t="s">
        <v>27</v>
      </c>
      <c r="D21" s="25" t="s">
        <v>28</v>
      </c>
      <c r="E21" s="26" t="s">
        <v>32</v>
      </c>
      <c r="F21" s="27">
        <v>46223</v>
      </c>
      <c r="G21" s="27">
        <v>46225</v>
      </c>
      <c r="H21" s="34">
        <f t="shared" si="1"/>
        <v>3</v>
      </c>
      <c r="I21" s="29">
        <v>5</v>
      </c>
      <c r="J21" s="35">
        <f t="shared" si="2"/>
        <v>1.6666666666666667</v>
      </c>
      <c r="K21" s="31">
        <v>0</v>
      </c>
      <c r="L21" s="33" t="str">
        <f t="shared" ca="1" si="3"/>
        <v>Geplant</v>
      </c>
      <c r="M21" s="35">
        <f t="shared" si="4"/>
        <v>5</v>
      </c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</row>
    <row r="22" spans="1:44" ht="16.5" customHeight="1" x14ac:dyDescent="0.25">
      <c r="A22" s="24">
        <f t="shared" si="0"/>
        <v>17</v>
      </c>
      <c r="B22" s="25" t="s">
        <v>53</v>
      </c>
      <c r="C22" s="25" t="s">
        <v>44</v>
      </c>
      <c r="D22" s="25" t="s">
        <v>41</v>
      </c>
      <c r="E22" s="26" t="s">
        <v>23</v>
      </c>
      <c r="F22" s="27">
        <v>46225</v>
      </c>
      <c r="G22" s="27">
        <v>46226</v>
      </c>
      <c r="H22" s="28">
        <f t="shared" si="1"/>
        <v>2</v>
      </c>
      <c r="I22" s="29">
        <v>14</v>
      </c>
      <c r="J22" s="30">
        <f t="shared" si="2"/>
        <v>7</v>
      </c>
      <c r="K22" s="31">
        <v>0</v>
      </c>
      <c r="L22" s="24" t="str">
        <f t="shared" ca="1" si="3"/>
        <v>Geplant</v>
      </c>
      <c r="M22" s="30">
        <f t="shared" si="4"/>
        <v>14</v>
      </c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</row>
    <row r="23" spans="1:44" ht="16.5" customHeight="1" x14ac:dyDescent="0.25">
      <c r="A23" s="33">
        <f t="shared" si="0"/>
        <v>18</v>
      </c>
      <c r="B23" s="25" t="s">
        <v>54</v>
      </c>
      <c r="C23" s="25" t="s">
        <v>40</v>
      </c>
      <c r="D23" s="25" t="s">
        <v>41</v>
      </c>
      <c r="E23" s="26" t="s">
        <v>35</v>
      </c>
      <c r="F23" s="27">
        <v>46230</v>
      </c>
      <c r="G23" s="27">
        <v>46231</v>
      </c>
      <c r="H23" s="34">
        <f t="shared" si="1"/>
        <v>2</v>
      </c>
      <c r="I23" s="29">
        <v>12</v>
      </c>
      <c r="J23" s="35">
        <f t="shared" si="2"/>
        <v>6</v>
      </c>
      <c r="K23" s="31">
        <v>0</v>
      </c>
      <c r="L23" s="33" t="str">
        <f t="shared" ca="1" si="3"/>
        <v>Geplant</v>
      </c>
      <c r="M23" s="35">
        <f t="shared" si="4"/>
        <v>12</v>
      </c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</row>
    <row r="24" spans="1:44" ht="16.5" customHeight="1" x14ac:dyDescent="0.25">
      <c r="A24" s="24">
        <f t="shared" si="0"/>
        <v>19</v>
      </c>
      <c r="B24" s="25" t="s">
        <v>55</v>
      </c>
      <c r="C24" s="25" t="s">
        <v>30</v>
      </c>
      <c r="D24" s="25" t="s">
        <v>31</v>
      </c>
      <c r="E24" s="26" t="s">
        <v>23</v>
      </c>
      <c r="F24" s="27">
        <v>46231</v>
      </c>
      <c r="G24" s="27">
        <v>46234</v>
      </c>
      <c r="H24" s="28">
        <f t="shared" si="1"/>
        <v>4</v>
      </c>
      <c r="I24" s="29">
        <v>13</v>
      </c>
      <c r="J24" s="30">
        <f t="shared" si="2"/>
        <v>3.25</v>
      </c>
      <c r="K24" s="31">
        <v>0</v>
      </c>
      <c r="L24" s="24" t="str">
        <f t="shared" ca="1" si="3"/>
        <v>Geplant</v>
      </c>
      <c r="M24" s="30">
        <f t="shared" si="4"/>
        <v>13</v>
      </c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</row>
    <row r="25" spans="1:44" ht="16.5" customHeight="1" x14ac:dyDescent="0.25">
      <c r="A25" s="33">
        <f t="shared" si="0"/>
        <v>20</v>
      </c>
      <c r="B25" s="25" t="s">
        <v>56</v>
      </c>
      <c r="C25" s="25" t="s">
        <v>57</v>
      </c>
      <c r="D25" s="25" t="s">
        <v>22</v>
      </c>
      <c r="E25" s="26" t="s">
        <v>35</v>
      </c>
      <c r="F25" s="27">
        <v>46233</v>
      </c>
      <c r="G25" s="27">
        <v>46234</v>
      </c>
      <c r="H25" s="34">
        <f t="shared" si="1"/>
        <v>2</v>
      </c>
      <c r="I25" s="29">
        <v>4</v>
      </c>
      <c r="J25" s="35">
        <f t="shared" si="2"/>
        <v>2</v>
      </c>
      <c r="K25" s="31">
        <v>0</v>
      </c>
      <c r="L25" s="33" t="str">
        <f t="shared" ca="1" si="3"/>
        <v>Geplant</v>
      </c>
      <c r="M25" s="35">
        <f t="shared" si="4"/>
        <v>4</v>
      </c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</row>
    <row r="26" spans="1:44" ht="16.5" customHeight="1" x14ac:dyDescent="0.25">
      <c r="A26" s="24" t="str">
        <f t="shared" si="0"/>
        <v/>
      </c>
      <c r="B26" s="25"/>
      <c r="C26" s="25"/>
      <c r="D26" s="25"/>
      <c r="E26" s="26"/>
      <c r="F26" s="27"/>
      <c r="G26" s="27"/>
      <c r="H26" s="28" t="str">
        <f t="shared" si="1"/>
        <v/>
      </c>
      <c r="I26" s="29"/>
      <c r="J26" s="30">
        <f t="shared" si="2"/>
        <v>0</v>
      </c>
      <c r="K26" s="31"/>
      <c r="L26" s="24" t="str">
        <f t="shared" si="3"/>
        <v/>
      </c>
      <c r="M26" s="30" t="str">
        <f t="shared" si="4"/>
        <v/>
      </c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</row>
    <row r="27" spans="1:44" ht="16.5" customHeight="1" x14ac:dyDescent="0.25">
      <c r="A27" s="33" t="str">
        <f t="shared" si="0"/>
        <v/>
      </c>
      <c r="B27" s="25"/>
      <c r="C27" s="25"/>
      <c r="D27" s="25"/>
      <c r="E27" s="26"/>
      <c r="F27" s="27"/>
      <c r="G27" s="27"/>
      <c r="H27" s="34" t="str">
        <f t="shared" si="1"/>
        <v/>
      </c>
      <c r="I27" s="29"/>
      <c r="J27" s="35">
        <f t="shared" si="2"/>
        <v>0</v>
      </c>
      <c r="K27" s="31"/>
      <c r="L27" s="33" t="str">
        <f t="shared" si="3"/>
        <v/>
      </c>
      <c r="M27" s="35" t="str">
        <f t="shared" si="4"/>
        <v/>
      </c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</row>
    <row r="28" spans="1:44" ht="16.5" customHeight="1" x14ac:dyDescent="0.25">
      <c r="A28" s="24" t="str">
        <f t="shared" si="0"/>
        <v/>
      </c>
      <c r="B28" s="25"/>
      <c r="C28" s="25"/>
      <c r="D28" s="25"/>
      <c r="E28" s="26"/>
      <c r="F28" s="27"/>
      <c r="G28" s="27"/>
      <c r="H28" s="28" t="str">
        <f t="shared" si="1"/>
        <v/>
      </c>
      <c r="I28" s="29"/>
      <c r="J28" s="30">
        <f t="shared" si="2"/>
        <v>0</v>
      </c>
      <c r="K28" s="31"/>
      <c r="L28" s="24" t="str">
        <f t="shared" si="3"/>
        <v/>
      </c>
      <c r="M28" s="30" t="str">
        <f t="shared" si="4"/>
        <v/>
      </c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</row>
    <row r="29" spans="1:44" ht="16.5" customHeight="1" x14ac:dyDescent="0.25">
      <c r="A29" s="33" t="str">
        <f t="shared" si="0"/>
        <v/>
      </c>
      <c r="B29" s="25"/>
      <c r="C29" s="25"/>
      <c r="D29" s="25"/>
      <c r="E29" s="26"/>
      <c r="F29" s="27"/>
      <c r="G29" s="27"/>
      <c r="H29" s="34" t="str">
        <f t="shared" si="1"/>
        <v/>
      </c>
      <c r="I29" s="29"/>
      <c r="J29" s="35">
        <f t="shared" si="2"/>
        <v>0</v>
      </c>
      <c r="K29" s="31"/>
      <c r="L29" s="33" t="str">
        <f t="shared" si="3"/>
        <v/>
      </c>
      <c r="M29" s="35" t="str">
        <f t="shared" si="4"/>
        <v/>
      </c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</row>
    <row r="30" spans="1:44" ht="16.5" customHeight="1" x14ac:dyDescent="0.25">
      <c r="A30" s="24" t="str">
        <f t="shared" si="0"/>
        <v/>
      </c>
      <c r="B30" s="25"/>
      <c r="C30" s="25"/>
      <c r="D30" s="25"/>
      <c r="E30" s="26"/>
      <c r="F30" s="27"/>
      <c r="G30" s="27"/>
      <c r="H30" s="28" t="str">
        <f t="shared" si="1"/>
        <v/>
      </c>
      <c r="I30" s="29"/>
      <c r="J30" s="30">
        <f t="shared" si="2"/>
        <v>0</v>
      </c>
      <c r="K30" s="31"/>
      <c r="L30" s="24" t="str">
        <f t="shared" si="3"/>
        <v/>
      </c>
      <c r="M30" s="30" t="str">
        <f t="shared" si="4"/>
        <v/>
      </c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</row>
    <row r="31" spans="1:44" ht="16.5" customHeight="1" x14ac:dyDescent="0.25">
      <c r="A31" s="33" t="str">
        <f t="shared" si="0"/>
        <v/>
      </c>
      <c r="B31" s="25"/>
      <c r="C31" s="25"/>
      <c r="D31" s="25"/>
      <c r="E31" s="26"/>
      <c r="F31" s="27"/>
      <c r="G31" s="27"/>
      <c r="H31" s="34" t="str">
        <f t="shared" si="1"/>
        <v/>
      </c>
      <c r="I31" s="29"/>
      <c r="J31" s="35">
        <f t="shared" si="2"/>
        <v>0</v>
      </c>
      <c r="K31" s="31"/>
      <c r="L31" s="33" t="str">
        <f t="shared" si="3"/>
        <v/>
      </c>
      <c r="M31" s="35" t="str">
        <f t="shared" si="4"/>
        <v/>
      </c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</row>
    <row r="32" spans="1:44" ht="16.5" customHeight="1" x14ac:dyDescent="0.25">
      <c r="A32" s="24" t="str">
        <f t="shared" si="0"/>
        <v/>
      </c>
      <c r="B32" s="25"/>
      <c r="C32" s="25"/>
      <c r="D32" s="25"/>
      <c r="E32" s="26"/>
      <c r="F32" s="27"/>
      <c r="G32" s="27"/>
      <c r="H32" s="28" t="str">
        <f t="shared" si="1"/>
        <v/>
      </c>
      <c r="I32" s="29"/>
      <c r="J32" s="30">
        <f t="shared" si="2"/>
        <v>0</v>
      </c>
      <c r="K32" s="31"/>
      <c r="L32" s="24" t="str">
        <f t="shared" si="3"/>
        <v/>
      </c>
      <c r="M32" s="30" t="str">
        <f t="shared" si="4"/>
        <v/>
      </c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</row>
    <row r="33" spans="1:44" ht="16.5" customHeight="1" x14ac:dyDescent="0.25">
      <c r="A33" s="33" t="str">
        <f t="shared" si="0"/>
        <v/>
      </c>
      <c r="B33" s="25"/>
      <c r="C33" s="25"/>
      <c r="D33" s="25"/>
      <c r="E33" s="26"/>
      <c r="F33" s="27"/>
      <c r="G33" s="27"/>
      <c r="H33" s="34" t="str">
        <f t="shared" si="1"/>
        <v/>
      </c>
      <c r="I33" s="29"/>
      <c r="J33" s="35">
        <f t="shared" si="2"/>
        <v>0</v>
      </c>
      <c r="K33" s="31"/>
      <c r="L33" s="33" t="str">
        <f t="shared" si="3"/>
        <v/>
      </c>
      <c r="M33" s="35" t="str">
        <f t="shared" si="4"/>
        <v/>
      </c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</row>
    <row r="34" spans="1:44" ht="16.5" customHeight="1" x14ac:dyDescent="0.25">
      <c r="A34" s="24" t="str">
        <f t="shared" si="0"/>
        <v/>
      </c>
      <c r="B34" s="25"/>
      <c r="C34" s="25"/>
      <c r="D34" s="25"/>
      <c r="E34" s="26"/>
      <c r="F34" s="27"/>
      <c r="G34" s="27"/>
      <c r="H34" s="28" t="str">
        <f t="shared" si="1"/>
        <v/>
      </c>
      <c r="I34" s="29"/>
      <c r="J34" s="30">
        <f t="shared" si="2"/>
        <v>0</v>
      </c>
      <c r="K34" s="31"/>
      <c r="L34" s="24" t="str">
        <f t="shared" si="3"/>
        <v/>
      </c>
      <c r="M34" s="30" t="str">
        <f t="shared" si="4"/>
        <v/>
      </c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</row>
    <row r="35" spans="1:44" ht="16.5" customHeight="1" x14ac:dyDescent="0.25">
      <c r="A35" s="33" t="str">
        <f t="shared" si="0"/>
        <v/>
      </c>
      <c r="B35" s="25"/>
      <c r="C35" s="25"/>
      <c r="D35" s="25"/>
      <c r="E35" s="26"/>
      <c r="F35" s="27"/>
      <c r="G35" s="27"/>
      <c r="H35" s="34" t="str">
        <f t="shared" si="1"/>
        <v/>
      </c>
      <c r="I35" s="29"/>
      <c r="J35" s="35">
        <f t="shared" si="2"/>
        <v>0</v>
      </c>
      <c r="K35" s="31"/>
      <c r="L35" s="33" t="str">
        <f t="shared" si="3"/>
        <v/>
      </c>
      <c r="M35" s="35" t="str">
        <f t="shared" si="4"/>
        <v/>
      </c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</row>
    <row r="36" spans="1:44" ht="19.5" customHeight="1" x14ac:dyDescent="0.25">
      <c r="A36" s="9" t="s">
        <v>58</v>
      </c>
      <c r="B36" s="9"/>
      <c r="C36" s="9"/>
      <c r="D36" s="9"/>
      <c r="E36" s="9"/>
      <c r="F36" s="9"/>
      <c r="G36" s="9"/>
      <c r="H36" s="37">
        <f>COUNTIF($B$6:$B$35,"?*")</f>
        <v>20</v>
      </c>
      <c r="I36" s="38">
        <f>SUM($I$6:$I$35)</f>
        <v>182</v>
      </c>
      <c r="J36" s="39"/>
      <c r="K36" s="40">
        <f>IF($I$36=0,0,SUMPRODUCT($I$6:$I$35,$K$6:$K$35)/$I$36)</f>
        <v>0.54532967032967028</v>
      </c>
      <c r="L36" s="39"/>
      <c r="M36" s="38">
        <f>SUM($M$6:$M$35)</f>
        <v>82.75</v>
      </c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</row>
    <row r="37" spans="1:44" ht="6" customHeight="1" x14ac:dyDescent="0.25"/>
    <row r="38" spans="1:44" x14ac:dyDescent="0.25">
      <c r="A38" s="8" t="s">
        <v>59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41">
        <f t="shared" ref="N38:AR38" si="5">IF(N$4="",0,IF(OR(WEEKDAY(N$4,2)&gt;5,COUNTIF(Feiertage,N$4)&gt;0),0,SUMPRODUCT(($F$6:$F$35&lt;=N$4)*($G$6:$G$35&gt;=N$4)*$J$6:$J$35)))</f>
        <v>4.3333333333333339</v>
      </c>
      <c r="O38" s="41">
        <f t="shared" si="5"/>
        <v>5.3333333333333339</v>
      </c>
      <c r="P38" s="41">
        <f t="shared" si="5"/>
        <v>8.3333333333333339</v>
      </c>
      <c r="Q38" s="41">
        <f t="shared" si="5"/>
        <v>0</v>
      </c>
      <c r="R38" s="41">
        <f t="shared" si="5"/>
        <v>0</v>
      </c>
      <c r="S38" s="41">
        <f t="shared" si="5"/>
        <v>6.666666666666667</v>
      </c>
      <c r="T38" s="41">
        <f t="shared" si="5"/>
        <v>6.166666666666667</v>
      </c>
      <c r="U38" s="41">
        <f t="shared" si="5"/>
        <v>7.3333333333333339</v>
      </c>
      <c r="V38" s="41">
        <f t="shared" si="5"/>
        <v>11</v>
      </c>
      <c r="W38" s="41">
        <f t="shared" si="5"/>
        <v>15</v>
      </c>
      <c r="X38" s="41">
        <f t="shared" si="5"/>
        <v>0</v>
      </c>
      <c r="Y38" s="41">
        <f t="shared" si="5"/>
        <v>0</v>
      </c>
      <c r="Z38" s="41">
        <f t="shared" si="5"/>
        <v>7</v>
      </c>
      <c r="AA38" s="41">
        <f t="shared" si="5"/>
        <v>13</v>
      </c>
      <c r="AB38" s="41">
        <f t="shared" si="5"/>
        <v>9.1999999999999993</v>
      </c>
      <c r="AC38" s="41">
        <f t="shared" si="5"/>
        <v>8.0333333333333332</v>
      </c>
      <c r="AD38" s="41">
        <f t="shared" si="5"/>
        <v>7.3111111111111109</v>
      </c>
      <c r="AE38" s="41">
        <f t="shared" si="5"/>
        <v>0</v>
      </c>
      <c r="AF38" s="41">
        <f t="shared" si="5"/>
        <v>0</v>
      </c>
      <c r="AG38" s="41">
        <f t="shared" si="5"/>
        <v>6.9777777777777779</v>
      </c>
      <c r="AH38" s="41">
        <f t="shared" si="5"/>
        <v>6.9777777777777779</v>
      </c>
      <c r="AI38" s="41">
        <f t="shared" si="5"/>
        <v>11.777777777777779</v>
      </c>
      <c r="AJ38" s="41">
        <f t="shared" si="5"/>
        <v>10.111111111111111</v>
      </c>
      <c r="AK38" s="41">
        <f t="shared" si="5"/>
        <v>3.1111111111111107</v>
      </c>
      <c r="AL38" s="41">
        <f t="shared" si="5"/>
        <v>0</v>
      </c>
      <c r="AM38" s="41">
        <f t="shared" si="5"/>
        <v>0</v>
      </c>
      <c r="AN38" s="41">
        <f t="shared" si="5"/>
        <v>7.7777777777777777</v>
      </c>
      <c r="AO38" s="41">
        <f t="shared" si="5"/>
        <v>11.027777777777779</v>
      </c>
      <c r="AP38" s="41">
        <f t="shared" si="5"/>
        <v>5.0277777777777777</v>
      </c>
      <c r="AQ38" s="41">
        <f t="shared" si="5"/>
        <v>5.25</v>
      </c>
      <c r="AR38" s="41">
        <f t="shared" si="5"/>
        <v>5.25</v>
      </c>
    </row>
    <row r="39" spans="1:44" x14ac:dyDescent="0.25">
      <c r="A39" s="9" t="s">
        <v>60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42">
        <f t="shared" ref="N39:AR39" si="6">IF(N$4="","",IF(OR(WEEKDAY(N$4,2)&gt;5,COUNTIF(Feiertage,N$4)&gt;0),"",N$38/Tageskapazitaet))</f>
        <v>0.37681159420289861</v>
      </c>
      <c r="O39" s="42">
        <f t="shared" si="6"/>
        <v>0.46376811594202905</v>
      </c>
      <c r="P39" s="42">
        <f t="shared" si="6"/>
        <v>0.72463768115942029</v>
      </c>
      <c r="Q39" s="42" t="str">
        <f t="shared" si="6"/>
        <v/>
      </c>
      <c r="R39" s="42" t="str">
        <f t="shared" si="6"/>
        <v/>
      </c>
      <c r="S39" s="42">
        <f t="shared" si="6"/>
        <v>0.57971014492753625</v>
      </c>
      <c r="T39" s="42">
        <f t="shared" si="6"/>
        <v>0.53623188405797106</v>
      </c>
      <c r="U39" s="42">
        <f t="shared" si="6"/>
        <v>0.63768115942028991</v>
      </c>
      <c r="V39" s="42">
        <f t="shared" si="6"/>
        <v>0.95652173913043481</v>
      </c>
      <c r="W39" s="42">
        <f t="shared" si="6"/>
        <v>1.3043478260869565</v>
      </c>
      <c r="X39" s="42" t="str">
        <f t="shared" si="6"/>
        <v/>
      </c>
      <c r="Y39" s="42" t="str">
        <f t="shared" si="6"/>
        <v/>
      </c>
      <c r="Z39" s="42">
        <f t="shared" si="6"/>
        <v>0.60869565217391308</v>
      </c>
      <c r="AA39" s="42">
        <f t="shared" si="6"/>
        <v>1.1304347826086956</v>
      </c>
      <c r="AB39" s="42">
        <f t="shared" si="6"/>
        <v>0.79999999999999993</v>
      </c>
      <c r="AC39" s="42">
        <f t="shared" si="6"/>
        <v>0.6985507246376812</v>
      </c>
      <c r="AD39" s="42">
        <f t="shared" si="6"/>
        <v>0.63574879227053138</v>
      </c>
      <c r="AE39" s="42" t="str">
        <f t="shared" si="6"/>
        <v/>
      </c>
      <c r="AF39" s="42" t="str">
        <f t="shared" si="6"/>
        <v/>
      </c>
      <c r="AG39" s="42">
        <f t="shared" si="6"/>
        <v>0.60676328502415455</v>
      </c>
      <c r="AH39" s="42">
        <f t="shared" si="6"/>
        <v>0.60676328502415455</v>
      </c>
      <c r="AI39" s="42">
        <f t="shared" si="6"/>
        <v>1.0241545893719808</v>
      </c>
      <c r="AJ39" s="42">
        <f t="shared" si="6"/>
        <v>0.87922705314009664</v>
      </c>
      <c r="AK39" s="42">
        <f t="shared" si="6"/>
        <v>0.27053140096618356</v>
      </c>
      <c r="AL39" s="42" t="str">
        <f t="shared" si="6"/>
        <v/>
      </c>
      <c r="AM39" s="42" t="str">
        <f t="shared" si="6"/>
        <v/>
      </c>
      <c r="AN39" s="42">
        <f t="shared" si="6"/>
        <v>0.67632850241545894</v>
      </c>
      <c r="AO39" s="42">
        <f t="shared" si="6"/>
        <v>0.95893719806763289</v>
      </c>
      <c r="AP39" s="42">
        <f t="shared" si="6"/>
        <v>0.43719806763285024</v>
      </c>
      <c r="AQ39" s="42">
        <f t="shared" si="6"/>
        <v>0.45652173913043476</v>
      </c>
      <c r="AR39" s="42">
        <f t="shared" si="6"/>
        <v>0.45652173913043476</v>
      </c>
    </row>
    <row r="40" spans="1:44" hidden="1" x14ac:dyDescent="0.25">
      <c r="N40" s="43">
        <f t="shared" ref="N40:AR40" si="7">IF(N$4="",0,INT((N$4-WEEKDAY(N$4,2)+4-DATE(YEAR(N$4-WEEKDAY(N$4,2)+4),1,1))/7)+1)</f>
        <v>27</v>
      </c>
      <c r="O40" s="43">
        <f t="shared" si="7"/>
        <v>27</v>
      </c>
      <c r="P40" s="43">
        <f t="shared" si="7"/>
        <v>27</v>
      </c>
      <c r="Q40" s="43">
        <f t="shared" si="7"/>
        <v>27</v>
      </c>
      <c r="R40" s="43">
        <f t="shared" si="7"/>
        <v>27</v>
      </c>
      <c r="S40" s="43">
        <f t="shared" si="7"/>
        <v>28</v>
      </c>
      <c r="T40" s="43">
        <f t="shared" si="7"/>
        <v>28</v>
      </c>
      <c r="U40" s="43">
        <f t="shared" si="7"/>
        <v>28</v>
      </c>
      <c r="V40" s="43">
        <f t="shared" si="7"/>
        <v>28</v>
      </c>
      <c r="W40" s="43">
        <f t="shared" si="7"/>
        <v>28</v>
      </c>
      <c r="X40" s="43">
        <f t="shared" si="7"/>
        <v>28</v>
      </c>
      <c r="Y40" s="43">
        <f t="shared" si="7"/>
        <v>28</v>
      </c>
      <c r="Z40" s="43">
        <f t="shared" si="7"/>
        <v>29</v>
      </c>
      <c r="AA40" s="43">
        <f t="shared" si="7"/>
        <v>29</v>
      </c>
      <c r="AB40" s="43">
        <f t="shared" si="7"/>
        <v>29</v>
      </c>
      <c r="AC40" s="43">
        <f t="shared" si="7"/>
        <v>29</v>
      </c>
      <c r="AD40" s="43">
        <f t="shared" si="7"/>
        <v>29</v>
      </c>
      <c r="AE40" s="43">
        <f t="shared" si="7"/>
        <v>29</v>
      </c>
      <c r="AF40" s="43">
        <f t="shared" si="7"/>
        <v>29</v>
      </c>
      <c r="AG40" s="43">
        <f t="shared" si="7"/>
        <v>30</v>
      </c>
      <c r="AH40" s="43">
        <f t="shared" si="7"/>
        <v>30</v>
      </c>
      <c r="AI40" s="43">
        <f t="shared" si="7"/>
        <v>30</v>
      </c>
      <c r="AJ40" s="43">
        <f t="shared" si="7"/>
        <v>30</v>
      </c>
      <c r="AK40" s="43">
        <f t="shared" si="7"/>
        <v>30</v>
      </c>
      <c r="AL40" s="43">
        <f t="shared" si="7"/>
        <v>30</v>
      </c>
      <c r="AM40" s="43">
        <f t="shared" si="7"/>
        <v>30</v>
      </c>
      <c r="AN40" s="43">
        <f t="shared" si="7"/>
        <v>31</v>
      </c>
      <c r="AO40" s="43">
        <f t="shared" si="7"/>
        <v>31</v>
      </c>
      <c r="AP40" s="43">
        <f t="shared" si="7"/>
        <v>31</v>
      </c>
      <c r="AQ40" s="43">
        <f t="shared" si="7"/>
        <v>31</v>
      </c>
      <c r="AR40" s="43">
        <f t="shared" si="7"/>
        <v>31</v>
      </c>
    </row>
    <row r="42" spans="1:44" x14ac:dyDescent="0.25">
      <c r="A42" s="9" t="s">
        <v>61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</row>
    <row r="43" spans="1:44" x14ac:dyDescent="0.25">
      <c r="A43" s="44"/>
      <c r="B43" s="45" t="s">
        <v>62</v>
      </c>
      <c r="C43" s="7" t="s">
        <v>63</v>
      </c>
      <c r="D43" s="7"/>
      <c r="E43" s="7"/>
      <c r="F43" s="7"/>
      <c r="G43" s="7"/>
      <c r="H43" s="7"/>
      <c r="I43" s="7"/>
      <c r="J43" s="7"/>
      <c r="K43" s="7"/>
      <c r="L43" s="7"/>
      <c r="M43" s="7"/>
    </row>
    <row r="44" spans="1:44" x14ac:dyDescent="0.25">
      <c r="A44" s="46"/>
      <c r="B44" s="45" t="s">
        <v>64</v>
      </c>
      <c r="C44" s="7" t="s">
        <v>65</v>
      </c>
      <c r="D44" s="7"/>
      <c r="E44" s="7"/>
      <c r="F44" s="7"/>
      <c r="G44" s="7"/>
      <c r="H44" s="7"/>
      <c r="I44" s="7"/>
      <c r="J44" s="7"/>
      <c r="K44" s="7"/>
      <c r="L44" s="7"/>
      <c r="M44" s="7"/>
    </row>
    <row r="45" spans="1:44" x14ac:dyDescent="0.25">
      <c r="A45" s="47"/>
      <c r="B45" s="45" t="s">
        <v>66</v>
      </c>
      <c r="C45" s="7" t="s">
        <v>67</v>
      </c>
      <c r="D45" s="7"/>
      <c r="E45" s="7"/>
      <c r="F45" s="7"/>
      <c r="G45" s="7"/>
      <c r="H45" s="7"/>
      <c r="I45" s="7"/>
      <c r="J45" s="7"/>
      <c r="K45" s="7"/>
      <c r="L45" s="7"/>
      <c r="M45" s="7"/>
    </row>
    <row r="46" spans="1:44" x14ac:dyDescent="0.25">
      <c r="A46" s="48"/>
      <c r="B46" s="45" t="s">
        <v>68</v>
      </c>
      <c r="C46" s="7" t="s">
        <v>69</v>
      </c>
      <c r="D46" s="7"/>
      <c r="E46" s="7"/>
      <c r="F46" s="7"/>
      <c r="G46" s="7"/>
      <c r="H46" s="7"/>
      <c r="I46" s="7"/>
      <c r="J46" s="7"/>
      <c r="K46" s="7"/>
      <c r="L46" s="7"/>
      <c r="M46" s="7"/>
    </row>
    <row r="47" spans="1:44" x14ac:dyDescent="0.25">
      <c r="A47" s="49"/>
      <c r="B47" s="45" t="s">
        <v>70</v>
      </c>
      <c r="C47" s="7" t="s">
        <v>71</v>
      </c>
      <c r="D47" s="7"/>
      <c r="E47" s="7"/>
      <c r="F47" s="7"/>
      <c r="G47" s="7"/>
      <c r="H47" s="7"/>
      <c r="I47" s="7"/>
      <c r="J47" s="7"/>
      <c r="K47" s="7"/>
      <c r="L47" s="7"/>
      <c r="M47" s="7"/>
    </row>
  </sheetData>
  <autoFilter ref="A5:M35" xr:uid="{00000000-0009-0000-0000-000000000000}"/>
  <mergeCells count="16">
    <mergeCell ref="C43:M43"/>
    <mergeCell ref="C44:M44"/>
    <mergeCell ref="C45:M45"/>
    <mergeCell ref="C46:M46"/>
    <mergeCell ref="C47:M47"/>
    <mergeCell ref="A4:M4"/>
    <mergeCell ref="A36:G36"/>
    <mergeCell ref="A38:M38"/>
    <mergeCell ref="A39:M39"/>
    <mergeCell ref="A42:M42"/>
    <mergeCell ref="A1:AR1"/>
    <mergeCell ref="A2:AR2"/>
    <mergeCell ref="E3:G3"/>
    <mergeCell ref="H3:I3"/>
    <mergeCell ref="K3:L3"/>
    <mergeCell ref="N3:AR3"/>
  </mergeCells>
  <conditionalFormatting sqref="E6:E35">
    <cfRule type="expression" dxfId="25" priority="13">
      <formula>$E6="A"</formula>
    </cfRule>
    <cfRule type="expression" dxfId="24" priority="14">
      <formula>$E6="B"</formula>
    </cfRule>
    <cfRule type="expression" dxfId="23" priority="15">
      <formula>$E6="C"</formula>
    </cfRule>
  </conditionalFormatting>
  <conditionalFormatting sqref="K6:K35">
    <cfRule type="dataBar" priority="16">
      <dataBar>
        <cfvo type="num" val="0"/>
        <cfvo type="num" val="1"/>
        <color rgb="FF2E8B84"/>
      </dataBar>
      <extLst>
        <ext xmlns:x14="http://schemas.microsoft.com/office/spreadsheetml/2009/9/main" uri="{B025F937-C7B1-47D3-B67F-A62EFF666E3E}">
          <x14:id>{EB672CDB-2810-4411-96F0-9A6F5D4625A9}</x14:id>
        </ext>
      </extLst>
    </cfRule>
  </conditionalFormatting>
  <conditionalFormatting sqref="L6:L35">
    <cfRule type="expression" dxfId="22" priority="9">
      <formula>$L6="Abgeschlossen"</formula>
    </cfRule>
    <cfRule type="expression" dxfId="21" priority="10">
      <formula>$L6="Überfällig"</formula>
    </cfRule>
    <cfRule type="expression" dxfId="20" priority="11">
      <formula>$L6="In Arbeit"</formula>
    </cfRule>
    <cfRule type="expression" dxfId="19" priority="12">
      <formula>$L6="Geplant"</formula>
    </cfRule>
  </conditionalFormatting>
  <conditionalFormatting sqref="N4:AR5">
    <cfRule type="expression" dxfId="18" priority="6">
      <formula>AND(N$4&lt;&gt;"",WEEKDAY(N$4,2)&gt;5)</formula>
    </cfRule>
    <cfRule type="expression" dxfId="17" priority="7">
      <formula>AND(N$4&lt;&gt;"",N$4=$AT$1)</formula>
    </cfRule>
  </conditionalFormatting>
  <conditionalFormatting sqref="N6:AR35">
    <cfRule type="expression" dxfId="16" priority="2">
      <formula>AND($B6&lt;&gt;"",N$4&lt;&gt;"",$F6=$G6,N$4=$F6)</formula>
    </cfRule>
    <cfRule type="expression" dxfId="15" priority="3">
      <formula>AND($B6&lt;&gt;"",N$4&lt;&gt;"",$F6&lt;&gt;"",N$4&gt;=$F6,N$4&lt;=$F6+($G6-$F6)*$K6)</formula>
    </cfRule>
    <cfRule type="expression" dxfId="14" priority="4">
      <formula>AND($B6&lt;&gt;"",N$4&lt;&gt;"",$F6&lt;&gt;"",N$4&gt;=$F6,N$4&lt;=$G6)</formula>
    </cfRule>
    <cfRule type="expression" dxfId="13" priority="5">
      <formula>AND(N$4&lt;&gt;"",WEEKDAY(N$4,2)&gt;5)</formula>
    </cfRule>
  </conditionalFormatting>
  <conditionalFormatting sqref="N38:AR39">
    <cfRule type="expression" dxfId="12" priority="8">
      <formula>AND(N$4&lt;&gt;"",N$4=$AT$1)</formula>
    </cfRule>
  </conditionalFormatting>
  <conditionalFormatting sqref="N39:AR39">
    <cfRule type="expression" dxfId="11" priority="17">
      <formula>AND(N39&lt;&gt;"",N39&gt;1)</formula>
    </cfRule>
    <cfRule type="expression" dxfId="10" priority="18">
      <formula>AND(N39&lt;&gt;"",N39&gt;$AT$2)</formula>
    </cfRule>
    <cfRule type="expression" dxfId="9" priority="19">
      <formula>AND(N39&lt;&gt;"",N39&gt;0)</formula>
    </cfRule>
  </conditionalFormatting>
  <dataValidations count="5">
    <dataValidation type="list" allowBlank="1" sqref="C6:C35" xr:uid="{00000000-0002-0000-0000-000000000000}">
      <formula1>Kategorien</formula1>
      <formula2>0</formula2>
    </dataValidation>
    <dataValidation type="list" allowBlank="1" sqref="D6:D35" xr:uid="{00000000-0002-0000-0000-000001000000}">
      <formula1>Verantwortliche</formula1>
      <formula2>0</formula2>
    </dataValidation>
    <dataValidation type="list" allowBlank="1" sqref="E6:E35" xr:uid="{00000000-0002-0000-0000-000002000000}">
      <formula1>Prioritaeten</formula1>
      <formula2>0</formula2>
    </dataValidation>
    <dataValidation type="decimal" allowBlank="1" errorTitle="Ungültiger Wert" error="Bitte einen Fortschritt zwischen 0 % und 100 % eingeben." sqref="K6:K35" xr:uid="{00000000-0002-0000-0000-000003000000}">
      <formula1>0</formula1>
      <formula2>1</formula2>
    </dataValidation>
    <dataValidation type="whole" errorTitle="Ungültiger Monat" error="Bitte eine Zahl von 1 bis 12 eingeben." sqref="B3" xr:uid="{00000000-0002-0000-0000-000004000000}">
      <formula1>1</formula1>
      <formula2>12</formula2>
    </dataValidation>
  </dataValidations>
  <pageMargins left="0.75" right="0.75" top="1" bottom="1" header="0.511811023622047" footer="0.511811023622047"/>
  <pageSetup paperSize="9" orientation="landscape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B672CDB-2810-4411-96F0-9A6F5D4625A9}">
            <x14:dataBar axisPosition="none">
              <x14:cfvo type="num">
                <xm:f>0</xm:f>
              </x14:cfvo>
              <x14:cfvo type="num">
                <xm:f>1</xm:f>
              </x14:cfvo>
              <x14:negativeFillColor rgb="FF2E8B84"/>
            </x14:dataBar>
          </x14:cfRule>
          <xm:sqref>K6:K35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M32"/>
  <sheetViews>
    <sheetView showGridLines="0" zoomScaleNormal="100" workbookViewId="0"/>
  </sheetViews>
  <sheetFormatPr baseColWidth="10" defaultColWidth="8.7109375" defaultRowHeight="15" x14ac:dyDescent="0.25"/>
  <cols>
    <col min="1" max="1" width="3" customWidth="1"/>
    <col min="2" max="2" width="21" customWidth="1"/>
    <col min="3" max="13" width="12.42578125" customWidth="1"/>
  </cols>
  <sheetData>
    <row r="1" spans="2:13" ht="31.5" customHeight="1" x14ac:dyDescent="0.25">
      <c r="B1" s="6" t="s">
        <v>72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2:13" x14ac:dyDescent="0.25">
      <c r="B2" s="13" t="str">
        <f>"Auswertungszeitraum: "&amp;INDEX({"Januar";"Februar";"März";"April";"Mai";"Juni";"Juli";"August";"September";"Oktober";"November";"Dezember"},Zeitplaner!$B$3)&amp;" "&amp;Zeitplaner!$D$3&amp;"   ·   alle Werte werden automatisch aus dem Blatt Zeitplaner berechnet"</f>
        <v>Auswertungszeitraum: Juli 2026   ·   alle Werte werden automatisch aus dem Blatt Zeitplaner berechnet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4" spans="2:13" ht="15" customHeight="1" x14ac:dyDescent="0.25">
      <c r="B4" s="5" t="s">
        <v>73</v>
      </c>
      <c r="C4" s="5"/>
      <c r="D4" s="5" t="s">
        <v>74</v>
      </c>
      <c r="E4" s="5"/>
      <c r="F4" s="5" t="s">
        <v>75</v>
      </c>
      <c r="G4" s="5"/>
      <c r="H4" s="5" t="s">
        <v>76</v>
      </c>
      <c r="I4" s="5"/>
      <c r="J4" s="5" t="s">
        <v>77</v>
      </c>
      <c r="K4" s="5"/>
      <c r="L4" s="5" t="s">
        <v>78</v>
      </c>
      <c r="M4" s="5"/>
    </row>
    <row r="5" spans="2:13" ht="24" customHeight="1" x14ac:dyDescent="0.25">
      <c r="B5" s="4">
        <f>COUNTIF(Zeitplaner!$B$6:$B$35,"?*")</f>
        <v>20</v>
      </c>
      <c r="C5" s="4"/>
      <c r="D5" s="4">
        <f ca="1">COUNTIF(Zeitplaner!$L$6:$L$35,"Abgeschlossen")</f>
        <v>9</v>
      </c>
      <c r="E5" s="4"/>
      <c r="F5" s="4">
        <f ca="1">COUNTIF(Zeitplaner!$L$6:$L$35,"In Arbeit")</f>
        <v>3</v>
      </c>
      <c r="G5" s="4"/>
      <c r="H5" s="4">
        <f ca="1">COUNTIF(Zeitplaner!$L$6:$L$35,"Überfällig")</f>
        <v>3</v>
      </c>
      <c r="I5" s="4"/>
      <c r="J5" s="4">
        <f>NETWORKDAYS(DATE(Zeitplaner!$D$3,Zeitplaner!$B$3,1),DATE(Zeitplaner!$D$3,Zeitplaner!$B$3+1,0),Feiertage)</f>
        <v>23</v>
      </c>
      <c r="K5" s="4"/>
      <c r="L5" s="3">
        <f>Zeitplaner!$K$36</f>
        <v>0.54532967032967028</v>
      </c>
      <c r="M5" s="3"/>
    </row>
    <row r="7" spans="2:13" ht="15" customHeight="1" x14ac:dyDescent="0.25">
      <c r="B7" s="2" t="s">
        <v>79</v>
      </c>
      <c r="C7" s="2"/>
      <c r="D7" s="2" t="s">
        <v>80</v>
      </c>
      <c r="E7" s="2"/>
      <c r="F7" s="2" t="s">
        <v>81</v>
      </c>
      <c r="G7" s="2"/>
      <c r="H7" s="2" t="s">
        <v>82</v>
      </c>
      <c r="I7" s="2"/>
      <c r="J7" s="2" t="s">
        <v>83</v>
      </c>
      <c r="K7" s="2"/>
      <c r="L7" s="2" t="s">
        <v>84</v>
      </c>
      <c r="M7" s="2"/>
    </row>
    <row r="8" spans="2:13" ht="24" customHeight="1" x14ac:dyDescent="0.25">
      <c r="B8" s="1">
        <f>Zeitplaner!$I$36</f>
        <v>182</v>
      </c>
      <c r="C8" s="1"/>
      <c r="D8" s="1">
        <f>Zeitplaner!$M$36</f>
        <v>82.75</v>
      </c>
      <c r="E8" s="1"/>
      <c r="F8" s="1">
        <f>$J$5*Tageskapazitaet</f>
        <v>264.5</v>
      </c>
      <c r="G8" s="1"/>
      <c r="H8" s="3">
        <f>IFERROR($B$8/$F$8,0)</f>
        <v>0.68809073724007563</v>
      </c>
      <c r="I8" s="3"/>
      <c r="J8" s="1">
        <f>MAX(Zeitplaner!$N$38:$AR$38)</f>
        <v>15</v>
      </c>
      <c r="K8" s="1"/>
      <c r="L8" s="4">
        <f>COUNTIF(Zeitplaner!$N$39:$AR$39,"&gt;1")</f>
        <v>3</v>
      </c>
      <c r="M8" s="4"/>
    </row>
    <row r="11" spans="2:13" ht="18" customHeight="1" x14ac:dyDescent="0.25">
      <c r="B11" s="9" t="s">
        <v>85</v>
      </c>
      <c r="C11" s="9"/>
      <c r="D11" s="9"/>
      <c r="E11" s="9"/>
      <c r="F11" s="9"/>
      <c r="H11" s="9" t="s">
        <v>86</v>
      </c>
      <c r="I11" s="9"/>
      <c r="J11" s="9"/>
      <c r="K11" s="9"/>
      <c r="L11" s="9"/>
      <c r="M11" s="9"/>
    </row>
    <row r="12" spans="2:13" x14ac:dyDescent="0.25">
      <c r="B12" s="50" t="s">
        <v>9</v>
      </c>
      <c r="C12" s="51" t="s">
        <v>87</v>
      </c>
      <c r="D12" s="51" t="s">
        <v>88</v>
      </c>
      <c r="E12" s="51" t="s">
        <v>89</v>
      </c>
      <c r="F12" s="51" t="s">
        <v>90</v>
      </c>
      <c r="H12" s="50" t="s">
        <v>10</v>
      </c>
      <c r="I12" s="51" t="s">
        <v>87</v>
      </c>
      <c r="J12" s="51" t="s">
        <v>88</v>
      </c>
      <c r="K12" s="51" t="s">
        <v>91</v>
      </c>
      <c r="L12" s="51" t="s">
        <v>92</v>
      </c>
      <c r="M12" s="51" t="s">
        <v>93</v>
      </c>
    </row>
    <row r="13" spans="2:13" x14ac:dyDescent="0.25">
      <c r="B13" s="52" t="str">
        <f>Stammdaten!$B$18</f>
        <v>Projektarbeit</v>
      </c>
      <c r="C13" s="28">
        <f>COUNTIFS(Zeitplaner!$C$6:$C$35,$B13,Zeitplaner!$B$6:$B$35,"?*")</f>
        <v>4</v>
      </c>
      <c r="D13" s="53">
        <f>SUMIF(Zeitplaner!$C$6:$C$35,$B13,Zeitplaner!$I$6:$I$35)</f>
        <v>63</v>
      </c>
      <c r="E13" s="53">
        <f>SUMPRODUCT((Zeitplaner!$C$6:$C$35=$B13)*Zeitplaner!$I$6:$I$35*Zeitplaner!$K$6:$K$35)</f>
        <v>43.65</v>
      </c>
      <c r="F13" s="54">
        <f t="shared" ref="F13:F21" si="0">IFERROR($D13/$D$22,0)</f>
        <v>0.34615384615384615</v>
      </c>
      <c r="H13" s="52" t="str">
        <f>Stammdaten!$B$30</f>
        <v>M. Berger</v>
      </c>
      <c r="I13" s="28">
        <f>COUNTIFS(Zeitplaner!$D$6:$D$35,$H13,Zeitplaner!$B$6:$B$35,"?*")</f>
        <v>4</v>
      </c>
      <c r="J13" s="53">
        <f>SUMIF(Zeitplaner!$D$6:$D$35,$H13,Zeitplaner!$I$6:$I$35)</f>
        <v>21</v>
      </c>
      <c r="K13" s="53">
        <f>SUMIF(Zeitplaner!$D$6:$D$35,$H13,Zeitplaner!$M$6:$M$35)</f>
        <v>5</v>
      </c>
      <c r="L13" s="53">
        <f>Stammdaten!$C$30*$J$5</f>
        <v>34.5</v>
      </c>
      <c r="M13" s="55">
        <f t="shared" ref="M13:M20" si="1">IFERROR($J13/$L13,0)</f>
        <v>0.60869565217391308</v>
      </c>
    </row>
    <row r="14" spans="2:13" x14ac:dyDescent="0.25">
      <c r="B14" s="56" t="str">
        <f>Stammdaten!$B$19</f>
        <v>Tagesgeschäft</v>
      </c>
      <c r="C14" s="34">
        <f>COUNTIFS(Zeitplaner!$C$6:$C$35,$B14,Zeitplaner!$B$6:$B$35,"?*")</f>
        <v>0</v>
      </c>
      <c r="D14" s="57">
        <f>SUMIF(Zeitplaner!$C$6:$C$35,$B14,Zeitplaner!$I$6:$I$35)</f>
        <v>0</v>
      </c>
      <c r="E14" s="57">
        <f>SUMPRODUCT((Zeitplaner!$C$6:$C$35=$B14)*Zeitplaner!$I$6:$I$35*Zeitplaner!$K$6:$K$35)</f>
        <v>0</v>
      </c>
      <c r="F14" s="58">
        <f t="shared" si="0"/>
        <v>0</v>
      </c>
      <c r="H14" s="56" t="str">
        <f>Stammdaten!$B$31</f>
        <v>S. Klein</v>
      </c>
      <c r="I14" s="34">
        <f>COUNTIFS(Zeitplaner!$D$6:$D$35,$H14,Zeitplaner!$B$6:$B$35,"?*")</f>
        <v>4</v>
      </c>
      <c r="J14" s="57">
        <f>SUMIF(Zeitplaner!$D$6:$D$35,$H14,Zeitplaner!$I$6:$I$35)</f>
        <v>22.5</v>
      </c>
      <c r="K14" s="57">
        <f>SUMIF(Zeitplaner!$D$6:$D$35,$H14,Zeitplaner!$M$6:$M$35)</f>
        <v>5</v>
      </c>
      <c r="L14" s="57">
        <f>Stammdaten!$C$31*$J$5</f>
        <v>46</v>
      </c>
      <c r="M14" s="59">
        <f t="shared" si="1"/>
        <v>0.4891304347826087</v>
      </c>
    </row>
    <row r="15" spans="2:13" x14ac:dyDescent="0.25">
      <c r="B15" s="52" t="str">
        <f>Stammdaten!$B$20</f>
        <v>Meeting / Termin</v>
      </c>
      <c r="C15" s="28">
        <f>COUNTIFS(Zeitplaner!$C$6:$C$35,$B15,Zeitplaner!$B$6:$B$35,"?*")</f>
        <v>2</v>
      </c>
      <c r="D15" s="53">
        <f>SUMIF(Zeitplaner!$C$6:$C$35,$B15,Zeitplaner!$I$6:$I$35)</f>
        <v>3.5</v>
      </c>
      <c r="E15" s="53">
        <f>SUMPRODUCT((Zeitplaner!$C$6:$C$35=$B15)*Zeitplaner!$I$6:$I$35*Zeitplaner!$K$6:$K$35)</f>
        <v>3.5</v>
      </c>
      <c r="F15" s="54">
        <f t="shared" si="0"/>
        <v>1.9230769230769232E-2</v>
      </c>
      <c r="H15" s="52" t="str">
        <f>Stammdaten!$B$32</f>
        <v>T. Neumann</v>
      </c>
      <c r="I15" s="28">
        <f>COUNTIFS(Zeitplaner!$D$6:$D$35,$H15,Zeitplaner!$B$6:$B$35,"?*")</f>
        <v>3</v>
      </c>
      <c r="J15" s="53">
        <f>SUMIF(Zeitplaner!$D$6:$D$35,$H15,Zeitplaner!$I$6:$I$35)</f>
        <v>20</v>
      </c>
      <c r="K15" s="53">
        <f>SUMIF(Zeitplaner!$D$6:$D$35,$H15,Zeitplaner!$M$6:$M$35)</f>
        <v>13.4</v>
      </c>
      <c r="L15" s="53">
        <f>Stammdaten!$C$32*$J$5</f>
        <v>34.5</v>
      </c>
      <c r="M15" s="55">
        <f t="shared" si="1"/>
        <v>0.57971014492753625</v>
      </c>
    </row>
    <row r="16" spans="2:13" x14ac:dyDescent="0.25">
      <c r="B16" s="56" t="str">
        <f>Stammdaten!$B$21</f>
        <v>Kundenkontakt</v>
      </c>
      <c r="C16" s="34">
        <f>COUNTIFS(Zeitplaner!$C$6:$C$35,$B16,Zeitplaner!$B$6:$B$35,"?*")</f>
        <v>4</v>
      </c>
      <c r="D16" s="57">
        <f>SUMIF(Zeitplaner!$C$6:$C$35,$B16,Zeitplaner!$I$6:$I$35)</f>
        <v>22.5</v>
      </c>
      <c r="E16" s="57">
        <f>SUMPRODUCT((Zeitplaner!$C$6:$C$35=$B16)*Zeitplaner!$I$6:$I$35*Zeitplaner!$K$6:$K$35)</f>
        <v>17.5</v>
      </c>
      <c r="F16" s="58">
        <f t="shared" si="0"/>
        <v>0.12362637362637363</v>
      </c>
      <c r="H16" s="56" t="str">
        <f>Stammdaten!$B$33</f>
        <v>A. Hoffmann</v>
      </c>
      <c r="I16" s="34">
        <f>COUNTIFS(Zeitplaner!$D$6:$D$35,$H16,Zeitplaner!$B$6:$B$35,"?*")</f>
        <v>2</v>
      </c>
      <c r="J16" s="57">
        <f>SUMIF(Zeitplaner!$D$6:$D$35,$H16,Zeitplaner!$I$6:$I$35)</f>
        <v>36</v>
      </c>
      <c r="K16" s="57">
        <f>SUMIF(Zeitplaner!$D$6:$D$35,$H16,Zeitplaner!$M$6:$M$35)</f>
        <v>25.4</v>
      </c>
      <c r="L16" s="57">
        <f>Stammdaten!$C$33*$J$5</f>
        <v>46</v>
      </c>
      <c r="M16" s="59">
        <f t="shared" si="1"/>
        <v>0.78260869565217395</v>
      </c>
    </row>
    <row r="17" spans="2:13" x14ac:dyDescent="0.25">
      <c r="B17" s="52" t="str">
        <f>Stammdaten!$B$22</f>
        <v>Verwaltung</v>
      </c>
      <c r="C17" s="28">
        <f>COUNTIFS(Zeitplaner!$C$6:$C$35,$B17,Zeitplaner!$B$6:$B$35,"?*")</f>
        <v>4</v>
      </c>
      <c r="D17" s="53">
        <f>SUMIF(Zeitplaner!$C$6:$C$35,$B17,Zeitplaner!$I$6:$I$35)</f>
        <v>40</v>
      </c>
      <c r="E17" s="53">
        <f>SUMPRODUCT((Zeitplaner!$C$6:$C$35=$B17)*Zeitplaner!$I$6:$I$35*Zeitplaner!$K$6:$K$35)</f>
        <v>15.6</v>
      </c>
      <c r="F17" s="54">
        <f t="shared" si="0"/>
        <v>0.21978021978021978</v>
      </c>
      <c r="H17" s="52" t="str">
        <f>Stammdaten!$B$34</f>
        <v>L. Vogel</v>
      </c>
      <c r="I17" s="28">
        <f>COUNTIFS(Zeitplaner!$D$6:$D$35,$H17,Zeitplaner!$B$6:$B$35,"?*")</f>
        <v>2</v>
      </c>
      <c r="J17" s="53">
        <f>SUMIF(Zeitplaner!$D$6:$D$35,$H17,Zeitplaner!$I$6:$I$35)</f>
        <v>33</v>
      </c>
      <c r="K17" s="53">
        <f>SUMIF(Zeitplaner!$D$6:$D$35,$H17,Zeitplaner!$M$6:$M$35)</f>
        <v>4.9499999999999993</v>
      </c>
      <c r="L17" s="53">
        <f>Stammdaten!$C$34*$J$5</f>
        <v>46</v>
      </c>
      <c r="M17" s="55">
        <f t="shared" si="1"/>
        <v>0.71739130434782605</v>
      </c>
    </row>
    <row r="18" spans="2:13" x14ac:dyDescent="0.25">
      <c r="B18" s="56" t="str">
        <f>Stammdaten!$B$23</f>
        <v>Schulung</v>
      </c>
      <c r="C18" s="34">
        <f>COUNTIFS(Zeitplaner!$C$6:$C$35,$B18,Zeitplaner!$B$6:$B$35,"?*")</f>
        <v>2</v>
      </c>
      <c r="D18" s="57">
        <f>SUMIF(Zeitplaner!$C$6:$C$35,$B18,Zeitplaner!$I$6:$I$35)</f>
        <v>24</v>
      </c>
      <c r="E18" s="57">
        <f>SUMPRODUCT((Zeitplaner!$C$6:$C$35=$B18)*Zeitplaner!$I$6:$I$35*Zeitplaner!$K$6:$K$35)</f>
        <v>12</v>
      </c>
      <c r="F18" s="58">
        <f t="shared" si="0"/>
        <v>0.13186813186813187</v>
      </c>
      <c r="H18" s="56" t="str">
        <f>Stammdaten!$B$35</f>
        <v>R. Sander</v>
      </c>
      <c r="I18" s="34">
        <f>COUNTIFS(Zeitplaner!$D$6:$D$35,$H18,Zeitplaner!$B$6:$B$35,"?*")</f>
        <v>4</v>
      </c>
      <c r="J18" s="57">
        <f>SUMIF(Zeitplaner!$D$6:$D$35,$H18,Zeitplaner!$I$6:$I$35)</f>
        <v>48</v>
      </c>
      <c r="K18" s="57">
        <f>SUMIF(Zeitplaner!$D$6:$D$35,$H18,Zeitplaner!$M$6:$M$35)</f>
        <v>29</v>
      </c>
      <c r="L18" s="57">
        <f>Stammdaten!$C$35*$J$5</f>
        <v>34.5</v>
      </c>
      <c r="M18" s="59">
        <f t="shared" si="1"/>
        <v>1.3913043478260869</v>
      </c>
    </row>
    <row r="19" spans="2:13" x14ac:dyDescent="0.25">
      <c r="B19" s="52" t="str">
        <f>Stammdaten!$B$24</f>
        <v>Wartung</v>
      </c>
      <c r="C19" s="28">
        <f>COUNTIFS(Zeitplaner!$C$6:$C$35,$B19,Zeitplaner!$B$6:$B$35,"?*")</f>
        <v>2</v>
      </c>
      <c r="D19" s="53">
        <f>SUMIF(Zeitplaner!$C$6:$C$35,$B19,Zeitplaner!$I$6:$I$35)</f>
        <v>24</v>
      </c>
      <c r="E19" s="53">
        <f>SUMPRODUCT((Zeitplaner!$C$6:$C$35=$B19)*Zeitplaner!$I$6:$I$35*Zeitplaner!$K$6:$K$35)</f>
        <v>7</v>
      </c>
      <c r="F19" s="54">
        <f t="shared" si="0"/>
        <v>0.13186813186813187</v>
      </c>
      <c r="H19" s="52" t="str">
        <f>Stammdaten!$B$36</f>
        <v>Team</v>
      </c>
      <c r="I19" s="28">
        <f>COUNTIFS(Zeitplaner!$D$6:$D$35,$H19,Zeitplaner!$B$6:$B$35,"?*")</f>
        <v>1</v>
      </c>
      <c r="J19" s="53">
        <f>SUMIF(Zeitplaner!$D$6:$D$35,$H19,Zeitplaner!$I$6:$I$35)</f>
        <v>1.5</v>
      </c>
      <c r="K19" s="53">
        <f>SUMIF(Zeitplaner!$D$6:$D$35,$H19,Zeitplaner!$M$6:$M$35)</f>
        <v>0</v>
      </c>
      <c r="L19" s="53">
        <f>Stammdaten!$C$36*$J$5</f>
        <v>11.5</v>
      </c>
      <c r="M19" s="55">
        <f t="shared" si="1"/>
        <v>0.13043478260869565</v>
      </c>
    </row>
    <row r="20" spans="2:13" x14ac:dyDescent="0.25">
      <c r="B20" s="56" t="str">
        <f>Stammdaten!$B$25</f>
        <v>Meilenstein</v>
      </c>
      <c r="C20" s="34">
        <f>COUNTIFS(Zeitplaner!$C$6:$C$35,$B20,Zeitplaner!$B$6:$B$35,"?*")</f>
        <v>1</v>
      </c>
      <c r="D20" s="57">
        <f>SUMIF(Zeitplaner!$C$6:$C$35,$B20,Zeitplaner!$I$6:$I$35)</f>
        <v>1</v>
      </c>
      <c r="E20" s="57">
        <f>SUMPRODUCT((Zeitplaner!$C$6:$C$35=$B20)*Zeitplaner!$I$6:$I$35*Zeitplaner!$K$6:$K$35)</f>
        <v>0</v>
      </c>
      <c r="F20" s="58">
        <f t="shared" si="0"/>
        <v>5.4945054945054949E-3</v>
      </c>
      <c r="H20" s="56" t="str">
        <f>Stammdaten!$B$37</f>
        <v>Extern</v>
      </c>
      <c r="I20" s="34">
        <f>COUNTIFS(Zeitplaner!$D$6:$D$35,$H20,Zeitplaner!$B$6:$B$35,"?*")</f>
        <v>0</v>
      </c>
      <c r="J20" s="57">
        <f>SUMIF(Zeitplaner!$D$6:$D$35,$H20,Zeitplaner!$I$6:$I$35)</f>
        <v>0</v>
      </c>
      <c r="K20" s="57">
        <f>SUMIF(Zeitplaner!$D$6:$D$35,$H20,Zeitplaner!$M$6:$M$35)</f>
        <v>0</v>
      </c>
      <c r="L20" s="57">
        <f>Stammdaten!$C$37*$J$5</f>
        <v>11.5</v>
      </c>
      <c r="M20" s="59">
        <f t="shared" si="1"/>
        <v>0</v>
      </c>
    </row>
    <row r="21" spans="2:13" x14ac:dyDescent="0.25">
      <c r="B21" s="52" t="str">
        <f>Stammdaten!$B$26</f>
        <v>Sonstiges</v>
      </c>
      <c r="C21" s="28">
        <f>COUNTIFS(Zeitplaner!$C$6:$C$35,$B21,Zeitplaner!$B$6:$B$35,"?*")</f>
        <v>1</v>
      </c>
      <c r="D21" s="53">
        <f>SUMIF(Zeitplaner!$C$6:$C$35,$B21,Zeitplaner!$I$6:$I$35)</f>
        <v>4</v>
      </c>
      <c r="E21" s="53">
        <f>SUMPRODUCT((Zeitplaner!$C$6:$C$35=$B21)*Zeitplaner!$I$6:$I$35*Zeitplaner!$K$6:$K$35)</f>
        <v>0</v>
      </c>
      <c r="F21" s="54">
        <f t="shared" si="0"/>
        <v>2.197802197802198E-2</v>
      </c>
      <c r="H21" s="60" t="s">
        <v>94</v>
      </c>
      <c r="I21" s="61">
        <f>SUM(I13:I20)</f>
        <v>20</v>
      </c>
      <c r="J21" s="62">
        <f>SUM(J13:J20)</f>
        <v>182</v>
      </c>
      <c r="K21" s="62">
        <f>SUM(K13:K20)</f>
        <v>82.75</v>
      </c>
      <c r="L21" s="62">
        <f>SUM(L13:L20)</f>
        <v>264.5</v>
      </c>
      <c r="M21" s="63">
        <f>IFERROR($J$21/$L$21,0)</f>
        <v>0.68809073724007563</v>
      </c>
    </row>
    <row r="22" spans="2:13" x14ac:dyDescent="0.25">
      <c r="B22" s="60" t="s">
        <v>94</v>
      </c>
      <c r="C22" s="61">
        <f>SUM(C13:C21)</f>
        <v>20</v>
      </c>
      <c r="D22" s="62">
        <f>SUM(D13:D21)</f>
        <v>182</v>
      </c>
      <c r="E22" s="62">
        <f>SUM(E13:E21)</f>
        <v>99.25</v>
      </c>
      <c r="F22" s="64">
        <f>SUM(F13:F21)</f>
        <v>0.99999999999999989</v>
      </c>
    </row>
    <row r="24" spans="2:13" ht="18" customHeight="1" x14ac:dyDescent="0.25">
      <c r="B24" s="9" t="s">
        <v>95</v>
      </c>
      <c r="C24" s="9"/>
      <c r="D24" s="9"/>
      <c r="E24" s="9"/>
      <c r="F24" s="9"/>
      <c r="H24" s="9" t="s">
        <v>96</v>
      </c>
      <c r="I24" s="9"/>
      <c r="J24" s="9"/>
      <c r="K24" s="9"/>
      <c r="L24" s="9"/>
      <c r="M24" s="9"/>
    </row>
    <row r="25" spans="2:13" ht="15" customHeight="1" x14ac:dyDescent="0.25">
      <c r="B25" s="50" t="s">
        <v>97</v>
      </c>
      <c r="C25" s="51" t="s">
        <v>98</v>
      </c>
      <c r="D25" s="51" t="s">
        <v>99</v>
      </c>
      <c r="E25" s="51" t="s">
        <v>92</v>
      </c>
      <c r="F25" s="51" t="s">
        <v>93</v>
      </c>
      <c r="H25" s="78" t="s">
        <v>100</v>
      </c>
      <c r="I25" s="78"/>
      <c r="J25" s="78"/>
      <c r="K25" s="78"/>
      <c r="L25" s="78"/>
      <c r="M25" s="78"/>
    </row>
    <row r="26" spans="2:13" ht="15" customHeight="1" x14ac:dyDescent="0.25">
      <c r="B26" s="52" t="str">
        <f t="shared" ref="B26:B31" si="2">"KW "&amp;INT(($C26+3-DATE(YEAR($C26+3),1,1))/7)+1</f>
        <v>KW 27</v>
      </c>
      <c r="C26" s="65">
        <f>DATE(Zeitplaner!$D$3,Zeitplaner!$B$3,1)-WEEKDAY(DATE(Zeitplaner!$D$3,Zeitplaner!$B$3,1),2)+1+7*0</f>
        <v>46202</v>
      </c>
      <c r="D26" s="53">
        <f>SUMPRODUCT((Zeitplaner!$N$40:$AR$40=INT(($C26+3-DATE(YEAR($C26+3),1,1))/7)+1)*Zeitplaner!$N$38:$AR$38)</f>
        <v>18</v>
      </c>
      <c r="E26" s="53">
        <f>MAX(0,NETWORKDAYS(MAX($C26,DATE(Zeitplaner!$D$3,Zeitplaner!$B$3,1)),MIN($C26+6,DATE(Zeitplaner!$D$3,Zeitplaner!$B$3+1,0)),Feiertage))*Tageskapazitaet</f>
        <v>34.5</v>
      </c>
      <c r="F26" s="55">
        <f t="shared" ref="F26:F31" si="3">IFERROR($D26/$E26,0)</f>
        <v>0.52173913043478259</v>
      </c>
      <c r="H26" s="79" t="s">
        <v>101</v>
      </c>
      <c r="I26" s="79"/>
      <c r="J26" s="79"/>
      <c r="K26" s="79"/>
      <c r="L26" s="79"/>
      <c r="M26" s="79"/>
    </row>
    <row r="27" spans="2:13" ht="15" customHeight="1" x14ac:dyDescent="0.25">
      <c r="B27" s="56" t="str">
        <f t="shared" si="2"/>
        <v>KW 28</v>
      </c>
      <c r="C27" s="66">
        <f>DATE(Zeitplaner!$D$3,Zeitplaner!$B$3,1)-WEEKDAY(DATE(Zeitplaner!$D$3,Zeitplaner!$B$3,1),2)+1+7*1</f>
        <v>46209</v>
      </c>
      <c r="D27" s="57">
        <f>SUMPRODUCT((Zeitplaner!$N$40:$AR$40=INT(($C27+3-DATE(YEAR($C27+3),1,1))/7)+1)*Zeitplaner!$N$38:$AR$38)</f>
        <v>46.166666666666671</v>
      </c>
      <c r="E27" s="57">
        <f>MAX(0,NETWORKDAYS(MAX($C27,DATE(Zeitplaner!$D$3,Zeitplaner!$B$3,1)),MIN($C27+6,DATE(Zeitplaner!$D$3,Zeitplaner!$B$3+1,0)),Feiertage))*Tageskapazitaet</f>
        <v>57.5</v>
      </c>
      <c r="F27" s="59">
        <f t="shared" si="3"/>
        <v>0.80289855072463778</v>
      </c>
      <c r="H27" s="78" t="s">
        <v>102</v>
      </c>
      <c r="I27" s="78"/>
      <c r="J27" s="78"/>
      <c r="K27" s="78"/>
      <c r="L27" s="78"/>
      <c r="M27" s="78"/>
    </row>
    <row r="28" spans="2:13" ht="15" customHeight="1" x14ac:dyDescent="0.25">
      <c r="B28" s="52" t="str">
        <f t="shared" si="2"/>
        <v>KW 29</v>
      </c>
      <c r="C28" s="65">
        <f>DATE(Zeitplaner!$D$3,Zeitplaner!$B$3,1)-WEEKDAY(DATE(Zeitplaner!$D$3,Zeitplaner!$B$3,1),2)+1+7*2</f>
        <v>46216</v>
      </c>
      <c r="D28" s="53">
        <f>SUMPRODUCT((Zeitplaner!$N$40:$AR$40=INT(($C28+3-DATE(YEAR($C28+3),1,1))/7)+1)*Zeitplaner!$N$38:$AR$38)</f>
        <v>44.544444444444444</v>
      </c>
      <c r="E28" s="53">
        <f>MAX(0,NETWORKDAYS(MAX($C28,DATE(Zeitplaner!$D$3,Zeitplaner!$B$3,1)),MIN($C28+6,DATE(Zeitplaner!$D$3,Zeitplaner!$B$3+1,0)),Feiertage))*Tageskapazitaet</f>
        <v>57.5</v>
      </c>
      <c r="F28" s="55">
        <f t="shared" si="3"/>
        <v>0.77468599033816421</v>
      </c>
      <c r="H28" s="79" t="s">
        <v>103</v>
      </c>
      <c r="I28" s="79"/>
      <c r="J28" s="79"/>
      <c r="K28" s="79"/>
      <c r="L28" s="79"/>
      <c r="M28" s="79"/>
    </row>
    <row r="29" spans="2:13" ht="15" customHeight="1" x14ac:dyDescent="0.25">
      <c r="B29" s="56" t="str">
        <f t="shared" si="2"/>
        <v>KW 30</v>
      </c>
      <c r="C29" s="66">
        <f>DATE(Zeitplaner!$D$3,Zeitplaner!$B$3,1)-WEEKDAY(DATE(Zeitplaner!$D$3,Zeitplaner!$B$3,1),2)+1+7*3</f>
        <v>46223</v>
      </c>
      <c r="D29" s="57">
        <f>SUMPRODUCT((Zeitplaner!$N$40:$AR$40=INT(($C29+3-DATE(YEAR($C29+3),1,1))/7)+1)*Zeitplaner!$N$38:$AR$38)</f>
        <v>38.955555555555563</v>
      </c>
      <c r="E29" s="57">
        <f>MAX(0,NETWORKDAYS(MAX($C29,DATE(Zeitplaner!$D$3,Zeitplaner!$B$3,1)),MIN($C29+6,DATE(Zeitplaner!$D$3,Zeitplaner!$B$3+1,0)),Feiertage))*Tageskapazitaet</f>
        <v>57.5</v>
      </c>
      <c r="F29" s="59">
        <f t="shared" si="3"/>
        <v>0.67748792270531411</v>
      </c>
      <c r="H29" s="78" t="s">
        <v>104</v>
      </c>
      <c r="I29" s="78"/>
      <c r="J29" s="78"/>
      <c r="K29" s="78"/>
      <c r="L29" s="78"/>
      <c r="M29" s="78"/>
    </row>
    <row r="30" spans="2:13" ht="15" customHeight="1" x14ac:dyDescent="0.25">
      <c r="B30" s="52" t="str">
        <f t="shared" si="2"/>
        <v>KW 31</v>
      </c>
      <c r="C30" s="65">
        <f>DATE(Zeitplaner!$D$3,Zeitplaner!$B$3,1)-WEEKDAY(DATE(Zeitplaner!$D$3,Zeitplaner!$B$3,1),2)+1+7*4</f>
        <v>46230</v>
      </c>
      <c r="D30" s="53">
        <f>SUMPRODUCT((Zeitplaner!$N$40:$AR$40=INT(($C30+3-DATE(YEAR($C30+3),1,1))/7)+1)*Zeitplaner!$N$38:$AR$38)</f>
        <v>34.333333333333336</v>
      </c>
      <c r="E30" s="53">
        <f>MAX(0,NETWORKDAYS(MAX($C30,DATE(Zeitplaner!$D$3,Zeitplaner!$B$3,1)),MIN($C30+6,DATE(Zeitplaner!$D$3,Zeitplaner!$B$3+1,0)),Feiertage))*Tageskapazitaet</f>
        <v>57.5</v>
      </c>
      <c r="F30" s="55">
        <f t="shared" si="3"/>
        <v>0.59710144927536235</v>
      </c>
      <c r="H30" s="79" t="s">
        <v>105</v>
      </c>
      <c r="I30" s="79"/>
      <c r="J30" s="79"/>
      <c r="K30" s="79"/>
      <c r="L30" s="79"/>
      <c r="M30" s="79"/>
    </row>
    <row r="31" spans="2:13" x14ac:dyDescent="0.25">
      <c r="B31" s="56" t="str">
        <f t="shared" si="2"/>
        <v>KW 32</v>
      </c>
      <c r="C31" s="66">
        <f>DATE(Zeitplaner!$D$3,Zeitplaner!$B$3,1)-WEEKDAY(DATE(Zeitplaner!$D$3,Zeitplaner!$B$3,1),2)+1+7*5</f>
        <v>46237</v>
      </c>
      <c r="D31" s="57">
        <f>SUMPRODUCT((Zeitplaner!$N$40:$AR$40=INT(($C31+3-DATE(YEAR($C31+3),1,1))/7)+1)*Zeitplaner!$N$38:$AR$38)</f>
        <v>0</v>
      </c>
      <c r="E31" s="57">
        <f>MAX(0,NETWORKDAYS(MAX($C31,DATE(Zeitplaner!$D$3,Zeitplaner!$B$3,1)),MIN($C31+6,DATE(Zeitplaner!$D$3,Zeitplaner!$B$3+1,0)),Feiertage))*Tageskapazitaet</f>
        <v>0</v>
      </c>
      <c r="F31" s="59">
        <f t="shared" si="3"/>
        <v>0</v>
      </c>
    </row>
    <row r="32" spans="2:13" x14ac:dyDescent="0.25">
      <c r="B32" s="60" t="s">
        <v>94</v>
      </c>
      <c r="C32" s="67"/>
      <c r="D32" s="62">
        <f>SUM(D26:D31)</f>
        <v>182.00000000000003</v>
      </c>
      <c r="E32" s="62">
        <f>SUM(E26:E31)</f>
        <v>264.5</v>
      </c>
      <c r="F32" s="63">
        <f>IFERROR($D$32/$E$32,0)</f>
        <v>0.68809073724007574</v>
      </c>
    </row>
  </sheetData>
  <mergeCells count="36">
    <mergeCell ref="H30:M30"/>
    <mergeCell ref="H25:M25"/>
    <mergeCell ref="H26:M26"/>
    <mergeCell ref="H27:M27"/>
    <mergeCell ref="H28:M28"/>
    <mergeCell ref="H29:M29"/>
    <mergeCell ref="L8:M8"/>
    <mergeCell ref="B11:F11"/>
    <mergeCell ref="H11:M11"/>
    <mergeCell ref="B24:F24"/>
    <mergeCell ref="H24:M24"/>
    <mergeCell ref="B8:C8"/>
    <mergeCell ref="D8:E8"/>
    <mergeCell ref="F8:G8"/>
    <mergeCell ref="H8:I8"/>
    <mergeCell ref="J8:K8"/>
    <mergeCell ref="L5:M5"/>
    <mergeCell ref="B7:C7"/>
    <mergeCell ref="D7:E7"/>
    <mergeCell ref="F7:G7"/>
    <mergeCell ref="H7:I7"/>
    <mergeCell ref="J7:K7"/>
    <mergeCell ref="L7:M7"/>
    <mergeCell ref="B5:C5"/>
    <mergeCell ref="D5:E5"/>
    <mergeCell ref="F5:G5"/>
    <mergeCell ref="H5:I5"/>
    <mergeCell ref="J5:K5"/>
    <mergeCell ref="B1:M1"/>
    <mergeCell ref="B2:M2"/>
    <mergeCell ref="B4:C4"/>
    <mergeCell ref="D4:E4"/>
    <mergeCell ref="F4:G4"/>
    <mergeCell ref="H4:I4"/>
    <mergeCell ref="J4:K4"/>
    <mergeCell ref="L4:M4"/>
  </mergeCells>
  <conditionalFormatting sqref="F26:F31">
    <cfRule type="cellIs" dxfId="8" priority="8" operator="greaterThan">
      <formula>1</formula>
    </cfRule>
    <cfRule type="cellIs" dxfId="7" priority="9" operator="greaterThan">
      <formula>Schwelle_Ziel</formula>
    </cfRule>
    <cfRule type="cellIs" dxfId="6" priority="10" operator="greaterThan">
      <formula>0</formula>
    </cfRule>
  </conditionalFormatting>
  <conditionalFormatting sqref="H5:I5">
    <cfRule type="cellIs" dxfId="5" priority="2" operator="greaterThan">
      <formula>0</formula>
    </cfRule>
  </conditionalFormatting>
  <conditionalFormatting sqref="H8:I8">
    <cfRule type="cellIs" dxfId="4" priority="4" operator="greaterThan">
      <formula>1</formula>
    </cfRule>
  </conditionalFormatting>
  <conditionalFormatting sqref="L8:M8">
    <cfRule type="cellIs" dxfId="3" priority="3" operator="greaterThan">
      <formula>0</formula>
    </cfRule>
  </conditionalFormatting>
  <conditionalFormatting sqref="M13:M20">
    <cfRule type="cellIs" dxfId="2" priority="5" operator="greaterThan">
      <formula>1</formula>
    </cfRule>
    <cfRule type="cellIs" dxfId="1" priority="6" operator="greaterThan">
      <formula>Schwelle_Ziel</formula>
    </cfRule>
    <cfRule type="cellIs" dxfId="0" priority="7" operator="greaterThan">
      <formula>0</formula>
    </cfRule>
  </conditionalFormatting>
  <pageMargins left="0.75" right="0.75" top="1" bottom="1" header="0.511811023622047" footer="0.511811023622047"/>
  <pageSetup paperSize="9"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D73"/>
  <sheetViews>
    <sheetView showGridLines="0" zoomScaleNormal="100" workbookViewId="0"/>
  </sheetViews>
  <sheetFormatPr baseColWidth="10" defaultColWidth="8.7109375" defaultRowHeight="15" x14ac:dyDescent="0.25"/>
  <cols>
    <col min="1" max="1" width="3" customWidth="1"/>
    <col min="2" max="2" width="34" customWidth="1"/>
    <col min="3" max="3" width="18" customWidth="1"/>
    <col min="4" max="4" width="48" customWidth="1"/>
  </cols>
  <sheetData>
    <row r="1" spans="2:4" ht="31.5" customHeight="1" x14ac:dyDescent="0.25">
      <c r="B1" s="6" t="s">
        <v>106</v>
      </c>
      <c r="C1" s="6"/>
      <c r="D1" s="6"/>
    </row>
    <row r="2" spans="2:4" x14ac:dyDescent="0.25">
      <c r="B2" s="13" t="s">
        <v>107</v>
      </c>
      <c r="C2" s="13"/>
      <c r="D2" s="13"/>
    </row>
    <row r="4" spans="2:4" ht="18" customHeight="1" x14ac:dyDescent="0.25">
      <c r="B4" s="9" t="s">
        <v>108</v>
      </c>
      <c r="C4" s="9"/>
      <c r="D4" s="9"/>
    </row>
    <row r="5" spans="2:4" x14ac:dyDescent="0.25">
      <c r="B5" s="56" t="s">
        <v>109</v>
      </c>
      <c r="C5" s="80" t="s">
        <v>110</v>
      </c>
      <c r="D5" s="80"/>
    </row>
    <row r="6" spans="2:4" x14ac:dyDescent="0.25">
      <c r="B6" s="56" t="s">
        <v>111</v>
      </c>
      <c r="C6" s="80" t="s">
        <v>112</v>
      </c>
      <c r="D6" s="80"/>
    </row>
    <row r="7" spans="2:4" x14ac:dyDescent="0.25">
      <c r="B7" s="56" t="s">
        <v>113</v>
      </c>
      <c r="C7" s="80" t="s">
        <v>114</v>
      </c>
      <c r="D7" s="80"/>
    </row>
    <row r="8" spans="2:4" x14ac:dyDescent="0.25">
      <c r="B8" s="56" t="s">
        <v>115</v>
      </c>
      <c r="C8" s="81">
        <f ca="1">TODAY()</f>
        <v>46221</v>
      </c>
      <c r="D8" s="81"/>
    </row>
    <row r="10" spans="2:4" ht="18" customHeight="1" x14ac:dyDescent="0.25">
      <c r="B10" s="9" t="s">
        <v>116</v>
      </c>
      <c r="C10" s="9"/>
      <c r="D10" s="9"/>
    </row>
    <row r="11" spans="2:4" x14ac:dyDescent="0.25">
      <c r="B11" s="56" t="s">
        <v>117</v>
      </c>
      <c r="C11" s="68">
        <v>0.85</v>
      </c>
      <c r="D11" s="69" t="s">
        <v>118</v>
      </c>
    </row>
    <row r="12" spans="2:4" x14ac:dyDescent="0.25">
      <c r="B12" s="56" t="s">
        <v>119</v>
      </c>
      <c r="C12" s="70">
        <f ca="1">TODAY()</f>
        <v>46221</v>
      </c>
      <c r="D12" s="69" t="s">
        <v>120</v>
      </c>
    </row>
    <row r="16" spans="2:4" ht="18" customHeight="1" x14ac:dyDescent="0.25">
      <c r="B16" s="9" t="s">
        <v>121</v>
      </c>
      <c r="C16" s="9"/>
      <c r="D16" s="9"/>
    </row>
    <row r="17" spans="2:4" x14ac:dyDescent="0.25">
      <c r="B17" s="50" t="s">
        <v>9</v>
      </c>
      <c r="C17" s="51" t="s">
        <v>122</v>
      </c>
      <c r="D17" s="50" t="s">
        <v>123</v>
      </c>
    </row>
    <row r="18" spans="2:4" x14ac:dyDescent="0.25">
      <c r="B18" s="25" t="s">
        <v>25</v>
      </c>
      <c r="C18" s="24" t="s">
        <v>124</v>
      </c>
      <c r="D18" s="71" t="s">
        <v>125</v>
      </c>
    </row>
    <row r="19" spans="2:4" x14ac:dyDescent="0.25">
      <c r="B19" s="25" t="s">
        <v>126</v>
      </c>
      <c r="C19" s="33" t="s">
        <v>127</v>
      </c>
      <c r="D19" s="72" t="s">
        <v>128</v>
      </c>
    </row>
    <row r="20" spans="2:4" x14ac:dyDescent="0.25">
      <c r="B20" s="25" t="s">
        <v>21</v>
      </c>
      <c r="C20" s="24" t="s">
        <v>129</v>
      </c>
      <c r="D20" s="71" t="s">
        <v>130</v>
      </c>
    </row>
    <row r="21" spans="2:4" x14ac:dyDescent="0.25">
      <c r="B21" s="25" t="s">
        <v>27</v>
      </c>
      <c r="C21" s="33" t="s">
        <v>131</v>
      </c>
      <c r="D21" s="72" t="s">
        <v>132</v>
      </c>
    </row>
    <row r="22" spans="2:4" x14ac:dyDescent="0.25">
      <c r="B22" s="25" t="s">
        <v>30</v>
      </c>
      <c r="C22" s="24" t="s">
        <v>133</v>
      </c>
      <c r="D22" s="71" t="s">
        <v>134</v>
      </c>
    </row>
    <row r="23" spans="2:4" x14ac:dyDescent="0.25">
      <c r="B23" s="25" t="s">
        <v>40</v>
      </c>
      <c r="C23" s="33" t="s">
        <v>135</v>
      </c>
      <c r="D23" s="72" t="s">
        <v>136</v>
      </c>
    </row>
    <row r="24" spans="2:4" x14ac:dyDescent="0.25">
      <c r="B24" s="25" t="s">
        <v>44</v>
      </c>
      <c r="C24" s="24" t="s">
        <v>137</v>
      </c>
      <c r="D24" s="71" t="s">
        <v>138</v>
      </c>
    </row>
    <row r="25" spans="2:4" x14ac:dyDescent="0.25">
      <c r="B25" s="25" t="s">
        <v>48</v>
      </c>
      <c r="C25" s="33" t="s">
        <v>139</v>
      </c>
      <c r="D25" s="72" t="s">
        <v>140</v>
      </c>
    </row>
    <row r="26" spans="2:4" x14ac:dyDescent="0.25">
      <c r="B26" s="25" t="s">
        <v>57</v>
      </c>
      <c r="C26" s="24" t="s">
        <v>141</v>
      </c>
      <c r="D26" s="71" t="s">
        <v>142</v>
      </c>
    </row>
    <row r="28" spans="2:4" ht="18" customHeight="1" x14ac:dyDescent="0.25">
      <c r="B28" s="9" t="s">
        <v>143</v>
      </c>
      <c r="C28" s="9"/>
      <c r="D28" s="9"/>
    </row>
    <row r="29" spans="2:4" x14ac:dyDescent="0.25">
      <c r="B29" s="50" t="s">
        <v>10</v>
      </c>
      <c r="C29" s="51" t="s">
        <v>144</v>
      </c>
      <c r="D29" s="50" t="s">
        <v>145</v>
      </c>
    </row>
    <row r="30" spans="2:4" x14ac:dyDescent="0.25">
      <c r="B30" s="25" t="s">
        <v>22</v>
      </c>
      <c r="C30" s="73">
        <v>1.5</v>
      </c>
      <c r="D30" s="71" t="s">
        <v>146</v>
      </c>
    </row>
    <row r="31" spans="2:4" x14ac:dyDescent="0.25">
      <c r="B31" s="25" t="s">
        <v>28</v>
      </c>
      <c r="C31" s="73">
        <v>2</v>
      </c>
      <c r="D31" s="72" t="s">
        <v>147</v>
      </c>
    </row>
    <row r="32" spans="2:4" x14ac:dyDescent="0.25">
      <c r="B32" s="25" t="s">
        <v>31</v>
      </c>
      <c r="C32" s="73">
        <v>1.5</v>
      </c>
      <c r="D32" s="71" t="s">
        <v>148</v>
      </c>
    </row>
    <row r="33" spans="2:4" x14ac:dyDescent="0.25">
      <c r="B33" s="25" t="s">
        <v>34</v>
      </c>
      <c r="C33" s="73">
        <v>2</v>
      </c>
      <c r="D33" s="72" t="s">
        <v>149</v>
      </c>
    </row>
    <row r="34" spans="2:4" x14ac:dyDescent="0.25">
      <c r="B34" s="25" t="s">
        <v>38</v>
      </c>
      <c r="C34" s="73">
        <v>2</v>
      </c>
      <c r="D34" s="71" t="s">
        <v>25</v>
      </c>
    </row>
    <row r="35" spans="2:4" x14ac:dyDescent="0.25">
      <c r="B35" s="25" t="s">
        <v>41</v>
      </c>
      <c r="C35" s="73">
        <v>1.5</v>
      </c>
      <c r="D35" s="72" t="s">
        <v>150</v>
      </c>
    </row>
    <row r="36" spans="2:4" x14ac:dyDescent="0.25">
      <c r="B36" s="25" t="s">
        <v>50</v>
      </c>
      <c r="C36" s="73">
        <v>0.5</v>
      </c>
      <c r="D36" s="71" t="s">
        <v>151</v>
      </c>
    </row>
    <row r="37" spans="2:4" x14ac:dyDescent="0.25">
      <c r="B37" s="25" t="s">
        <v>152</v>
      </c>
      <c r="C37" s="73">
        <v>0.5</v>
      </c>
      <c r="D37" s="72" t="s">
        <v>153</v>
      </c>
    </row>
    <row r="38" spans="2:4" x14ac:dyDescent="0.25">
      <c r="B38" s="60" t="s">
        <v>154</v>
      </c>
      <c r="C38" s="74">
        <f>SUM(C30:C37)</f>
        <v>11.5</v>
      </c>
      <c r="D38" s="75" t="s">
        <v>155</v>
      </c>
    </row>
    <row r="40" spans="2:4" ht="18" customHeight="1" x14ac:dyDescent="0.25">
      <c r="B40" s="9" t="s">
        <v>156</v>
      </c>
      <c r="C40" s="9"/>
      <c r="D40" s="9"/>
    </row>
    <row r="41" spans="2:4" x14ac:dyDescent="0.25">
      <c r="B41" s="26" t="s">
        <v>23</v>
      </c>
      <c r="C41" s="82" t="s">
        <v>157</v>
      </c>
      <c r="D41" s="82"/>
    </row>
    <row r="42" spans="2:4" x14ac:dyDescent="0.25">
      <c r="B42" s="26" t="s">
        <v>32</v>
      </c>
      <c r="C42" s="83" t="s">
        <v>158</v>
      </c>
      <c r="D42" s="83"/>
    </row>
    <row r="43" spans="2:4" x14ac:dyDescent="0.25">
      <c r="B43" s="26" t="s">
        <v>35</v>
      </c>
      <c r="C43" s="82" t="s">
        <v>159</v>
      </c>
      <c r="D43" s="82"/>
    </row>
    <row r="45" spans="2:4" ht="18" customHeight="1" x14ac:dyDescent="0.25">
      <c r="B45" s="9" t="s">
        <v>160</v>
      </c>
      <c r="C45" s="9"/>
      <c r="D45" s="9"/>
    </row>
    <row r="46" spans="2:4" x14ac:dyDescent="0.25">
      <c r="B46" s="51" t="s">
        <v>161</v>
      </c>
      <c r="C46" s="50" t="s">
        <v>162</v>
      </c>
      <c r="D46" s="50" t="s">
        <v>145</v>
      </c>
    </row>
    <row r="47" spans="2:4" x14ac:dyDescent="0.25">
      <c r="B47" s="27">
        <v>46023</v>
      </c>
      <c r="C47" s="25" t="s">
        <v>163</v>
      </c>
      <c r="D47" s="76"/>
    </row>
    <row r="48" spans="2:4" x14ac:dyDescent="0.25">
      <c r="B48" s="27">
        <v>46115</v>
      </c>
      <c r="C48" s="25" t="s">
        <v>164</v>
      </c>
      <c r="D48" s="77"/>
    </row>
    <row r="49" spans="2:4" x14ac:dyDescent="0.25">
      <c r="B49" s="27">
        <v>46118</v>
      </c>
      <c r="C49" s="25" t="s">
        <v>165</v>
      </c>
      <c r="D49" s="76"/>
    </row>
    <row r="50" spans="2:4" x14ac:dyDescent="0.25">
      <c r="B50" s="27">
        <v>46143</v>
      </c>
      <c r="C50" s="25" t="s">
        <v>166</v>
      </c>
      <c r="D50" s="77"/>
    </row>
    <row r="51" spans="2:4" x14ac:dyDescent="0.25">
      <c r="B51" s="27">
        <v>46156</v>
      </c>
      <c r="C51" s="25" t="s">
        <v>167</v>
      </c>
      <c r="D51" s="76"/>
    </row>
    <row r="52" spans="2:4" x14ac:dyDescent="0.25">
      <c r="B52" s="27">
        <v>46167</v>
      </c>
      <c r="C52" s="25" t="s">
        <v>168</v>
      </c>
      <c r="D52" s="77"/>
    </row>
    <row r="53" spans="2:4" x14ac:dyDescent="0.25">
      <c r="B53" s="27">
        <v>46298</v>
      </c>
      <c r="C53" s="25" t="s">
        <v>169</v>
      </c>
      <c r="D53" s="76"/>
    </row>
    <row r="54" spans="2:4" x14ac:dyDescent="0.25">
      <c r="B54" s="27">
        <v>46381</v>
      </c>
      <c r="C54" s="25" t="s">
        <v>170</v>
      </c>
      <c r="D54" s="77"/>
    </row>
    <row r="55" spans="2:4" x14ac:dyDescent="0.25">
      <c r="B55" s="27">
        <v>46382</v>
      </c>
      <c r="C55" s="25" t="s">
        <v>171</v>
      </c>
      <c r="D55" s="76"/>
    </row>
    <row r="56" spans="2:4" x14ac:dyDescent="0.25">
      <c r="B56" s="27"/>
      <c r="C56" s="25"/>
      <c r="D56" s="77" t="s">
        <v>172</v>
      </c>
    </row>
    <row r="57" spans="2:4" x14ac:dyDescent="0.25">
      <c r="B57" s="27"/>
      <c r="C57" s="25"/>
      <c r="D57" s="76"/>
    </row>
    <row r="58" spans="2:4" x14ac:dyDescent="0.25">
      <c r="B58" s="27"/>
      <c r="C58" s="25"/>
      <c r="D58" s="77"/>
    </row>
    <row r="60" spans="2:4" ht="18" customHeight="1" x14ac:dyDescent="0.25">
      <c r="B60" s="9" t="s">
        <v>173</v>
      </c>
      <c r="C60" s="9"/>
      <c r="D60" s="9"/>
    </row>
    <row r="61" spans="2:4" ht="15.75" customHeight="1" x14ac:dyDescent="0.25">
      <c r="B61" s="82" t="s">
        <v>174</v>
      </c>
      <c r="C61" s="82"/>
      <c r="D61" s="82"/>
    </row>
    <row r="62" spans="2:4" ht="15.75" customHeight="1" x14ac:dyDescent="0.25">
      <c r="B62" s="83" t="s">
        <v>175</v>
      </c>
      <c r="C62" s="83"/>
      <c r="D62" s="83"/>
    </row>
    <row r="63" spans="2:4" ht="15.75" customHeight="1" x14ac:dyDescent="0.25">
      <c r="B63" s="82" t="s">
        <v>176</v>
      </c>
      <c r="C63" s="82"/>
      <c r="D63" s="82"/>
    </row>
    <row r="64" spans="2:4" ht="15.75" customHeight="1" x14ac:dyDescent="0.25">
      <c r="B64" s="83" t="s">
        <v>177</v>
      </c>
      <c r="C64" s="83"/>
      <c r="D64" s="83"/>
    </row>
    <row r="65" spans="2:4" ht="15.75" customHeight="1" x14ac:dyDescent="0.25">
      <c r="B65" s="82" t="s">
        <v>178</v>
      </c>
      <c r="C65" s="82"/>
      <c r="D65" s="82"/>
    </row>
    <row r="66" spans="2:4" ht="15.75" customHeight="1" x14ac:dyDescent="0.25">
      <c r="B66" s="83" t="s">
        <v>179</v>
      </c>
      <c r="C66" s="83"/>
      <c r="D66" s="83"/>
    </row>
    <row r="68" spans="2:4" ht="18" customHeight="1" x14ac:dyDescent="0.25">
      <c r="B68" s="9" t="s">
        <v>180</v>
      </c>
      <c r="C68" s="9"/>
      <c r="D68" s="9"/>
    </row>
    <row r="69" spans="2:4" ht="15" customHeight="1" x14ac:dyDescent="0.25">
      <c r="B69" s="78" t="s">
        <v>181</v>
      </c>
      <c r="C69" s="78"/>
      <c r="D69" s="78"/>
    </row>
    <row r="70" spans="2:4" ht="15" customHeight="1" x14ac:dyDescent="0.25">
      <c r="B70" s="79" t="s">
        <v>182</v>
      </c>
      <c r="C70" s="79"/>
      <c r="D70" s="79"/>
    </row>
    <row r="71" spans="2:4" ht="15" customHeight="1" x14ac:dyDescent="0.25">
      <c r="B71" s="78" t="s">
        <v>183</v>
      </c>
      <c r="C71" s="78"/>
      <c r="D71" s="78"/>
    </row>
    <row r="72" spans="2:4" ht="15" customHeight="1" x14ac:dyDescent="0.25">
      <c r="B72" s="79" t="s">
        <v>184</v>
      </c>
      <c r="C72" s="79"/>
      <c r="D72" s="79"/>
    </row>
    <row r="73" spans="2:4" ht="15" customHeight="1" x14ac:dyDescent="0.25">
      <c r="B73" s="78" t="s">
        <v>185</v>
      </c>
      <c r="C73" s="78"/>
      <c r="D73" s="78"/>
    </row>
  </sheetData>
  <mergeCells count="28">
    <mergeCell ref="B71:D71"/>
    <mergeCell ref="B72:D72"/>
    <mergeCell ref="B73:D73"/>
    <mergeCell ref="B65:D65"/>
    <mergeCell ref="B66:D66"/>
    <mergeCell ref="B68:D68"/>
    <mergeCell ref="B69:D69"/>
    <mergeCell ref="B70:D70"/>
    <mergeCell ref="B60:D60"/>
    <mergeCell ref="B61:D61"/>
    <mergeCell ref="B62:D62"/>
    <mergeCell ref="B63:D63"/>
    <mergeCell ref="B64:D64"/>
    <mergeCell ref="B40:D40"/>
    <mergeCell ref="C41:D41"/>
    <mergeCell ref="C42:D42"/>
    <mergeCell ref="C43:D43"/>
    <mergeCell ref="B45:D45"/>
    <mergeCell ref="C7:D7"/>
    <mergeCell ref="C8:D8"/>
    <mergeCell ref="B10:D10"/>
    <mergeCell ref="B16:D16"/>
    <mergeCell ref="B28:D28"/>
    <mergeCell ref="B1:D1"/>
    <mergeCell ref="B2:D2"/>
    <mergeCell ref="B4:D4"/>
    <mergeCell ref="C5:D5"/>
    <mergeCell ref="C6:D6"/>
  </mergeCells>
  <pageMargins left="0.75" right="0.75" top="1" bottom="1" header="0.511811023622047" footer="0.511811023622047"/>
  <pageSetup paperSize="9" fitToHeight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10</vt:i4>
      </vt:variant>
    </vt:vector>
  </HeadingPairs>
  <TitlesOfParts>
    <vt:vector size="13" baseType="lpstr">
      <vt:lpstr>Zeitplaner</vt:lpstr>
      <vt:lpstr>Auswertung</vt:lpstr>
      <vt:lpstr>Stammdaten</vt:lpstr>
      <vt:lpstr>Stammdaten!Druckbereich</vt:lpstr>
      <vt:lpstr>Zeitplaner!Druckbereich</vt:lpstr>
      <vt:lpstr>Zeitplaner!Drucktitel</vt:lpstr>
      <vt:lpstr>Feiertage</vt:lpstr>
      <vt:lpstr>Kategorien</vt:lpstr>
      <vt:lpstr>Prioritaeten</vt:lpstr>
      <vt:lpstr>Schwelle_Ziel</vt:lpstr>
      <vt:lpstr>Stichtag</vt:lpstr>
      <vt:lpstr>Tageskapazitaet</vt:lpstr>
      <vt:lpstr>Verantwortliche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2026-07-18T10:49:38Z</dcterms:created>
  <dcterms:modified xsi:type="dcterms:W3CDTF">2026-07-18T11:02:41Z</dcterms:modified>
  <dc:language>en-US</dc:language>
</cp:coreProperties>
</file>