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8997F40-73CF-4418-AD23-80CE0FB16889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Zahlungsavis" sheetId="1" r:id="rId1"/>
    <sheet name="Avis-Register" sheetId="2" r:id="rId2"/>
    <sheet name="Stammdaten" sheetId="3" r:id="rId3"/>
  </sheets>
  <definedNames>
    <definedName name="_xlnm._FilterDatabase" localSheetId="1" hidden="1">'Avis-Register'!$A$9:$M$29</definedName>
    <definedName name="_xlnm.Print_Area" localSheetId="1">'Avis-Register'!$A$1:$M$62</definedName>
    <definedName name="_xlnm.Print_Area" localSheetId="2">Stammdaten!$A$1:$G$40</definedName>
    <definedName name="_xlnm.Print_Area" localSheetId="0">Zahlungsavis!$A$1:$K$47</definedName>
    <definedName name="Skontofrist_Tage">Stammdaten!$C$20</definedName>
    <definedName name="Standard_Skonto">Stammdaten!$C$22</definedName>
    <definedName name="Zahlungsziel_Tage">Stammdaten!$C$19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6" i="2" l="1"/>
  <c r="D46" i="2"/>
  <c r="C46" i="2"/>
  <c r="B46" i="2"/>
  <c r="E45" i="2"/>
  <c r="D45" i="2"/>
  <c r="C45" i="2"/>
  <c r="B45" i="2"/>
  <c r="E44" i="2"/>
  <c r="D44" i="2"/>
  <c r="C44" i="2"/>
  <c r="B44" i="2"/>
  <c r="E43" i="2"/>
  <c r="D43" i="2"/>
  <c r="C43" i="2"/>
  <c r="B43" i="2"/>
  <c r="G42" i="2"/>
  <c r="E42" i="2"/>
  <c r="D42" i="2"/>
  <c r="C42" i="2"/>
  <c r="B42" i="2"/>
  <c r="D41" i="2"/>
  <c r="C41" i="2"/>
  <c r="B41" i="2"/>
  <c r="D40" i="2"/>
  <c r="C40" i="2"/>
  <c r="B40" i="2"/>
  <c r="G39" i="2"/>
  <c r="D39" i="2"/>
  <c r="C39" i="2"/>
  <c r="B39" i="2"/>
  <c r="D38" i="2"/>
  <c r="C38" i="2"/>
  <c r="B38" i="2"/>
  <c r="H37" i="2"/>
  <c r="D37" i="2"/>
  <c r="C37" i="2"/>
  <c r="B37" i="2"/>
  <c r="H36" i="2"/>
  <c r="E36" i="2"/>
  <c r="D36" i="2"/>
  <c r="C36" i="2"/>
  <c r="B36" i="2"/>
  <c r="H35" i="2"/>
  <c r="E35" i="2"/>
  <c r="D35" i="2"/>
  <c r="D47" i="2" s="1"/>
  <c r="C35" i="2"/>
  <c r="C47" i="2" s="1"/>
  <c r="B35" i="2"/>
  <c r="B47" i="2" s="1"/>
  <c r="H30" i="2"/>
  <c r="G30" i="2"/>
  <c r="F30" i="2"/>
  <c r="I29" i="2"/>
  <c r="A29" i="2"/>
  <c r="I28" i="2"/>
  <c r="A28" i="2"/>
  <c r="I27" i="2"/>
  <c r="A27" i="2"/>
  <c r="I26" i="2"/>
  <c r="A26" i="2"/>
  <c r="I25" i="2"/>
  <c r="A25" i="2"/>
  <c r="I24" i="2"/>
  <c r="A24" i="2"/>
  <c r="I23" i="2"/>
  <c r="A23" i="2"/>
  <c r="I22" i="2"/>
  <c r="A22" i="2"/>
  <c r="I21" i="2"/>
  <c r="A21" i="2"/>
  <c r="I20" i="2"/>
  <c r="E41" i="2" s="1"/>
  <c r="A20" i="2"/>
  <c r="I19" i="2"/>
  <c r="A19" i="2"/>
  <c r="I18" i="2"/>
  <c r="E40" i="2" s="1"/>
  <c r="A18" i="2"/>
  <c r="I17" i="2"/>
  <c r="A17" i="2"/>
  <c r="I16" i="2"/>
  <c r="E39" i="2" s="1"/>
  <c r="A16" i="2"/>
  <c r="I15" i="2"/>
  <c r="A15" i="2"/>
  <c r="I14" i="2"/>
  <c r="I7" i="2" s="1"/>
  <c r="A14" i="2"/>
  <c r="I13" i="2"/>
  <c r="A13" i="2"/>
  <c r="I12" i="2"/>
  <c r="E37" i="2" s="1"/>
  <c r="A12" i="2"/>
  <c r="I11" i="2"/>
  <c r="A11" i="2"/>
  <c r="I10" i="2"/>
  <c r="I30" i="2" s="1"/>
  <c r="A10" i="2"/>
  <c r="K7" i="2"/>
  <c r="G7" i="2"/>
  <c r="E7" i="2"/>
  <c r="C7" i="2"/>
  <c r="A7" i="2"/>
  <c r="D41" i="1"/>
  <c r="D39" i="1"/>
  <c r="D38" i="1"/>
  <c r="I35" i="1"/>
  <c r="F35" i="1"/>
  <c r="K34" i="1"/>
  <c r="J34" i="1"/>
  <c r="H34" i="1"/>
  <c r="E34" i="1"/>
  <c r="A34" i="1"/>
  <c r="K33" i="1"/>
  <c r="J33" i="1"/>
  <c r="H33" i="1"/>
  <c r="E33" i="1"/>
  <c r="A33" i="1"/>
  <c r="K32" i="1"/>
  <c r="J32" i="1"/>
  <c r="H32" i="1"/>
  <c r="E32" i="1"/>
  <c r="A32" i="1"/>
  <c r="K31" i="1"/>
  <c r="J31" i="1"/>
  <c r="H31" i="1"/>
  <c r="E31" i="1"/>
  <c r="A31" i="1"/>
  <c r="K30" i="1"/>
  <c r="J30" i="1"/>
  <c r="H30" i="1"/>
  <c r="E30" i="1"/>
  <c r="A30" i="1"/>
  <c r="K29" i="1"/>
  <c r="H29" i="1"/>
  <c r="J29" i="1" s="1"/>
  <c r="E29" i="1"/>
  <c r="A29" i="1"/>
  <c r="K28" i="1"/>
  <c r="H28" i="1"/>
  <c r="J28" i="1" s="1"/>
  <c r="E28" i="1"/>
  <c r="A28" i="1"/>
  <c r="K27" i="1"/>
  <c r="H27" i="1"/>
  <c r="J27" i="1" s="1"/>
  <c r="A27" i="1"/>
  <c r="K26" i="1"/>
  <c r="H26" i="1"/>
  <c r="J26" i="1" s="1"/>
  <c r="E26" i="1"/>
  <c r="A26" i="1"/>
  <c r="K25" i="1"/>
  <c r="H25" i="1"/>
  <c r="J25" i="1" s="1"/>
  <c r="E25" i="1"/>
  <c r="A25" i="1"/>
  <c r="K24" i="1"/>
  <c r="H24" i="1"/>
  <c r="J24" i="1" s="1"/>
  <c r="E24" i="1"/>
  <c r="A24" i="1"/>
  <c r="K23" i="1"/>
  <c r="H23" i="1"/>
  <c r="J23" i="1" s="1"/>
  <c r="A23" i="1"/>
  <c r="K22" i="1"/>
  <c r="H22" i="1"/>
  <c r="J22" i="1" s="1"/>
  <c r="E22" i="1"/>
  <c r="A22" i="1"/>
  <c r="K21" i="1"/>
  <c r="H21" i="1"/>
  <c r="J21" i="1" s="1"/>
  <c r="E21" i="1"/>
  <c r="A21" i="1"/>
  <c r="K20" i="1"/>
  <c r="H20" i="1"/>
  <c r="J20" i="1" s="1"/>
  <c r="E20" i="1"/>
  <c r="A20" i="1"/>
  <c r="H16" i="1"/>
  <c r="B16" i="1"/>
  <c r="K15" i="1"/>
  <c r="G41" i="1" s="1"/>
  <c r="H15" i="1"/>
  <c r="E15" i="1"/>
  <c r="E27" i="1" s="1"/>
  <c r="K14" i="1"/>
  <c r="B11" i="1"/>
  <c r="B10" i="1"/>
  <c r="B9" i="1"/>
  <c r="B8" i="1"/>
  <c r="B7" i="1"/>
  <c r="B6" i="1"/>
  <c r="G42" i="1" l="1"/>
  <c r="D42" i="1"/>
  <c r="J35" i="1"/>
  <c r="E38" i="2"/>
  <c r="E47" i="2" s="1"/>
  <c r="E23" i="1"/>
  <c r="H35" i="1"/>
  <c r="D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5" authorId="0" shapeId="0" xr:uid="{00000000-0006-0000-0000-000001000000}">
      <text>
        <r>
          <rPr>
            <sz val="10"/>
            <rFont val="Arial"/>
            <family val="2"/>
          </rPr>
          <t>Stichtag für die Skontoprüfung. Wird dieses Datum geändert, berechnet die Vorlage Skonto und Skontostatus aller Positionen neu.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9" authorId="0" shapeId="0" xr:uid="{00000000-0006-0000-0200-000001000000}">
      <text>
        <r>
          <rPr>
            <sz val="10"/>
            <rFont val="Arial"/>
            <family val="2"/>
          </rPr>
          <t>Bestimmt im Zahlungsavis die Spalte „fällig am“ (Belegdatum + Zahlungsziel).</t>
        </r>
      </text>
    </comment>
    <comment ref="C20" authorId="0" shapeId="0" xr:uid="{00000000-0006-0000-0200-000002000000}">
      <text>
        <r>
          <rPr>
            <sz val="10"/>
            <rFont val="Arial"/>
            <family val="2"/>
          </rPr>
          <t>Bestimmt, ob Skonto gezogen werden darf: Skonto wird nur berechnet, wenn Zahlungsdatum &lt;= Belegdatum + Skontofrist.</t>
        </r>
      </text>
    </comment>
  </commentList>
</comments>
</file>

<file path=xl/sharedStrings.xml><?xml version="1.0" encoding="utf-8"?>
<sst xmlns="http://schemas.openxmlformats.org/spreadsheetml/2006/main" count="247" uniqueCount="178">
  <si>
    <t>ZAHLUNGSAVIS</t>
  </si>
  <si>
    <t>Avis über eine Sammelzahlung – Zuordnung der bezahlten Belege</t>
  </si>
  <si>
    <t>1  ABSENDER  ·  ZAHLER</t>
  </si>
  <si>
    <t>2  ZAHLUNGSEMPFÄNGER</t>
  </si>
  <si>
    <t>Firma</t>
  </si>
  <si>
    <t>Sonnenberg Technik AG</t>
  </si>
  <si>
    <t>Anschrift</t>
  </si>
  <si>
    <t>Industriering 8</t>
  </si>
  <si>
    <t>PLZ / Ort</t>
  </si>
  <si>
    <t>49080 Beispielstadt</t>
  </si>
  <si>
    <t>Ansprechpartner</t>
  </si>
  <si>
    <t>K. Lorenz</t>
  </si>
  <si>
    <t>E-Mail</t>
  </si>
  <si>
    <t>debitoren@sonnenberg-technik.de</t>
  </si>
  <si>
    <t>Telefon</t>
  </si>
  <si>
    <t>+49 541 987650</t>
  </si>
  <si>
    <t>3  ZAHLUNGSDATEN</t>
  </si>
  <si>
    <t>Avis-Nummer</t>
  </si>
  <si>
    <t>ZA-2026-0148</t>
  </si>
  <si>
    <t>Avis-Datum</t>
  </si>
  <si>
    <t>Zahlungsart</t>
  </si>
  <si>
    <t>SEPA-Überweisung</t>
  </si>
  <si>
    <t>Währung</t>
  </si>
  <si>
    <t>Zahlungsdatum</t>
  </si>
  <si>
    <t>Zahlungsziel (Tage)</t>
  </si>
  <si>
    <t>Skontofrist (Tage)</t>
  </si>
  <si>
    <t>Positionen</t>
  </si>
  <si>
    <t>Verwendungszweck</t>
  </si>
  <si>
    <t>IBAN Zahler</t>
  </si>
  <si>
    <t>4  ZAHLUNGSPOSITIONEN  ·  bezahlte Belege</t>
  </si>
  <si>
    <t>Pos.</t>
  </si>
  <si>
    <t>Belegart</t>
  </si>
  <si>
    <t>Belegnummer</t>
  </si>
  <si>
    <t>Belegdatum</t>
  </si>
  <si>
    <t>fällig am</t>
  </si>
  <si>
    <t>Bruttobetrag</t>
  </si>
  <si>
    <t>Skonto %</t>
  </si>
  <si>
    <t>Skontobetrag</t>
  </si>
  <si>
    <t>Kürzung</t>
  </si>
  <si>
    <t>Zahlbetrag</t>
  </si>
  <si>
    <t>Skontostatus</t>
  </si>
  <si>
    <t>Rechnung</t>
  </si>
  <si>
    <t>RE-2026-04187</t>
  </si>
  <si>
    <t>RE-2026-04203</t>
  </si>
  <si>
    <t>RE-2026-04211</t>
  </si>
  <si>
    <t>RE-2026-04098</t>
  </si>
  <si>
    <t>Gutschrift</t>
  </si>
  <si>
    <t>GS-2026-0116</t>
  </si>
  <si>
    <t>RE-2026-04220</t>
  </si>
  <si>
    <t>RE-2026-04175</t>
  </si>
  <si>
    <t>RE-2026-04229</t>
  </si>
  <si>
    <t>GS-2026-0121</t>
  </si>
  <si>
    <t>RE-2026-04236</t>
  </si>
  <si>
    <t>Summe Positionen</t>
  </si>
  <si>
    <t>5  ZAHLUNGSÜBERSICHT</t>
  </si>
  <si>
    <t>Summe Rechnungen (brutto)</t>
  </si>
  <si>
    <t>Hinweis: Ein Zahlungsavis kündigt eine Zahlung an und ordnet die bezahlten Belege zu. Es ist selbst kein Zahlungsnachweis – dieser ergibt sich aus der Gutschrift auf dem Konto des Empfängers. Bitte etwaige Abweichungen innerhalb von 10 Tagen melden.</t>
  </si>
  <si>
    <t>Summe Gutschriften</t>
  </si>
  <si>
    <t>abzüglich Skonto</t>
  </si>
  <si>
    <t>abzüglich sonstiger Kürzungen</t>
  </si>
  <si>
    <t>ÜBERWEISUNGSBETRAG</t>
  </si>
  <si>
    <t>Ort, Datum</t>
  </si>
  <si>
    <t>Buchhaltung / Zahlungsfreigabe</t>
  </si>
  <si>
    <t>Unterschrift</t>
  </si>
  <si>
    <t>Hellgrün hinterlegte Felder sind Eingabefelder · grüne Schrift = Verweis auf das Blatt „Stammdaten“ · alle übrigen Werte werden automatisch berechnet.</t>
  </si>
  <si>
    <t>AVIS-REGISTER 2026</t>
  </si>
  <si>
    <t>Alle versendeten Zahlungsavise im Überblick</t>
  </si>
  <si>
    <t>Anzahl Avise</t>
  </si>
  <si>
    <t>Zahlungsvolumen brutto</t>
  </si>
  <si>
    <t>Skonto-Ersparnis</t>
  </si>
  <si>
    <t>Skontoquote</t>
  </si>
  <si>
    <t>Überweisungsvolumen</t>
  </si>
  <si>
    <t>noch nicht bezahlt</t>
  </si>
  <si>
    <t>Nr.</t>
  </si>
  <si>
    <t>Avis-Nr.</t>
  </si>
  <si>
    <t>Zahlungsempfänger</t>
  </si>
  <si>
    <t>Belege</t>
  </si>
  <si>
    <t>Bruttosumme</t>
  </si>
  <si>
    <t>Skonto</t>
  </si>
  <si>
    <t>Überweisungsbetrag</t>
  </si>
  <si>
    <t>Status</t>
  </si>
  <si>
    <t>versendet am</t>
  </si>
  <si>
    <t>Bemerkung</t>
  </si>
  <si>
    <t>ZA-2026-0118</t>
  </si>
  <si>
    <t>Musterland Logistik GmbH</t>
  </si>
  <si>
    <t>Bezahlt</t>
  </si>
  <si>
    <t>Sammelzahlung Januar</t>
  </si>
  <si>
    <t>ZA-2026-0121</t>
  </si>
  <si>
    <t>Bürowelt Nord e.K.</t>
  </si>
  <si>
    <t>ZA-2026-0125</t>
  </si>
  <si>
    <t>Alpha Werkstoffe GmbH</t>
  </si>
  <si>
    <t>Kürzung wegen Fehlmenge</t>
  </si>
  <si>
    <t>ZA-2026-0129</t>
  </si>
  <si>
    <t>Delta Services AG</t>
  </si>
  <si>
    <t>ohne Skontovereinbarung</t>
  </si>
  <si>
    <t>ZA-2026-0133</t>
  </si>
  <si>
    <t>ZA-2026-0136</t>
  </si>
  <si>
    <t>ZA-2026-0139</t>
  </si>
  <si>
    <t>Nordstern Verpackung GmbH</t>
  </si>
  <si>
    <t>ZA-2026-0142</t>
  </si>
  <si>
    <t>3 % Skonto vereinbart</t>
  </si>
  <si>
    <t>ZA-2026-0144</t>
  </si>
  <si>
    <t>ZA-2026-0146</t>
  </si>
  <si>
    <t>Versendet</t>
  </si>
  <si>
    <t>Rückfrage zu Beleg RE-2026-03980</t>
  </si>
  <si>
    <t>ZA-2026-0147</t>
  </si>
  <si>
    <t>Entwurf</t>
  </si>
  <si>
    <t>Werte siehe Blatt „Zahlungsavis“</t>
  </si>
  <si>
    <t>Summe</t>
  </si>
  <si>
    <t>MONATSÜBERSICHT 2026</t>
  </si>
  <si>
    <t>STATUS</t>
  </si>
  <si>
    <t>Monat</t>
  </si>
  <si>
    <t>Avise</t>
  </si>
  <si>
    <t>Überweisung</t>
  </si>
  <si>
    <t>Anzahl</t>
  </si>
  <si>
    <t>Januar</t>
  </si>
  <si>
    <t>Februar</t>
  </si>
  <si>
    <t>März</t>
  </si>
  <si>
    <t>April</t>
  </si>
  <si>
    <t>Top-Empfänger (Volumen)</t>
  </si>
  <si>
    <t>Mai</t>
  </si>
  <si>
    <t>Juni</t>
  </si>
  <si>
    <t>Juli</t>
  </si>
  <si>
    <t>Ø Volumen je Avis</t>
  </si>
  <si>
    <t>August</t>
  </si>
  <si>
    <t>September</t>
  </si>
  <si>
    <t>Oktober</t>
  </si>
  <si>
    <t>November</t>
  </si>
  <si>
    <t>Dezember</t>
  </si>
  <si>
    <t>STAMMDATEN &amp; ANLEITUNG</t>
  </si>
  <si>
    <t>Einmal ausfüllen – die Angaben erscheinen automatisch im Zahlungsavis</t>
  </si>
  <si>
    <t>UNTERNEHMENSDATEN (ZAHLER)</t>
  </si>
  <si>
    <t>ANLEITUNG IN 6 SCHRITTEN</t>
  </si>
  <si>
    <t>Nordwind Handels GmbH</t>
  </si>
  <si>
    <t>1.  Stammdaten ausfüllen: Unternehmens- und Bankangaben sowie die Standard-Zahlungskonditionen (Zahlungsziel, Skontofrist, Skontosatz) in den hellgrünen Feldern eintragen.</t>
  </si>
  <si>
    <t>Gewerbestraße 14</t>
  </si>
  <si>
    <t>26123 Musterstadt</t>
  </si>
  <si>
    <t>M. Behrens</t>
  </si>
  <si>
    <t>2.  Blatt „Zahlungsavis“ öffnen und den Zahlungsempfänger erfassen. Die Absenderangaben werden automatisch aus den Stammdaten übernommen.</t>
  </si>
  <si>
    <t>buchhaltung@nordwind-handel.de</t>
  </si>
  <si>
    <t>+49 441 1234-560</t>
  </si>
  <si>
    <t>BANKVERBINDUNG DES ZAHLERS</t>
  </si>
  <si>
    <t>3.  Avis-Nummer, Avis-Datum und vor allem das Zahlungsdatum eintragen. Das Zahlungsdatum ist der Stichtag, an dem die Vorlage prüft, ob Skonto noch gezogen werden darf.</t>
  </si>
  <si>
    <t>Kreditinstitut</t>
  </si>
  <si>
    <t>Musterbank Nordwest AG</t>
  </si>
  <si>
    <t>IBAN</t>
  </si>
  <si>
    <t>DE12 5001 0517 0123 4567 89</t>
  </si>
  <si>
    <t>BIC</t>
  </si>
  <si>
    <t>MUSTDEFF123</t>
  </si>
  <si>
    <t>4.  Zahlungspositionen erfassen: Belegart über das Dropdown wählen, Belegnummer, Belegdatum und Bruttobetrag eintragen. Gutschriften werden mit negativem Betrag erfasst und automatisch verrechnet. Vereinbarte Kürzungen (z. B. Mängelrüge, Fracht) kommen in die Spalte „Kürzung“.</t>
  </si>
  <si>
    <t>Steuernummer / USt-IdNr.</t>
  </si>
  <si>
    <t>DE123456789</t>
  </si>
  <si>
    <t>ZAHLUNGSKONDITIONEN (STANDARD)</t>
  </si>
  <si>
    <t>5.  Ergebnis prüfen: Skontobetrag, Zahlbetrag und Skontostatus berechnen sich selbst. Der Kasten „Prüfsumme“ bestätigt, dass Positionen und Überweisungsbetrag zusammenpassen.</t>
  </si>
  <si>
    <t>Zahlungsziel in Tagen</t>
  </si>
  <si>
    <t>Skontofrist in Tagen</t>
  </si>
  <si>
    <t>EUR</t>
  </si>
  <si>
    <t>6.  Avis als PDF exportieren, an den Zahlungsempfänger senden und anschließend im Blatt „Avis-Register“ mit Status erfassen – dort entstehen Kennzahlen, Monatsübersicht und Diagramme.</t>
  </si>
  <si>
    <t>Standard-Skontosatz</t>
  </si>
  <si>
    <t>WICHTIGER HINWEIS</t>
  </si>
  <si>
    <t>Ein Zahlungsavis ist die Ankündigung bzw. Aufschlüsselung einer Zahlung gegenüber dem Zahlungsempfänger. Es ist in Deutschland nicht gesetzlich vorgeschrieben, gilt aber – besonders bei Sammelüberweisungen, längeren Zahlungszielen und Auslandszahlungen – als gute kaufmännische Praxis. Ein Zahlungsavis ersetzt keinen Zahlungsnachweis: Nachweis der Zahlung bleibt die Gutschrift auf dem Konto des Empfängers bzw. der Kontoauszug. Beträge in dieser Vorlage sind Bruttobeträge; eine umsatzsteuerliche Beurteilung ersetzt die Vorlage nicht.</t>
  </si>
  <si>
    <t>Eilüberweisung</t>
  </si>
  <si>
    <t>Anzahlung</t>
  </si>
  <si>
    <t>Lastschrift</t>
  </si>
  <si>
    <t>Scheck</t>
  </si>
  <si>
    <t>Verrechnung</t>
  </si>
  <si>
    <t>Auswahllisten – hier können Sie eigene Einträge ergänzen.</t>
  </si>
  <si>
    <t>LEGENDE</t>
  </si>
  <si>
    <t>TIPP: SKONTO RICHTIG NUTZEN</t>
  </si>
  <si>
    <t>hellgrünes Feld</t>
  </si>
  <si>
    <t>Eingabefeld – hier tragen Sie Ihre Daten ein</t>
  </si>
  <si>
    <t>Skonto wird nur berechnet, wenn das Zahlungsdatum innerhalb der Skontofrist liegt. Verschieben Sie das Zahlungsdatum testweise, um zu sehen, welche Belege ihre Skontofrist verlieren – die Spalte „Skontostatus“ und der Überweisungsbetrag reagieren sofort. Abweichende Konditionen einzelner Lieferanten tragen Sie einfach im Skontosatz der jeweiligen Zeile ein.</t>
  </si>
  <si>
    <t>grüne Schrift</t>
  </si>
  <si>
    <t>Verweis auf dieses Stammdatenblatt</t>
  </si>
  <si>
    <t>schwarze Schrift</t>
  </si>
  <si>
    <t>automatische Berechnung – bitte nicht überschreiben</t>
  </si>
  <si>
    <t>rote Kennzeichnung</t>
  </si>
  <si>
    <t>Skontofrist abgelaufen oder Abweichung in der Prüfsumme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</si>
</sst>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&quot; €&quot;"/>
    <numFmt numFmtId="166" formatCode="0.0%"/>
    <numFmt numFmtId="167" formatCode="#,##0&quot; €&quot;"/>
  </numFmts>
  <fonts count="2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9"/>
      <color rgb="FF33304A"/>
      <name val="Calibri"/>
      <charset val="1"/>
    </font>
    <font>
      <b/>
      <sz val="10"/>
      <color rgb="FFFFFFFF"/>
      <name val="Calibri"/>
      <charset val="1"/>
    </font>
    <font>
      <sz val="9"/>
      <color rgb="FF7A7788"/>
      <name val="Calibri"/>
      <charset val="1"/>
    </font>
    <font>
      <sz val="10"/>
      <color rgb="FF3F6B3F"/>
      <name val="Calibri"/>
      <charset val="1"/>
    </font>
    <font>
      <sz val="10"/>
      <color rgb="FF1F3864"/>
      <name val="Calibri"/>
      <charset val="1"/>
    </font>
    <font>
      <sz val="10"/>
      <color rgb="FF26243A"/>
      <name val="Calibri"/>
      <charset val="1"/>
    </font>
    <font>
      <b/>
      <sz val="9"/>
      <color rgb="FFFFFFFF"/>
      <name val="Calibri"/>
      <charset val="1"/>
    </font>
    <font>
      <b/>
      <sz val="10"/>
      <color rgb="FF26243A"/>
      <name val="Calibri"/>
      <charset val="1"/>
    </font>
    <font>
      <sz val="9"/>
      <color rgb="FF26243A"/>
      <name val="Calibri"/>
      <charset val="1"/>
    </font>
    <font>
      <sz val="9"/>
      <color rgb="FF33304A"/>
      <name val="Calibri"/>
      <charset val="1"/>
    </font>
    <font>
      <b/>
      <sz val="12"/>
      <color rgb="FFFFFFFF"/>
      <name val="Calibri"/>
      <charset val="1"/>
    </font>
    <font>
      <b/>
      <sz val="13"/>
      <color rgb="FF9DB33B"/>
      <name val="Calibri"/>
      <charset val="1"/>
    </font>
    <font>
      <b/>
      <sz val="9"/>
      <color rgb="FF6E7F22"/>
      <name val="Calibri"/>
      <charset val="1"/>
    </font>
    <font>
      <sz val="8"/>
      <color rgb="FF7A7788"/>
      <name val="Calibri"/>
      <charset val="1"/>
    </font>
    <font>
      <sz val="10"/>
      <name val="Arial"/>
      <family val="2"/>
    </font>
    <font>
      <sz val="9"/>
      <color rgb="FF4A4664"/>
      <name val="Calibri"/>
      <charset val="1"/>
    </font>
    <font>
      <b/>
      <sz val="15"/>
      <color rgb="FF33304A"/>
      <name val="Calibri"/>
      <charset val="1"/>
    </font>
    <font>
      <b/>
      <sz val="11"/>
      <color rgb="FF33304A"/>
      <name val="Calibri"/>
      <charset val="1"/>
    </font>
    <font>
      <sz val="10"/>
      <color rgb="FF7A7788"/>
      <name val="Calibri"/>
      <charset val="1"/>
    </font>
    <font>
      <sz val="10"/>
      <color rgb="FF33304A"/>
      <name val="Calibri"/>
      <charset val="1"/>
    </font>
    <font>
      <b/>
      <sz val="10"/>
      <color rgb="FF33304A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33304A"/>
        <bgColor rgb="FF26243A"/>
      </patternFill>
    </fill>
    <fill>
      <patternFill patternType="solid">
        <fgColor rgb="FF9DB33B"/>
        <bgColor rgb="FF9BBB59"/>
      </patternFill>
    </fill>
    <fill>
      <patternFill patternType="solid">
        <fgColor rgb="FF4A4664"/>
        <bgColor rgb="FF33304A"/>
      </patternFill>
    </fill>
    <fill>
      <patternFill patternType="solid">
        <fgColor rgb="FFEDF3D9"/>
        <bgColor rgb="FFFBF1DC"/>
      </patternFill>
    </fill>
    <fill>
      <patternFill patternType="solid">
        <fgColor rgb="FFFFFFFF"/>
        <bgColor rgb="FFF5F5F8"/>
      </patternFill>
    </fill>
    <fill>
      <patternFill patternType="solid">
        <fgColor rgb="FFEFEEF4"/>
        <bgColor rgb="FFF5F5F8"/>
      </patternFill>
    </fill>
    <fill>
      <patternFill patternType="solid">
        <fgColor rgb="FFE6E4EE"/>
        <bgColor rgb="FFEFEEF4"/>
      </patternFill>
    </fill>
    <fill>
      <patternFill patternType="solid">
        <fgColor rgb="FFF5F5F8"/>
        <bgColor rgb="FFEFEEF4"/>
      </patternFill>
    </fill>
    <fill>
      <patternFill patternType="solid">
        <fgColor rgb="FFF7E3E3"/>
        <bgColor rgb="FFE6E4EE"/>
      </patternFill>
    </fill>
  </fills>
  <borders count="12">
    <border>
      <left/>
      <right/>
      <top/>
      <bottom/>
      <diagonal/>
    </border>
    <border>
      <left style="hair">
        <color rgb="FFD8D6E0"/>
      </left>
      <right style="hair">
        <color rgb="FFD8D6E0"/>
      </right>
      <top style="hair">
        <color rgb="FFD8D6E0"/>
      </top>
      <bottom style="hair">
        <color rgb="FFD8D6E0"/>
      </bottom>
      <diagonal/>
    </border>
    <border>
      <left style="thin">
        <color rgb="FFC9C7D4"/>
      </left>
      <right/>
      <top style="thin">
        <color rgb="FFC9C7D4"/>
      </top>
      <bottom style="thin">
        <color rgb="FFC9C7D4"/>
      </bottom>
      <diagonal/>
    </border>
    <border>
      <left style="thin">
        <color rgb="FFC9C7D4"/>
      </left>
      <right style="thin">
        <color rgb="FFC9C7D4"/>
      </right>
      <top style="thin">
        <color rgb="FFC9C7D4"/>
      </top>
      <bottom style="thin">
        <color rgb="FFC9C7D4"/>
      </bottom>
      <diagonal/>
    </border>
    <border>
      <left style="hair">
        <color rgb="FFD8D6E0"/>
      </left>
      <right style="hair">
        <color rgb="FFD8D6E0"/>
      </right>
      <top style="medium">
        <color rgb="FF33304A"/>
      </top>
      <bottom style="medium">
        <color rgb="FF33304A"/>
      </bottom>
      <diagonal/>
    </border>
    <border>
      <left style="hair">
        <color rgb="FFD8D6E0"/>
      </left>
      <right/>
      <top style="hair">
        <color rgb="FFD8D6E0"/>
      </top>
      <bottom style="hair">
        <color rgb="FFD8D6E0"/>
      </bottom>
      <diagonal/>
    </border>
    <border>
      <left style="thin">
        <color rgb="FFC9C7D4"/>
      </left>
      <right/>
      <top style="thin">
        <color rgb="FFC9C7D4"/>
      </top>
      <bottom style="hair">
        <color rgb="FFD8D6E0"/>
      </bottom>
      <diagonal/>
    </border>
    <border>
      <left style="thin">
        <color rgb="FFC9C7D4"/>
      </left>
      <right/>
      <top style="thin">
        <color rgb="FFC9C7D4"/>
      </top>
      <bottom/>
      <diagonal/>
    </border>
    <border>
      <left style="medium">
        <color rgb="FF33304A"/>
      </left>
      <right/>
      <top style="medium">
        <color rgb="FF33304A"/>
      </top>
      <bottom style="medium">
        <color rgb="FF33304A"/>
      </bottom>
      <diagonal/>
    </border>
    <border>
      <left style="thin">
        <color rgb="FFC9C7D4"/>
      </left>
      <right/>
      <top style="thin">
        <color rgb="FF7A7788"/>
      </top>
      <bottom style="thin">
        <color rgb="FFC9C7D4"/>
      </bottom>
      <diagonal/>
    </border>
    <border>
      <left style="thin">
        <color rgb="FFC9C7D4"/>
      </left>
      <right style="thin">
        <color rgb="FFC9C7D4"/>
      </right>
      <top style="thin">
        <color rgb="FFC9C7D4"/>
      </top>
      <bottom style="hair">
        <color rgb="FFD8D6E0"/>
      </bottom>
      <diagonal/>
    </border>
    <border>
      <left style="thin">
        <color rgb="FFC9C7D4"/>
      </left>
      <right style="thin">
        <color rgb="FFC9C7D4"/>
      </right>
      <top style="thin">
        <color rgb="FFC9C7D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2" fillId="2" borderId="8" xfId="0" applyFont="1" applyFill="1" applyBorder="1" applyAlignment="1">
      <alignment horizontal="left" vertical="center" indent="1"/>
    </xf>
    <xf numFmtId="0" fontId="2" fillId="5" borderId="2" xfId="0" applyFont="1" applyFill="1" applyBorder="1" applyAlignment="1">
      <alignment horizontal="left" vertical="center" indent="1"/>
    </xf>
    <xf numFmtId="0" fontId="11" fillId="8" borderId="7" xfId="0" applyFont="1" applyFill="1" applyBorder="1" applyAlignment="1">
      <alignment horizontal="left" vertical="top" wrapText="1"/>
    </xf>
    <xf numFmtId="165" fontId="7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164" fontId="6" fillId="5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166" fontId="6" fillId="5" borderId="1" xfId="0" applyNumberFormat="1" applyFont="1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right" vertical="center"/>
    </xf>
    <xf numFmtId="165" fontId="9" fillId="6" borderId="1" xfId="0" applyNumberFormat="1" applyFont="1" applyFill="1" applyBorder="1" applyAlignment="1">
      <alignment horizontal="right" vertical="center"/>
    </xf>
    <xf numFmtId="0" fontId="10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/>
    </xf>
    <xf numFmtId="165" fontId="7" fillId="7" borderId="1" xfId="0" applyNumberFormat="1" applyFont="1" applyFill="1" applyBorder="1" applyAlignment="1">
      <alignment horizontal="right" vertical="center"/>
    </xf>
    <xf numFmtId="165" fontId="9" fillId="7" borderId="1" xfId="0" applyNumberFormat="1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1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1" fontId="10" fillId="6" borderId="1" xfId="0" applyNumberFormat="1" applyFont="1" applyFill="1" applyBorder="1" applyAlignment="1">
      <alignment horizontal="center" vertical="center"/>
    </xf>
    <xf numFmtId="165" fontId="10" fillId="6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1" fontId="10" fillId="7" borderId="1" xfId="0" applyNumberFormat="1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1" fontId="8" fillId="4" borderId="1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right" vertical="center"/>
    </xf>
    <xf numFmtId="0" fontId="20" fillId="0" borderId="10" xfId="0" applyFont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1" fontId="6" fillId="5" borderId="3" xfId="0" applyNumberFormat="1" applyFont="1" applyFill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/>
    </xf>
    <xf numFmtId="166" fontId="6" fillId="5" borderId="3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22" fillId="5" borderId="3" xfId="0" applyFont="1" applyFill="1" applyBorder="1" applyAlignment="1">
      <alignment horizontal="left" vertical="center"/>
    </xf>
    <xf numFmtId="0" fontId="22" fillId="6" borderId="3" xfId="0" applyFont="1" applyFill="1" applyBorder="1" applyAlignment="1">
      <alignment horizontal="left" vertical="center"/>
    </xf>
    <xf numFmtId="0" fontId="22" fillId="10" borderId="3" xfId="0" applyFont="1" applyFill="1" applyBorder="1" applyAlignment="1">
      <alignment horizontal="left" vertical="center"/>
    </xf>
    <xf numFmtId="165" fontId="13" fillId="2" borderId="8" xfId="0" applyNumberFormat="1" applyFont="1" applyFill="1" applyBorder="1" applyAlignment="1">
      <alignment horizontal="right" vertical="center"/>
    </xf>
    <xf numFmtId="0" fontId="14" fillId="6" borderId="2" xfId="0" applyFont="1" applyFill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3" borderId="0" xfId="0" applyFill="1"/>
    <xf numFmtId="0" fontId="17" fillId="8" borderId="0" xfId="0" applyFont="1" applyFill="1" applyAlignment="1">
      <alignment horizontal="left" vertical="center" indent="1"/>
    </xf>
    <xf numFmtId="1" fontId="18" fillId="8" borderId="0" xfId="0" applyNumberFormat="1" applyFont="1" applyFill="1" applyAlignment="1">
      <alignment horizontal="left" vertical="center" indent="1"/>
    </xf>
    <xf numFmtId="167" fontId="18" fillId="8" borderId="0" xfId="0" applyNumberFormat="1" applyFont="1" applyFill="1" applyAlignment="1">
      <alignment horizontal="left" vertical="center" indent="1"/>
    </xf>
    <xf numFmtId="166" fontId="18" fillId="8" borderId="0" xfId="0" applyNumberFormat="1" applyFont="1" applyFill="1" applyAlignment="1">
      <alignment horizontal="left" vertical="center" indent="1"/>
    </xf>
    <xf numFmtId="0" fontId="14" fillId="5" borderId="2" xfId="0" applyFont="1" applyFill="1" applyBorder="1" applyAlignment="1">
      <alignment horizontal="left" vertical="center" wrapText="1"/>
    </xf>
    <xf numFmtId="165" fontId="19" fillId="8" borderId="0" xfId="0" applyNumberFormat="1" applyFont="1" applyFill="1" applyAlignment="1">
      <alignment horizontal="left" vertical="center" indent="1"/>
    </xf>
    <xf numFmtId="0" fontId="7" fillId="9" borderId="11" xfId="0" applyFont="1" applyFill="1" applyBorder="1" applyAlignment="1">
      <alignment horizontal="left" vertical="top" wrapText="1"/>
    </xf>
    <xf numFmtId="0" fontId="21" fillId="8" borderId="1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5" borderId="11" xfId="0" applyFont="1" applyFill="1" applyBorder="1" applyAlignment="1">
      <alignment horizontal="left" vertical="top" wrapText="1"/>
    </xf>
  </cellXfs>
  <cellStyles count="1">
    <cellStyle name="Standard" xfId="0" builtinId="0"/>
  </cellStyles>
  <dxfs count="9">
    <dxf>
      <font>
        <b/>
        <sz val="10"/>
        <color rgb="FF7A7788"/>
        <name val="Calibri"/>
        <charset val="1"/>
      </font>
      <fill>
        <patternFill>
          <bgColor rgb="FFE6E4EE"/>
        </patternFill>
      </fill>
    </dxf>
    <dxf>
      <font>
        <b/>
        <sz val="10"/>
        <color rgb="FFB7802B"/>
        <name val="Calibri"/>
        <charset val="1"/>
      </font>
      <fill>
        <patternFill>
          <bgColor rgb="FFFBF1DC"/>
        </patternFill>
      </fill>
    </dxf>
    <dxf>
      <font>
        <b/>
        <sz val="10"/>
        <color rgb="FF6E7F22"/>
        <name val="Calibri"/>
        <charset val="1"/>
      </font>
      <fill>
        <patternFill>
          <bgColor rgb="FFEDF3D9"/>
        </patternFill>
      </fill>
    </dxf>
    <dxf>
      <font>
        <b/>
        <sz val="9"/>
        <color rgb="FFB7802B"/>
        <name val="Calibri"/>
        <charset val="1"/>
      </font>
      <fill>
        <patternFill>
          <bgColor rgb="FFFBF1DC"/>
        </patternFill>
      </fill>
    </dxf>
    <dxf>
      <font>
        <b/>
        <sz val="9"/>
        <color rgb="FFB23A3A"/>
        <name val="Calibri"/>
        <charset val="1"/>
      </font>
      <fill>
        <patternFill>
          <bgColor rgb="FFF7E3E3"/>
        </patternFill>
      </fill>
    </dxf>
    <dxf>
      <font>
        <b/>
        <sz val="9"/>
        <color rgb="FF6E7F22"/>
        <name val="Calibri"/>
        <charset val="1"/>
      </font>
      <fill>
        <patternFill>
          <bgColor rgb="FFEDF3D9"/>
        </patternFill>
      </fill>
    </dxf>
    <dxf>
      <font>
        <b/>
        <sz val="10"/>
        <color rgb="FFB23A3A"/>
        <name val="Calibri"/>
        <charset val="1"/>
      </font>
    </dxf>
    <dxf>
      <font>
        <b/>
        <sz val="9"/>
        <color rgb="FFB23A3A"/>
        <name val="Calibri"/>
        <charset val="1"/>
      </font>
      <fill>
        <patternFill>
          <bgColor rgb="FFF7E3E3"/>
        </patternFill>
      </fill>
    </dxf>
    <dxf>
      <font>
        <sz val="10"/>
        <color rgb="FFB23A3A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E7F22"/>
      <rgbColor rgb="FF800080"/>
      <rgbColor rgb="FF008080"/>
      <rgbColor rgb="FFC9C7D4"/>
      <rgbColor rgb="FF878787"/>
      <rgbColor rgb="FF9999FF"/>
      <rgbColor rgb="FFB23A3A"/>
      <rgbColor rgb="FFFBF1DC"/>
      <rgbColor rgb="FFEFEEF4"/>
      <rgbColor rgb="FF660066"/>
      <rgbColor rgb="FFFF8080"/>
      <rgbColor rgb="FF0066CC"/>
      <rgbColor rgb="FFD8D6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8"/>
      <rgbColor rgb="FFEDF3D9"/>
      <rgbColor rgb="FFE6E4EE"/>
      <rgbColor rgb="FFD9D9D9"/>
      <rgbColor rgb="FFFF99CC"/>
      <rgbColor rgb="FFCC99FF"/>
      <rgbColor rgb="FFF7E3E3"/>
      <rgbColor rgb="FF4F81BD"/>
      <rgbColor rgb="FF33CCCC"/>
      <rgbColor rgb="FF9DB33B"/>
      <rgbColor rgb="FFFFCC00"/>
      <rgbColor rgb="FFB7802B"/>
      <rgbColor rgb="FFFF6600"/>
      <rgbColor rgb="FF7A7788"/>
      <rgbColor rgb="FF9BBB59"/>
      <rgbColor rgb="FF1F3864"/>
      <rgbColor rgb="FF3F6B3F"/>
      <rgbColor rgb="FF003300"/>
      <rgbColor rgb="FF26243A"/>
      <rgbColor rgb="FF993300"/>
      <rgbColor rgb="FFC0504D"/>
      <rgbColor rgb="FF4A4664"/>
      <rgbColor rgb="FF3330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Zahlungsvolumen je Monat (brutto)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'Avis-Register'!$C$34</c:f>
              <c:strCache>
                <c:ptCount val="1"/>
                <c:pt idx="0">
                  <c:v>Bruttosumme</c:v>
                </c:pt>
              </c:strCache>
            </c:strRef>
          </c:tx>
          <c:spPr>
            <a:solidFill>
              <a:srgbClr val="33304A"/>
            </a:solidFill>
            <a:ln w="0">
              <a:solidFill>
                <a:srgbClr val="33304A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'Avis-Register'!$A$35:$A$46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'Avis-Register'!$C$35:$C$46</c:f>
              <c:numCache>
                <c:formatCode>#,##0.00" €"</c:formatCode>
                <c:ptCount val="12"/>
                <c:pt idx="0">
                  <c:v>0</c:v>
                </c:pt>
                <c:pt idx="1">
                  <c:v>21290.6</c:v>
                </c:pt>
                <c:pt idx="2">
                  <c:v>43880.75</c:v>
                </c:pt>
                <c:pt idx="3">
                  <c:v>34286.300000000003</c:v>
                </c:pt>
                <c:pt idx="4">
                  <c:v>48890.25</c:v>
                </c:pt>
                <c:pt idx="5">
                  <c:v>9795.7999999999993</c:v>
                </c:pt>
                <c:pt idx="6">
                  <c:v>53559.15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E-4E83-8375-CAC61E78E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180851"/>
        <c:axId val="41480744"/>
      </c:barChart>
      <c:catAx>
        <c:axId val="541808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1480744"/>
        <c:crosses val="autoZero"/>
        <c:auto val="1"/>
        <c:lblAlgn val="ctr"/>
        <c:lblOffset val="100"/>
        <c:noMultiLvlLbl val="0"/>
      </c:catAx>
      <c:valAx>
        <c:axId val="4148074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418085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Avise nach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'Avis-Register'!$H$34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49-4AA5-9F32-B7A60B03A37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49-4AA5-9F32-B7A60B03A377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49-4AA5-9F32-B7A60B03A377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8649-4AA5-9F32-B7A60B03A377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8649-4AA5-9F32-B7A60B03A377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8649-4AA5-9F32-B7A60B03A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'Avis-Register'!$G$35:$G$37</c:f>
              <c:strCache>
                <c:ptCount val="3"/>
                <c:pt idx="0">
                  <c:v>Bezahlt</c:v>
                </c:pt>
                <c:pt idx="1">
                  <c:v>Versendet</c:v>
                </c:pt>
                <c:pt idx="2">
                  <c:v>Entwurf</c:v>
                </c:pt>
              </c:strCache>
            </c:strRef>
          </c:cat>
          <c:val>
            <c:numRef>
              <c:f>'Avis-Register'!$H$35:$H$37</c:f>
              <c:numCache>
                <c:formatCode>0</c:formatCode>
                <c:ptCount val="3"/>
                <c:pt idx="0">
                  <c:v>9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49-4AA5-9F32-B7A60B03A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32</xdr:row>
      <xdr:rowOff>0</xdr:rowOff>
    </xdr:from>
    <xdr:to>
      <xdr:col>12</xdr:col>
      <xdr:colOff>1573920</xdr:colOff>
      <xdr:row>44</xdr:row>
      <xdr:rowOff>167760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48</xdr:row>
      <xdr:rowOff>0</xdr:rowOff>
    </xdr:from>
    <xdr:to>
      <xdr:col>12</xdr:col>
      <xdr:colOff>1573920</xdr:colOff>
      <xdr:row>60</xdr:row>
      <xdr:rowOff>17640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304A"/>
    <pageSetUpPr fitToPage="1"/>
  </sheetPr>
  <dimension ref="A1:K47"/>
  <sheetViews>
    <sheetView showGridLines="0" tabSelected="1" zoomScaleNormal="100" workbookViewId="0">
      <selection activeCell="A2" sqref="A2:K2"/>
    </sheetView>
  </sheetViews>
  <sheetFormatPr baseColWidth="10" defaultColWidth="8.7109375" defaultRowHeight="15" x14ac:dyDescent="0.25"/>
  <cols>
    <col min="1" max="1" width="16.28515625" bestFit="1" customWidth="1"/>
    <col min="2" max="2" width="8.85546875" bestFit="1" customWidth="1"/>
    <col min="3" max="3" width="13" bestFit="1" customWidth="1"/>
    <col min="4" max="4" width="16.42578125" bestFit="1" customWidth="1"/>
    <col min="5" max="5" width="9.85546875" bestFit="1" customWidth="1"/>
    <col min="6" max="6" width="10.28515625" bestFit="1" customWidth="1"/>
    <col min="7" max="7" width="14.7109375" bestFit="1" customWidth="1"/>
    <col min="8" max="8" width="10.42578125" bestFit="1" customWidth="1"/>
    <col min="9" max="9" width="7.85546875" bestFit="1" customWidth="1"/>
    <col min="10" max="10" width="10.28515625" bestFit="1" customWidth="1"/>
    <col min="11" max="11" width="12.42578125" bestFit="1" customWidth="1"/>
  </cols>
  <sheetData>
    <row r="1" spans="1:11" ht="7.5" customHeight="1" x14ac:dyDescent="0.25"/>
    <row r="2" spans="1:11" ht="33.7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19.5" customHeight="1" x14ac:dyDescent="0.25">
      <c r="A5" s="12" t="s">
        <v>2</v>
      </c>
      <c r="B5" s="12"/>
      <c r="C5" s="12"/>
      <c r="D5" s="12"/>
      <c r="E5" s="12"/>
      <c r="G5" s="12" t="s">
        <v>3</v>
      </c>
      <c r="H5" s="12"/>
      <c r="I5" s="12"/>
      <c r="J5" s="12"/>
      <c r="K5" s="12"/>
    </row>
    <row r="6" spans="1:11" ht="16.5" customHeight="1" x14ac:dyDescent="0.25">
      <c r="A6" s="16" t="s">
        <v>4</v>
      </c>
      <c r="B6" s="11" t="str">
        <f>Stammdaten!C6</f>
        <v>Nordwind Handels GmbH</v>
      </c>
      <c r="C6" s="11"/>
      <c r="D6" s="11"/>
      <c r="E6" s="11"/>
      <c r="G6" s="16" t="s">
        <v>4</v>
      </c>
      <c r="H6" s="10" t="s">
        <v>5</v>
      </c>
      <c r="I6" s="10"/>
      <c r="J6" s="10"/>
      <c r="K6" s="10"/>
    </row>
    <row r="7" spans="1:11" ht="16.5" customHeight="1" x14ac:dyDescent="0.25">
      <c r="A7" s="16" t="s">
        <v>6</v>
      </c>
      <c r="B7" s="11" t="str">
        <f>Stammdaten!C7</f>
        <v>Gewerbestraße 14</v>
      </c>
      <c r="C7" s="11"/>
      <c r="D7" s="11"/>
      <c r="E7" s="11"/>
      <c r="G7" s="16" t="s">
        <v>6</v>
      </c>
      <c r="H7" s="10" t="s">
        <v>7</v>
      </c>
      <c r="I7" s="10"/>
      <c r="J7" s="10"/>
      <c r="K7" s="10"/>
    </row>
    <row r="8" spans="1:11" ht="16.5" customHeight="1" x14ac:dyDescent="0.25">
      <c r="A8" s="16" t="s">
        <v>8</v>
      </c>
      <c r="B8" s="11" t="str">
        <f>Stammdaten!C8</f>
        <v>26123 Musterstadt</v>
      </c>
      <c r="C8" s="11"/>
      <c r="D8" s="11"/>
      <c r="E8" s="11"/>
      <c r="G8" s="16" t="s">
        <v>8</v>
      </c>
      <c r="H8" s="10" t="s">
        <v>9</v>
      </c>
      <c r="I8" s="10"/>
      <c r="J8" s="10"/>
      <c r="K8" s="10"/>
    </row>
    <row r="9" spans="1:11" ht="16.5" customHeight="1" x14ac:dyDescent="0.25">
      <c r="A9" s="16" t="s">
        <v>10</v>
      </c>
      <c r="B9" s="11" t="str">
        <f>Stammdaten!C9</f>
        <v>M. Behrens</v>
      </c>
      <c r="C9" s="11"/>
      <c r="D9" s="11"/>
      <c r="E9" s="11"/>
      <c r="G9" s="16" t="s">
        <v>10</v>
      </c>
      <c r="H9" s="10" t="s">
        <v>11</v>
      </c>
      <c r="I9" s="10"/>
      <c r="J9" s="10"/>
      <c r="K9" s="10"/>
    </row>
    <row r="10" spans="1:11" ht="16.5" customHeight="1" x14ac:dyDescent="0.25">
      <c r="A10" s="16" t="s">
        <v>12</v>
      </c>
      <c r="B10" s="11" t="str">
        <f>Stammdaten!C10</f>
        <v>buchhaltung@nordwind-handel.de</v>
      </c>
      <c r="C10" s="11"/>
      <c r="D10" s="11"/>
      <c r="E10" s="11"/>
      <c r="G10" s="16" t="s">
        <v>12</v>
      </c>
      <c r="H10" s="10" t="s">
        <v>13</v>
      </c>
      <c r="I10" s="10"/>
      <c r="J10" s="10"/>
      <c r="K10" s="10"/>
    </row>
    <row r="11" spans="1:11" ht="16.5" customHeight="1" x14ac:dyDescent="0.25">
      <c r="A11" s="16" t="s">
        <v>14</v>
      </c>
      <c r="B11" s="11" t="str">
        <f>Stammdaten!C11</f>
        <v>+49 441 1234-560</v>
      </c>
      <c r="C11" s="11"/>
      <c r="D11" s="11"/>
      <c r="E11" s="11"/>
      <c r="G11" s="16" t="s">
        <v>14</v>
      </c>
      <c r="H11" s="10" t="s">
        <v>15</v>
      </c>
      <c r="I11" s="10"/>
      <c r="J11" s="10"/>
      <c r="K11" s="10"/>
    </row>
    <row r="13" spans="1:11" ht="19.5" customHeight="1" x14ac:dyDescent="0.25">
      <c r="A13" s="12" t="s">
        <v>16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8" customHeight="1" x14ac:dyDescent="0.25">
      <c r="A14" s="16" t="s">
        <v>17</v>
      </c>
      <c r="B14" s="10" t="s">
        <v>18</v>
      </c>
      <c r="C14" s="10"/>
      <c r="D14" s="16" t="s">
        <v>19</v>
      </c>
      <c r="E14" s="17">
        <v>46213</v>
      </c>
      <c r="G14" s="16" t="s">
        <v>20</v>
      </c>
      <c r="H14" s="10" t="s">
        <v>21</v>
      </c>
      <c r="I14" s="10"/>
      <c r="J14" s="16" t="s">
        <v>22</v>
      </c>
      <c r="K14" s="18" t="str">
        <f>Stammdaten!C21</f>
        <v>EUR</v>
      </c>
    </row>
    <row r="15" spans="1:11" ht="18" customHeight="1" x14ac:dyDescent="0.25">
      <c r="A15" s="16" t="s">
        <v>23</v>
      </c>
      <c r="B15" s="9">
        <v>46218</v>
      </c>
      <c r="C15" s="9"/>
      <c r="D15" s="16" t="s">
        <v>24</v>
      </c>
      <c r="E15" s="19">
        <f>Stammdaten!C19</f>
        <v>30</v>
      </c>
      <c r="G15" s="16" t="s">
        <v>25</v>
      </c>
      <c r="H15" s="8">
        <f>Stammdaten!C20</f>
        <v>14</v>
      </c>
      <c r="I15" s="8"/>
      <c r="J15" s="16" t="s">
        <v>26</v>
      </c>
      <c r="K15" s="20">
        <f>COUNTA(C20:C34)</f>
        <v>10</v>
      </c>
    </row>
    <row r="16" spans="1:11" ht="18" customHeight="1" x14ac:dyDescent="0.25">
      <c r="A16" s="16" t="s">
        <v>27</v>
      </c>
      <c r="B16" s="7" t="str">
        <f>"Sammelzahlung / Avis-Nr. "&amp;B14</f>
        <v>Sammelzahlung / Avis-Nr. ZA-2026-0148</v>
      </c>
      <c r="C16" s="7"/>
      <c r="D16" s="7"/>
      <c r="E16" s="7"/>
      <c r="G16" s="16" t="s">
        <v>28</v>
      </c>
      <c r="H16" s="11" t="str">
        <f>Stammdaten!C14</f>
        <v>DE12 5001 0517 0123 4567 89</v>
      </c>
      <c r="I16" s="11"/>
      <c r="J16" s="11"/>
      <c r="K16" s="11"/>
    </row>
    <row r="18" spans="1:11" ht="19.5" customHeight="1" x14ac:dyDescent="0.25">
      <c r="A18" s="12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30" customHeight="1" x14ac:dyDescent="0.25">
      <c r="A19" s="21" t="s">
        <v>30</v>
      </c>
      <c r="B19" s="21" t="s">
        <v>31</v>
      </c>
      <c r="C19" s="21" t="s">
        <v>32</v>
      </c>
      <c r="D19" s="21" t="s">
        <v>33</v>
      </c>
      <c r="E19" s="21" t="s">
        <v>34</v>
      </c>
      <c r="F19" s="21" t="s">
        <v>35</v>
      </c>
      <c r="G19" s="21" t="s">
        <v>36</v>
      </c>
      <c r="H19" s="21" t="s">
        <v>37</v>
      </c>
      <c r="I19" s="21" t="s">
        <v>38</v>
      </c>
      <c r="J19" s="21" t="s">
        <v>39</v>
      </c>
      <c r="K19" s="21" t="s">
        <v>40</v>
      </c>
    </row>
    <row r="20" spans="1:11" ht="16.5" customHeight="1" x14ac:dyDescent="0.25">
      <c r="A20" s="22">
        <f>IF(C20="","",COUNTA($C$20:C20))</f>
        <v>1</v>
      </c>
      <c r="B20" s="23" t="s">
        <v>41</v>
      </c>
      <c r="C20" s="23" t="s">
        <v>42</v>
      </c>
      <c r="D20" s="24">
        <v>46206</v>
      </c>
      <c r="E20" s="25">
        <f t="shared" ref="E20:E34" si="0">IF(D20="","",D20+$E$15)</f>
        <v>46236</v>
      </c>
      <c r="F20" s="26">
        <v>4820.5</v>
      </c>
      <c r="G20" s="27">
        <v>0.02</v>
      </c>
      <c r="H20" s="28">
        <f t="shared" ref="H20:H34" si="1">IF(OR(C20="",B20&lt;&gt;"Rechnung",G20=0),0,IF($B$15&lt;=D20+$H$15,ROUND(F20*G20,2),0))</f>
        <v>96.41</v>
      </c>
      <c r="I20" s="26">
        <v>0</v>
      </c>
      <c r="J20" s="29">
        <f t="shared" ref="J20:J34" si="2">IF(C20="","",ROUND(F20-H20-I20,2))</f>
        <v>4724.09</v>
      </c>
      <c r="K20" s="30" t="str">
        <f t="shared" ref="K20:K34" si="3">IF(C20="","",IF(B20&lt;&gt;"Rechnung","Verrechnung",IF(G20=0,"kein Skonto",IF($B$15&lt;=D20+$H$15,"Skonto gezogen","Frist abgelaufen"))))</f>
        <v>Skonto gezogen</v>
      </c>
    </row>
    <row r="21" spans="1:11" ht="16.5" customHeight="1" x14ac:dyDescent="0.25">
      <c r="A21" s="31">
        <f>IF(C21="","",COUNTA($C$20:C21))</f>
        <v>2</v>
      </c>
      <c r="B21" s="23" t="s">
        <v>41</v>
      </c>
      <c r="C21" s="23" t="s">
        <v>43</v>
      </c>
      <c r="D21" s="24">
        <v>46209</v>
      </c>
      <c r="E21" s="32">
        <f t="shared" si="0"/>
        <v>46239</v>
      </c>
      <c r="F21" s="26">
        <v>2145</v>
      </c>
      <c r="G21" s="27">
        <v>0.02</v>
      </c>
      <c r="H21" s="33">
        <f t="shared" si="1"/>
        <v>42.9</v>
      </c>
      <c r="I21" s="26">
        <v>0</v>
      </c>
      <c r="J21" s="34">
        <f t="shared" si="2"/>
        <v>2102.1</v>
      </c>
      <c r="K21" s="35" t="str">
        <f t="shared" si="3"/>
        <v>Skonto gezogen</v>
      </c>
    </row>
    <row r="22" spans="1:11" ht="16.5" customHeight="1" x14ac:dyDescent="0.25">
      <c r="A22" s="22">
        <f>IF(C22="","",COUNTA($C$20:C22))</f>
        <v>3</v>
      </c>
      <c r="B22" s="23" t="s">
        <v>41</v>
      </c>
      <c r="C22" s="23" t="s">
        <v>44</v>
      </c>
      <c r="D22" s="24">
        <v>46211</v>
      </c>
      <c r="E22" s="25">
        <f t="shared" si="0"/>
        <v>46241</v>
      </c>
      <c r="F22" s="26">
        <v>12380</v>
      </c>
      <c r="G22" s="27">
        <v>0.03</v>
      </c>
      <c r="H22" s="28">
        <f t="shared" si="1"/>
        <v>371.4</v>
      </c>
      <c r="I22" s="26">
        <v>45</v>
      </c>
      <c r="J22" s="29">
        <f t="shared" si="2"/>
        <v>11963.6</v>
      </c>
      <c r="K22" s="30" t="str">
        <f t="shared" si="3"/>
        <v>Skonto gezogen</v>
      </c>
    </row>
    <row r="23" spans="1:11" ht="16.5" customHeight="1" x14ac:dyDescent="0.25">
      <c r="A23" s="31">
        <f>IF(C23="","",COUNTA($C$20:C23))</f>
        <v>4</v>
      </c>
      <c r="B23" s="23" t="s">
        <v>41</v>
      </c>
      <c r="C23" s="23" t="s">
        <v>45</v>
      </c>
      <c r="D23" s="24">
        <v>46185</v>
      </c>
      <c r="E23" s="32">
        <f t="shared" si="0"/>
        <v>46215</v>
      </c>
      <c r="F23" s="26">
        <v>3660.75</v>
      </c>
      <c r="G23" s="27">
        <v>0.02</v>
      </c>
      <c r="H23" s="33">
        <f t="shared" si="1"/>
        <v>0</v>
      </c>
      <c r="I23" s="26">
        <v>0</v>
      </c>
      <c r="J23" s="34">
        <f t="shared" si="2"/>
        <v>3660.75</v>
      </c>
      <c r="K23" s="35" t="str">
        <f t="shared" si="3"/>
        <v>Frist abgelaufen</v>
      </c>
    </row>
    <row r="24" spans="1:11" ht="16.5" customHeight="1" x14ac:dyDescent="0.25">
      <c r="A24" s="22">
        <f>IF(C24="","",COUNTA($C$20:C24))</f>
        <v>5</v>
      </c>
      <c r="B24" s="23" t="s">
        <v>46</v>
      </c>
      <c r="C24" s="23" t="s">
        <v>47</v>
      </c>
      <c r="D24" s="24">
        <v>46208</v>
      </c>
      <c r="E24" s="25">
        <f t="shared" si="0"/>
        <v>46238</v>
      </c>
      <c r="F24" s="26">
        <v>-640.20000000000005</v>
      </c>
      <c r="G24" s="27">
        <v>0</v>
      </c>
      <c r="H24" s="28">
        <f t="shared" si="1"/>
        <v>0</v>
      </c>
      <c r="I24" s="26">
        <v>0</v>
      </c>
      <c r="J24" s="29">
        <f t="shared" si="2"/>
        <v>-640.20000000000005</v>
      </c>
      <c r="K24" s="30" t="str">
        <f t="shared" si="3"/>
        <v>Verrechnung</v>
      </c>
    </row>
    <row r="25" spans="1:11" ht="16.5" customHeight="1" x14ac:dyDescent="0.25">
      <c r="A25" s="31">
        <f>IF(C25="","",COUNTA($C$20:C25))</f>
        <v>6</v>
      </c>
      <c r="B25" s="23" t="s">
        <v>41</v>
      </c>
      <c r="C25" s="23" t="s">
        <v>48</v>
      </c>
      <c r="D25" s="24">
        <v>46212</v>
      </c>
      <c r="E25" s="32">
        <f t="shared" si="0"/>
        <v>46242</v>
      </c>
      <c r="F25" s="26">
        <v>985.6</v>
      </c>
      <c r="G25" s="27">
        <v>0</v>
      </c>
      <c r="H25" s="33">
        <f t="shared" si="1"/>
        <v>0</v>
      </c>
      <c r="I25" s="26">
        <v>0</v>
      </c>
      <c r="J25" s="34">
        <f t="shared" si="2"/>
        <v>985.6</v>
      </c>
      <c r="K25" s="35" t="str">
        <f t="shared" si="3"/>
        <v>kein Skonto</v>
      </c>
    </row>
    <row r="26" spans="1:11" ht="16.5" customHeight="1" x14ac:dyDescent="0.25">
      <c r="A26" s="22">
        <f>IF(C26="","",COUNTA($C$20:C26))</f>
        <v>7</v>
      </c>
      <c r="B26" s="23" t="s">
        <v>41</v>
      </c>
      <c r="C26" s="23" t="s">
        <v>49</v>
      </c>
      <c r="D26" s="24">
        <v>46205</v>
      </c>
      <c r="E26" s="25">
        <f t="shared" si="0"/>
        <v>46235</v>
      </c>
      <c r="F26" s="26">
        <v>7410</v>
      </c>
      <c r="G26" s="27">
        <v>0.02</v>
      </c>
      <c r="H26" s="28">
        <f t="shared" si="1"/>
        <v>148.19999999999999</v>
      </c>
      <c r="I26" s="26">
        <v>210</v>
      </c>
      <c r="J26" s="29">
        <f t="shared" si="2"/>
        <v>7051.8</v>
      </c>
      <c r="K26" s="30" t="str">
        <f t="shared" si="3"/>
        <v>Skonto gezogen</v>
      </c>
    </row>
    <row r="27" spans="1:11" ht="16.5" customHeight="1" x14ac:dyDescent="0.25">
      <c r="A27" s="31">
        <f>IF(C27="","",COUNTA($C$20:C27))</f>
        <v>8</v>
      </c>
      <c r="B27" s="23" t="s">
        <v>41</v>
      </c>
      <c r="C27" s="23" t="s">
        <v>50</v>
      </c>
      <c r="D27" s="24">
        <v>46213</v>
      </c>
      <c r="E27" s="32">
        <f t="shared" si="0"/>
        <v>46243</v>
      </c>
      <c r="F27" s="26">
        <v>1276.4000000000001</v>
      </c>
      <c r="G27" s="27">
        <v>0.02</v>
      </c>
      <c r="H27" s="33">
        <f t="shared" si="1"/>
        <v>25.53</v>
      </c>
      <c r="I27" s="26">
        <v>0</v>
      </c>
      <c r="J27" s="34">
        <f t="shared" si="2"/>
        <v>1250.8699999999999</v>
      </c>
      <c r="K27" s="35" t="str">
        <f t="shared" si="3"/>
        <v>Skonto gezogen</v>
      </c>
    </row>
    <row r="28" spans="1:11" ht="16.5" customHeight="1" x14ac:dyDescent="0.25">
      <c r="A28" s="22">
        <f>IF(C28="","",COUNTA($C$20:C28))</f>
        <v>9</v>
      </c>
      <c r="B28" s="23" t="s">
        <v>46</v>
      </c>
      <c r="C28" s="23" t="s">
        <v>51</v>
      </c>
      <c r="D28" s="24">
        <v>46211</v>
      </c>
      <c r="E28" s="25">
        <f t="shared" si="0"/>
        <v>46241</v>
      </c>
      <c r="F28" s="26">
        <v>-318.89999999999998</v>
      </c>
      <c r="G28" s="27">
        <v>0</v>
      </c>
      <c r="H28" s="28">
        <f t="shared" si="1"/>
        <v>0</v>
      </c>
      <c r="I28" s="26">
        <v>0</v>
      </c>
      <c r="J28" s="29">
        <f t="shared" si="2"/>
        <v>-318.89999999999998</v>
      </c>
      <c r="K28" s="30" t="str">
        <f t="shared" si="3"/>
        <v>Verrechnung</v>
      </c>
    </row>
    <row r="29" spans="1:11" ht="16.5" customHeight="1" x14ac:dyDescent="0.25">
      <c r="A29" s="31">
        <f>IF(C29="","",COUNTA($C$20:C29))</f>
        <v>10</v>
      </c>
      <c r="B29" s="23" t="s">
        <v>41</v>
      </c>
      <c r="C29" s="23" t="s">
        <v>52</v>
      </c>
      <c r="D29" s="24">
        <v>46216</v>
      </c>
      <c r="E29" s="32">
        <f t="shared" si="0"/>
        <v>46246</v>
      </c>
      <c r="F29" s="26">
        <v>5940</v>
      </c>
      <c r="G29" s="27">
        <v>0.03</v>
      </c>
      <c r="H29" s="33">
        <f t="shared" si="1"/>
        <v>178.2</v>
      </c>
      <c r="I29" s="26">
        <v>0</v>
      </c>
      <c r="J29" s="34">
        <f t="shared" si="2"/>
        <v>5761.8</v>
      </c>
      <c r="K29" s="35" t="str">
        <f t="shared" si="3"/>
        <v>Skonto gezogen</v>
      </c>
    </row>
    <row r="30" spans="1:11" ht="16.5" customHeight="1" x14ac:dyDescent="0.25">
      <c r="A30" s="22" t="str">
        <f>IF(C30="","",COUNTA($C$20:C30))</f>
        <v/>
      </c>
      <c r="B30" s="23"/>
      <c r="C30" s="23"/>
      <c r="D30" s="24"/>
      <c r="E30" s="25" t="str">
        <f t="shared" si="0"/>
        <v/>
      </c>
      <c r="F30" s="26"/>
      <c r="G30" s="27"/>
      <c r="H30" s="28">
        <f t="shared" si="1"/>
        <v>0</v>
      </c>
      <c r="I30" s="26"/>
      <c r="J30" s="29" t="str">
        <f t="shared" si="2"/>
        <v/>
      </c>
      <c r="K30" s="30" t="str">
        <f t="shared" si="3"/>
        <v/>
      </c>
    </row>
    <row r="31" spans="1:11" ht="16.5" customHeight="1" x14ac:dyDescent="0.25">
      <c r="A31" s="31" t="str">
        <f>IF(C31="","",COUNTA($C$20:C31))</f>
        <v/>
      </c>
      <c r="B31" s="23"/>
      <c r="C31" s="23"/>
      <c r="D31" s="24"/>
      <c r="E31" s="32" t="str">
        <f t="shared" si="0"/>
        <v/>
      </c>
      <c r="F31" s="26"/>
      <c r="G31" s="27"/>
      <c r="H31" s="33">
        <f t="shared" si="1"/>
        <v>0</v>
      </c>
      <c r="I31" s="26"/>
      <c r="J31" s="34" t="str">
        <f t="shared" si="2"/>
        <v/>
      </c>
      <c r="K31" s="35" t="str">
        <f t="shared" si="3"/>
        <v/>
      </c>
    </row>
    <row r="32" spans="1:11" ht="16.5" customHeight="1" x14ac:dyDescent="0.25">
      <c r="A32" s="22" t="str">
        <f>IF(C32="","",COUNTA($C$20:C32))</f>
        <v/>
      </c>
      <c r="B32" s="23"/>
      <c r="C32" s="23"/>
      <c r="D32" s="24"/>
      <c r="E32" s="25" t="str">
        <f t="shared" si="0"/>
        <v/>
      </c>
      <c r="F32" s="26"/>
      <c r="G32" s="27"/>
      <c r="H32" s="28">
        <f t="shared" si="1"/>
        <v>0</v>
      </c>
      <c r="I32" s="26"/>
      <c r="J32" s="29" t="str">
        <f t="shared" si="2"/>
        <v/>
      </c>
      <c r="K32" s="30" t="str">
        <f t="shared" si="3"/>
        <v/>
      </c>
    </row>
    <row r="33" spans="1:11" ht="16.5" customHeight="1" x14ac:dyDescent="0.25">
      <c r="A33" s="31" t="str">
        <f>IF(C33="","",COUNTA($C$20:C33))</f>
        <v/>
      </c>
      <c r="B33" s="23"/>
      <c r="C33" s="23"/>
      <c r="D33" s="24"/>
      <c r="E33" s="32" t="str">
        <f t="shared" si="0"/>
        <v/>
      </c>
      <c r="F33" s="26"/>
      <c r="G33" s="27"/>
      <c r="H33" s="33">
        <f t="shared" si="1"/>
        <v>0</v>
      </c>
      <c r="I33" s="26"/>
      <c r="J33" s="34" t="str">
        <f t="shared" si="2"/>
        <v/>
      </c>
      <c r="K33" s="35" t="str">
        <f t="shared" si="3"/>
        <v/>
      </c>
    </row>
    <row r="34" spans="1:11" ht="16.5" customHeight="1" x14ac:dyDescent="0.25">
      <c r="A34" s="22" t="str">
        <f>IF(C34="","",COUNTA($C$20:C34))</f>
        <v/>
      </c>
      <c r="B34" s="23"/>
      <c r="C34" s="23"/>
      <c r="D34" s="24"/>
      <c r="E34" s="25" t="str">
        <f t="shared" si="0"/>
        <v/>
      </c>
      <c r="F34" s="26"/>
      <c r="G34" s="27"/>
      <c r="H34" s="28">
        <f t="shared" si="1"/>
        <v>0</v>
      </c>
      <c r="I34" s="26"/>
      <c r="J34" s="29" t="str">
        <f t="shared" si="2"/>
        <v/>
      </c>
      <c r="K34" s="30" t="str">
        <f t="shared" si="3"/>
        <v/>
      </c>
    </row>
    <row r="35" spans="1:11" ht="19.5" customHeight="1" x14ac:dyDescent="0.25">
      <c r="A35" s="6" t="s">
        <v>53</v>
      </c>
      <c r="B35" s="6"/>
      <c r="C35" s="6"/>
      <c r="D35" s="6"/>
      <c r="E35" s="6"/>
      <c r="F35" s="36">
        <f>SUM(F20:F34)</f>
        <v>37659.149999999994</v>
      </c>
      <c r="G35" s="37"/>
      <c r="H35" s="36">
        <f>SUM(H20:H34)</f>
        <v>862.63999999999987</v>
      </c>
      <c r="I35" s="36">
        <f>SUM(I20:I34)</f>
        <v>255</v>
      </c>
      <c r="J35" s="36">
        <f>SUM(J20:J34)</f>
        <v>36541.509999999995</v>
      </c>
      <c r="K35" s="37"/>
    </row>
    <row r="37" spans="1:11" ht="19.5" customHeight="1" x14ac:dyDescent="0.25">
      <c r="A37" s="12" t="s">
        <v>54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18" customHeight="1" x14ac:dyDescent="0.25">
      <c r="A38" s="5" t="s">
        <v>55</v>
      </c>
      <c r="B38" s="5"/>
      <c r="C38" s="5"/>
      <c r="D38" s="4">
        <f>SUMIFS(F20:F34,B20:B34,"Rechnung")</f>
        <v>38618.25</v>
      </c>
      <c r="E38" s="4"/>
      <c r="G38" s="3" t="s">
        <v>56</v>
      </c>
      <c r="H38" s="3"/>
      <c r="I38" s="3"/>
      <c r="J38" s="3"/>
      <c r="K38" s="3"/>
    </row>
    <row r="39" spans="1:11" ht="18" customHeight="1" x14ac:dyDescent="0.25">
      <c r="A39" s="5" t="s">
        <v>57</v>
      </c>
      <c r="B39" s="5"/>
      <c r="C39" s="5"/>
      <c r="D39" s="4">
        <f>SUMIFS(F20:F34,B20:B34,"Gutschrift")</f>
        <v>-959.1</v>
      </c>
      <c r="E39" s="4"/>
      <c r="G39" s="3"/>
      <c r="H39" s="3"/>
      <c r="I39" s="3"/>
      <c r="J39" s="3"/>
      <c r="K39" s="3"/>
    </row>
    <row r="40" spans="1:11" ht="18" customHeight="1" x14ac:dyDescent="0.25">
      <c r="A40" s="5" t="s">
        <v>58</v>
      </c>
      <c r="B40" s="5"/>
      <c r="C40" s="5"/>
      <c r="D40" s="4">
        <f>-SUM(H20:H34)</f>
        <v>-862.63999999999987</v>
      </c>
      <c r="E40" s="4"/>
      <c r="G40" s="3"/>
      <c r="H40" s="3"/>
      <c r="I40" s="3"/>
      <c r="J40" s="3"/>
      <c r="K40" s="3"/>
    </row>
    <row r="41" spans="1:11" ht="18" customHeight="1" x14ac:dyDescent="0.25">
      <c r="A41" s="5" t="s">
        <v>59</v>
      </c>
      <c r="B41" s="5"/>
      <c r="C41" s="5"/>
      <c r="D41" s="4">
        <f>-SUM(I20:I34)</f>
        <v>-255</v>
      </c>
      <c r="E41" s="4"/>
      <c r="G41" s="2" t="str">
        <f>"Kennzahl:  Skontoquote "&amp;ROUND(IFERROR(SUM(H20:H34)/SUMIFS(F20:F34,B20:B34,"Rechnung"),0)*100,2)&amp;" %  ·  Belege: "&amp;K15</f>
        <v>Kennzahl:  Skontoquote 2,23 %  ·  Belege: 10</v>
      </c>
      <c r="H41" s="2"/>
      <c r="I41" s="2"/>
      <c r="J41" s="2"/>
      <c r="K41" s="2"/>
    </row>
    <row r="42" spans="1:11" ht="30" customHeight="1" x14ac:dyDescent="0.25">
      <c r="A42" s="1" t="s">
        <v>60</v>
      </c>
      <c r="B42" s="1"/>
      <c r="C42" s="1"/>
      <c r="D42" s="65">
        <f>SUM(J20:J34)</f>
        <v>36541.509999999995</v>
      </c>
      <c r="E42" s="65"/>
      <c r="G42" s="66" t="str">
        <f>IF(ROUND(SUM(J20:J34)-(SUM(F20:F34)-SUM(H20:H34)-SUM(I20:I34)),2)=0,"Prüfsumme in Ordnung – Positionen und Überweisungsbetrag stimmen überein.","Abweichung – bitte Positionen prüfen.")</f>
        <v>Prüfsumme in Ordnung – Positionen und Überweisungsbetrag stimmen überein.</v>
      </c>
      <c r="H42" s="66"/>
      <c r="I42" s="66"/>
      <c r="J42" s="66"/>
      <c r="K42" s="66"/>
    </row>
    <row r="44" spans="1:11" ht="25.5" customHeight="1" x14ac:dyDescent="0.25"/>
    <row r="45" spans="1:11" x14ac:dyDescent="0.25">
      <c r="A45" s="67" t="s">
        <v>61</v>
      </c>
      <c r="B45" s="67"/>
      <c r="C45" s="67"/>
      <c r="E45" s="67" t="s">
        <v>62</v>
      </c>
      <c r="F45" s="67"/>
      <c r="G45" s="67"/>
      <c r="I45" s="67" t="s">
        <v>63</v>
      </c>
      <c r="J45" s="67"/>
      <c r="K45" s="67"/>
    </row>
    <row r="47" spans="1:11" x14ac:dyDescent="0.25">
      <c r="A47" s="68" t="s">
        <v>64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</row>
  </sheetData>
  <mergeCells count="43">
    <mergeCell ref="A45:C45"/>
    <mergeCell ref="E45:G45"/>
    <mergeCell ref="I45:K45"/>
    <mergeCell ref="A47:K47"/>
    <mergeCell ref="A41:C41"/>
    <mergeCell ref="D41:E41"/>
    <mergeCell ref="G41:K41"/>
    <mergeCell ref="A42:C42"/>
    <mergeCell ref="D42:E42"/>
    <mergeCell ref="G42:K42"/>
    <mergeCell ref="A18:K18"/>
    <mergeCell ref="A35:E35"/>
    <mergeCell ref="A37:K37"/>
    <mergeCell ref="A38:C38"/>
    <mergeCell ref="D38:E38"/>
    <mergeCell ref="G38:K40"/>
    <mergeCell ref="A39:C39"/>
    <mergeCell ref="D39:E39"/>
    <mergeCell ref="A40:C40"/>
    <mergeCell ref="D40:E40"/>
    <mergeCell ref="B14:C14"/>
    <mergeCell ref="H14:I14"/>
    <mergeCell ref="B15:C15"/>
    <mergeCell ref="H15:I15"/>
    <mergeCell ref="B16:E16"/>
    <mergeCell ref="H16:K16"/>
    <mergeCell ref="B10:E10"/>
    <mergeCell ref="H10:K10"/>
    <mergeCell ref="B11:E11"/>
    <mergeCell ref="H11:K11"/>
    <mergeCell ref="A13:K13"/>
    <mergeCell ref="B7:E7"/>
    <mergeCell ref="H7:K7"/>
    <mergeCell ref="B8:E8"/>
    <mergeCell ref="H8:K8"/>
    <mergeCell ref="B9:E9"/>
    <mergeCell ref="H9:K9"/>
    <mergeCell ref="A2:K2"/>
    <mergeCell ref="A3:K3"/>
    <mergeCell ref="A5:E5"/>
    <mergeCell ref="G5:K5"/>
    <mergeCell ref="B6:E6"/>
    <mergeCell ref="H6:K6"/>
  </mergeCells>
  <conditionalFormatting sqref="F20:F34">
    <cfRule type="expression" dxfId="8" priority="5">
      <formula>$F20&lt;0</formula>
    </cfRule>
  </conditionalFormatting>
  <conditionalFormatting sqref="G42:K42">
    <cfRule type="expression" dxfId="7" priority="7">
      <formula>ISNUMBER(SEARCH("Abweichung",$G$42))</formula>
    </cfRule>
  </conditionalFormatting>
  <conditionalFormatting sqref="J20:J34">
    <cfRule type="expression" dxfId="6" priority="6">
      <formula>$J20&lt;0</formula>
    </cfRule>
  </conditionalFormatting>
  <conditionalFormatting sqref="K20:K34">
    <cfRule type="expression" dxfId="5" priority="2">
      <formula>EXACT($K20,"Skonto gezogen")</formula>
    </cfRule>
    <cfRule type="expression" dxfId="4" priority="3">
      <formula>EXACT($K20,"Frist abgelaufen")</formula>
    </cfRule>
    <cfRule type="expression" dxfId="3" priority="4">
      <formula>EXACT($K20,"Verrechnung")</formula>
    </cfRule>
  </conditionalFormatting>
  <pageMargins left="0.4" right="0.4" top="0.4" bottom="0.4" header="0.511811023622047" footer="0.511811023622047"/>
  <pageSetup paperSize="9" orientation="landscape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Stammdaten!$B$26:$B$28</xm:f>
          </x14:formula1>
          <x14:formula2>
            <xm:f>0</xm:f>
          </x14:formula2>
          <xm:sqref>B20:B34</xm:sqref>
        </x14:dataValidation>
        <x14:dataValidation type="list" allowBlank="1" xr:uid="{00000000-0002-0000-0000-000001000000}">
          <x14:formula1>
            <xm:f>Stammdaten!$C$26:$C$30</xm:f>
          </x14:formula1>
          <x14:formula2>
            <xm:f>0</xm:f>
          </x14:formula2>
          <xm:sqref>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304A"/>
    <pageSetUpPr fitToPage="1"/>
  </sheetPr>
  <dimension ref="A1:O47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8.7109375" defaultRowHeight="15" x14ac:dyDescent="0.25"/>
  <cols>
    <col min="1" max="1" width="5.5703125" customWidth="1"/>
    <col min="2" max="2" width="15" customWidth="1"/>
    <col min="3" max="3" width="12.42578125" customWidth="1"/>
    <col min="4" max="4" width="26" customWidth="1"/>
    <col min="5" max="5" width="9" customWidth="1"/>
    <col min="6" max="6" width="15" customWidth="1"/>
    <col min="7" max="8" width="12.42578125" customWidth="1"/>
    <col min="9" max="9" width="17" customWidth="1"/>
    <col min="10" max="10" width="16" customWidth="1"/>
    <col min="11" max="11" width="13" customWidth="1"/>
    <col min="12" max="12" width="12.42578125" customWidth="1"/>
    <col min="13" max="13" width="30" customWidth="1"/>
    <col min="15" max="15" width="13" hidden="1" customWidth="1"/>
  </cols>
  <sheetData>
    <row r="1" spans="1:13" ht="7.5" customHeight="1" x14ac:dyDescent="0.25"/>
    <row r="2" spans="1:13" ht="33.75" customHeight="1" x14ac:dyDescent="0.25">
      <c r="A2" s="14" t="s">
        <v>65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.75" customHeight="1" x14ac:dyDescent="0.25">
      <c r="A3" s="13" t="s">
        <v>66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5" spans="1:13" ht="6" customHeigh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5" customHeight="1" x14ac:dyDescent="0.25">
      <c r="A6" s="70" t="s">
        <v>67</v>
      </c>
      <c r="B6" s="70"/>
      <c r="C6" s="70" t="s">
        <v>68</v>
      </c>
      <c r="D6" s="70"/>
      <c r="E6" s="70" t="s">
        <v>69</v>
      </c>
      <c r="F6" s="70"/>
      <c r="G6" s="70" t="s">
        <v>70</v>
      </c>
      <c r="H6" s="70"/>
      <c r="I6" s="70" t="s">
        <v>71</v>
      </c>
      <c r="J6" s="70"/>
      <c r="K6" s="70" t="s">
        <v>72</v>
      </c>
      <c r="L6" s="70"/>
      <c r="M6" s="70"/>
    </row>
    <row r="7" spans="1:13" ht="25.5" customHeight="1" x14ac:dyDescent="0.25">
      <c r="A7" s="71">
        <f>COUNTA(B10:B29)</f>
        <v>12</v>
      </c>
      <c r="B7" s="71"/>
      <c r="C7" s="72">
        <f>SUM(F10:F29)</f>
        <v>211702.84999999998</v>
      </c>
      <c r="D7" s="72"/>
      <c r="E7" s="72">
        <f>SUM(G10:G29)</f>
        <v>4512.33</v>
      </c>
      <c r="F7" s="72"/>
      <c r="G7" s="73">
        <f>IFERROR(SUM(G10:G29)/SUM(F10:F29),0)</f>
        <v>2.1314450891898717E-2</v>
      </c>
      <c r="H7" s="73"/>
      <c r="I7" s="72">
        <f>SUM(I10:I29)</f>
        <v>206290.52000000002</v>
      </c>
      <c r="J7" s="72"/>
      <c r="K7" s="71">
        <f>COUNTIFS(B10:B29,"&lt;&gt;",K10:K29,"&lt;&gt;Bezahlt")</f>
        <v>3</v>
      </c>
      <c r="L7" s="71"/>
      <c r="M7" s="71"/>
    </row>
    <row r="9" spans="1:13" ht="27.75" customHeight="1" x14ac:dyDescent="0.25">
      <c r="A9" s="21" t="s">
        <v>73</v>
      </c>
      <c r="B9" s="21" t="s">
        <v>74</v>
      </c>
      <c r="C9" s="21" t="s">
        <v>19</v>
      </c>
      <c r="D9" s="21" t="s">
        <v>75</v>
      </c>
      <c r="E9" s="21" t="s">
        <v>76</v>
      </c>
      <c r="F9" s="21" t="s">
        <v>77</v>
      </c>
      <c r="G9" s="21" t="s">
        <v>78</v>
      </c>
      <c r="H9" s="21" t="s">
        <v>38</v>
      </c>
      <c r="I9" s="21" t="s">
        <v>79</v>
      </c>
      <c r="J9" s="21" t="s">
        <v>20</v>
      </c>
      <c r="K9" s="21" t="s">
        <v>80</v>
      </c>
      <c r="L9" s="21" t="s">
        <v>81</v>
      </c>
      <c r="M9" s="21" t="s">
        <v>82</v>
      </c>
    </row>
    <row r="10" spans="1:13" ht="16.5" customHeight="1" x14ac:dyDescent="0.25">
      <c r="A10" s="22">
        <f>IF(B10="","",COUNTA($B$10:B10))</f>
        <v>1</v>
      </c>
      <c r="B10" s="23" t="s">
        <v>83</v>
      </c>
      <c r="C10" s="24">
        <v>46065</v>
      </c>
      <c r="D10" s="23" t="s">
        <v>84</v>
      </c>
      <c r="E10" s="38">
        <v>6</v>
      </c>
      <c r="F10" s="26">
        <v>18450</v>
      </c>
      <c r="G10" s="26">
        <v>320.10000000000002</v>
      </c>
      <c r="H10" s="26">
        <v>0</v>
      </c>
      <c r="I10" s="29">
        <f t="shared" ref="I10:I29" si="0">IF(B10="","",ROUND(F10-G10-H10,2))</f>
        <v>18129.900000000001</v>
      </c>
      <c r="J10" s="23" t="s">
        <v>21</v>
      </c>
      <c r="K10" s="39" t="s">
        <v>85</v>
      </c>
      <c r="L10" s="24">
        <v>46065</v>
      </c>
      <c r="M10" s="40" t="s">
        <v>86</v>
      </c>
    </row>
    <row r="11" spans="1:13" ht="16.5" customHeight="1" x14ac:dyDescent="0.25">
      <c r="A11" s="31">
        <f>IF(B11="","",COUNTA($B$10:B11))</f>
        <v>2</v>
      </c>
      <c r="B11" s="23" t="s">
        <v>87</v>
      </c>
      <c r="C11" s="24">
        <v>46079</v>
      </c>
      <c r="D11" s="23" t="s">
        <v>88</v>
      </c>
      <c r="E11" s="38">
        <v>3</v>
      </c>
      <c r="F11" s="26">
        <v>2840.6</v>
      </c>
      <c r="G11" s="26">
        <v>56.81</v>
      </c>
      <c r="H11" s="26">
        <v>0</v>
      </c>
      <c r="I11" s="34">
        <f t="shared" si="0"/>
        <v>2783.79</v>
      </c>
      <c r="J11" s="23" t="s">
        <v>21</v>
      </c>
      <c r="K11" s="39" t="s">
        <v>85</v>
      </c>
      <c r="L11" s="24">
        <v>46079</v>
      </c>
      <c r="M11" s="40"/>
    </row>
    <row r="12" spans="1:13" ht="16.5" customHeight="1" x14ac:dyDescent="0.25">
      <c r="A12" s="22">
        <f>IF(B12="","",COUNTA($B$10:B12))</f>
        <v>3</v>
      </c>
      <c r="B12" s="23" t="s">
        <v>89</v>
      </c>
      <c r="C12" s="24">
        <v>46094</v>
      </c>
      <c r="D12" s="23" t="s">
        <v>90</v>
      </c>
      <c r="E12" s="38">
        <v>8</v>
      </c>
      <c r="F12" s="26">
        <v>34120.75</v>
      </c>
      <c r="G12" s="26">
        <v>682.42</v>
      </c>
      <c r="H12" s="26">
        <v>480</v>
      </c>
      <c r="I12" s="29">
        <f t="shared" si="0"/>
        <v>32958.33</v>
      </c>
      <c r="J12" s="23" t="s">
        <v>21</v>
      </c>
      <c r="K12" s="39" t="s">
        <v>85</v>
      </c>
      <c r="L12" s="24">
        <v>46094</v>
      </c>
      <c r="M12" s="40" t="s">
        <v>91</v>
      </c>
    </row>
    <row r="13" spans="1:13" ht="16.5" customHeight="1" x14ac:dyDescent="0.25">
      <c r="A13" s="31">
        <f>IF(B13="","",COUNTA($B$10:B13))</f>
        <v>4</v>
      </c>
      <c r="B13" s="23" t="s">
        <v>92</v>
      </c>
      <c r="C13" s="24">
        <v>46108</v>
      </c>
      <c r="D13" s="23" t="s">
        <v>93</v>
      </c>
      <c r="E13" s="38">
        <v>4</v>
      </c>
      <c r="F13" s="26">
        <v>9760</v>
      </c>
      <c r="G13" s="26">
        <v>0</v>
      </c>
      <c r="H13" s="26">
        <v>0</v>
      </c>
      <c r="I13" s="34">
        <f t="shared" si="0"/>
        <v>9760</v>
      </c>
      <c r="J13" s="23" t="s">
        <v>21</v>
      </c>
      <c r="K13" s="39" t="s">
        <v>85</v>
      </c>
      <c r="L13" s="24">
        <v>46108</v>
      </c>
      <c r="M13" s="40" t="s">
        <v>94</v>
      </c>
    </row>
    <row r="14" spans="1:13" ht="16.5" customHeight="1" x14ac:dyDescent="0.25">
      <c r="A14" s="22">
        <f>IF(B14="","",COUNTA($B$10:B14))</f>
        <v>5</v>
      </c>
      <c r="B14" s="23" t="s">
        <v>95</v>
      </c>
      <c r="C14" s="24">
        <v>46127</v>
      </c>
      <c r="D14" s="23" t="s">
        <v>5</v>
      </c>
      <c r="E14" s="38">
        <v>7</v>
      </c>
      <c r="F14" s="26">
        <v>21980.400000000001</v>
      </c>
      <c r="G14" s="26">
        <v>439.61</v>
      </c>
      <c r="H14" s="26">
        <v>125</v>
      </c>
      <c r="I14" s="29">
        <f t="shared" si="0"/>
        <v>21415.79</v>
      </c>
      <c r="J14" s="23" t="s">
        <v>21</v>
      </c>
      <c r="K14" s="39" t="s">
        <v>85</v>
      </c>
      <c r="L14" s="24">
        <v>46127</v>
      </c>
      <c r="M14" s="40"/>
    </row>
    <row r="15" spans="1:13" ht="16.5" customHeight="1" x14ac:dyDescent="0.25">
      <c r="A15" s="31">
        <f>IF(B15="","",COUNTA($B$10:B15))</f>
        <v>6</v>
      </c>
      <c r="B15" s="23" t="s">
        <v>96</v>
      </c>
      <c r="C15" s="24">
        <v>46141</v>
      </c>
      <c r="D15" s="23" t="s">
        <v>84</v>
      </c>
      <c r="E15" s="38">
        <v>5</v>
      </c>
      <c r="F15" s="26">
        <v>12305.9</v>
      </c>
      <c r="G15" s="26">
        <v>246.12</v>
      </c>
      <c r="H15" s="26">
        <v>0</v>
      </c>
      <c r="I15" s="34">
        <f t="shared" si="0"/>
        <v>12059.78</v>
      </c>
      <c r="J15" s="23" t="s">
        <v>21</v>
      </c>
      <c r="K15" s="39" t="s">
        <v>85</v>
      </c>
      <c r="L15" s="24">
        <v>46141</v>
      </c>
      <c r="M15" s="40"/>
    </row>
    <row r="16" spans="1:13" ht="16.5" customHeight="1" x14ac:dyDescent="0.25">
      <c r="A16" s="22">
        <f>IF(B16="","",COUNTA($B$10:B16))</f>
        <v>7</v>
      </c>
      <c r="B16" s="23" t="s">
        <v>97</v>
      </c>
      <c r="C16" s="24">
        <v>46156</v>
      </c>
      <c r="D16" s="23" t="s">
        <v>98</v>
      </c>
      <c r="E16" s="38">
        <v>4</v>
      </c>
      <c r="F16" s="26">
        <v>7640.25</v>
      </c>
      <c r="G16" s="26">
        <v>152.81</v>
      </c>
      <c r="H16" s="26">
        <v>0</v>
      </c>
      <c r="I16" s="29">
        <f t="shared" si="0"/>
        <v>7487.44</v>
      </c>
      <c r="J16" s="23" t="s">
        <v>21</v>
      </c>
      <c r="K16" s="39" t="s">
        <v>85</v>
      </c>
      <c r="L16" s="24">
        <v>46156</v>
      </c>
      <c r="M16" s="40"/>
    </row>
    <row r="17" spans="1:13" ht="16.5" customHeight="1" x14ac:dyDescent="0.25">
      <c r="A17" s="31">
        <f>IF(B17="","",COUNTA($B$10:B17))</f>
        <v>8</v>
      </c>
      <c r="B17" s="23" t="s">
        <v>99</v>
      </c>
      <c r="C17" s="24">
        <v>46170</v>
      </c>
      <c r="D17" s="23" t="s">
        <v>90</v>
      </c>
      <c r="E17" s="38">
        <v>9</v>
      </c>
      <c r="F17" s="26">
        <v>41250</v>
      </c>
      <c r="G17" s="26">
        <v>1237.5</v>
      </c>
      <c r="H17" s="26">
        <v>0</v>
      </c>
      <c r="I17" s="34">
        <f t="shared" si="0"/>
        <v>40012.5</v>
      </c>
      <c r="J17" s="23" t="s">
        <v>21</v>
      </c>
      <c r="K17" s="39" t="s">
        <v>85</v>
      </c>
      <c r="L17" s="24">
        <v>46170</v>
      </c>
      <c r="M17" s="40" t="s">
        <v>100</v>
      </c>
    </row>
    <row r="18" spans="1:13" ht="16.5" customHeight="1" x14ac:dyDescent="0.25">
      <c r="A18" s="22">
        <f>IF(B18="","",COUNTA($B$10:B18))</f>
        <v>9</v>
      </c>
      <c r="B18" s="23" t="s">
        <v>101</v>
      </c>
      <c r="C18" s="24">
        <v>46184</v>
      </c>
      <c r="D18" s="23" t="s">
        <v>93</v>
      </c>
      <c r="E18" s="38">
        <v>3</v>
      </c>
      <c r="F18" s="26">
        <v>5480</v>
      </c>
      <c r="G18" s="26">
        <v>109.6</v>
      </c>
      <c r="H18" s="26">
        <v>0</v>
      </c>
      <c r="I18" s="29">
        <f t="shared" si="0"/>
        <v>5370.4</v>
      </c>
      <c r="J18" s="23" t="s">
        <v>21</v>
      </c>
      <c r="K18" s="39" t="s">
        <v>85</v>
      </c>
      <c r="L18" s="24">
        <v>46184</v>
      </c>
      <c r="M18" s="40"/>
    </row>
    <row r="19" spans="1:13" ht="16.5" customHeight="1" x14ac:dyDescent="0.25">
      <c r="A19" s="31">
        <f>IF(B19="","",COUNTA($B$10:B19))</f>
        <v>10</v>
      </c>
      <c r="B19" s="23" t="s">
        <v>102</v>
      </c>
      <c r="C19" s="24">
        <v>46198</v>
      </c>
      <c r="D19" s="23" t="s">
        <v>88</v>
      </c>
      <c r="E19" s="38">
        <v>5</v>
      </c>
      <c r="F19" s="26">
        <v>4315.8</v>
      </c>
      <c r="G19" s="26">
        <v>86.32</v>
      </c>
      <c r="H19" s="26">
        <v>40</v>
      </c>
      <c r="I19" s="34">
        <f t="shared" si="0"/>
        <v>4189.4799999999996</v>
      </c>
      <c r="J19" s="23" t="s">
        <v>21</v>
      </c>
      <c r="K19" s="39" t="s">
        <v>103</v>
      </c>
      <c r="L19" s="24">
        <v>46198</v>
      </c>
      <c r="M19" s="40" t="s">
        <v>104</v>
      </c>
    </row>
    <row r="20" spans="1:13" ht="16.5" customHeight="1" x14ac:dyDescent="0.25">
      <c r="A20" s="22">
        <f>IF(B20="","",COUNTA($B$10:B20))</f>
        <v>11</v>
      </c>
      <c r="B20" s="23" t="s">
        <v>105</v>
      </c>
      <c r="C20" s="24">
        <v>46212</v>
      </c>
      <c r="D20" s="23" t="s">
        <v>98</v>
      </c>
      <c r="E20" s="38">
        <v>6</v>
      </c>
      <c r="F20" s="26">
        <v>15920</v>
      </c>
      <c r="G20" s="26">
        <v>318.39999999999998</v>
      </c>
      <c r="H20" s="26">
        <v>0</v>
      </c>
      <c r="I20" s="29">
        <f t="shared" si="0"/>
        <v>15601.6</v>
      </c>
      <c r="J20" s="23" t="s">
        <v>21</v>
      </c>
      <c r="K20" s="39" t="s">
        <v>103</v>
      </c>
      <c r="L20" s="24">
        <v>46212</v>
      </c>
      <c r="M20" s="40"/>
    </row>
    <row r="21" spans="1:13" ht="16.5" customHeight="1" x14ac:dyDescent="0.25">
      <c r="A21" s="31">
        <f>IF(B21="","",COUNTA($B$10:B21))</f>
        <v>12</v>
      </c>
      <c r="B21" s="23" t="s">
        <v>18</v>
      </c>
      <c r="C21" s="24">
        <v>46213</v>
      </c>
      <c r="D21" s="23" t="s">
        <v>5</v>
      </c>
      <c r="E21" s="38">
        <v>10</v>
      </c>
      <c r="F21" s="26">
        <v>37639.15</v>
      </c>
      <c r="G21" s="26">
        <v>862.64</v>
      </c>
      <c r="H21" s="26">
        <v>255</v>
      </c>
      <c r="I21" s="34">
        <f t="shared" si="0"/>
        <v>36521.51</v>
      </c>
      <c r="J21" s="23" t="s">
        <v>21</v>
      </c>
      <c r="K21" s="39" t="s">
        <v>106</v>
      </c>
      <c r="L21" s="24"/>
      <c r="M21" s="40" t="s">
        <v>107</v>
      </c>
    </row>
    <row r="22" spans="1:13" ht="16.5" customHeight="1" x14ac:dyDescent="0.25">
      <c r="A22" s="22" t="str">
        <f>IF(B22="","",COUNTA($B$10:B22))</f>
        <v/>
      </c>
      <c r="B22" s="23"/>
      <c r="C22" s="24"/>
      <c r="D22" s="23"/>
      <c r="E22" s="38"/>
      <c r="F22" s="26"/>
      <c r="G22" s="26"/>
      <c r="H22" s="26"/>
      <c r="I22" s="29" t="str">
        <f t="shared" si="0"/>
        <v/>
      </c>
      <c r="J22" s="23"/>
      <c r="K22" s="39"/>
      <c r="L22" s="24"/>
      <c r="M22" s="40"/>
    </row>
    <row r="23" spans="1:13" ht="16.5" customHeight="1" x14ac:dyDescent="0.25">
      <c r="A23" s="31" t="str">
        <f>IF(B23="","",COUNTA($B$10:B23))</f>
        <v/>
      </c>
      <c r="B23" s="23"/>
      <c r="C23" s="24"/>
      <c r="D23" s="23"/>
      <c r="E23" s="38"/>
      <c r="F23" s="26"/>
      <c r="G23" s="26"/>
      <c r="H23" s="26"/>
      <c r="I23" s="34" t="str">
        <f t="shared" si="0"/>
        <v/>
      </c>
      <c r="J23" s="23"/>
      <c r="K23" s="39"/>
      <c r="L23" s="24"/>
      <c r="M23" s="40"/>
    </row>
    <row r="24" spans="1:13" ht="16.5" customHeight="1" x14ac:dyDescent="0.25">
      <c r="A24" s="22" t="str">
        <f>IF(B24="","",COUNTA($B$10:B24))</f>
        <v/>
      </c>
      <c r="B24" s="23"/>
      <c r="C24" s="24"/>
      <c r="D24" s="23"/>
      <c r="E24" s="38"/>
      <c r="F24" s="26"/>
      <c r="G24" s="26"/>
      <c r="H24" s="26"/>
      <c r="I24" s="29" t="str">
        <f t="shared" si="0"/>
        <v/>
      </c>
      <c r="J24" s="23"/>
      <c r="K24" s="39"/>
      <c r="L24" s="24"/>
      <c r="M24" s="40"/>
    </row>
    <row r="25" spans="1:13" ht="16.5" customHeight="1" x14ac:dyDescent="0.25">
      <c r="A25" s="31" t="str">
        <f>IF(B25="","",COUNTA($B$10:B25))</f>
        <v/>
      </c>
      <c r="B25" s="23"/>
      <c r="C25" s="24"/>
      <c r="D25" s="23"/>
      <c r="E25" s="38"/>
      <c r="F25" s="26"/>
      <c r="G25" s="26"/>
      <c r="H25" s="26"/>
      <c r="I25" s="34" t="str">
        <f t="shared" si="0"/>
        <v/>
      </c>
      <c r="J25" s="23"/>
      <c r="K25" s="39"/>
      <c r="L25" s="24"/>
      <c r="M25" s="40"/>
    </row>
    <row r="26" spans="1:13" ht="16.5" customHeight="1" x14ac:dyDescent="0.25">
      <c r="A26" s="22" t="str">
        <f>IF(B26="","",COUNTA($B$10:B26))</f>
        <v/>
      </c>
      <c r="B26" s="23"/>
      <c r="C26" s="24"/>
      <c r="D26" s="23"/>
      <c r="E26" s="38"/>
      <c r="F26" s="26"/>
      <c r="G26" s="26"/>
      <c r="H26" s="26"/>
      <c r="I26" s="29" t="str">
        <f t="shared" si="0"/>
        <v/>
      </c>
      <c r="J26" s="23"/>
      <c r="K26" s="39"/>
      <c r="L26" s="24"/>
      <c r="M26" s="40"/>
    </row>
    <row r="27" spans="1:13" ht="16.5" customHeight="1" x14ac:dyDescent="0.25">
      <c r="A27" s="31" t="str">
        <f>IF(B27="","",COUNTA($B$10:B27))</f>
        <v/>
      </c>
      <c r="B27" s="23"/>
      <c r="C27" s="24"/>
      <c r="D27" s="23"/>
      <c r="E27" s="38"/>
      <c r="F27" s="26"/>
      <c r="G27" s="26"/>
      <c r="H27" s="26"/>
      <c r="I27" s="34" t="str">
        <f t="shared" si="0"/>
        <v/>
      </c>
      <c r="J27" s="23"/>
      <c r="K27" s="39"/>
      <c r="L27" s="24"/>
      <c r="M27" s="40"/>
    </row>
    <row r="28" spans="1:13" ht="16.5" customHeight="1" x14ac:dyDescent="0.25">
      <c r="A28" s="22" t="str">
        <f>IF(B28="","",COUNTA($B$10:B28))</f>
        <v/>
      </c>
      <c r="B28" s="23"/>
      <c r="C28" s="24"/>
      <c r="D28" s="23"/>
      <c r="E28" s="38"/>
      <c r="F28" s="26"/>
      <c r="G28" s="26"/>
      <c r="H28" s="26"/>
      <c r="I28" s="29" t="str">
        <f t="shared" si="0"/>
        <v/>
      </c>
      <c r="J28" s="23"/>
      <c r="K28" s="39"/>
      <c r="L28" s="24"/>
      <c r="M28" s="40"/>
    </row>
    <row r="29" spans="1:13" ht="16.5" customHeight="1" x14ac:dyDescent="0.25">
      <c r="A29" s="31" t="str">
        <f>IF(B29="","",COUNTA($B$10:B29))</f>
        <v/>
      </c>
      <c r="B29" s="23"/>
      <c r="C29" s="24"/>
      <c r="D29" s="23"/>
      <c r="E29" s="38"/>
      <c r="F29" s="26"/>
      <c r="G29" s="26"/>
      <c r="H29" s="26"/>
      <c r="I29" s="34" t="str">
        <f t="shared" si="0"/>
        <v/>
      </c>
      <c r="J29" s="23"/>
      <c r="K29" s="39"/>
      <c r="L29" s="24"/>
      <c r="M29" s="40"/>
    </row>
    <row r="30" spans="1:13" ht="19.5" customHeight="1" x14ac:dyDescent="0.25">
      <c r="A30" s="6" t="s">
        <v>108</v>
      </c>
      <c r="B30" s="6"/>
      <c r="C30" s="6"/>
      <c r="D30" s="6"/>
      <c r="E30" s="6"/>
      <c r="F30" s="36">
        <f>SUM(F10:F29)</f>
        <v>211702.84999999998</v>
      </c>
      <c r="G30" s="36">
        <f>SUM(G10:G29)</f>
        <v>4512.33</v>
      </c>
      <c r="H30" s="36">
        <f>SUM(H10:H29)</f>
        <v>900</v>
      </c>
      <c r="I30" s="36">
        <f>SUM(I10:I29)</f>
        <v>206290.52000000002</v>
      </c>
      <c r="J30" s="37"/>
      <c r="K30" s="37"/>
      <c r="L30" s="37"/>
      <c r="M30" s="37"/>
    </row>
    <row r="33" spans="1:15" ht="19.5" customHeight="1" x14ac:dyDescent="0.25">
      <c r="A33" s="12" t="s">
        <v>109</v>
      </c>
      <c r="B33" s="12"/>
      <c r="C33" s="12"/>
      <c r="D33" s="12"/>
      <c r="E33" s="12"/>
      <c r="G33" s="12" t="s">
        <v>110</v>
      </c>
      <c r="H33" s="12"/>
    </row>
    <row r="34" spans="1:15" ht="19.5" customHeight="1" x14ac:dyDescent="0.25">
      <c r="A34" s="41" t="s">
        <v>111</v>
      </c>
      <c r="B34" s="41" t="s">
        <v>112</v>
      </c>
      <c r="C34" s="41" t="s">
        <v>77</v>
      </c>
      <c r="D34" s="41" t="s">
        <v>78</v>
      </c>
      <c r="E34" s="41" t="s">
        <v>113</v>
      </c>
      <c r="G34" s="42" t="s">
        <v>80</v>
      </c>
      <c r="H34" s="42" t="s">
        <v>114</v>
      </c>
    </row>
    <row r="35" spans="1:15" ht="15.75" customHeight="1" x14ac:dyDescent="0.25">
      <c r="A35" s="43" t="s">
        <v>115</v>
      </c>
      <c r="B35" s="44">
        <f t="shared" ref="B35:B46" si="1">COUNTIFS($C$10:$C$29,"&gt;="&amp;DATE(2026,$O35,1),$C$10:$C$29,"&lt;"&amp;DATE(2026,$O35+1,1))</f>
        <v>0</v>
      </c>
      <c r="C35" s="45">
        <f t="shared" ref="C35:C46" si="2">SUMIFS($F$10:$F$29,$C$10:$C$29,"&gt;="&amp;DATE(2026,$O35,1),$C$10:$C$29,"&lt;"&amp;DATE(2026,$O35+1,1))</f>
        <v>0</v>
      </c>
      <c r="D35" s="45">
        <f t="shared" ref="D35:D46" si="3">SUMIFS($G$10:$G$29,$C$10:$C$29,"&gt;="&amp;DATE(2026,$O35,1),$C$10:$C$29,"&lt;"&amp;DATE(2026,$O35+1,1))</f>
        <v>0</v>
      </c>
      <c r="E35" s="45">
        <f t="shared" ref="E35:E46" si="4">SUMIFS($I$10:$I$29,$C$10:$C$29,"&gt;="&amp;DATE(2026,$O35,1),$C$10:$C$29,"&lt;"&amp;DATE(2026,$O35+1,1))</f>
        <v>0</v>
      </c>
      <c r="G35" s="46" t="s">
        <v>85</v>
      </c>
      <c r="H35" s="47">
        <f>COUNTIF($K$10:$K$29,$G35)</f>
        <v>9</v>
      </c>
      <c r="O35">
        <v>1</v>
      </c>
    </row>
    <row r="36" spans="1:15" ht="15.75" customHeight="1" x14ac:dyDescent="0.25">
      <c r="A36" s="48" t="s">
        <v>116</v>
      </c>
      <c r="B36" s="49">
        <f t="shared" si="1"/>
        <v>2</v>
      </c>
      <c r="C36" s="50">
        <f t="shared" si="2"/>
        <v>21290.6</v>
      </c>
      <c r="D36" s="50">
        <f t="shared" si="3"/>
        <v>376.91</v>
      </c>
      <c r="E36" s="50">
        <f t="shared" si="4"/>
        <v>20913.690000000002</v>
      </c>
      <c r="G36" s="46" t="s">
        <v>103</v>
      </c>
      <c r="H36" s="47">
        <f>COUNTIF($K$10:$K$29,$G36)</f>
        <v>2</v>
      </c>
      <c r="O36">
        <v>2</v>
      </c>
    </row>
    <row r="37" spans="1:15" ht="15.75" customHeight="1" x14ac:dyDescent="0.25">
      <c r="A37" s="43" t="s">
        <v>117</v>
      </c>
      <c r="B37" s="44">
        <f t="shared" si="1"/>
        <v>2</v>
      </c>
      <c r="C37" s="45">
        <f t="shared" si="2"/>
        <v>43880.75</v>
      </c>
      <c r="D37" s="45">
        <f t="shared" si="3"/>
        <v>682.42</v>
      </c>
      <c r="E37" s="45">
        <f t="shared" si="4"/>
        <v>42718.33</v>
      </c>
      <c r="G37" s="46" t="s">
        <v>106</v>
      </c>
      <c r="H37" s="47">
        <f>COUNTIF($K$10:$K$29,$G37)</f>
        <v>1</v>
      </c>
      <c r="O37">
        <v>3</v>
      </c>
    </row>
    <row r="38" spans="1:15" ht="15.75" customHeight="1" x14ac:dyDescent="0.25">
      <c r="A38" s="48" t="s">
        <v>118</v>
      </c>
      <c r="B38" s="49">
        <f t="shared" si="1"/>
        <v>2</v>
      </c>
      <c r="C38" s="50">
        <f t="shared" si="2"/>
        <v>34286.300000000003</v>
      </c>
      <c r="D38" s="50">
        <f t="shared" si="3"/>
        <v>685.73</v>
      </c>
      <c r="E38" s="50">
        <f t="shared" si="4"/>
        <v>33475.57</v>
      </c>
      <c r="G38" s="51" t="s">
        <v>119</v>
      </c>
      <c r="O38">
        <v>4</v>
      </c>
    </row>
    <row r="39" spans="1:15" ht="15.75" customHeight="1" x14ac:dyDescent="0.25">
      <c r="A39" s="43" t="s">
        <v>120</v>
      </c>
      <c r="B39" s="44">
        <f t="shared" si="1"/>
        <v>2</v>
      </c>
      <c r="C39" s="45">
        <f t="shared" si="2"/>
        <v>48890.25</v>
      </c>
      <c r="D39" s="45">
        <f t="shared" si="3"/>
        <v>1390.31</v>
      </c>
      <c r="E39" s="45">
        <f t="shared" si="4"/>
        <v>47499.94</v>
      </c>
      <c r="G39" s="74" t="str">
        <f>INDEX($D$10:$D$29,MATCH(MAX($F$10:$F$29),$F$10:$F$29,0))</f>
        <v>Alpha Werkstoffe GmbH</v>
      </c>
      <c r="H39" s="74"/>
      <c r="O39">
        <v>5</v>
      </c>
    </row>
    <row r="40" spans="1:15" ht="15.75" customHeight="1" x14ac:dyDescent="0.25">
      <c r="A40" s="48" t="s">
        <v>121</v>
      </c>
      <c r="B40" s="49">
        <f t="shared" si="1"/>
        <v>2</v>
      </c>
      <c r="C40" s="50">
        <f t="shared" si="2"/>
        <v>9795.7999999999993</v>
      </c>
      <c r="D40" s="50">
        <f t="shared" si="3"/>
        <v>195.92</v>
      </c>
      <c r="E40" s="50">
        <f t="shared" si="4"/>
        <v>9559.8799999999992</v>
      </c>
      <c r="O40">
        <v>6</v>
      </c>
    </row>
    <row r="41" spans="1:15" ht="15.75" customHeight="1" x14ac:dyDescent="0.25">
      <c r="A41" s="43" t="s">
        <v>122</v>
      </c>
      <c r="B41" s="44">
        <f t="shared" si="1"/>
        <v>2</v>
      </c>
      <c r="C41" s="45">
        <f t="shared" si="2"/>
        <v>53559.15</v>
      </c>
      <c r="D41" s="45">
        <f t="shared" si="3"/>
        <v>1181.04</v>
      </c>
      <c r="E41" s="45">
        <f t="shared" si="4"/>
        <v>52123.11</v>
      </c>
      <c r="G41" s="52" t="s">
        <v>123</v>
      </c>
      <c r="O41">
        <v>7</v>
      </c>
    </row>
    <row r="42" spans="1:15" ht="15.75" customHeight="1" x14ac:dyDescent="0.25">
      <c r="A42" s="48" t="s">
        <v>124</v>
      </c>
      <c r="B42" s="49">
        <f t="shared" si="1"/>
        <v>0</v>
      </c>
      <c r="C42" s="50">
        <f t="shared" si="2"/>
        <v>0</v>
      </c>
      <c r="D42" s="50">
        <f t="shared" si="3"/>
        <v>0</v>
      </c>
      <c r="E42" s="50">
        <f t="shared" si="4"/>
        <v>0</v>
      </c>
      <c r="G42" s="75">
        <f>IFERROR(SUM(F10:F29)/COUNTA(B10:B29),0)</f>
        <v>17641.904166666664</v>
      </c>
      <c r="H42" s="75"/>
      <c r="O42">
        <v>8</v>
      </c>
    </row>
    <row r="43" spans="1:15" ht="15.75" customHeight="1" x14ac:dyDescent="0.25">
      <c r="A43" s="43" t="s">
        <v>125</v>
      </c>
      <c r="B43" s="44">
        <f t="shared" si="1"/>
        <v>0</v>
      </c>
      <c r="C43" s="45">
        <f t="shared" si="2"/>
        <v>0</v>
      </c>
      <c r="D43" s="45">
        <f t="shared" si="3"/>
        <v>0</v>
      </c>
      <c r="E43" s="45">
        <f t="shared" si="4"/>
        <v>0</v>
      </c>
      <c r="O43">
        <v>9</v>
      </c>
    </row>
    <row r="44" spans="1:15" ht="15.75" customHeight="1" x14ac:dyDescent="0.25">
      <c r="A44" s="48" t="s">
        <v>126</v>
      </c>
      <c r="B44" s="49">
        <f t="shared" si="1"/>
        <v>0</v>
      </c>
      <c r="C44" s="50">
        <f t="shared" si="2"/>
        <v>0</v>
      </c>
      <c r="D44" s="50">
        <f t="shared" si="3"/>
        <v>0</v>
      </c>
      <c r="E44" s="50">
        <f t="shared" si="4"/>
        <v>0</v>
      </c>
      <c r="O44">
        <v>10</v>
      </c>
    </row>
    <row r="45" spans="1:15" ht="15.75" customHeight="1" x14ac:dyDescent="0.25">
      <c r="A45" s="43" t="s">
        <v>127</v>
      </c>
      <c r="B45" s="44">
        <f t="shared" si="1"/>
        <v>0</v>
      </c>
      <c r="C45" s="45">
        <f t="shared" si="2"/>
        <v>0</v>
      </c>
      <c r="D45" s="45">
        <f t="shared" si="3"/>
        <v>0</v>
      </c>
      <c r="E45" s="45">
        <f t="shared" si="4"/>
        <v>0</v>
      </c>
      <c r="O45">
        <v>11</v>
      </c>
    </row>
    <row r="46" spans="1:15" ht="15.75" customHeight="1" x14ac:dyDescent="0.25">
      <c r="A46" s="48" t="s">
        <v>128</v>
      </c>
      <c r="B46" s="49">
        <f t="shared" si="1"/>
        <v>0</v>
      </c>
      <c r="C46" s="50">
        <f t="shared" si="2"/>
        <v>0</v>
      </c>
      <c r="D46" s="50">
        <f t="shared" si="3"/>
        <v>0</v>
      </c>
      <c r="E46" s="50">
        <f t="shared" si="4"/>
        <v>0</v>
      </c>
      <c r="O46">
        <v>12</v>
      </c>
    </row>
    <row r="47" spans="1:15" ht="18" customHeight="1" x14ac:dyDescent="0.25">
      <c r="A47" s="53" t="s">
        <v>108</v>
      </c>
      <c r="B47" s="54">
        <f>SUM(B35:B46)</f>
        <v>12</v>
      </c>
      <c r="C47" s="55">
        <f>SUM(C35:C46)</f>
        <v>211702.84999999998</v>
      </c>
      <c r="D47" s="55">
        <f>SUM(D35:D46)</f>
        <v>4512.33</v>
      </c>
      <c r="E47" s="55">
        <f>SUM(E35:E46)</f>
        <v>206290.52000000002</v>
      </c>
    </row>
  </sheetData>
  <autoFilter ref="A9:M29" xr:uid="{00000000-0009-0000-0000-000001000000}"/>
  <mergeCells count="25">
    <mergeCell ref="A30:E30"/>
    <mergeCell ref="A33:E33"/>
    <mergeCell ref="G33:H33"/>
    <mergeCell ref="G39:H39"/>
    <mergeCell ref="G42:H42"/>
    <mergeCell ref="K6:M6"/>
    <mergeCell ref="A7:B7"/>
    <mergeCell ref="C7:D7"/>
    <mergeCell ref="E7:F7"/>
    <mergeCell ref="G7:H7"/>
    <mergeCell ref="I7:J7"/>
    <mergeCell ref="K7:M7"/>
    <mergeCell ref="A6:B6"/>
    <mergeCell ref="C6:D6"/>
    <mergeCell ref="E6:F6"/>
    <mergeCell ref="G6:H6"/>
    <mergeCell ref="I6:J6"/>
    <mergeCell ref="A2:M2"/>
    <mergeCell ref="A3:M3"/>
    <mergeCell ref="A5:B5"/>
    <mergeCell ref="C5:D5"/>
    <mergeCell ref="E5:F5"/>
    <mergeCell ref="G5:H5"/>
    <mergeCell ref="I5:J5"/>
    <mergeCell ref="K5:M5"/>
  </mergeCells>
  <conditionalFormatting sqref="I10:I29">
    <cfRule type="dataBar" priority="5">
      <dataBar>
        <cfvo type="num" val="0"/>
        <cfvo type="max"/>
        <color rgb="FF9DB33B"/>
      </dataBar>
      <extLst>
        <ext xmlns:x14="http://schemas.microsoft.com/office/spreadsheetml/2009/9/main" uri="{B025F937-C7B1-47D3-B67F-A62EFF666E3E}">
          <x14:id>{C32F3469-303E-4FA1-BAA9-D49E2E7C2D8F}</x14:id>
        </ext>
      </extLst>
    </cfRule>
  </conditionalFormatting>
  <conditionalFormatting sqref="K10:K29">
    <cfRule type="expression" dxfId="2" priority="2">
      <formula>EXACT($K10,"Bezahlt")</formula>
    </cfRule>
    <cfRule type="expression" dxfId="1" priority="3">
      <formula>EXACT($K10,"Versendet")</formula>
    </cfRule>
    <cfRule type="expression" dxfId="0" priority="4">
      <formula>EXACT($K10,"Entwurf")</formula>
    </cfRule>
  </conditionalFormatting>
  <pageMargins left="0.4" right="0.4" top="1" bottom="1" header="0.511811023622047" footer="0.511811023622047"/>
  <pageSetup paperSize="9"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32F3469-303E-4FA1-BAA9-D49E2E7C2D8F}">
            <x14:dataBar axisPosition="none">
              <x14:cfvo type="num">
                <xm:f>0</xm:f>
              </x14:cfvo>
              <x14:cfvo type="max"/>
              <x14:negativeFillColor rgb="FF9DB33B"/>
            </x14:dataBar>
          </x14:cfRule>
          <xm:sqref>I10:I29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Stammdaten!$C$26:$C$30</xm:f>
          </x14:formula1>
          <x14:formula2>
            <xm:f>0</xm:f>
          </x14:formula2>
          <xm:sqref>J10:J29</xm:sqref>
        </x14:dataValidation>
        <x14:dataValidation type="list" allowBlank="1" xr:uid="{00000000-0002-0000-0100-000001000000}">
          <x14:formula1>
            <xm:f>Stammdaten!$D$26:$D$28</xm:f>
          </x14:formula1>
          <x14:formula2>
            <xm:f>0</xm:f>
          </x14:formula2>
          <xm:sqref>K10:K29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04A"/>
    <pageSetUpPr fitToPage="1"/>
  </sheetPr>
  <dimension ref="A1:G38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6" customWidth="1"/>
    <col min="3" max="3" width="34" customWidth="1"/>
    <col min="4" max="5" width="22" customWidth="1"/>
    <col min="6" max="6" width="3" customWidth="1"/>
    <col min="7" max="7" width="62" customWidth="1"/>
  </cols>
  <sheetData>
    <row r="1" spans="1:7" ht="7.5" customHeight="1" x14ac:dyDescent="0.25"/>
    <row r="2" spans="1:7" ht="33.75" customHeight="1" x14ac:dyDescent="0.25">
      <c r="A2" s="14" t="s">
        <v>129</v>
      </c>
      <c r="B2" s="14"/>
      <c r="C2" s="14"/>
      <c r="D2" s="14"/>
      <c r="E2" s="14"/>
      <c r="F2" s="14"/>
      <c r="G2" s="14"/>
    </row>
    <row r="3" spans="1:7" ht="15.75" customHeight="1" x14ac:dyDescent="0.25">
      <c r="A3" s="13" t="s">
        <v>130</v>
      </c>
      <c r="B3" s="13"/>
      <c r="C3" s="13"/>
      <c r="D3" s="13"/>
      <c r="E3" s="13"/>
      <c r="F3" s="13"/>
      <c r="G3" s="13"/>
    </row>
    <row r="5" spans="1:7" ht="19.5" customHeight="1" x14ac:dyDescent="0.25">
      <c r="B5" s="12" t="s">
        <v>131</v>
      </c>
      <c r="C5" s="12"/>
      <c r="G5" s="15" t="s">
        <v>132</v>
      </c>
    </row>
    <row r="6" spans="1:7" ht="15" customHeight="1" x14ac:dyDescent="0.25">
      <c r="B6" s="56" t="s">
        <v>4</v>
      </c>
      <c r="C6" s="57" t="s">
        <v>133</v>
      </c>
      <c r="G6" s="76" t="s">
        <v>134</v>
      </c>
    </row>
    <row r="7" spans="1:7" ht="15" customHeight="1" x14ac:dyDescent="0.25">
      <c r="B7" s="56" t="s">
        <v>6</v>
      </c>
      <c r="C7" s="57" t="s">
        <v>135</v>
      </c>
      <c r="G7" s="76"/>
    </row>
    <row r="8" spans="1:7" ht="15" customHeight="1" x14ac:dyDescent="0.25">
      <c r="B8" s="56" t="s">
        <v>8</v>
      </c>
      <c r="C8" s="57" t="s">
        <v>136</v>
      </c>
      <c r="G8" s="76"/>
    </row>
    <row r="9" spans="1:7" ht="15" customHeight="1" x14ac:dyDescent="0.25">
      <c r="B9" s="56" t="s">
        <v>10</v>
      </c>
      <c r="C9" s="57" t="s">
        <v>137</v>
      </c>
      <c r="G9" s="76" t="s">
        <v>138</v>
      </c>
    </row>
    <row r="10" spans="1:7" ht="15" customHeight="1" x14ac:dyDescent="0.25">
      <c r="B10" s="56" t="s">
        <v>12</v>
      </c>
      <c r="C10" s="57" t="s">
        <v>139</v>
      </c>
      <c r="G10" s="76"/>
    </row>
    <row r="11" spans="1:7" ht="15" customHeight="1" x14ac:dyDescent="0.25">
      <c r="B11" s="56" t="s">
        <v>14</v>
      </c>
      <c r="C11" s="57" t="s">
        <v>140</v>
      </c>
      <c r="G11" s="76"/>
    </row>
    <row r="12" spans="1:7" ht="15" customHeight="1" x14ac:dyDescent="0.25">
      <c r="B12" s="12" t="s">
        <v>141</v>
      </c>
      <c r="C12" s="12"/>
      <c r="G12" s="76" t="s">
        <v>142</v>
      </c>
    </row>
    <row r="13" spans="1:7" ht="15" customHeight="1" x14ac:dyDescent="0.25">
      <c r="B13" s="56" t="s">
        <v>143</v>
      </c>
      <c r="C13" s="57" t="s">
        <v>144</v>
      </c>
      <c r="G13" s="76"/>
    </row>
    <row r="14" spans="1:7" ht="15" customHeight="1" x14ac:dyDescent="0.25">
      <c r="B14" s="56" t="s">
        <v>145</v>
      </c>
      <c r="C14" s="57" t="s">
        <v>146</v>
      </c>
      <c r="G14" s="76"/>
    </row>
    <row r="15" spans="1:7" ht="15" customHeight="1" x14ac:dyDescent="0.25">
      <c r="B15" s="56" t="s">
        <v>147</v>
      </c>
      <c r="C15" s="57" t="s">
        <v>148</v>
      </c>
      <c r="G15" s="76" t="s">
        <v>149</v>
      </c>
    </row>
    <row r="16" spans="1:7" ht="15" customHeight="1" x14ac:dyDescent="0.25">
      <c r="B16" s="56" t="s">
        <v>150</v>
      </c>
      <c r="C16" s="57" t="s">
        <v>151</v>
      </c>
      <c r="G16" s="76"/>
    </row>
    <row r="17" spans="2:7" ht="15" customHeight="1" x14ac:dyDescent="0.25">
      <c r="G17" s="76"/>
    </row>
    <row r="18" spans="2:7" ht="15" customHeight="1" x14ac:dyDescent="0.25">
      <c r="B18" s="12" t="s">
        <v>152</v>
      </c>
      <c r="C18" s="12"/>
      <c r="G18" s="76" t="s">
        <v>153</v>
      </c>
    </row>
    <row r="19" spans="2:7" ht="15" customHeight="1" x14ac:dyDescent="0.25">
      <c r="B19" s="56" t="s">
        <v>154</v>
      </c>
      <c r="C19" s="58">
        <v>30</v>
      </c>
      <c r="G19" s="76"/>
    </row>
    <row r="20" spans="2:7" ht="15" customHeight="1" x14ac:dyDescent="0.25">
      <c r="B20" s="56" t="s">
        <v>155</v>
      </c>
      <c r="C20" s="58">
        <v>14</v>
      </c>
      <c r="G20" s="76"/>
    </row>
    <row r="21" spans="2:7" ht="15" customHeight="1" x14ac:dyDescent="0.25">
      <c r="B21" s="56" t="s">
        <v>22</v>
      </c>
      <c r="C21" s="59" t="s">
        <v>156</v>
      </c>
      <c r="G21" s="76" t="s">
        <v>157</v>
      </c>
    </row>
    <row r="22" spans="2:7" ht="15" customHeight="1" x14ac:dyDescent="0.25">
      <c r="B22" s="56" t="s">
        <v>158</v>
      </c>
      <c r="C22" s="60">
        <v>0.02</v>
      </c>
      <c r="G22" s="76"/>
    </row>
    <row r="23" spans="2:7" ht="15" customHeight="1" x14ac:dyDescent="0.25">
      <c r="G23" s="76"/>
    </row>
    <row r="25" spans="2:7" ht="19.5" customHeight="1" x14ac:dyDescent="0.25">
      <c r="B25" s="42" t="s">
        <v>31</v>
      </c>
      <c r="C25" s="42" t="s">
        <v>20</v>
      </c>
      <c r="D25" s="42" t="s">
        <v>80</v>
      </c>
      <c r="G25" s="15" t="s">
        <v>159</v>
      </c>
    </row>
    <row r="26" spans="2:7" ht="15" customHeight="1" x14ac:dyDescent="0.25">
      <c r="B26" s="61" t="s">
        <v>41</v>
      </c>
      <c r="C26" s="61" t="s">
        <v>21</v>
      </c>
      <c r="D26" s="61" t="s">
        <v>85</v>
      </c>
      <c r="G26" s="77" t="s">
        <v>160</v>
      </c>
    </row>
    <row r="27" spans="2:7" x14ac:dyDescent="0.25">
      <c r="B27" s="61" t="s">
        <v>46</v>
      </c>
      <c r="C27" s="61" t="s">
        <v>161</v>
      </c>
      <c r="D27" s="61" t="s">
        <v>103</v>
      </c>
      <c r="G27" s="77"/>
    </row>
    <row r="28" spans="2:7" x14ac:dyDescent="0.25">
      <c r="B28" s="61" t="s">
        <v>162</v>
      </c>
      <c r="C28" s="61" t="s">
        <v>163</v>
      </c>
      <c r="D28" s="61" t="s">
        <v>106</v>
      </c>
      <c r="G28" s="77"/>
    </row>
    <row r="29" spans="2:7" x14ac:dyDescent="0.25">
      <c r="C29" s="61" t="s">
        <v>164</v>
      </c>
      <c r="G29" s="77"/>
    </row>
    <row r="30" spans="2:7" x14ac:dyDescent="0.25">
      <c r="C30" s="61" t="s">
        <v>165</v>
      </c>
      <c r="G30" s="77"/>
    </row>
    <row r="31" spans="2:7" x14ac:dyDescent="0.25">
      <c r="B31" s="16" t="s">
        <v>166</v>
      </c>
      <c r="G31" s="77"/>
    </row>
    <row r="33" spans="2:7" ht="19.5" customHeight="1" x14ac:dyDescent="0.25">
      <c r="B33" s="12" t="s">
        <v>167</v>
      </c>
      <c r="C33" s="12"/>
      <c r="D33" s="12"/>
      <c r="G33" s="15" t="s">
        <v>168</v>
      </c>
    </row>
    <row r="34" spans="2:7" ht="18" customHeight="1" x14ac:dyDescent="0.25">
      <c r="B34" s="62" t="s">
        <v>169</v>
      </c>
      <c r="C34" s="78" t="s">
        <v>170</v>
      </c>
      <c r="D34" s="78"/>
      <c r="G34" s="79" t="s">
        <v>171</v>
      </c>
    </row>
    <row r="35" spans="2:7" ht="18" customHeight="1" x14ac:dyDescent="0.25">
      <c r="B35" s="63" t="s">
        <v>172</v>
      </c>
      <c r="C35" s="78" t="s">
        <v>173</v>
      </c>
      <c r="D35" s="78"/>
      <c r="G35" s="79"/>
    </row>
    <row r="36" spans="2:7" ht="18" customHeight="1" x14ac:dyDescent="0.25">
      <c r="B36" s="63" t="s">
        <v>174</v>
      </c>
      <c r="C36" s="78" t="s">
        <v>175</v>
      </c>
      <c r="D36" s="78"/>
      <c r="G36" s="79"/>
    </row>
    <row r="37" spans="2:7" ht="18" customHeight="1" x14ac:dyDescent="0.25">
      <c r="B37" s="64" t="s">
        <v>176</v>
      </c>
      <c r="C37" s="78" t="s">
        <v>177</v>
      </c>
      <c r="D37" s="78"/>
      <c r="G37" s="79"/>
    </row>
    <row r="38" spans="2:7" x14ac:dyDescent="0.25">
      <c r="G38" s="79"/>
    </row>
  </sheetData>
  <mergeCells count="18">
    <mergeCell ref="G21:G23"/>
    <mergeCell ref="G26:G31"/>
    <mergeCell ref="B33:D33"/>
    <mergeCell ref="C34:D34"/>
    <mergeCell ref="G34:G38"/>
    <mergeCell ref="C35:D35"/>
    <mergeCell ref="C36:D36"/>
    <mergeCell ref="C37:D37"/>
    <mergeCell ref="B12:C12"/>
    <mergeCell ref="G12:G14"/>
    <mergeCell ref="G15:G17"/>
    <mergeCell ref="B18:C18"/>
    <mergeCell ref="G18:G20"/>
    <mergeCell ref="A2:G2"/>
    <mergeCell ref="A3:G3"/>
    <mergeCell ref="B5:C5"/>
    <mergeCell ref="G6:G8"/>
    <mergeCell ref="G9:G11"/>
  </mergeCells>
  <pageMargins left="0.75" right="0.75" top="1" bottom="1" header="0.511811023622047" footer="0.511811023622047"/>
  <pageSetup paperSize="9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Zahlungsavis</vt:lpstr>
      <vt:lpstr>Avis-Register</vt:lpstr>
      <vt:lpstr>Stammdaten</vt:lpstr>
      <vt:lpstr>'Avis-Register'!Druckbereich</vt:lpstr>
      <vt:lpstr>Stammdaten!Druckbereich</vt:lpstr>
      <vt:lpstr>Zahlungsavis!Druckbereich</vt:lpstr>
      <vt:lpstr>Skontofrist_Tage</vt:lpstr>
      <vt:lpstr>Standard_Skonto</vt:lpstr>
      <vt:lpstr>Zahlungsziel_Tage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2026-07-18T06:09:06Z</dcterms:created>
  <dcterms:modified xsi:type="dcterms:W3CDTF">2026-07-18T08:13:43Z</dcterms:modified>
  <dc:language>en-US</dc:language>
</cp:coreProperties>
</file>