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Generador\"/>
    </mc:Choice>
  </mc:AlternateContent>
  <xr:revisionPtr revIDLastSave="0" documentId="13_ncr:1_{CD198312-4EE9-4B11-8609-36ADBCBDE59D}" xr6:coauthVersionLast="47" xr6:coauthVersionMax="47" xr10:uidLastSave="{00000000-0000-0000-0000-000000000000}"/>
  <bookViews>
    <workbookView xWindow="1380" yWindow="1380" windowWidth="25500" windowHeight="13500" tabRatio="500" xr2:uid="{00000000-000D-0000-FFFF-FFFF00000000}"/>
  </bookViews>
  <sheets>
    <sheet name="Übersicht" sheetId="1" r:id="rId1"/>
    <sheet name="Berechnung" sheetId="2" r:id="rId2"/>
  </sheets>
  <definedNames>
    <definedName name="_xlnm.Print_Area" localSheetId="1">Berechnung!$A$1:$J$66</definedName>
    <definedName name="_xlnm.Print_Area" localSheetId="0">Übersicht!$A$1:$I$38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62" i="2" l="1"/>
  <c r="B61" i="2"/>
  <c r="B60" i="2"/>
  <c r="I40" i="2"/>
  <c r="H40" i="2"/>
  <c r="G40" i="2"/>
  <c r="F40" i="2"/>
  <c r="E40" i="2"/>
  <c r="D40" i="2"/>
  <c r="C40" i="2"/>
  <c r="C42" i="2" s="1"/>
  <c r="G37" i="2"/>
  <c r="G38" i="2" s="1"/>
  <c r="G43" i="2" s="1"/>
  <c r="F37" i="2"/>
  <c r="F38" i="2" s="1"/>
  <c r="F43" i="2" s="1"/>
  <c r="E37" i="2"/>
  <c r="E38" i="2" s="1"/>
  <c r="E43" i="2" s="1"/>
  <c r="C33" i="2"/>
  <c r="D33" i="2" s="1"/>
  <c r="E33" i="2" s="1"/>
  <c r="F33" i="2" s="1"/>
  <c r="G33" i="2" s="1"/>
  <c r="H33" i="2" s="1"/>
  <c r="I33" i="2" s="1"/>
  <c r="C30" i="2"/>
  <c r="I36" i="2" s="1"/>
  <c r="C24" i="2"/>
  <c r="D37" i="2" s="1"/>
  <c r="D38" i="2" s="1"/>
  <c r="D43" i="2" s="1"/>
  <c r="C17" i="2"/>
  <c r="G6" i="1"/>
  <c r="F6" i="1"/>
  <c r="E6" i="1"/>
  <c r="B6" i="1"/>
  <c r="F62" i="2" l="1"/>
  <c r="I42" i="2"/>
  <c r="I37" i="2"/>
  <c r="I38" i="2" s="1"/>
  <c r="I43" i="2" s="1"/>
  <c r="C35" i="2"/>
  <c r="C38" i="2" s="1"/>
  <c r="D36" i="2"/>
  <c r="F61" i="2" s="1"/>
  <c r="E36" i="2"/>
  <c r="D60" i="2" s="1"/>
  <c r="E61" i="2"/>
  <c r="F36" i="2"/>
  <c r="G36" i="2"/>
  <c r="H36" i="2"/>
  <c r="D62" i="2"/>
  <c r="E62" i="2"/>
  <c r="H37" i="2"/>
  <c r="H38" i="2" s="1"/>
  <c r="H43" i="2" s="1"/>
  <c r="E42" i="2" l="1"/>
  <c r="E39" i="2"/>
  <c r="E41" i="2" s="1"/>
  <c r="F60" i="2"/>
  <c r="H42" i="2"/>
  <c r="H39" i="2"/>
  <c r="H41" i="2" s="1"/>
  <c r="G42" i="2"/>
  <c r="G39" i="2"/>
  <c r="G41" i="2" s="1"/>
  <c r="F42" i="2"/>
  <c r="F39" i="2"/>
  <c r="F41" i="2" s="1"/>
  <c r="D61" i="2"/>
  <c r="E60" i="2"/>
  <c r="I39" i="2"/>
  <c r="I41" i="2" s="1"/>
  <c r="D42" i="2"/>
  <c r="D39" i="2"/>
  <c r="D41" i="2" s="1"/>
  <c r="C43" i="2"/>
  <c r="C39" i="2"/>
  <c r="C49" i="2" l="1"/>
  <c r="D12" i="1" s="1"/>
  <c r="C44" i="2"/>
  <c r="C41" i="2"/>
  <c r="C52" i="2"/>
  <c r="B16" i="1" s="1"/>
  <c r="C54" i="2"/>
  <c r="D16" i="1" s="1"/>
  <c r="D44" i="2" l="1"/>
  <c r="E44" i="2" s="1"/>
  <c r="F44" i="2" s="1"/>
  <c r="G44" i="2" s="1"/>
  <c r="H44" i="2" s="1"/>
  <c r="I44" i="2" s="1"/>
  <c r="C50" i="2"/>
  <c r="C48" i="2"/>
  <c r="C45" i="2"/>
  <c r="D45" i="2" l="1"/>
  <c r="E45" i="2" s="1"/>
  <c r="F45" i="2" s="1"/>
  <c r="G45" i="2" s="1"/>
  <c r="H45" i="2" s="1"/>
  <c r="I45" i="2" s="1"/>
  <c r="B12" i="1"/>
  <c r="B8" i="1"/>
  <c r="C53" i="2"/>
  <c r="F16" i="1" s="1"/>
  <c r="C51" i="2" l="1"/>
  <c r="F12" i="1" s="1"/>
</calcChain>
</file>

<file path=xl/sharedStrings.xml><?xml version="1.0" encoding="utf-8"?>
<sst xmlns="http://schemas.openxmlformats.org/spreadsheetml/2006/main" count="77" uniqueCount="77">
  <si>
    <t>Wirtschaftlichkeitsberechnung</t>
  </si>
  <si>
    <t>Management-Übersicht  ·  Investitionsbewertung 2026</t>
  </si>
  <si>
    <t>PROJEKT</t>
  </si>
  <si>
    <t>KALKULATIONSZINS</t>
  </si>
  <si>
    <t>NUTZUNGSDAUER</t>
  </si>
  <si>
    <t>STARTJAHR</t>
  </si>
  <si>
    <t>KAPITALWERT (NPV)</t>
  </si>
  <si>
    <t>INTERNER ZINSFUSS (IRR)</t>
  </si>
  <si>
    <t>AMORTISATION (DYN.)</t>
  </si>
  <si>
    <t>ROI (GESAMT)</t>
  </si>
  <si>
    <t>KOSTEN-NUTZEN-VERH.</t>
  </si>
  <si>
    <t>ANNUITÄT</t>
  </si>
  <si>
    <t>Amortisationsverlauf</t>
  </si>
  <si>
    <t>Nutzen vs. Kosten je Jahr</t>
  </si>
  <si>
    <t>Berechnungsgrundlage: Kapitalwertmethode (Barwert der Netto-Cashflows, Kalkulationszins i).</t>
  </si>
  <si>
    <t>Alle Beispielwerte sind fiktiv. Eingaben und Anpassungen erfolgen auf dem Blatt „Berechnung“ (gelbe Felder).</t>
  </si>
  <si>
    <t>WIRTSCHAFTLICHKEITSBERECHNUNG</t>
  </si>
  <si>
    <t>Berechnungsblatt  ·  Investitionsbewertung  ·  Basisjahr 2026</t>
  </si>
  <si>
    <t>1   Projekt &amp; Parameter</t>
  </si>
  <si>
    <t>Projektname / Vorhaben</t>
  </si>
  <si>
    <t>Beispielinvestition – Anlage/Vorhaben</t>
  </si>
  <si>
    <t>Kalkulationszinssatz  (i)</t>
  </si>
  <si>
    <t>Startjahr  (t0)</t>
  </si>
  <si>
    <t>Nutzungsdauer in Jahren  (t1–tn)</t>
  </si>
  <si>
    <t>Steigerung Nutzen p. a.  (gN)</t>
  </si>
  <si>
    <t>Steigerung Kosten p. a.  (gK)</t>
  </si>
  <si>
    <t>2   Investition  (im Startjahr t0)</t>
  </si>
  <si>
    <t>Anschaffungskosten</t>
  </si>
  <si>
    <t>Installation &amp; Inbetriebnahme</t>
  </si>
  <si>
    <t>Schulung &amp; Einführung</t>
  </si>
  <si>
    <t>Anlauf- / sonstige Investitionskosten</t>
  </si>
  <si>
    <t>Summe Investition</t>
  </si>
  <si>
    <t>3   Laufende Kosten p. a.  (Basiswert Jahr 1)</t>
  </si>
  <si>
    <t>Betriebskosten</t>
  </si>
  <si>
    <t>Wartung &amp; Instandhaltung</t>
  </si>
  <si>
    <t>Personalaufwand (anteilig)</t>
  </si>
  <si>
    <t>Sonstige laufende Kosten</t>
  </si>
  <si>
    <t>Summe laufende Kosten (Basis)</t>
  </si>
  <si>
    <t>4   Nutzen p. a.  (Basiswert Jahr 1)</t>
  </si>
  <si>
    <t>Kosteneinsparungen</t>
  </si>
  <si>
    <t>Zusätzliche Erträge</t>
  </si>
  <si>
    <t>Sonstiger (quantifizierter) Nutzen</t>
  </si>
  <si>
    <t>Summe Nutzen (Basis)</t>
  </si>
  <si>
    <t>5   Zahlungsreihe &amp; Barwerte</t>
  </si>
  <si>
    <t>Jahr</t>
  </si>
  <si>
    <t>Periode  t</t>
  </si>
  <si>
    <t>Investition (Auszahlung)</t>
  </si>
  <si>
    <t>Nutzen / Einzahlungen</t>
  </si>
  <si>
    <t>Laufende Kosten (Auszahlung)</t>
  </si>
  <si>
    <t>Auszahlungen gesamt</t>
  </si>
  <si>
    <t>Netto-Cashflow</t>
  </si>
  <si>
    <t>Abzinsungsfaktor</t>
  </si>
  <si>
    <t>Barwert (Netto-CF)</t>
  </si>
  <si>
    <t>Barwert Einzahlungen</t>
  </si>
  <si>
    <t>Barwert Auszahlungen</t>
  </si>
  <si>
    <t>Kumulierter Cashflow</t>
  </si>
  <si>
    <t>Kumulierter Barwert</t>
  </si>
  <si>
    <t>6   Kennzahlen</t>
  </si>
  <si>
    <t>Kapitalwert (NPV / Nettobarwert)</t>
  </si>
  <si>
    <t>Positiver Kapitalwert ⇒ Vorhaben ist wirtschaftlich.</t>
  </si>
  <si>
    <t>Interner Zinsfuß (IRR)</t>
  </si>
  <si>
    <t>Amortisation statisch</t>
  </si>
  <si>
    <t>Amortisation = Zeit bis zur Deckung der Investition.</t>
  </si>
  <si>
    <t>Amortisation dynamisch</t>
  </si>
  <si>
    <t>Return on Investment (gesamt)</t>
  </si>
  <si>
    <t>Annuität des Kapitalwerts</t>
  </si>
  <si>
    <t>Kosten-Nutzen-Verhältnis</t>
  </si>
  <si>
    <t>Kosten-Nutzen-Verhältnis &gt; 1,00 ⇒ Nutzen übersteigt Kosten.</t>
  </si>
  <si>
    <t>7   Sensitivitätsanalyse – Kapitalwert (€)</t>
  </si>
  <si>
    <t>Kapitalwert bei variablem Zinssatz (Zeilen) und Nutzenniveau (Spalten).</t>
  </si>
  <si>
    <t>Zins ↓ / Nutzen →</t>
  </si>
  <si>
    <t>Nutzen −15 %</t>
  </si>
  <si>
    <t>Basis</t>
  </si>
  <si>
    <t>Nutzen +15 %</t>
  </si>
  <si>
    <t>Mittelfeld (fett) = Basisszenario und entspricht dem Kapitalwert oben.</t>
  </si>
  <si>
    <t>■</t>
  </si>
  <si>
    <t>Gelbe Felder = Eingabewerte anpassen. Alle übrigen Felder berechnen sich automatisch.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</si>
</sst>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,##0&quot; €&quot;;[Red]\-#,##0&quot; €&quot;"/>
    <numFmt numFmtId="165" formatCode="#,##0&quot; €&quot;;\-#,##0&quot; €&quot;"/>
    <numFmt numFmtId="166" formatCode="0.0%"/>
    <numFmt numFmtId="167" formatCode="0&quot; Jahre&quot;"/>
    <numFmt numFmtId="168" formatCode="0.0&quot; J.&quot;"/>
    <numFmt numFmtId="169" formatCode="0.00\×"/>
    <numFmt numFmtId="170" formatCode="#,##0&quot; €/J.&quot;"/>
    <numFmt numFmtId="171" formatCode="\t0"/>
    <numFmt numFmtId="172" formatCode="0.0000"/>
  </numFmts>
  <fonts count="22" x14ac:knownFonts="1">
    <font>
      <sz val="11"/>
      <color theme="1"/>
      <name val="Calibri"/>
      <family val="2"/>
      <charset val="1"/>
    </font>
    <font>
      <b/>
      <sz val="22"/>
      <color rgb="FFFFFFFF"/>
      <name val="Calibri"/>
      <charset val="1"/>
    </font>
    <font>
      <sz val="9"/>
      <color rgb="FF1B2431"/>
      <name val="Calibri"/>
      <charset val="1"/>
    </font>
    <font>
      <sz val="10.5"/>
      <color rgb="FFFFFFFF"/>
      <name val="Calibri"/>
      <charset val="1"/>
    </font>
    <font>
      <b/>
      <sz val="8.5"/>
      <color rgb="FF5C6B7E"/>
      <name val="Calibri"/>
      <charset val="1"/>
    </font>
    <font>
      <b/>
      <sz val="12"/>
      <color rgb="FF16273F"/>
      <name val="Calibri"/>
      <charset val="1"/>
    </font>
    <font>
      <b/>
      <sz val="15"/>
      <color rgb="FFFFFFFF"/>
      <name val="Calibri"/>
      <charset val="1"/>
    </font>
    <font>
      <b/>
      <sz val="9"/>
      <color rgb="FFFFFFFF"/>
      <name val="Calibri"/>
      <charset val="1"/>
    </font>
    <font>
      <b/>
      <sz val="17"/>
      <color rgb="FF16273F"/>
      <name val="Calibri"/>
      <charset val="1"/>
    </font>
    <font>
      <b/>
      <sz val="11"/>
      <color rgb="FF16273F"/>
      <name val="Calibri"/>
      <charset val="1"/>
    </font>
    <font>
      <i/>
      <sz val="9"/>
      <color rgb="FF5C6B7E"/>
      <name val="Calibri"/>
      <charset val="1"/>
    </font>
    <font>
      <b/>
      <sz val="17"/>
      <color rgb="FFFFFFFF"/>
      <name val="Calibri"/>
      <charset val="1"/>
    </font>
    <font>
      <sz val="10"/>
      <color rgb="FFFFFFFF"/>
      <name val="Calibri"/>
      <charset val="1"/>
    </font>
    <font>
      <b/>
      <sz val="11.5"/>
      <color rgb="FFFFFFFF"/>
      <name val="Calibri"/>
      <charset val="1"/>
    </font>
    <font>
      <sz val="10.5"/>
      <color rgb="FF1B2431"/>
      <name val="Calibri"/>
      <charset val="1"/>
    </font>
    <font>
      <sz val="10.5"/>
      <color rgb="FF1F4E79"/>
      <name val="Calibri"/>
      <charset val="1"/>
    </font>
    <font>
      <b/>
      <sz val="10.5"/>
      <color rgb="FF1B2431"/>
      <name val="Calibri"/>
      <charset val="1"/>
    </font>
    <font>
      <b/>
      <sz val="10.5"/>
      <color rgb="FFFFFFFF"/>
      <name val="Calibri"/>
      <charset val="1"/>
    </font>
    <font>
      <i/>
      <sz val="9.5"/>
      <color rgb="FF5C6B7E"/>
      <name val="Calibri"/>
      <charset val="1"/>
    </font>
    <font>
      <b/>
      <sz val="10"/>
      <color rgb="FFFFFFFF"/>
      <name val="Calibri"/>
      <charset val="1"/>
    </font>
    <font>
      <b/>
      <sz val="10"/>
      <color rgb="FF1B2431"/>
      <name val="Calibri"/>
      <charset val="1"/>
    </font>
    <font>
      <sz val="11"/>
      <color rgb="FFE4C25A"/>
      <name val="Calibri"/>
      <charset val="1"/>
    </font>
  </fonts>
  <fills count="11">
    <fill>
      <patternFill patternType="none"/>
    </fill>
    <fill>
      <patternFill patternType="gray125"/>
    </fill>
    <fill>
      <patternFill patternType="solid">
        <fgColor rgb="FF16273F"/>
        <bgColor rgb="FF1B2431"/>
      </patternFill>
    </fill>
    <fill>
      <patternFill patternType="solid">
        <fgColor rgb="FFBC6A2E"/>
        <bgColor rgb="FFC08A22"/>
      </patternFill>
    </fill>
    <fill>
      <patternFill patternType="solid">
        <fgColor rgb="FF2E7D51"/>
        <bgColor rgb="FF008080"/>
      </patternFill>
    </fill>
    <fill>
      <patternFill patternType="solid">
        <fgColor rgb="FF223B5E"/>
        <bgColor rgb="FF1F4E79"/>
      </patternFill>
    </fill>
    <fill>
      <patternFill patternType="solid">
        <fgColor rgb="FFEDF1F6"/>
        <bgColor rgb="FFFFFFFF"/>
      </patternFill>
    </fill>
    <fill>
      <patternFill patternType="solid">
        <fgColor rgb="FFFFF2C2"/>
        <bgColor rgb="FFF2E3D3"/>
      </patternFill>
    </fill>
    <fill>
      <patternFill patternType="solid">
        <fgColor rgb="FF31547F"/>
        <bgColor rgb="FF1F4E79"/>
      </patternFill>
    </fill>
    <fill>
      <patternFill patternType="solid">
        <fgColor rgb="FFFFFFFF"/>
        <bgColor rgb="FFEDF1F6"/>
      </patternFill>
    </fill>
    <fill>
      <patternFill patternType="solid">
        <fgColor rgb="FFF2E3D3"/>
        <bgColor rgb="FFFFF2C2"/>
      </patternFill>
    </fill>
  </fills>
  <borders count="7">
    <border>
      <left/>
      <right/>
      <top/>
      <bottom/>
      <diagonal/>
    </border>
    <border>
      <left style="thin">
        <color rgb="FFD9E0EA"/>
      </left>
      <right style="thin">
        <color rgb="FFD9E0EA"/>
      </right>
      <top style="medium">
        <color rgb="FFBC6A2E"/>
      </top>
      <bottom/>
      <diagonal/>
    </border>
    <border>
      <left style="thin">
        <color rgb="FFD9E0EA"/>
      </left>
      <right style="thin">
        <color rgb="FFD9E0EA"/>
      </right>
      <top style="thin">
        <color rgb="FFD9E0EA"/>
      </top>
      <bottom style="thin">
        <color rgb="FFD9E0EA"/>
      </bottom>
      <diagonal/>
    </border>
    <border>
      <left style="thin">
        <color rgb="FFE4C25A"/>
      </left>
      <right/>
      <top style="thin">
        <color rgb="FFE4C25A"/>
      </top>
      <bottom style="thin">
        <color rgb="FFE4C25A"/>
      </bottom>
      <diagonal/>
    </border>
    <border>
      <left style="thin">
        <color rgb="FFE4C25A"/>
      </left>
      <right style="thin">
        <color rgb="FFE4C25A"/>
      </right>
      <top style="thin">
        <color rgb="FFE4C25A"/>
      </top>
      <bottom style="thin">
        <color rgb="FFE4C25A"/>
      </bottom>
      <diagonal/>
    </border>
    <border>
      <left style="thin">
        <color rgb="FFD9E0EA"/>
      </left>
      <right/>
      <top style="thin">
        <color rgb="FFD9E0EA"/>
      </top>
      <bottom style="thin">
        <color rgb="FFD9E0EA"/>
      </bottom>
      <diagonal/>
    </border>
    <border>
      <left style="thin">
        <color rgb="FF31547F"/>
      </left>
      <right style="thin">
        <color rgb="FF31547F"/>
      </right>
      <top style="thin">
        <color rgb="FF31547F"/>
      </top>
      <bottom style="thin">
        <color rgb="FF31547F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2" fillId="5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170" fontId="8" fillId="6" borderId="2" xfId="0" applyNumberFormat="1" applyFont="1" applyFill="1" applyBorder="1" applyAlignment="1">
      <alignment horizontal="center" vertical="center"/>
    </xf>
    <xf numFmtId="169" fontId="8" fillId="6" borderId="2" xfId="0" applyNumberFormat="1" applyFont="1" applyFill="1" applyBorder="1" applyAlignment="1">
      <alignment horizontal="center" vertical="center"/>
    </xf>
    <xf numFmtId="168" fontId="8" fillId="6" borderId="2" xfId="0" applyNumberFormat="1" applyFont="1" applyFill="1" applyBorder="1" applyAlignment="1">
      <alignment horizontal="center" vertical="center"/>
    </xf>
    <xf numFmtId="166" fontId="8" fillId="6" borderId="2" xfId="0" applyNumberFormat="1" applyFont="1" applyFill="1" applyBorder="1" applyAlignment="1">
      <alignment horizontal="center" vertical="center"/>
    </xf>
    <xf numFmtId="164" fontId="8" fillId="6" borderId="2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6" fillId="4" borderId="0" xfId="0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3" borderId="0" xfId="0" applyFont="1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/>
    </xf>
    <xf numFmtId="166" fontId="5" fillId="0" borderId="0" xfId="0" applyNumberFormat="1" applyFont="1" applyAlignment="1">
      <alignment horizontal="left" vertical="center"/>
    </xf>
    <xf numFmtId="167" fontId="5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166" fontId="15" fillId="7" borderId="4" xfId="0" applyNumberFormat="1" applyFont="1" applyFill="1" applyBorder="1" applyAlignment="1">
      <alignment horizontal="right" vertical="center"/>
    </xf>
    <xf numFmtId="1" fontId="15" fillId="7" borderId="4" xfId="0" applyNumberFormat="1" applyFont="1" applyFill="1" applyBorder="1" applyAlignment="1">
      <alignment horizontal="right" vertical="center"/>
    </xf>
    <xf numFmtId="167" fontId="15" fillId="7" borderId="4" xfId="0" applyNumberFormat="1" applyFont="1" applyFill="1" applyBorder="1" applyAlignment="1">
      <alignment horizontal="right" vertical="center"/>
    </xf>
    <xf numFmtId="165" fontId="15" fillId="7" borderId="4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horizontal="left" vertical="center"/>
    </xf>
    <xf numFmtId="165" fontId="16" fillId="6" borderId="2" xfId="0" applyNumberFormat="1" applyFont="1" applyFill="1" applyBorder="1" applyAlignment="1">
      <alignment horizontal="right" vertical="center"/>
    </xf>
    <xf numFmtId="0" fontId="17" fillId="8" borderId="0" xfId="0" applyFont="1" applyFill="1" applyAlignment="1">
      <alignment horizontal="left" vertical="center"/>
    </xf>
    <xf numFmtId="1" fontId="17" fillId="8" borderId="0" xfId="0" applyNumberFormat="1" applyFont="1" applyFill="1" applyAlignment="1">
      <alignment horizontal="center" vertical="center"/>
    </xf>
    <xf numFmtId="0" fontId="12" fillId="8" borderId="0" xfId="0" applyFont="1" applyFill="1" applyAlignment="1">
      <alignment horizontal="left" vertical="center"/>
    </xf>
    <xf numFmtId="171" fontId="12" fillId="8" borderId="0" xfId="0" applyNumberFormat="1" applyFont="1" applyFill="1" applyAlignment="1">
      <alignment horizontal="center" vertical="center"/>
    </xf>
    <xf numFmtId="165" fontId="14" fillId="9" borderId="2" xfId="0" applyNumberFormat="1" applyFont="1" applyFill="1" applyBorder="1" applyAlignment="1">
      <alignment horizontal="right" vertical="center"/>
    </xf>
    <xf numFmtId="165" fontId="14" fillId="10" borderId="2" xfId="0" applyNumberFormat="1" applyFont="1" applyFill="1" applyBorder="1" applyAlignment="1">
      <alignment horizontal="right" vertical="center"/>
    </xf>
    <xf numFmtId="172" fontId="14" fillId="10" borderId="2" xfId="0" applyNumberFormat="1" applyFont="1" applyFill="1" applyBorder="1" applyAlignment="1">
      <alignment horizontal="right" vertical="center"/>
    </xf>
    <xf numFmtId="165" fontId="16" fillId="9" borderId="2" xfId="0" applyNumberFormat="1" applyFont="1" applyFill="1" applyBorder="1" applyAlignment="1">
      <alignment horizontal="right" vertical="center"/>
    </xf>
    <xf numFmtId="0" fontId="19" fillId="8" borderId="6" xfId="0" applyFont="1" applyFill="1" applyBorder="1" applyAlignment="1">
      <alignment horizontal="center" vertical="center"/>
    </xf>
    <xf numFmtId="164" fontId="14" fillId="9" borderId="2" xfId="0" applyNumberFormat="1" applyFont="1" applyFill="1" applyBorder="1" applyAlignment="1">
      <alignment horizontal="right" vertical="center"/>
    </xf>
    <xf numFmtId="164" fontId="16" fillId="10" borderId="2" xfId="0" applyNumberFormat="1" applyFont="1" applyFill="1" applyBorder="1" applyAlignment="1">
      <alignment horizontal="right" vertical="center"/>
    </xf>
    <xf numFmtId="2" fontId="2" fillId="0" borderId="0" xfId="0" applyNumberFormat="1" applyFont="1" applyAlignment="1">
      <alignment horizontal="left" vertical="center"/>
    </xf>
    <xf numFmtId="0" fontId="21" fillId="0" borderId="0" xfId="0" applyFont="1" applyAlignment="1">
      <alignment horizontal="center" vertical="center"/>
    </xf>
    <xf numFmtId="0" fontId="13" fillId="5" borderId="0" xfId="0" applyFont="1" applyFill="1" applyAlignment="1">
      <alignment horizontal="left" vertical="center"/>
    </xf>
    <xf numFmtId="0" fontId="15" fillId="7" borderId="3" xfId="0" applyFont="1" applyFill="1" applyBorder="1" applyAlignment="1">
      <alignment horizontal="left" vertical="center"/>
    </xf>
    <xf numFmtId="164" fontId="16" fillId="6" borderId="5" xfId="0" applyNumberFormat="1" applyFont="1" applyFill="1" applyBorder="1" applyAlignment="1">
      <alignment horizontal="right" vertical="center"/>
    </xf>
    <xf numFmtId="0" fontId="18" fillId="0" borderId="0" xfId="0" applyFont="1" applyAlignment="1">
      <alignment horizontal="left" vertical="center"/>
    </xf>
    <xf numFmtId="166" fontId="16" fillId="6" borderId="5" xfId="0" applyNumberFormat="1" applyFont="1" applyFill="1" applyBorder="1" applyAlignment="1">
      <alignment horizontal="right" vertical="center"/>
    </xf>
    <xf numFmtId="168" fontId="16" fillId="6" borderId="5" xfId="0" applyNumberFormat="1" applyFont="1" applyFill="1" applyBorder="1" applyAlignment="1">
      <alignment horizontal="right" vertical="center"/>
    </xf>
    <xf numFmtId="169" fontId="16" fillId="6" borderId="5" xfId="0" applyNumberFormat="1" applyFont="1" applyFill="1" applyBorder="1" applyAlignment="1">
      <alignment horizontal="right" vertical="center"/>
    </xf>
    <xf numFmtId="0" fontId="19" fillId="8" borderId="6" xfId="0" applyFont="1" applyFill="1" applyBorder="1" applyAlignment="1">
      <alignment horizontal="center" vertical="center"/>
    </xf>
    <xf numFmtId="166" fontId="20" fillId="6" borderId="5" xfId="0" applyNumberFormat="1" applyFont="1" applyFill="1" applyBorder="1" applyAlignment="1">
      <alignment horizontal="center" vertical="center"/>
    </xf>
  </cellXfs>
  <cellStyles count="1">
    <cellStyle name="Standard" xfId="0" builtinId="0"/>
  </cellStyles>
  <dxfs count="3">
    <dxf>
      <font>
        <b/>
        <sz val="15"/>
        <color rgb="FFFFFFFF"/>
        <name val="Calibri"/>
        <charset val="1"/>
      </font>
      <fill>
        <patternFill>
          <bgColor rgb="FFB23A3A"/>
        </patternFill>
      </fill>
    </dxf>
    <dxf>
      <font>
        <b/>
        <sz val="15"/>
        <color rgb="FFFFFFFF"/>
        <name val="Calibri"/>
        <charset val="1"/>
      </font>
      <fill>
        <patternFill>
          <bgColor rgb="FFC08A22"/>
        </patternFill>
      </fill>
    </dxf>
    <dxf>
      <font>
        <b/>
        <sz val="15"/>
        <color rgb="FFFFFFFF"/>
        <name val="Calibri"/>
        <charset val="1"/>
      </font>
      <fill>
        <patternFill>
          <bgColor rgb="FF2E7D51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C08A22"/>
      <rgbColor rgb="FF800080"/>
      <rgbColor rgb="FF008080"/>
      <rgbColor rgb="FFC0C0C0"/>
      <rgbColor rgb="FF878787"/>
      <rgbColor rgb="FF9999FF"/>
      <rgbColor rgb="FFB23A3A"/>
      <rgbColor rgb="FFFFF2C2"/>
      <rgbColor rgb="FFEDF1F6"/>
      <rgbColor rgb="FF660066"/>
      <rgbColor rgb="FFFF8080"/>
      <rgbColor rgb="FF31547F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9E0EA"/>
      <rgbColor rgb="FFCCFFCC"/>
      <rgbColor rgb="FFF2E3D3"/>
      <rgbColor rgb="FF99CCFF"/>
      <rgbColor rgb="FFFF99CC"/>
      <rgbColor rgb="FFCC99FF"/>
      <rgbColor rgb="FFE4C25A"/>
      <rgbColor rgb="FF3366FF"/>
      <rgbColor rgb="FF33CCCC"/>
      <rgbColor rgb="FF99CC00"/>
      <rgbColor rgb="FFFFCC00"/>
      <rgbColor rgb="FFFF9900"/>
      <rgbColor rgb="FFBC6A2E"/>
      <rgbColor rgb="FF5C6B7E"/>
      <rgbColor rgb="FF969696"/>
      <rgbColor rgb="FF223B5E"/>
      <rgbColor rgb="FF2E7D51"/>
      <rgbColor rgb="FF16273F"/>
      <rgbColor rgb="FF333300"/>
      <rgbColor rgb="FF993300"/>
      <rgbColor rgb="FF993366"/>
      <rgbColor rgb="FF1F4E79"/>
      <rgbColor rgb="FF1B243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577283406119831"/>
          <c:y val="5.2941794889124184E-2"/>
          <c:w val="0.60463047039775542"/>
          <c:h val="0.89411641022175159"/>
        </c:manualLayout>
      </c:layout>
      <c:lineChart>
        <c:grouping val="standard"/>
        <c:varyColors val="0"/>
        <c:ser>
          <c:idx val="0"/>
          <c:order val="0"/>
          <c:tx>
            <c:strRef>
              <c:f>Berechnung!$B$44</c:f>
              <c:strCache>
                <c:ptCount val="1"/>
                <c:pt idx="0">
                  <c:v>Kumulierter Cashflow</c:v>
                </c:pt>
              </c:strCache>
            </c:strRef>
          </c:tx>
          <c:spPr>
            <a:ln w="21960">
              <a:solidFill>
                <a:srgbClr val="16273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Berechnung!$C$33:$I$33</c:f>
              <c:numCache>
                <c:formatCode>0</c:formatCode>
                <c:ptCount val="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</c:numCache>
            </c:numRef>
          </c:cat>
          <c:val>
            <c:numRef>
              <c:f>Berechnung!$C$44:$I$44</c:f>
              <c:numCache>
                <c:formatCode>#,##0" €";\-#,##0" €"</c:formatCode>
                <c:ptCount val="7"/>
                <c:pt idx="0">
                  <c:v>-145000</c:v>
                </c:pt>
                <c:pt idx="1">
                  <c:v>-113000</c:v>
                </c:pt>
                <c:pt idx="2">
                  <c:v>-80020</c:v>
                </c:pt>
                <c:pt idx="3">
                  <c:v>-46031.9</c:v>
                </c:pt>
                <c:pt idx="4">
                  <c:v>-11006.825500000014</c:v>
                </c:pt>
                <c:pt idx="5">
                  <c:v>25084.893302499979</c:v>
                </c:pt>
                <c:pt idx="6">
                  <c:v>62273.742863862455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16F-4C0D-9BF3-03E6455F4276}"/>
            </c:ext>
          </c:extLst>
        </c:ser>
        <c:ser>
          <c:idx val="1"/>
          <c:order val="1"/>
          <c:tx>
            <c:strRef>
              <c:f>Berechnung!$B$45</c:f>
              <c:strCache>
                <c:ptCount val="1"/>
                <c:pt idx="0">
                  <c:v>Kumulierter Barwert</c:v>
                </c:pt>
              </c:strCache>
            </c:strRef>
          </c:tx>
          <c:spPr>
            <a:ln w="21960">
              <a:solidFill>
                <a:srgbClr val="BC6A2E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Berechnung!$C$33:$I$33</c:f>
              <c:numCache>
                <c:formatCode>0</c:formatCode>
                <c:ptCount val="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</c:numCache>
            </c:numRef>
          </c:cat>
          <c:val>
            <c:numRef>
              <c:f>Berechnung!$C$45:$I$45</c:f>
              <c:numCache>
                <c:formatCode>#,##0" €";\-#,##0" €"</c:formatCode>
                <c:ptCount val="7"/>
                <c:pt idx="0">
                  <c:v>-145000</c:v>
                </c:pt>
                <c:pt idx="1">
                  <c:v>-115093.45794392523</c:v>
                </c:pt>
                <c:pt idx="2">
                  <c:v>-86287.448685474708</c:v>
                </c:pt>
                <c:pt idx="3">
                  <c:v>-58543.03481592075</c:v>
                </c:pt>
                <c:pt idx="4">
                  <c:v>-31822.57317826289</c:v>
                </c:pt>
                <c:pt idx="5">
                  <c:v>-6089.6764782695427</c:v>
                </c:pt>
                <c:pt idx="6">
                  <c:v>18690.824239626465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16F-4C0D-9BF3-03E6455F4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1666844"/>
        <c:axId val="70430409"/>
      </c:lineChart>
      <c:catAx>
        <c:axId val="166684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70430409"/>
        <c:crosses val="autoZero"/>
        <c:auto val="1"/>
        <c:lblAlgn val="ctr"/>
        <c:lblOffset val="100"/>
        <c:noMultiLvlLbl val="0"/>
      </c:catAx>
      <c:valAx>
        <c:axId val="70430409"/>
        <c:scaling>
          <c:orientation val="minMax"/>
        </c:scaling>
        <c:delete val="0"/>
        <c:axPos val="l"/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1666844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75625723661136801"/>
          <c:y val="0.41953186600283854"/>
          <c:w val="0.22543804019352079"/>
          <c:h val="0.48042232685274883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0.14884959653668389"/>
          <c:y val="5.2941794889124184E-2"/>
          <c:w val="0.59854008795608693"/>
          <c:h val="0.8276006818506086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Berechnung!$B$36</c:f>
              <c:strCache>
                <c:ptCount val="1"/>
                <c:pt idx="0">
                  <c:v>Nutzen / Einzahlungen</c:v>
                </c:pt>
              </c:strCache>
            </c:strRef>
          </c:tx>
          <c:spPr>
            <a:solidFill>
              <a:srgbClr val="BC6A2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Berechnung!$C$33:$I$33</c:f>
              <c:numCache>
                <c:formatCode>0</c:formatCode>
                <c:ptCount val="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</c:numCache>
            </c:numRef>
          </c:cat>
          <c:val>
            <c:numRef>
              <c:f>Berechnung!$C$36:$I$36</c:f>
              <c:numCache>
                <c:formatCode>#,##0" €";\-#,##0" €"</c:formatCode>
                <c:ptCount val="7"/>
                <c:pt idx="0">
                  <c:v>0</c:v>
                </c:pt>
                <c:pt idx="1">
                  <c:v>68000</c:v>
                </c:pt>
                <c:pt idx="2">
                  <c:v>69700</c:v>
                </c:pt>
                <c:pt idx="3">
                  <c:v>71442.5</c:v>
                </c:pt>
                <c:pt idx="4">
                  <c:v>73228.562499999985</c:v>
                </c:pt>
                <c:pt idx="5">
                  <c:v>75059.276562499988</c:v>
                </c:pt>
                <c:pt idx="6">
                  <c:v>76935.758476562478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0A-4E59-BD69-B0F08E384A00}"/>
            </c:ext>
          </c:extLst>
        </c:ser>
        <c:ser>
          <c:idx val="1"/>
          <c:order val="1"/>
          <c:tx>
            <c:strRef>
              <c:f>Berechnung!$B$38</c:f>
              <c:strCache>
                <c:ptCount val="1"/>
                <c:pt idx="0">
                  <c:v>Auszahlungen gesamt</c:v>
                </c:pt>
              </c:strCache>
            </c:strRef>
          </c:tx>
          <c:spPr>
            <a:solidFill>
              <a:srgbClr val="223B5E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Berechnung!$C$33:$I$33</c:f>
              <c:numCache>
                <c:formatCode>0</c:formatCode>
                <c:ptCount val="7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</c:numCache>
            </c:numRef>
          </c:cat>
          <c:val>
            <c:numRef>
              <c:f>Berechnung!$C$38:$I$38</c:f>
              <c:numCache>
                <c:formatCode>#,##0" €";\-#,##0" €"</c:formatCode>
                <c:ptCount val="7"/>
                <c:pt idx="0">
                  <c:v>145000</c:v>
                </c:pt>
                <c:pt idx="1">
                  <c:v>36000</c:v>
                </c:pt>
                <c:pt idx="2">
                  <c:v>36720</c:v>
                </c:pt>
                <c:pt idx="3">
                  <c:v>37454.400000000001</c:v>
                </c:pt>
                <c:pt idx="4">
                  <c:v>38203.487999999998</c:v>
                </c:pt>
                <c:pt idx="5">
                  <c:v>38967.557759999996</c:v>
                </c:pt>
                <c:pt idx="6">
                  <c:v>39746.908915200002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0A-4E59-BD69-B0F08E384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42509621"/>
        <c:axId val="43741390"/>
      </c:barChart>
      <c:catAx>
        <c:axId val="42509621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43741390"/>
        <c:crosses val="autoZero"/>
        <c:auto val="1"/>
        <c:lblAlgn val="ctr"/>
        <c:lblOffset val="100"/>
        <c:noMultiLvlLbl val="0"/>
      </c:catAx>
      <c:valAx>
        <c:axId val="43741390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42509621"/>
        <c:crosses val="autoZero"/>
        <c:crossBetween val="between"/>
      </c:valAx>
      <c:spPr>
        <a:noFill/>
        <a:ln w="0">
          <a:noFill/>
        </a:ln>
      </c:spPr>
    </c:plotArea>
    <c:legend>
      <c:legendPos val="r"/>
      <c:layout>
        <c:manualLayout>
          <c:xMode val="edge"/>
          <c:yMode val="edge"/>
          <c:x val="0.71679416806093088"/>
          <c:y val="0.41377255626393927"/>
          <c:w val="0.26484852207996512"/>
          <c:h val="0.3727297303385974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chemeClr val="bg2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19</xdr:row>
      <xdr:rowOff>0</xdr:rowOff>
    </xdr:from>
    <xdr:to>
      <xdr:col>5</xdr:col>
      <xdr:colOff>162360</xdr:colOff>
      <xdr:row>32</xdr:row>
      <xdr:rowOff>186840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190500</xdr:colOff>
      <xdr:row>19</xdr:row>
      <xdr:rowOff>0</xdr:rowOff>
    </xdr:from>
    <xdr:to>
      <xdr:col>12</xdr:col>
      <xdr:colOff>36135</xdr:colOff>
      <xdr:row>32</xdr:row>
      <xdr:rowOff>186840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7"/>
  <sheetViews>
    <sheetView showGridLines="0" tabSelected="1" zoomScaleNormal="100" workbookViewId="0">
      <selection activeCell="G41" sqref="G41"/>
    </sheetView>
  </sheetViews>
  <sheetFormatPr baseColWidth="10" defaultColWidth="8.7109375" defaultRowHeight="15" x14ac:dyDescent="0.25"/>
  <cols>
    <col min="1" max="1" width="2.140625" customWidth="1"/>
    <col min="2" max="8" width="15" customWidth="1"/>
    <col min="9" max="9" width="2.140625" customWidth="1"/>
    <col min="11" max="11" width="13" hidden="1" customWidth="1"/>
  </cols>
  <sheetData>
    <row r="1" spans="2:12" ht="25.5" customHeight="1" x14ac:dyDescent="0.25">
      <c r="B1" s="14" t="s">
        <v>0</v>
      </c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2:12" ht="21.75" customHeight="1" x14ac:dyDescent="0.25"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</row>
    <row r="3" spans="2:12" ht="18" customHeight="1" x14ac:dyDescent="0.25">
      <c r="B3" s="13" t="s">
        <v>1</v>
      </c>
      <c r="C3" s="13"/>
      <c r="D3" s="13"/>
      <c r="E3" s="13"/>
      <c r="F3" s="13"/>
      <c r="G3" s="13"/>
      <c r="H3" s="13"/>
      <c r="I3" s="13"/>
      <c r="J3" s="13"/>
      <c r="K3" s="13"/>
      <c r="L3" s="13"/>
    </row>
    <row r="4" spans="2:12" ht="4.5" customHeight="1" x14ac:dyDescent="0.25"/>
    <row r="5" spans="2:12" x14ac:dyDescent="0.25">
      <c r="B5" s="12" t="s">
        <v>2</v>
      </c>
      <c r="C5" s="12"/>
      <c r="D5" s="12"/>
      <c r="E5" s="15" t="s">
        <v>3</v>
      </c>
      <c r="F5" s="15" t="s">
        <v>4</v>
      </c>
      <c r="G5" s="15" t="s">
        <v>5</v>
      </c>
    </row>
    <row r="6" spans="2:12" ht="15.75" x14ac:dyDescent="0.25">
      <c r="B6" s="11" t="str">
        <f>Berechnung!C5</f>
        <v>Beispielinvestition – Anlage/Vorhaben</v>
      </c>
      <c r="C6" s="11"/>
      <c r="D6" s="11"/>
      <c r="E6" s="16">
        <f>Berechnung!C6</f>
        <v>7.0000000000000007E-2</v>
      </c>
      <c r="F6" s="17">
        <f>Berechnung!C8</f>
        <v>6</v>
      </c>
      <c r="G6" s="18">
        <f>Berechnung!C7</f>
        <v>2026</v>
      </c>
    </row>
    <row r="7" spans="2:12" ht="6" customHeight="1" x14ac:dyDescent="0.25"/>
    <row r="8" spans="2:12" ht="21.75" customHeight="1" x14ac:dyDescent="0.25">
      <c r="B8" s="10" t="str">
        <f>IF(Berechnung!C48&gt;=0.05*Berechnung!C17,"WIRTSCHAFTLICH   ·   der Kapitalwert ist deutlich positiv",IF(Berechnung!C48&gt;=0,"GRENZWERTIG WIRTSCHAFTLICH   ·   knapp positiver Kapitalwert","UNWIRTSCHAFTLICH   ·   der Kapitalwert ist negativ"))</f>
        <v>WIRTSCHAFTLICH   ·   der Kapitalwert ist deutlich positiv</v>
      </c>
      <c r="C8" s="10"/>
      <c r="D8" s="10"/>
      <c r="E8" s="10"/>
      <c r="F8" s="10"/>
      <c r="G8" s="10"/>
      <c r="H8" s="10"/>
    </row>
    <row r="9" spans="2:12" ht="15.75" customHeight="1" x14ac:dyDescent="0.25">
      <c r="B9" s="10"/>
      <c r="C9" s="10"/>
      <c r="D9" s="10"/>
      <c r="E9" s="10"/>
      <c r="F9" s="10"/>
      <c r="G9" s="10"/>
      <c r="H9" s="10"/>
    </row>
    <row r="10" spans="2:12" ht="6" customHeight="1" x14ac:dyDescent="0.25"/>
    <row r="11" spans="2:12" ht="15" customHeight="1" x14ac:dyDescent="0.25">
      <c r="B11" s="9" t="s">
        <v>6</v>
      </c>
      <c r="C11" s="9"/>
      <c r="D11" s="9" t="s">
        <v>7</v>
      </c>
      <c r="E11" s="9"/>
      <c r="F11" s="9" t="s">
        <v>8</v>
      </c>
      <c r="G11" s="9"/>
    </row>
    <row r="12" spans="2:12" ht="15.75" customHeight="1" x14ac:dyDescent="0.25">
      <c r="B12" s="8">
        <f>Berechnung!C48</f>
        <v>18690.824239626465</v>
      </c>
      <c r="C12" s="8"/>
      <c r="D12" s="7">
        <f>Berechnung!C49</f>
        <v>0.10958356727850815</v>
      </c>
      <c r="E12" s="7"/>
      <c r="F12" s="6">
        <f>Berechnung!C51</f>
        <v>5.2457446904562222</v>
      </c>
      <c r="G12" s="6"/>
    </row>
    <row r="13" spans="2:12" ht="12" customHeight="1" x14ac:dyDescent="0.25">
      <c r="B13" s="8"/>
      <c r="C13" s="8"/>
      <c r="D13" s="7"/>
      <c r="E13" s="7"/>
      <c r="F13" s="6"/>
      <c r="G13" s="6"/>
    </row>
    <row r="15" spans="2:12" ht="15" customHeight="1" x14ac:dyDescent="0.25">
      <c r="B15" s="9" t="s">
        <v>9</v>
      </c>
      <c r="C15" s="9"/>
      <c r="D15" s="9" t="s">
        <v>10</v>
      </c>
      <c r="E15" s="9"/>
      <c r="F15" s="9" t="s">
        <v>11</v>
      </c>
      <c r="G15" s="9"/>
    </row>
    <row r="16" spans="2:12" ht="15.75" customHeight="1" x14ac:dyDescent="0.25">
      <c r="B16" s="7">
        <f>Berechnung!C52</f>
        <v>0.42947408871629278</v>
      </c>
      <c r="C16" s="7"/>
      <c r="D16" s="5">
        <f>Berechnung!C54</f>
        <v>1.0575624581242054</v>
      </c>
      <c r="E16" s="5"/>
      <c r="F16" s="4">
        <f>Berechnung!C53</f>
        <v>3921.2564194947799</v>
      </c>
      <c r="G16" s="4"/>
    </row>
    <row r="17" spans="2:7" ht="12" customHeight="1" x14ac:dyDescent="0.25">
      <c r="B17" s="7"/>
      <c r="C17" s="7"/>
      <c r="D17" s="5"/>
      <c r="E17" s="5"/>
      <c r="F17" s="4"/>
      <c r="G17" s="4"/>
    </row>
    <row r="18" spans="2:7" ht="7.5" customHeight="1" x14ac:dyDescent="0.25"/>
    <row r="19" spans="2:7" x14ac:dyDescent="0.25">
      <c r="B19" s="19" t="s">
        <v>12</v>
      </c>
      <c r="E19" s="19" t="s">
        <v>13</v>
      </c>
    </row>
    <row r="36" spans="2:8" x14ac:dyDescent="0.25">
      <c r="B36" s="3" t="s">
        <v>14</v>
      </c>
      <c r="C36" s="3"/>
      <c r="D36" s="3"/>
      <c r="E36" s="3"/>
      <c r="F36" s="3"/>
      <c r="G36" s="3"/>
      <c r="H36" s="3"/>
    </row>
    <row r="37" spans="2:8" x14ac:dyDescent="0.25">
      <c r="B37" s="3" t="s">
        <v>15</v>
      </c>
      <c r="C37" s="3"/>
      <c r="D37" s="3"/>
      <c r="E37" s="3"/>
      <c r="F37" s="3"/>
      <c r="G37" s="3"/>
      <c r="H37" s="3"/>
    </row>
  </sheetData>
  <mergeCells count="19">
    <mergeCell ref="B36:H36"/>
    <mergeCell ref="B37:H37"/>
    <mergeCell ref="B1:L2"/>
    <mergeCell ref="B3:L3"/>
    <mergeCell ref="B15:C15"/>
    <mergeCell ref="D15:E15"/>
    <mergeCell ref="F15:G15"/>
    <mergeCell ref="B16:C17"/>
    <mergeCell ref="D16:E17"/>
    <mergeCell ref="F16:G17"/>
    <mergeCell ref="B11:C11"/>
    <mergeCell ref="D11:E11"/>
    <mergeCell ref="F11:G11"/>
    <mergeCell ref="B12:C13"/>
    <mergeCell ref="D12:E13"/>
    <mergeCell ref="F12:G13"/>
    <mergeCell ref="B5:D5"/>
    <mergeCell ref="B6:D6"/>
    <mergeCell ref="B8:H9"/>
  </mergeCells>
  <conditionalFormatting sqref="B8:H9">
    <cfRule type="expression" dxfId="2" priority="2">
      <formula>$K$1&gt;=0.05*$K$2</formula>
    </cfRule>
    <cfRule type="expression" dxfId="1" priority="3">
      <formula>AND($K$1&gt;=0,$K$1&lt;0.05*$K$2)</formula>
    </cfRule>
    <cfRule type="expression" dxfId="0" priority="4">
      <formula>$K$1&lt;0</formula>
    </cfRule>
  </conditionalFormatting>
  <pageMargins left="0.3" right="0.3" top="0.4" bottom="0.4" header="0.511811023622047" footer="0.511811023622047"/>
  <pageSetup paperSize="9" orientation="landscape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I66"/>
  <sheetViews>
    <sheetView showGridLines="0" zoomScaleNormal="100" workbookViewId="0"/>
  </sheetViews>
  <sheetFormatPr baseColWidth="10" defaultColWidth="8.7109375" defaultRowHeight="15" x14ac:dyDescent="0.25"/>
  <cols>
    <col min="1" max="1" width="2.140625" customWidth="1"/>
    <col min="2" max="2" width="34" customWidth="1"/>
    <col min="3" max="9" width="13.42578125" customWidth="1"/>
    <col min="10" max="10" width="2" customWidth="1"/>
  </cols>
  <sheetData>
    <row r="1" spans="2:9" ht="30" customHeight="1" x14ac:dyDescent="0.25">
      <c r="B1" s="2" t="s">
        <v>16</v>
      </c>
      <c r="C1" s="2"/>
      <c r="D1" s="2"/>
      <c r="E1" s="2"/>
      <c r="F1" s="2"/>
      <c r="G1" s="2"/>
      <c r="H1" s="2"/>
      <c r="I1" s="2"/>
    </row>
    <row r="2" spans="2:9" ht="16.5" customHeight="1" x14ac:dyDescent="0.25">
      <c r="B2" s="1" t="s">
        <v>17</v>
      </c>
      <c r="C2" s="1"/>
      <c r="D2" s="1"/>
      <c r="E2" s="1"/>
      <c r="F2" s="1"/>
      <c r="G2" s="1"/>
      <c r="H2" s="1"/>
      <c r="I2" s="1"/>
    </row>
    <row r="3" spans="2:9" ht="6" customHeight="1" x14ac:dyDescent="0.25"/>
    <row r="4" spans="2:9" ht="21.75" customHeight="1" x14ac:dyDescent="0.25">
      <c r="B4" s="40" t="s">
        <v>18</v>
      </c>
      <c r="C4" s="40"/>
      <c r="D4" s="40"/>
      <c r="E4" s="40"/>
      <c r="F4" s="40"/>
      <c r="G4" s="40"/>
      <c r="H4" s="40"/>
      <c r="I4" s="40"/>
    </row>
    <row r="5" spans="2:9" x14ac:dyDescent="0.25">
      <c r="B5" s="20" t="s">
        <v>19</v>
      </c>
      <c r="C5" s="41" t="s">
        <v>20</v>
      </c>
      <c r="D5" s="41"/>
      <c r="E5" s="41"/>
      <c r="F5" s="41"/>
    </row>
    <row r="6" spans="2:9" x14ac:dyDescent="0.25">
      <c r="B6" s="20" t="s">
        <v>21</v>
      </c>
      <c r="C6" s="21">
        <v>7.0000000000000007E-2</v>
      </c>
    </row>
    <row r="7" spans="2:9" x14ac:dyDescent="0.25">
      <c r="B7" s="20" t="s">
        <v>22</v>
      </c>
      <c r="C7" s="22">
        <v>2026</v>
      </c>
    </row>
    <row r="8" spans="2:9" x14ac:dyDescent="0.25">
      <c r="B8" s="20" t="s">
        <v>23</v>
      </c>
      <c r="C8" s="23">
        <v>6</v>
      </c>
    </row>
    <row r="9" spans="2:9" x14ac:dyDescent="0.25">
      <c r="B9" s="20" t="s">
        <v>24</v>
      </c>
      <c r="C9" s="21">
        <v>2.5000000000000001E-2</v>
      </c>
    </row>
    <row r="10" spans="2:9" x14ac:dyDescent="0.25">
      <c r="B10" s="20" t="s">
        <v>25</v>
      </c>
      <c r="C10" s="21">
        <v>0.02</v>
      </c>
    </row>
    <row r="11" spans="2:9" ht="6" customHeight="1" x14ac:dyDescent="0.25"/>
    <row r="12" spans="2:9" ht="21.75" customHeight="1" x14ac:dyDescent="0.25">
      <c r="B12" s="40" t="s">
        <v>26</v>
      </c>
      <c r="C12" s="40"/>
      <c r="D12" s="40"/>
      <c r="E12" s="40"/>
      <c r="F12" s="40"/>
      <c r="G12" s="40"/>
      <c r="H12" s="40"/>
      <c r="I12" s="40"/>
    </row>
    <row r="13" spans="2:9" x14ac:dyDescent="0.25">
      <c r="B13" s="20" t="s">
        <v>27</v>
      </c>
      <c r="C13" s="24">
        <v>105000</v>
      </c>
    </row>
    <row r="14" spans="2:9" x14ac:dyDescent="0.25">
      <c r="B14" s="20" t="s">
        <v>28</v>
      </c>
      <c r="C14" s="24">
        <v>18000</v>
      </c>
    </row>
    <row r="15" spans="2:9" x14ac:dyDescent="0.25">
      <c r="B15" s="20" t="s">
        <v>29</v>
      </c>
      <c r="C15" s="24">
        <v>9000</v>
      </c>
    </row>
    <row r="16" spans="2:9" x14ac:dyDescent="0.25">
      <c r="B16" s="20" t="s">
        <v>30</v>
      </c>
      <c r="C16" s="24">
        <v>13000</v>
      </c>
    </row>
    <row r="17" spans="2:9" x14ac:dyDescent="0.25">
      <c r="B17" s="25" t="s">
        <v>31</v>
      </c>
      <c r="C17" s="26">
        <f>SUM(C13:C16)</f>
        <v>145000</v>
      </c>
    </row>
    <row r="18" spans="2:9" ht="6" customHeight="1" x14ac:dyDescent="0.25"/>
    <row r="19" spans="2:9" ht="21.75" customHeight="1" x14ac:dyDescent="0.25">
      <c r="B19" s="40" t="s">
        <v>32</v>
      </c>
      <c r="C19" s="40"/>
      <c r="D19" s="40"/>
      <c r="E19" s="40"/>
      <c r="F19" s="40"/>
      <c r="G19" s="40"/>
      <c r="H19" s="40"/>
      <c r="I19" s="40"/>
    </row>
    <row r="20" spans="2:9" x14ac:dyDescent="0.25">
      <c r="B20" s="20" t="s">
        <v>33</v>
      </c>
      <c r="C20" s="24">
        <v>14000</v>
      </c>
    </row>
    <row r="21" spans="2:9" x14ac:dyDescent="0.25">
      <c r="B21" s="20" t="s">
        <v>34</v>
      </c>
      <c r="C21" s="24">
        <v>6500</v>
      </c>
    </row>
    <row r="22" spans="2:9" x14ac:dyDescent="0.25">
      <c r="B22" s="20" t="s">
        <v>35</v>
      </c>
      <c r="C22" s="24">
        <v>12000</v>
      </c>
    </row>
    <row r="23" spans="2:9" x14ac:dyDescent="0.25">
      <c r="B23" s="20" t="s">
        <v>36</v>
      </c>
      <c r="C23" s="24">
        <v>3500</v>
      </c>
    </row>
    <row r="24" spans="2:9" x14ac:dyDescent="0.25">
      <c r="B24" s="25" t="s">
        <v>37</v>
      </c>
      <c r="C24" s="26">
        <f>SUM(C20:C23)</f>
        <v>36000</v>
      </c>
    </row>
    <row r="25" spans="2:9" ht="6" customHeight="1" x14ac:dyDescent="0.25"/>
    <row r="26" spans="2:9" ht="21.75" customHeight="1" x14ac:dyDescent="0.25">
      <c r="B26" s="40" t="s">
        <v>38</v>
      </c>
      <c r="C26" s="40"/>
      <c r="D26" s="40"/>
      <c r="E26" s="40"/>
      <c r="F26" s="40"/>
      <c r="G26" s="40"/>
      <c r="H26" s="40"/>
      <c r="I26" s="40"/>
    </row>
    <row r="27" spans="2:9" x14ac:dyDescent="0.25">
      <c r="B27" s="20" t="s">
        <v>39</v>
      </c>
      <c r="C27" s="24">
        <v>42000</v>
      </c>
    </row>
    <row r="28" spans="2:9" x14ac:dyDescent="0.25">
      <c r="B28" s="20" t="s">
        <v>40</v>
      </c>
      <c r="C28" s="24">
        <v>22000</v>
      </c>
    </row>
    <row r="29" spans="2:9" x14ac:dyDescent="0.25">
      <c r="B29" s="20" t="s">
        <v>41</v>
      </c>
      <c r="C29" s="24">
        <v>4000</v>
      </c>
    </row>
    <row r="30" spans="2:9" x14ac:dyDescent="0.25">
      <c r="B30" s="25" t="s">
        <v>42</v>
      </c>
      <c r="C30" s="26">
        <f>SUM(C27:C29)</f>
        <v>68000</v>
      </c>
    </row>
    <row r="31" spans="2:9" ht="6" customHeight="1" x14ac:dyDescent="0.25"/>
    <row r="32" spans="2:9" ht="21.75" customHeight="1" x14ac:dyDescent="0.25">
      <c r="B32" s="40" t="s">
        <v>43</v>
      </c>
      <c r="C32" s="40"/>
      <c r="D32" s="40"/>
      <c r="E32" s="40"/>
      <c r="F32" s="40"/>
      <c r="G32" s="40"/>
      <c r="H32" s="40"/>
      <c r="I32" s="40"/>
    </row>
    <row r="33" spans="2:9" x14ac:dyDescent="0.25">
      <c r="B33" s="27" t="s">
        <v>44</v>
      </c>
      <c r="C33" s="28">
        <f>C7</f>
        <v>2026</v>
      </c>
      <c r="D33" s="28">
        <f t="shared" ref="D33:I33" si="0">C33+1</f>
        <v>2027</v>
      </c>
      <c r="E33" s="28">
        <f t="shared" si="0"/>
        <v>2028</v>
      </c>
      <c r="F33" s="28">
        <f t="shared" si="0"/>
        <v>2029</v>
      </c>
      <c r="G33" s="28">
        <f t="shared" si="0"/>
        <v>2030</v>
      </c>
      <c r="H33" s="28">
        <f t="shared" si="0"/>
        <v>2031</v>
      </c>
      <c r="I33" s="28">
        <f t="shared" si="0"/>
        <v>2032</v>
      </c>
    </row>
    <row r="34" spans="2:9" x14ac:dyDescent="0.25">
      <c r="B34" s="29" t="s">
        <v>45</v>
      </c>
      <c r="C34" s="30">
        <v>0</v>
      </c>
      <c r="D34" s="30">
        <v>1</v>
      </c>
      <c r="E34" s="30">
        <v>2</v>
      </c>
      <c r="F34" s="30">
        <v>3</v>
      </c>
      <c r="G34" s="30">
        <v>4</v>
      </c>
      <c r="H34" s="30">
        <v>5</v>
      </c>
      <c r="I34" s="30">
        <v>6</v>
      </c>
    </row>
    <row r="35" spans="2:9" x14ac:dyDescent="0.25">
      <c r="B35" s="20" t="s">
        <v>46</v>
      </c>
      <c r="C35" s="31">
        <f>C17</f>
        <v>145000</v>
      </c>
      <c r="D35" s="31">
        <v>0</v>
      </c>
      <c r="E35" s="31">
        <v>0</v>
      </c>
      <c r="F35" s="31">
        <v>0</v>
      </c>
      <c r="G35" s="31">
        <v>0</v>
      </c>
      <c r="H35" s="31">
        <v>0</v>
      </c>
      <c r="I35" s="31">
        <v>0</v>
      </c>
    </row>
    <row r="36" spans="2:9" x14ac:dyDescent="0.25">
      <c r="B36" s="20" t="s">
        <v>47</v>
      </c>
      <c r="C36" s="32">
        <v>0</v>
      </c>
      <c r="D36" s="32">
        <f t="shared" ref="D36:I36" si="1">$C$30*(1+$C$9)^(D34-1)</f>
        <v>68000</v>
      </c>
      <c r="E36" s="32">
        <f t="shared" si="1"/>
        <v>69700</v>
      </c>
      <c r="F36" s="32">
        <f t="shared" si="1"/>
        <v>71442.5</v>
      </c>
      <c r="G36" s="32">
        <f t="shared" si="1"/>
        <v>73228.562499999985</v>
      </c>
      <c r="H36" s="32">
        <f t="shared" si="1"/>
        <v>75059.276562499988</v>
      </c>
      <c r="I36" s="32">
        <f t="shared" si="1"/>
        <v>76935.758476562478</v>
      </c>
    </row>
    <row r="37" spans="2:9" x14ac:dyDescent="0.25">
      <c r="B37" s="20" t="s">
        <v>48</v>
      </c>
      <c r="C37" s="31">
        <v>0</v>
      </c>
      <c r="D37" s="31">
        <f t="shared" ref="D37:I37" si="2">$C$24*(1+$C$10)^(D34-1)</f>
        <v>36000</v>
      </c>
      <c r="E37" s="31">
        <f t="shared" si="2"/>
        <v>36720</v>
      </c>
      <c r="F37" s="31">
        <f t="shared" si="2"/>
        <v>37454.400000000001</v>
      </c>
      <c r="G37" s="31">
        <f t="shared" si="2"/>
        <v>38203.487999999998</v>
      </c>
      <c r="H37" s="31">
        <f t="shared" si="2"/>
        <v>38967.557759999996</v>
      </c>
      <c r="I37" s="31">
        <f t="shared" si="2"/>
        <v>39746.908915200002</v>
      </c>
    </row>
    <row r="38" spans="2:9" x14ac:dyDescent="0.25">
      <c r="B38" s="20" t="s">
        <v>49</v>
      </c>
      <c r="C38" s="32">
        <f t="shared" ref="C38:I38" si="3">C35+C37</f>
        <v>145000</v>
      </c>
      <c r="D38" s="32">
        <f t="shared" si="3"/>
        <v>36000</v>
      </c>
      <c r="E38" s="32">
        <f t="shared" si="3"/>
        <v>36720</v>
      </c>
      <c r="F38" s="32">
        <f t="shared" si="3"/>
        <v>37454.400000000001</v>
      </c>
      <c r="G38" s="32">
        <f t="shared" si="3"/>
        <v>38203.487999999998</v>
      </c>
      <c r="H38" s="32">
        <f t="shared" si="3"/>
        <v>38967.557759999996</v>
      </c>
      <c r="I38" s="32">
        <f t="shared" si="3"/>
        <v>39746.908915200002</v>
      </c>
    </row>
    <row r="39" spans="2:9" x14ac:dyDescent="0.25">
      <c r="B39" s="25" t="s">
        <v>50</v>
      </c>
      <c r="C39" s="26">
        <f t="shared" ref="C39:I39" si="4">C36-C38</f>
        <v>-145000</v>
      </c>
      <c r="D39" s="26">
        <f t="shared" si="4"/>
        <v>32000</v>
      </c>
      <c r="E39" s="26">
        <f t="shared" si="4"/>
        <v>32980</v>
      </c>
      <c r="F39" s="26">
        <f t="shared" si="4"/>
        <v>33988.1</v>
      </c>
      <c r="G39" s="26">
        <f t="shared" si="4"/>
        <v>35025.074499999988</v>
      </c>
      <c r="H39" s="26">
        <f t="shared" si="4"/>
        <v>36091.718802499992</v>
      </c>
      <c r="I39" s="26">
        <f t="shared" si="4"/>
        <v>37188.849561362476</v>
      </c>
    </row>
    <row r="40" spans="2:9" x14ac:dyDescent="0.25">
      <c r="B40" s="20" t="s">
        <v>51</v>
      </c>
      <c r="C40" s="33">
        <f t="shared" ref="C40:I40" si="5">1/(1+$C$6)^C34</f>
        <v>1</v>
      </c>
      <c r="D40" s="33">
        <f t="shared" si="5"/>
        <v>0.93457943925233644</v>
      </c>
      <c r="E40" s="33">
        <f t="shared" si="5"/>
        <v>0.87343872827321156</v>
      </c>
      <c r="F40" s="33">
        <f t="shared" si="5"/>
        <v>0.81629787689085187</v>
      </c>
      <c r="G40" s="33">
        <f t="shared" si="5"/>
        <v>0.7628952120475252</v>
      </c>
      <c r="H40" s="33">
        <f t="shared" si="5"/>
        <v>0.71298617948366838</v>
      </c>
      <c r="I40" s="33">
        <f t="shared" si="5"/>
        <v>0.66634222381651254</v>
      </c>
    </row>
    <row r="41" spans="2:9" x14ac:dyDescent="0.25">
      <c r="B41" s="25" t="s">
        <v>52</v>
      </c>
      <c r="C41" s="34">
        <f t="shared" ref="C41:I41" si="6">C39*C40</f>
        <v>-145000</v>
      </c>
      <c r="D41" s="34">
        <f t="shared" si="6"/>
        <v>29906.542056074766</v>
      </c>
      <c r="E41" s="34">
        <f t="shared" si="6"/>
        <v>28806.009258450518</v>
      </c>
      <c r="F41" s="34">
        <f t="shared" si="6"/>
        <v>27744.413869553962</v>
      </c>
      <c r="G41" s="34">
        <f t="shared" si="6"/>
        <v>26720.46163765786</v>
      </c>
      <c r="H41" s="34">
        <f t="shared" si="6"/>
        <v>25732.896699993347</v>
      </c>
      <c r="I41" s="34">
        <f t="shared" si="6"/>
        <v>24780.500717896008</v>
      </c>
    </row>
    <row r="42" spans="2:9" x14ac:dyDescent="0.25">
      <c r="B42" s="20" t="s">
        <v>53</v>
      </c>
      <c r="C42" s="32">
        <f t="shared" ref="C42:I42" si="7">C36*C40</f>
        <v>0</v>
      </c>
      <c r="D42" s="32">
        <f t="shared" si="7"/>
        <v>63551.401869158879</v>
      </c>
      <c r="E42" s="32">
        <f t="shared" si="7"/>
        <v>60878.679360642847</v>
      </c>
      <c r="F42" s="32">
        <f t="shared" si="7"/>
        <v>58318.361069774684</v>
      </c>
      <c r="G42" s="32">
        <f t="shared" si="7"/>
        <v>55865.719716372943</v>
      </c>
      <c r="H42" s="32">
        <f t="shared" si="7"/>
        <v>53516.226831104919</v>
      </c>
      <c r="I42" s="32">
        <f t="shared" si="7"/>
        <v>51265.544394282748</v>
      </c>
    </row>
    <row r="43" spans="2:9" x14ac:dyDescent="0.25">
      <c r="B43" s="20" t="s">
        <v>54</v>
      </c>
      <c r="C43" s="31">
        <f t="shared" ref="C43:I43" si="8">C38*C40</f>
        <v>145000</v>
      </c>
      <c r="D43" s="31">
        <f t="shared" si="8"/>
        <v>33644.859813084113</v>
      </c>
      <c r="E43" s="31">
        <f t="shared" si="8"/>
        <v>32072.670102192329</v>
      </c>
      <c r="F43" s="31">
        <f t="shared" si="8"/>
        <v>30573.947200220722</v>
      </c>
      <c r="G43" s="31">
        <f t="shared" si="8"/>
        <v>29145.258078715084</v>
      </c>
      <c r="H43" s="31">
        <f t="shared" si="8"/>
        <v>27783.330131111572</v>
      </c>
      <c r="I43" s="31">
        <f t="shared" si="8"/>
        <v>26485.043676386736</v>
      </c>
    </row>
    <row r="44" spans="2:9" x14ac:dyDescent="0.25">
      <c r="B44" s="20" t="s">
        <v>55</v>
      </c>
      <c r="C44" s="32">
        <f>C39</f>
        <v>-145000</v>
      </c>
      <c r="D44" s="32">
        <f t="shared" ref="D44:I44" si="9">C44+D39</f>
        <v>-113000</v>
      </c>
      <c r="E44" s="32">
        <f t="shared" si="9"/>
        <v>-80020</v>
      </c>
      <c r="F44" s="32">
        <f t="shared" si="9"/>
        <v>-46031.9</v>
      </c>
      <c r="G44" s="32">
        <f t="shared" si="9"/>
        <v>-11006.825500000014</v>
      </c>
      <c r="H44" s="32">
        <f t="shared" si="9"/>
        <v>25084.893302499979</v>
      </c>
      <c r="I44" s="32">
        <f t="shared" si="9"/>
        <v>62273.742863862455</v>
      </c>
    </row>
    <row r="45" spans="2:9" x14ac:dyDescent="0.25">
      <c r="B45" s="25" t="s">
        <v>56</v>
      </c>
      <c r="C45" s="34">
        <f>C41</f>
        <v>-145000</v>
      </c>
      <c r="D45" s="34">
        <f t="shared" ref="D45:I45" si="10">C45+D41</f>
        <v>-115093.45794392523</v>
      </c>
      <c r="E45" s="34">
        <f t="shared" si="10"/>
        <v>-86287.448685474708</v>
      </c>
      <c r="F45" s="34">
        <f t="shared" si="10"/>
        <v>-58543.03481592075</v>
      </c>
      <c r="G45" s="34">
        <f t="shared" si="10"/>
        <v>-31822.57317826289</v>
      </c>
      <c r="H45" s="34">
        <f t="shared" si="10"/>
        <v>-6089.6764782695427</v>
      </c>
      <c r="I45" s="34">
        <f t="shared" si="10"/>
        <v>18690.824239626465</v>
      </c>
    </row>
    <row r="46" spans="2:9" ht="6" customHeight="1" x14ac:dyDescent="0.25"/>
    <row r="47" spans="2:9" ht="21.75" customHeight="1" x14ac:dyDescent="0.25">
      <c r="B47" s="40" t="s">
        <v>57</v>
      </c>
      <c r="C47" s="40"/>
      <c r="D47" s="40"/>
      <c r="E47" s="40"/>
      <c r="F47" s="40"/>
      <c r="G47" s="40"/>
      <c r="H47" s="40"/>
      <c r="I47" s="40"/>
    </row>
    <row r="48" spans="2:9" x14ac:dyDescent="0.25">
      <c r="B48" s="25" t="s">
        <v>58</v>
      </c>
      <c r="C48" s="42">
        <f>SUM(C41:I41)</f>
        <v>18690.824239626465</v>
      </c>
      <c r="D48" s="42"/>
      <c r="F48" s="43" t="s">
        <v>59</v>
      </c>
      <c r="G48" s="43"/>
      <c r="H48" s="43"/>
      <c r="I48" s="43"/>
    </row>
    <row r="49" spans="2:9" x14ac:dyDescent="0.25">
      <c r="B49" s="20" t="s">
        <v>60</v>
      </c>
      <c r="C49" s="44">
        <f>IRR(C39:I39)</f>
        <v>0.10958356727850815</v>
      </c>
      <c r="D49" s="44"/>
    </row>
    <row r="50" spans="2:9" x14ac:dyDescent="0.25">
      <c r="B50" s="20" t="s">
        <v>61</v>
      </c>
      <c r="C50" s="45">
        <f>IFERROR(IF(COUNTIF(C44:I44,"&lt;0")=0,0,(COUNTIF(C44:I44,"&lt;0")-1)+ABS(INDEX(C44:I44,COUNTIF(C44:I44,"&lt;0")))/INDEX(C39:I39,COUNTIF(C44:I44,"&lt;0")+1)),"n. a.")</f>
        <v>4.3049681717911863</v>
      </c>
      <c r="D50" s="45"/>
      <c r="F50" s="43" t="s">
        <v>62</v>
      </c>
      <c r="G50" s="43"/>
      <c r="H50" s="43"/>
      <c r="I50" s="43"/>
    </row>
    <row r="51" spans="2:9" x14ac:dyDescent="0.25">
      <c r="B51" s="20" t="s">
        <v>63</v>
      </c>
      <c r="C51" s="45">
        <f>IFERROR(IF(COUNTIF(C45:I45,"&lt;0")=0,0,(COUNTIF(C45:I45,"&lt;0")-1)+ABS(INDEX(C45:I45,COUNTIF(C45:I45,"&lt;0")))/INDEX(C41:I41,COUNTIF(C45:I45,"&lt;0")+1)),"n. a.")</f>
        <v>5.2457446904562222</v>
      </c>
      <c r="D51" s="45"/>
    </row>
    <row r="52" spans="2:9" x14ac:dyDescent="0.25">
      <c r="B52" s="20" t="s">
        <v>64</v>
      </c>
      <c r="C52" s="44">
        <f>SUM(C39:I39)/C17</f>
        <v>0.42947408871629278</v>
      </c>
      <c r="D52" s="44"/>
    </row>
    <row r="53" spans="2:9" x14ac:dyDescent="0.25">
      <c r="B53" s="20" t="s">
        <v>65</v>
      </c>
      <c r="C53" s="42">
        <f>C48*($C$6*(1+$C$6)^C8)/((1+$C$6)^C8-1)</f>
        <v>3921.2564194947799</v>
      </c>
      <c r="D53" s="42"/>
    </row>
    <row r="54" spans="2:9" x14ac:dyDescent="0.25">
      <c r="B54" s="25" t="s">
        <v>66</v>
      </c>
      <c r="C54" s="46">
        <f>SUM(C42:I42)/SUM(C43:I43)</f>
        <v>1.0575624581242054</v>
      </c>
      <c r="D54" s="46"/>
      <c r="F54" s="43" t="s">
        <v>67</v>
      </c>
      <c r="G54" s="43"/>
      <c r="H54" s="43"/>
      <c r="I54" s="43"/>
    </row>
    <row r="55" spans="2:9" ht="6" customHeight="1" x14ac:dyDescent="0.25"/>
    <row r="56" spans="2:9" ht="21.75" customHeight="1" x14ac:dyDescent="0.25">
      <c r="B56" s="40" t="s">
        <v>68</v>
      </c>
      <c r="C56" s="40"/>
      <c r="D56" s="40"/>
      <c r="E56" s="40"/>
      <c r="F56" s="40"/>
      <c r="G56" s="40"/>
      <c r="H56" s="40"/>
      <c r="I56" s="40"/>
    </row>
    <row r="57" spans="2:9" x14ac:dyDescent="0.25">
      <c r="B57" s="43" t="s">
        <v>69</v>
      </c>
      <c r="C57" s="43"/>
      <c r="D57" s="43"/>
      <c r="E57" s="43"/>
      <c r="F57" s="43"/>
      <c r="G57" s="43"/>
      <c r="H57" s="43"/>
      <c r="I57" s="43"/>
    </row>
    <row r="58" spans="2:9" x14ac:dyDescent="0.25">
      <c r="B58" s="47" t="s">
        <v>70</v>
      </c>
      <c r="C58" s="47"/>
      <c r="D58" s="35" t="s">
        <v>71</v>
      </c>
      <c r="E58" s="35" t="s">
        <v>72</v>
      </c>
      <c r="F58" s="35" t="s">
        <v>73</v>
      </c>
    </row>
    <row r="60" spans="2:9" x14ac:dyDescent="0.25">
      <c r="B60" s="48">
        <f>$C$6-0.02</f>
        <v>0.05</v>
      </c>
      <c r="C60" s="48"/>
      <c r="D60" s="36">
        <f t="shared" ref="D60:F62" si="11">-$C$17+SUMPRODUCT(($D$36:$I$36*D$63-$D$37:$I$37)/(1+$B60)^$D$34:$I$34)</f>
        <v>-25329.382678386522</v>
      </c>
      <c r="E60" s="36">
        <f t="shared" si="11"/>
        <v>29595.13502977704</v>
      </c>
      <c r="F60" s="36">
        <f t="shared" si="11"/>
        <v>84519.652737940603</v>
      </c>
    </row>
    <row r="61" spans="2:9" x14ac:dyDescent="0.25">
      <c r="B61" s="48">
        <f>$C$6</f>
        <v>7.0000000000000007E-2</v>
      </c>
      <c r="C61" s="48"/>
      <c r="D61" s="36">
        <f t="shared" si="11"/>
        <v>-32818.565746574095</v>
      </c>
      <c r="E61" s="37">
        <f t="shared" si="11"/>
        <v>18690.824239626469</v>
      </c>
      <c r="F61" s="36">
        <f t="shared" si="11"/>
        <v>70200.214225827018</v>
      </c>
    </row>
    <row r="62" spans="2:9" x14ac:dyDescent="0.25">
      <c r="B62" s="48">
        <f>$C$6+0.02</f>
        <v>9.0000000000000011E-2</v>
      </c>
      <c r="C62" s="48"/>
      <c r="D62" s="36">
        <f t="shared" si="11"/>
        <v>-39607.026790662901</v>
      </c>
      <c r="E62" s="36">
        <f t="shared" si="11"/>
        <v>8805.7362298346998</v>
      </c>
      <c r="F62" s="36">
        <f t="shared" si="11"/>
        <v>57218.499250332301</v>
      </c>
    </row>
    <row r="63" spans="2:9" hidden="1" x14ac:dyDescent="0.25">
      <c r="D63" s="38">
        <v>0.85</v>
      </c>
      <c r="E63" s="38">
        <v>1</v>
      </c>
      <c r="F63" s="38">
        <v>1.1499999999999999</v>
      </c>
    </row>
    <row r="64" spans="2:9" x14ac:dyDescent="0.25">
      <c r="B64" s="3" t="s">
        <v>74</v>
      </c>
      <c r="C64" s="3"/>
      <c r="D64" s="3"/>
      <c r="E64" s="3"/>
      <c r="F64" s="3"/>
      <c r="G64" s="3"/>
      <c r="H64" s="3"/>
      <c r="I64" s="3"/>
    </row>
    <row r="66" spans="2:9" x14ac:dyDescent="0.25">
      <c r="B66" s="39" t="s">
        <v>75</v>
      </c>
      <c r="C66" s="43" t="s">
        <v>76</v>
      </c>
      <c r="D66" s="43"/>
      <c r="E66" s="43"/>
      <c r="F66" s="43"/>
      <c r="G66" s="43"/>
      <c r="H66" s="43"/>
      <c r="I66" s="43"/>
    </row>
  </sheetData>
  <mergeCells count="27">
    <mergeCell ref="C66:I66"/>
    <mergeCell ref="B58:C58"/>
    <mergeCell ref="B60:C60"/>
    <mergeCell ref="B61:C61"/>
    <mergeCell ref="B62:C62"/>
    <mergeCell ref="B64:I64"/>
    <mergeCell ref="C53:D53"/>
    <mergeCell ref="C54:D54"/>
    <mergeCell ref="F54:I54"/>
    <mergeCell ref="B56:I56"/>
    <mergeCell ref="B57:I57"/>
    <mergeCell ref="C49:D49"/>
    <mergeCell ref="C50:D50"/>
    <mergeCell ref="F50:I50"/>
    <mergeCell ref="C51:D51"/>
    <mergeCell ref="C52:D52"/>
    <mergeCell ref="B19:I19"/>
    <mergeCell ref="B26:I26"/>
    <mergeCell ref="B32:I32"/>
    <mergeCell ref="B47:I47"/>
    <mergeCell ref="C48:D48"/>
    <mergeCell ref="F48:I48"/>
    <mergeCell ref="B1:I1"/>
    <mergeCell ref="B2:I2"/>
    <mergeCell ref="B4:I4"/>
    <mergeCell ref="C5:F5"/>
    <mergeCell ref="B12:I12"/>
  </mergeCells>
  <pageMargins left="0.4" right="0.4" top="0.5" bottom="0.5" header="0.511811023622047" footer="0.511811023622047"/>
  <pageSetup paperSize="9" fitToHeight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Übersicht</vt:lpstr>
      <vt:lpstr>Berechnung</vt:lpstr>
      <vt:lpstr>Berechnung!Druckbereich</vt:lpstr>
      <vt:lpstr>Übersicht!Druckbereich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2026-07-15T16:26:23Z</dcterms:created>
  <dcterms:modified xsi:type="dcterms:W3CDTF">2026-07-15T16:31:02Z</dcterms:modified>
  <dc:language>en-US</dc:language>
</cp:coreProperties>
</file>