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1A2D548-F161-4D88-A33E-BFC7F131325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Berechnu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8" i="2" l="1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H40" i="2"/>
  <c r="B40" i="2"/>
  <c r="H39" i="2"/>
  <c r="B39" i="2"/>
  <c r="H38" i="2"/>
  <c r="B38" i="2"/>
  <c r="H37" i="2"/>
  <c r="B37" i="2"/>
  <c r="H36" i="2"/>
  <c r="B36" i="2"/>
  <c r="H35" i="2"/>
  <c r="B35" i="2"/>
  <c r="L34" i="2"/>
  <c r="H34" i="2"/>
  <c r="B34" i="2"/>
  <c r="F30" i="2"/>
  <c r="F36" i="2" s="1"/>
  <c r="F23" i="2"/>
  <c r="E38" i="2" s="1"/>
  <c r="F16" i="2"/>
  <c r="F7" i="2"/>
  <c r="D11" i="1" s="1"/>
  <c r="L38" i="2" l="1"/>
  <c r="F37" i="2"/>
  <c r="E39" i="2"/>
  <c r="E35" i="2"/>
  <c r="E40" i="2"/>
  <c r="H57" i="2"/>
  <c r="F39" i="2"/>
  <c r="E37" i="2"/>
  <c r="F35" i="2"/>
  <c r="H58" i="2" s="1"/>
  <c r="F40" i="2"/>
  <c r="F38" i="2"/>
  <c r="G38" i="2" s="1"/>
  <c r="I38" i="2" s="1"/>
  <c r="E36" i="2"/>
  <c r="D34" i="2"/>
  <c r="G36" i="2" l="1"/>
  <c r="I36" i="2" s="1"/>
  <c r="L36" i="2"/>
  <c r="F51" i="2"/>
  <c r="J14" i="1" s="1"/>
  <c r="F41" i="2"/>
  <c r="G58" i="2"/>
  <c r="G57" i="2"/>
  <c r="G34" i="2"/>
  <c r="D41" i="2"/>
  <c r="F56" i="2"/>
  <c r="G37" i="2"/>
  <c r="I37" i="2" s="1"/>
  <c r="L37" i="2"/>
  <c r="E41" i="2"/>
  <c r="L35" i="2"/>
  <c r="G35" i="2"/>
  <c r="L39" i="2"/>
  <c r="G39" i="2"/>
  <c r="I39" i="2" s="1"/>
  <c r="F57" i="2"/>
  <c r="G56" i="2"/>
  <c r="L40" i="2"/>
  <c r="G40" i="2"/>
  <c r="I40" i="2" s="1"/>
  <c r="H56" i="2"/>
  <c r="F58" i="2"/>
  <c r="I35" i="2" l="1"/>
  <c r="F49" i="2"/>
  <c r="L41" i="2"/>
  <c r="F45" i="2"/>
  <c r="F14" i="1" s="1"/>
  <c r="J34" i="2"/>
  <c r="I34" i="2"/>
  <c r="G41" i="2"/>
  <c r="F48" i="2"/>
  <c r="J19" i="1" s="1"/>
  <c r="K34" i="2" l="1"/>
  <c r="I41" i="2"/>
  <c r="J35" i="2"/>
  <c r="J36" i="2" s="1"/>
  <c r="J37" i="2" s="1"/>
  <c r="J38" i="2" s="1"/>
  <c r="J39" i="2" s="1"/>
  <c r="J40" i="2" s="1"/>
  <c r="F46" i="2"/>
  <c r="B19" i="1" s="1"/>
  <c r="K35" i="2" l="1"/>
  <c r="K36" i="2" s="1"/>
  <c r="K37" i="2" s="1"/>
  <c r="K38" i="2" s="1"/>
  <c r="K39" i="2" s="1"/>
  <c r="K40" i="2" s="1"/>
  <c r="F44" i="2" s="1"/>
  <c r="F47" i="2"/>
  <c r="F19" i="1" s="1"/>
  <c r="F52" i="2" l="1"/>
  <c r="G7" i="1" s="1"/>
  <c r="F50" i="2"/>
  <c r="B14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5" authorId="0" shapeId="0" xr:uid="{00000000-0006-0000-0100-000001000000}">
      <text>
        <r>
          <rPr>
            <sz val="10"/>
            <rFont val="Arial"/>
            <family val="2"/>
          </rPr>
          <t>Gewünschte Mindestverzinsung / Kapitalkosten des Unternehmens.</t>
        </r>
      </text>
    </comment>
    <comment ref="F44" authorId="0" shapeId="0" xr:uid="{00000000-0006-0000-0100-000002000000}">
      <text>
        <r>
          <rPr>
            <sz val="10"/>
            <rFont val="Arial"/>
            <family val="2"/>
          </rPr>
          <t>Positiver Kapitalwert = Investition erwirtschaftet mehr als die geforderte Verzinsung.</t>
        </r>
      </text>
    </comment>
  </commentList>
</comments>
</file>

<file path=xl/sharedStrings.xml><?xml version="1.0" encoding="utf-8"?>
<sst xmlns="http://schemas.openxmlformats.org/spreadsheetml/2006/main" count="103" uniqueCount="99">
  <si>
    <t>WIRTSCHAFTLICHKEITSBERECHNUNG</t>
  </si>
  <si>
    <t>Investitions- &amp; Kosten-Nutzen-Analyse   ·   Vorlage 2026</t>
  </si>
  <si>
    <t>Vorhaben / Bezeichnung</t>
  </si>
  <si>
    <t>Neuanschaffung Betriebsausstattung</t>
  </si>
  <si>
    <t>Bereich / Abteilung</t>
  </si>
  <si>
    <t>Betrieb / Produktion</t>
  </si>
  <si>
    <t>Erstellt von</t>
  </si>
  <si>
    <t>Muster-Fachabteilung</t>
  </si>
  <si>
    <t>Datum</t>
  </si>
  <si>
    <t>2026-01-15</t>
  </si>
  <si>
    <t>Betrachtungszeitraum</t>
  </si>
  <si>
    <t>Kapitalwert (NPV)</t>
  </si>
  <si>
    <t>Interner Zinsfuß (IRR)</t>
  </si>
  <si>
    <t>Kosten-Nutzen-Verhältnis</t>
  </si>
  <si>
    <t>Barwert aller Zahlungen</t>
  </si>
  <si>
    <t>Rendite des Vorhabens</t>
  </si>
  <si>
    <t>&gt; 1,00 = wirtschaftlich</t>
  </si>
  <si>
    <t>Statische Amortisation</t>
  </si>
  <si>
    <t>Dynamische Amortisation</t>
  </si>
  <si>
    <t>Return on Investment</t>
  </si>
  <si>
    <t>Rückfluss ohne Abzinsung</t>
  </si>
  <si>
    <t>Rückfluss mit Abzinsung</t>
  </si>
  <si>
    <t>Gesamter Netto-Rückfluss</t>
  </si>
  <si>
    <t>GRAFISCHE AUSWERTUNG</t>
  </si>
  <si>
    <t>LEGENDE &amp; HINWEISE</t>
  </si>
  <si>
    <t>•  Gelbe Felder sind Eingabefelder – nur diese anpassen. Alle übrigen Werte werden automatisch berechnet.</t>
  </si>
  <si>
    <t>•  Das Vorhaben gilt als wirtschaftlich, wenn der Kapitalwert &gt; 0 € ist bzw. der interne Zinsfuß über dem Kalkulationszins liegt.</t>
  </si>
  <si>
    <t>•  Ergebnis-Banner: grün = wirtschaftlich · gelb = grenzwertig (Kapitalwert &lt; 2 % der Investition) · rot = unwirtschaftlich.</t>
  </si>
  <si>
    <t>•  Kern-Eingaben auf dem Blatt „Berechnung“: Kalkulationszins, Investition, laufende Kosten und Nutzen pro Jahr.</t>
  </si>
  <si>
    <t>Fiktive Beispieldaten zur Veranschaulichung · Stand 2026 · alle Beträge in Euro.</t>
  </si>
  <si>
    <t>Wirtschaftlichkeitsberechnung  ·  Berechnung</t>
  </si>
  <si>
    <t>1  ·  Rahmendaten &amp; Parameter</t>
  </si>
  <si>
    <t>Kalkulationszinssatz (p. a.)</t>
  </si>
  <si>
    <t>◀ gelbe Felder = Eingabe</t>
  </si>
  <si>
    <t>Investitionsjahr (Start)</t>
  </si>
  <si>
    <t>Nutzungsdauer (Betriebsjahre)</t>
  </si>
  <si>
    <t>Preissteigerung Nutzen (p. a.)</t>
  </si>
  <si>
    <t>Kostensteigerung (p. a.)</t>
  </si>
  <si>
    <t>2  ·  Investition (einmalig, im Startjahr)</t>
  </si>
  <si>
    <t>Anschaffungskosten</t>
  </si>
  <si>
    <t>Montage / Installation</t>
  </si>
  <si>
    <t>Schulung / Einführung</t>
  </si>
  <si>
    <t>Sonstige einmalige Kosten</t>
  </si>
  <si>
    <t>Summe Investition</t>
  </si>
  <si>
    <t>3  ·  Laufende Kosten pro Jahr (Basis)</t>
  </si>
  <si>
    <t>Betrieb / Energie / Verbrauch</t>
  </si>
  <si>
    <t>Wartung / Instandhaltung</t>
  </si>
  <si>
    <t>Personal / Arbeitszeit</t>
  </si>
  <si>
    <t>Sonstige laufende Kosten</t>
  </si>
  <si>
    <t>Summe laufende Kosten p. a.</t>
  </si>
  <si>
    <t>4  ·  Laufender Nutzen pro Jahr (Basis)</t>
  </si>
  <si>
    <t>Kosteneinsparung</t>
  </si>
  <si>
    <t>Mehrerlöse / Zusatzumsatz</t>
  </si>
  <si>
    <t>Zeitersparnis (bewertet)</t>
  </si>
  <si>
    <t>Sonstiger Nutzen</t>
  </si>
  <si>
    <t>Summe Nutzen p. a.</t>
  </si>
  <si>
    <t>5  ·  Zahlungsströme &amp; Barwerte</t>
  </si>
  <si>
    <t>Jahr</t>
  </si>
  <si>
    <t>Periode t</t>
  </si>
  <si>
    <t>Investition</t>
  </si>
  <si>
    <t>Laufende
Kosten</t>
  </si>
  <si>
    <t>Nutzen</t>
  </si>
  <si>
    <t>Netto-
Cashflow</t>
  </si>
  <si>
    <t>Abzinsungs-
faktor</t>
  </si>
  <si>
    <t>Barwert</t>
  </si>
  <si>
    <t>Kum.
Cashflow</t>
  </si>
  <si>
    <t>Kum.
Barwert</t>
  </si>
  <si>
    <t>Kosten
(Betrag)</t>
  </si>
  <si>
    <t>Summe</t>
  </si>
  <si>
    <t>6  ·  Kennzahlen der Wirtschaftlichkeit</t>
  </si>
  <si>
    <t>Kapitalwert (Net Present Value)</t>
  </si>
  <si>
    <t>Barwert aller Zahlungen; &gt; 0 ⇒ wirtschaftlich.</t>
  </si>
  <si>
    <t>Rendite des Vorhabens; &gt; Kalkulationszins ⇒ vorteilhaft.</t>
  </si>
  <si>
    <t>Jahre bis der kumulierte Cashflow ausgeglichen ist.</t>
  </si>
  <si>
    <t>Amortisation unter Berücksichtigung der Abzinsung.</t>
  </si>
  <si>
    <t>Return on Investment (gesamt)</t>
  </si>
  <si>
    <t>Gesamter Netto-Rückfluss bezogen auf die Investition.</t>
  </si>
  <si>
    <t>Rentabilität (Ø p. a.)</t>
  </si>
  <si>
    <t>Durchschnittlicher jährlicher Rückfluss / Investition.</t>
  </si>
  <si>
    <t>Annuität (Kapitalwert p. a.)</t>
  </si>
  <si>
    <t>Gleichmäßig auf die Nutzungsdauer verteilter Kapitalwert.</t>
  </si>
  <si>
    <t>Barwert Nutzen / Barwert Kosten; &gt; 1,00 ⇒ wirtschaftlich.</t>
  </si>
  <si>
    <t>Ergebnis / Bewertung</t>
  </si>
  <si>
    <t>→ Steuerung des Ergebnis-Banners auf dem Blatt „Übersicht“.</t>
  </si>
  <si>
    <t>7  ·  Sensitivitätsanalyse – Kapitalwert (€)</t>
  </si>
  <si>
    <t>Kapitalwert (€) bei variierendem Zins und Nutzen</t>
  </si>
  <si>
    <t>Zins ↓ / Nutzen →</t>
  </si>
  <si>
    <t>−15 %</t>
  </si>
  <si>
    <t>Basis</t>
  </si>
  <si>
    <t>+15 %</t>
  </si>
  <si>
    <t>niedriger Zins</t>
  </si>
  <si>
    <t>Basis-Zins</t>
  </si>
  <si>
    <t>hoher Zins</t>
  </si>
  <si>
    <t>Hilfstabelle · Abzinsungsfaktoren für die Sensitivität</t>
  </si>
  <si>
    <t>t</t>
  </si>
  <si>
    <t>4 %</t>
  </si>
  <si>
    <t>6 %</t>
  </si>
  <si>
    <t>8 %</t>
  </si>
  <si>
    <t>Vorlage für den Zeitraum 2026–2032 · fiktive Beispieldaten · alle Beträge in Euro · für längere Zeiträume Tabellenzeilen kopieren.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</si>
</sst>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0.0%"/>
    <numFmt numFmtId="166" formatCode="0.0&quot; Jahre&quot;"/>
    <numFmt numFmtId="167" formatCode="#,##0&quot; €&quot;;[Red]\-#,##0&quot; €&quot;"/>
    <numFmt numFmtId="168" formatCode="0.000"/>
  </numFmts>
  <fonts count="21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1"/>
      <color rgb="FFB8862B"/>
      <name val="Calibri"/>
      <charset val="1"/>
    </font>
    <font>
      <b/>
      <sz val="9"/>
      <color rgb="FF12463A"/>
      <name val="Calibri"/>
      <charset val="1"/>
    </font>
    <font>
      <sz val="10"/>
      <color rgb="FF1F3A2E"/>
      <name val="Calibri"/>
      <charset val="1"/>
    </font>
    <font>
      <b/>
      <sz val="26"/>
      <color rgb="FFFFFFFF"/>
      <name val="Calibri"/>
      <charset val="1"/>
    </font>
    <font>
      <b/>
      <sz val="10"/>
      <color rgb="FF12463A"/>
      <name val="Calibri"/>
      <charset val="1"/>
    </font>
    <font>
      <sz val="10"/>
      <color rgb="FF3A3A3A"/>
      <name val="Calibri"/>
      <charset val="1"/>
    </font>
    <font>
      <b/>
      <sz val="9"/>
      <color rgb="FFFFFFFF"/>
      <name val="Calibri"/>
      <charset val="1"/>
    </font>
    <font>
      <b/>
      <sz val="20"/>
      <color rgb="FF12463A"/>
      <name val="Calibri"/>
      <charset val="1"/>
    </font>
    <font>
      <i/>
      <sz val="8.5"/>
      <color rgb="FF5A5A5A"/>
      <name val="Calibri"/>
      <charset val="1"/>
    </font>
    <font>
      <b/>
      <sz val="11"/>
      <color rgb="FFFFFFFF"/>
      <name val="Calibri"/>
      <charset val="1"/>
    </font>
    <font>
      <b/>
      <sz val="10"/>
      <color rgb="FFFFFFFF"/>
      <name val="Calibri"/>
      <charset val="1"/>
    </font>
    <font>
      <sz val="9"/>
      <color rgb="FF3A3A3A"/>
      <name val="Calibri"/>
      <charset val="1"/>
    </font>
    <font>
      <b/>
      <sz val="18"/>
      <color rgb="FFFFFFFF"/>
      <name val="Calibri"/>
      <charset val="1"/>
    </font>
    <font>
      <i/>
      <sz val="9"/>
      <color rgb="FFB8862B"/>
      <name val="Calibri"/>
      <charset val="1"/>
    </font>
    <font>
      <b/>
      <sz val="10"/>
      <color rgb="FF3A3A3A"/>
      <name val="Calibri"/>
      <charset val="1"/>
    </font>
    <font>
      <i/>
      <sz val="9"/>
      <color rgb="FF5A5A5A"/>
      <name val="Calibri"/>
      <charset val="1"/>
    </font>
    <font>
      <b/>
      <sz val="9"/>
      <color rgb="FF5A5A5A"/>
      <name val="Calibri"/>
      <charset val="1"/>
    </font>
    <font>
      <sz val="9"/>
      <color rgb="FF5A5A5A"/>
      <name val="Calibri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2463A"/>
        <bgColor rgb="FF1F3A2E"/>
      </patternFill>
    </fill>
    <fill>
      <patternFill patternType="solid">
        <fgColor rgb="FFF5F3EC"/>
        <bgColor rgb="FFEEF4F0"/>
      </patternFill>
    </fill>
    <fill>
      <patternFill patternType="solid">
        <fgColor rgb="FFEEF4F0"/>
        <bgColor rgb="FFF5F3EC"/>
      </patternFill>
    </fill>
    <fill>
      <patternFill patternType="solid">
        <fgColor rgb="FFFFF6D5"/>
        <bgColor rgb="FFF5F3EC"/>
      </patternFill>
    </fill>
    <fill>
      <patternFill patternType="solid">
        <fgColor rgb="FFFFFFFF"/>
        <bgColor rgb="FFF5F3EC"/>
      </patternFill>
    </fill>
    <fill>
      <patternFill patternType="solid">
        <fgColor rgb="FFDCEEE4"/>
        <bgColor rgb="FFE9EFEA"/>
      </patternFill>
    </fill>
    <fill>
      <patternFill patternType="solid">
        <fgColor rgb="FF1C5E48"/>
        <bgColor rgb="FF12463A"/>
      </patternFill>
    </fill>
    <fill>
      <patternFill patternType="solid">
        <fgColor rgb="FFF5EAC9"/>
        <bgColor rgb="FFFFF6D5"/>
      </patternFill>
    </fill>
    <fill>
      <patternFill patternType="solid">
        <fgColor rgb="FFE9EFEA"/>
        <bgColor rgb="FFEEF4F0"/>
      </patternFill>
    </fill>
  </fills>
  <borders count="6">
    <border>
      <left/>
      <right/>
      <top/>
      <bottom/>
      <diagonal/>
    </border>
    <border>
      <left style="thin">
        <color rgb="FFCBD5CE"/>
      </left>
      <right/>
      <top style="thin">
        <color rgb="FFCBD5CE"/>
      </top>
      <bottom style="thin">
        <color rgb="FFCBD5CE"/>
      </bottom>
      <diagonal/>
    </border>
    <border>
      <left style="medium">
        <color rgb="FF12463A"/>
      </left>
      <right style="medium">
        <color rgb="FF12463A"/>
      </right>
      <top style="medium">
        <color rgb="FF12463A"/>
      </top>
      <bottom/>
      <diagonal/>
    </border>
    <border>
      <left style="medium">
        <color rgb="FF12463A"/>
      </left>
      <right style="medium">
        <color rgb="FF12463A"/>
      </right>
      <top/>
      <bottom/>
      <diagonal/>
    </border>
    <border>
      <left style="medium">
        <color rgb="FF12463A"/>
      </left>
      <right style="medium">
        <color rgb="FF12463A"/>
      </right>
      <top/>
      <bottom style="medium">
        <color rgb="FF12463A"/>
      </bottom>
      <diagonal/>
    </border>
    <border>
      <left style="thin">
        <color rgb="FFCBD5CE"/>
      </left>
      <right style="thin">
        <color rgb="FFCBD5CE"/>
      </right>
      <top style="thin">
        <color rgb="FFCBD5CE"/>
      </top>
      <bottom style="thin">
        <color rgb="FFCBD5CE"/>
      </bottom>
      <diagonal/>
    </border>
  </borders>
  <cellStyleXfs count="1">
    <xf numFmtId="0" fontId="0" fillId="0" borderId="0"/>
  </cellStyleXfs>
  <cellXfs count="64">
    <xf numFmtId="0" fontId="0" fillId="0" borderId="0" xfId="0"/>
    <xf numFmtId="166" fontId="9" fillId="6" borderId="3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2" fontId="9" fillId="6" borderId="3" xfId="0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6" fillId="7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165" fontId="4" fillId="5" borderId="5" xfId="0" applyNumberFormat="1" applyFont="1" applyFill="1" applyBorder="1" applyAlignment="1">
      <alignment horizontal="right" vertical="center" indent="1"/>
    </xf>
    <xf numFmtId="1" fontId="4" fillId="5" borderId="5" xfId="0" applyNumberFormat="1" applyFont="1" applyFill="1" applyBorder="1" applyAlignment="1">
      <alignment horizontal="right" vertical="center" indent="1"/>
    </xf>
    <xf numFmtId="0" fontId="0" fillId="6" borderId="0" xfId="0" applyFill="1"/>
    <xf numFmtId="1" fontId="16" fillId="3" borderId="5" xfId="0" applyNumberFormat="1" applyFont="1" applyFill="1" applyBorder="1" applyAlignment="1">
      <alignment horizontal="right" vertical="center" indent="1"/>
    </xf>
    <xf numFmtId="0" fontId="0" fillId="3" borderId="0" xfId="0" applyFill="1"/>
    <xf numFmtId="164" fontId="4" fillId="5" borderId="5" xfId="0" applyNumberFormat="1" applyFont="1" applyFill="1" applyBorder="1" applyAlignment="1">
      <alignment horizontal="right" vertical="center" indent="1"/>
    </xf>
    <xf numFmtId="0" fontId="0" fillId="4" borderId="0" xfId="0" applyFill="1"/>
    <xf numFmtId="164" fontId="16" fillId="9" borderId="5" xfId="0" applyNumberFormat="1" applyFont="1" applyFill="1" applyBorder="1" applyAlignment="1">
      <alignment horizontal="right" vertical="center" indent="1"/>
    </xf>
    <xf numFmtId="0" fontId="8" fillId="2" borderId="5" xfId="0" applyFont="1" applyFill="1" applyBorder="1" applyAlignment="1">
      <alignment horizontal="center" vertical="center" wrapText="1"/>
    </xf>
    <xf numFmtId="1" fontId="7" fillId="10" borderId="5" xfId="0" applyNumberFormat="1" applyFont="1" applyFill="1" applyBorder="1" applyAlignment="1">
      <alignment horizontal="center" vertical="center"/>
    </xf>
    <xf numFmtId="167" fontId="7" fillId="10" borderId="5" xfId="0" applyNumberFormat="1" applyFont="1" applyFill="1" applyBorder="1" applyAlignment="1">
      <alignment horizontal="right" vertical="center" indent="1"/>
    </xf>
    <xf numFmtId="168" fontId="7" fillId="10" borderId="5" xfId="0" applyNumberFormat="1" applyFont="1" applyFill="1" applyBorder="1" applyAlignment="1">
      <alignment horizontal="right" vertical="center" indent="1"/>
    </xf>
    <xf numFmtId="1" fontId="7" fillId="4" borderId="5" xfId="0" applyNumberFormat="1" applyFont="1" applyFill="1" applyBorder="1" applyAlignment="1">
      <alignment horizontal="center" vertical="center"/>
    </xf>
    <xf numFmtId="167" fontId="7" fillId="4" borderId="5" xfId="0" applyNumberFormat="1" applyFont="1" applyFill="1" applyBorder="1" applyAlignment="1">
      <alignment horizontal="right" vertical="center" indent="1"/>
    </xf>
    <xf numFmtId="168" fontId="7" fillId="4" borderId="5" xfId="0" applyNumberFormat="1" applyFont="1" applyFill="1" applyBorder="1" applyAlignment="1">
      <alignment horizontal="right" vertical="center" indent="1"/>
    </xf>
    <xf numFmtId="1" fontId="7" fillId="6" borderId="5" xfId="0" applyNumberFormat="1" applyFont="1" applyFill="1" applyBorder="1" applyAlignment="1">
      <alignment horizontal="center" vertical="center"/>
    </xf>
    <xf numFmtId="167" fontId="7" fillId="6" borderId="5" xfId="0" applyNumberFormat="1" applyFont="1" applyFill="1" applyBorder="1" applyAlignment="1">
      <alignment horizontal="right" vertical="center" indent="1"/>
    </xf>
    <xf numFmtId="168" fontId="7" fillId="6" borderId="5" xfId="0" applyNumberFormat="1" applyFont="1" applyFill="1" applyBorder="1" applyAlignment="1">
      <alignment horizontal="right" vertical="center" indent="1"/>
    </xf>
    <xf numFmtId="167" fontId="12" fillId="2" borderId="5" xfId="0" applyNumberFormat="1" applyFont="1" applyFill="1" applyBorder="1" applyAlignment="1">
      <alignment horizontal="right" vertical="center" indent="1"/>
    </xf>
    <xf numFmtId="0" fontId="0" fillId="2" borderId="5" xfId="0" applyFill="1" applyBorder="1"/>
    <xf numFmtId="164" fontId="6" fillId="7" borderId="5" xfId="0" applyNumberFormat="1" applyFont="1" applyFill="1" applyBorder="1" applyAlignment="1">
      <alignment horizontal="right" vertical="center" indent="1"/>
    </xf>
    <xf numFmtId="165" fontId="6" fillId="7" borderId="5" xfId="0" applyNumberFormat="1" applyFont="1" applyFill="1" applyBorder="1" applyAlignment="1">
      <alignment horizontal="right" vertical="center" indent="1"/>
    </xf>
    <xf numFmtId="166" fontId="6" fillId="7" borderId="5" xfId="0" applyNumberFormat="1" applyFont="1" applyFill="1" applyBorder="1" applyAlignment="1">
      <alignment horizontal="right" vertical="center" indent="1"/>
    </xf>
    <xf numFmtId="2" fontId="6" fillId="7" borderId="5" xfId="0" applyNumberFormat="1" applyFont="1" applyFill="1" applyBorder="1" applyAlignment="1">
      <alignment horizontal="right" vertical="center" indent="1"/>
    </xf>
    <xf numFmtId="0" fontId="12" fillId="0" borderId="5" xfId="0" applyFont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167" fontId="6" fillId="7" borderId="5" xfId="0" applyNumberFormat="1" applyFont="1" applyFill="1" applyBorder="1" applyAlignment="1">
      <alignment horizontal="right" vertical="center" indent="1"/>
    </xf>
    <xf numFmtId="167" fontId="7" fillId="3" borderId="5" xfId="0" applyNumberFormat="1" applyFont="1" applyFill="1" applyBorder="1" applyAlignment="1">
      <alignment horizontal="right" vertical="center" indent="1"/>
    </xf>
    <xf numFmtId="0" fontId="8" fillId="8" borderId="5" xfId="0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68" fontId="19" fillId="0" borderId="5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0" fontId="12" fillId="8" borderId="0" xfId="0" applyFont="1" applyFill="1" applyAlignment="1">
      <alignment horizontal="left" vertical="center" indent="1"/>
    </xf>
    <xf numFmtId="0" fontId="13" fillId="6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1" fillId="8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16" fillId="9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6" fillId="6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8" fillId="0" borderId="0" xfId="0" applyFont="1"/>
    <xf numFmtId="0" fontId="10" fillId="0" borderId="0" xfId="0" applyFont="1"/>
  </cellXfs>
  <cellStyles count="1">
    <cellStyle name="Standard" xfId="0" builtinId="0"/>
  </cellStyles>
  <dxfs count="6">
    <dxf>
      <fill>
        <patternFill>
          <bgColor rgb="FFC0392B"/>
        </patternFill>
      </fill>
    </dxf>
    <dxf>
      <fill>
        <patternFill>
          <bgColor rgb="FFD99A2B"/>
        </patternFill>
      </fill>
    </dxf>
    <dxf>
      <fill>
        <patternFill>
          <bgColor rgb="FF2E9E5B"/>
        </patternFill>
      </fill>
    </dxf>
    <dxf>
      <fill>
        <patternFill>
          <bgColor rgb="FFC0392B"/>
        </patternFill>
      </fill>
    </dxf>
    <dxf>
      <fill>
        <patternFill>
          <bgColor rgb="FFD99A2B"/>
        </patternFill>
      </fill>
    </dxf>
    <dxf>
      <fill>
        <patternFill>
          <bgColor rgb="FF2E9E5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2B"/>
      <rgbColor rgb="FF800080"/>
      <rgbColor rgb="FF1C5E48"/>
      <rgbColor rgb="FFCBD5CE"/>
      <rgbColor rgb="FF878787"/>
      <rgbColor rgb="FF9999FF"/>
      <rgbColor rgb="FF993366"/>
      <rgbColor rgb="FFFFF6D5"/>
      <rgbColor rgb="FFEEF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EFEA"/>
      <rgbColor rgb="FFDCEEE4"/>
      <rgbColor rgb="FFF5EAC9"/>
      <rgbColor rgb="FF99CCFF"/>
      <rgbColor rgb="FFFF99CC"/>
      <rgbColor rgb="FFCC99FF"/>
      <rgbColor rgb="FFF5F3EC"/>
      <rgbColor rgb="FF3366FF"/>
      <rgbColor rgb="FF33CCCC"/>
      <rgbColor rgb="FF99CC00"/>
      <rgbColor rgb="FFFFCC00"/>
      <rgbColor rgb="FFD99A2B"/>
      <rgbColor rgb="FFFF6600"/>
      <rgbColor rgb="FF5A5A5A"/>
      <rgbColor rgb="FF969696"/>
      <rgbColor rgb="FF12463A"/>
      <rgbColor rgb="FF2E9E5B"/>
      <rgbColor rgb="FF003300"/>
      <rgbColor rgb="FF1F3A2E"/>
      <rgbColor rgb="FFC0392B"/>
      <rgbColor rgb="FF993366"/>
      <rgbColor rgb="FF333399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Kumulierter Cashflow &amp; Amortisation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Berechnung!$J$33</c:f>
              <c:strCache>
                <c:ptCount val="1"/>
                <c:pt idx="0">
                  <c:v>Kum.
Cashflow</c:v>
                </c:pt>
              </c:strCache>
            </c:strRef>
          </c:tx>
          <c:spPr>
            <a:ln w="28080">
              <a:solidFill>
                <a:srgbClr val="2E9E5B"/>
              </a:solidFill>
              <a:round/>
            </a:ln>
          </c:spPr>
          <c:marker>
            <c:symbol val="circle"/>
            <c:size val="5"/>
            <c:spPr>
              <a:solidFill>
                <a:srgbClr val="2E9E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Berechnung!$B$34:$B$40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Berechnung!$J$34:$J$40</c:f>
              <c:numCache>
                <c:formatCode>General</c:formatCode>
                <c:ptCount val="7"/>
                <c:pt idx="0">
                  <c:v>-118000</c:v>
                </c:pt>
                <c:pt idx="1">
                  <c:v>-83000</c:v>
                </c:pt>
                <c:pt idx="2">
                  <c:v>-47630</c:v>
                </c:pt>
                <c:pt idx="3">
                  <c:v>-11887.550000000025</c:v>
                </c:pt>
                <c:pt idx="4">
                  <c:v>24229.774749999953</c:v>
                </c:pt>
                <c:pt idx="5">
                  <c:v>60724.372131249911</c:v>
                </c:pt>
                <c:pt idx="6">
                  <c:v>97598.611488418625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3DB-4025-8FA2-464E0CF6DC24}"/>
            </c:ext>
          </c:extLst>
        </c:ser>
        <c:ser>
          <c:idx val="1"/>
          <c:order val="1"/>
          <c:tx>
            <c:strRef>
              <c:f>Berechnung!$K$33</c:f>
              <c:strCache>
                <c:ptCount val="1"/>
                <c:pt idx="0">
                  <c:v>Kum.
Barwert</c:v>
                </c:pt>
              </c:strCache>
            </c:strRef>
          </c:tx>
          <c:spPr>
            <a:ln w="28080">
              <a:solidFill>
                <a:srgbClr val="B8862B"/>
              </a:solidFill>
              <a:round/>
            </a:ln>
          </c:spPr>
          <c:marker>
            <c:symbol val="diamond"/>
            <c:size val="5"/>
            <c:spPr>
              <a:solidFill>
                <a:srgbClr val="B8862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Berechnung!$B$34:$B$40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Berechnung!$K$34:$K$40</c:f>
              <c:numCache>
                <c:formatCode>General</c:formatCode>
                <c:ptCount val="7"/>
                <c:pt idx="0">
                  <c:v>-118000</c:v>
                </c:pt>
                <c:pt idx="1">
                  <c:v>-84981.132075471702</c:v>
                </c:pt>
                <c:pt idx="2">
                  <c:v>-53501.957992168042</c:v>
                </c:pt>
                <c:pt idx="3">
                  <c:v>-23491.907749350175</c:v>
                </c:pt>
                <c:pt idx="4">
                  <c:v>5116.3963182345287</c:v>
                </c:pt>
                <c:pt idx="5">
                  <c:v>32387.282476829758</c:v>
                </c:pt>
                <c:pt idx="6">
                  <c:v>58382.16618236139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3DB-4025-8FA2-464E0CF6D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944138"/>
        <c:axId val="50995472"/>
      </c:lineChart>
      <c:catAx>
        <c:axId val="994413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0995472"/>
        <c:crosses val="autoZero"/>
        <c:auto val="1"/>
        <c:lblAlgn val="ctr"/>
        <c:lblOffset val="100"/>
        <c:noMultiLvlLbl val="0"/>
      </c:catAx>
      <c:valAx>
        <c:axId val="509954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Euro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9441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Nutzen vs. laufende Kosten pro Jahr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Nutzen p. a.</c:v>
          </c:tx>
          <c:spPr>
            <a:solidFill>
              <a:srgbClr val="2E9E5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Berechnung!$B$35:$B$40</c:f>
              <c:numCache>
                <c:formatCode>0</c:formatCode>
                <c:ptCount val="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</c:numCache>
            </c:numRef>
          </c:cat>
          <c:val>
            <c:numRef>
              <c:f>Berechnung!$F$35:$F$40</c:f>
              <c:numCache>
                <c:formatCode>General</c:formatCode>
                <c:ptCount val="6"/>
                <c:pt idx="0">
                  <c:v>66000</c:v>
                </c:pt>
                <c:pt idx="1">
                  <c:v>66990</c:v>
                </c:pt>
                <c:pt idx="2">
                  <c:v>67994.849999999977</c:v>
                </c:pt>
                <c:pt idx="3">
                  <c:v>69014.772749999975</c:v>
                </c:pt>
                <c:pt idx="4">
                  <c:v>70049.994341249956</c:v>
                </c:pt>
                <c:pt idx="5">
                  <c:v>71100.744256368707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2-432F-85A8-D0EB2DEE5A8E}"/>
            </c:ext>
          </c:extLst>
        </c:ser>
        <c:ser>
          <c:idx val="1"/>
          <c:order val="1"/>
          <c:tx>
            <c:v>Laufende Kosten p. a.</c:v>
          </c:tx>
          <c:spPr>
            <a:solidFill>
              <a:srgbClr val="B8862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Berechnung!$B$35:$B$40</c:f>
              <c:numCache>
                <c:formatCode>0</c:formatCode>
                <c:ptCount val="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</c:numCache>
            </c:numRef>
          </c:cat>
          <c:val>
            <c:numRef>
              <c:f>Berechnung!$L$35:$L$40</c:f>
              <c:numCache>
                <c:formatCode>General</c:formatCode>
                <c:ptCount val="6"/>
                <c:pt idx="0">
                  <c:v>31000</c:v>
                </c:pt>
                <c:pt idx="1">
                  <c:v>31620</c:v>
                </c:pt>
                <c:pt idx="2">
                  <c:v>32252.400000000001</c:v>
                </c:pt>
                <c:pt idx="3">
                  <c:v>32897.447999999997</c:v>
                </c:pt>
                <c:pt idx="4">
                  <c:v>33555.396959999998</c:v>
                </c:pt>
                <c:pt idx="5">
                  <c:v>34226.504899200001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2-432F-85A8-D0EB2DEE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730925"/>
        <c:axId val="92903133"/>
      </c:barChart>
      <c:catAx>
        <c:axId val="3773092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2903133"/>
        <c:crosses val="autoZero"/>
        <c:auto val="1"/>
        <c:lblAlgn val="ctr"/>
        <c:lblOffset val="100"/>
        <c:noMultiLvlLbl val="0"/>
      </c:catAx>
      <c:valAx>
        <c:axId val="929031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Euro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7730925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9623261225109188"/>
          <c:y val="0.48883332994559286"/>
          <c:w val="0.18663676676389757"/>
          <c:h val="0.3578151784322892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657225</xdr:colOff>
      <xdr:row>38</xdr:row>
      <xdr:rowOff>94320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23</xdr:row>
      <xdr:rowOff>0</xdr:rowOff>
    </xdr:from>
    <xdr:to>
      <xdr:col>12</xdr:col>
      <xdr:colOff>733425</xdr:colOff>
      <xdr:row>38</xdr:row>
      <xdr:rowOff>94320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9E5B"/>
    <pageSetUpPr fitToPage="1"/>
  </sheetPr>
  <dimension ref="B2:M46"/>
  <sheetViews>
    <sheetView showGridLines="0" tabSelected="1" zoomScaleNormal="100" workbookViewId="0">
      <selection activeCell="Q59" sqref="Q59"/>
    </sheetView>
  </sheetViews>
  <sheetFormatPr baseColWidth="10" defaultColWidth="8.7109375" defaultRowHeight="15" x14ac:dyDescent="0.25"/>
  <cols>
    <col min="1" max="1" width="2.42578125" customWidth="1"/>
    <col min="2" max="13" width="11.140625" customWidth="1"/>
  </cols>
  <sheetData>
    <row r="2" spans="2:13" ht="25.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15.7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ht="19.5" customHeight="1" x14ac:dyDescent="0.25">
      <c r="B5" s="13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7" spans="2:13" x14ac:dyDescent="0.25">
      <c r="B7" s="12" t="s">
        <v>2</v>
      </c>
      <c r="C7" s="12"/>
      <c r="D7" s="11" t="s">
        <v>3</v>
      </c>
      <c r="E7" s="11"/>
      <c r="F7" s="11"/>
      <c r="G7" s="10" t="str">
        <f>Berechnung!F52</f>
        <v>WIRTSCHAFTLICH</v>
      </c>
      <c r="H7" s="10"/>
      <c r="I7" s="10"/>
      <c r="J7" s="10"/>
      <c r="K7" s="10"/>
      <c r="L7" s="10"/>
      <c r="M7" s="10"/>
    </row>
    <row r="8" spans="2:13" x14ac:dyDescent="0.25">
      <c r="B8" s="9" t="s">
        <v>4</v>
      </c>
      <c r="C8" s="9"/>
      <c r="D8" s="11" t="s">
        <v>5</v>
      </c>
      <c r="E8" s="11"/>
      <c r="F8" s="11"/>
      <c r="G8" s="10"/>
      <c r="H8" s="10"/>
      <c r="I8" s="10"/>
      <c r="J8" s="10"/>
      <c r="K8" s="10"/>
      <c r="L8" s="10"/>
      <c r="M8" s="10"/>
    </row>
    <row r="9" spans="2:13" x14ac:dyDescent="0.25">
      <c r="B9" s="12" t="s">
        <v>6</v>
      </c>
      <c r="C9" s="12"/>
      <c r="D9" s="11" t="s">
        <v>7</v>
      </c>
      <c r="E9" s="11"/>
      <c r="F9" s="11"/>
      <c r="G9" s="10"/>
      <c r="H9" s="10"/>
      <c r="I9" s="10"/>
      <c r="J9" s="10"/>
      <c r="K9" s="10"/>
      <c r="L9" s="10"/>
      <c r="M9" s="10"/>
    </row>
    <row r="10" spans="2:13" x14ac:dyDescent="0.25">
      <c r="B10" s="9" t="s">
        <v>8</v>
      </c>
      <c r="C10" s="9"/>
      <c r="D10" s="11" t="s">
        <v>9</v>
      </c>
      <c r="E10" s="11"/>
      <c r="F10" s="11"/>
      <c r="G10" s="8" t="str">
        <f>"Kapitalwert  "&amp;TEXT(Berechnung!F44,"#,##0")&amp;" €    ·    dyn. Amortisation  "&amp;TEXT(Berechnung!F47,"0,0")&amp;" Jahre"</f>
        <v>Kapitalwert  58382,166 €    ·    dyn. Amortisation  3,8 Jahre</v>
      </c>
      <c r="H10" s="8"/>
      <c r="I10" s="8"/>
      <c r="J10" s="8"/>
      <c r="K10" s="8"/>
      <c r="L10" s="8"/>
      <c r="M10" s="8"/>
    </row>
    <row r="11" spans="2:13" x14ac:dyDescent="0.25">
      <c r="B11" s="12" t="s">
        <v>10</v>
      </c>
      <c r="C11" s="12"/>
      <c r="D11" s="7" t="str">
        <f>TEXT(Berechnung!F6,"0")&amp;" – "&amp;TEXT(Berechnung!F6+Berechnung!F7,"0")</f>
        <v>2026 – 2032</v>
      </c>
      <c r="E11" s="7"/>
      <c r="F11" s="7"/>
      <c r="G11" s="8"/>
      <c r="H11" s="8"/>
      <c r="I11" s="8"/>
      <c r="J11" s="8"/>
      <c r="K11" s="8"/>
      <c r="L11" s="8"/>
      <c r="M11" s="8"/>
    </row>
    <row r="13" spans="2:13" ht="15.75" customHeight="1" x14ac:dyDescent="0.25">
      <c r="B13" s="6" t="s">
        <v>11</v>
      </c>
      <c r="C13" s="6"/>
      <c r="D13" s="6"/>
      <c r="F13" s="6" t="s">
        <v>12</v>
      </c>
      <c r="G13" s="6"/>
      <c r="H13" s="6"/>
      <c r="J13" s="6" t="s">
        <v>13</v>
      </c>
      <c r="K13" s="6"/>
      <c r="L13" s="6"/>
      <c r="M13" s="6"/>
    </row>
    <row r="14" spans="2:13" ht="19.5" customHeight="1" x14ac:dyDescent="0.25">
      <c r="B14" s="5">
        <f>Berechnung!F44</f>
        <v>58382.16618236139</v>
      </c>
      <c r="C14" s="5"/>
      <c r="D14" s="5"/>
      <c r="F14" s="4">
        <f>Berechnung!F45</f>
        <v>0.20285893867299909</v>
      </c>
      <c r="G14" s="4"/>
      <c r="H14" s="4"/>
      <c r="J14" s="3">
        <f>Berechnung!F51</f>
        <v>1.2102138866800443</v>
      </c>
      <c r="K14" s="3"/>
      <c r="L14" s="3"/>
      <c r="M14" s="3"/>
    </row>
    <row r="15" spans="2:13" ht="13.5" customHeight="1" x14ac:dyDescent="0.25">
      <c r="B15" s="5"/>
      <c r="C15" s="5"/>
      <c r="D15" s="5"/>
      <c r="F15" s="4"/>
      <c r="G15" s="4"/>
      <c r="H15" s="4"/>
      <c r="J15" s="3"/>
      <c r="K15" s="3"/>
      <c r="L15" s="3"/>
      <c r="M15" s="3"/>
    </row>
    <row r="16" spans="2:13" x14ac:dyDescent="0.25">
      <c r="B16" s="2" t="s">
        <v>14</v>
      </c>
      <c r="C16" s="2"/>
      <c r="D16" s="2"/>
      <c r="F16" s="2" t="s">
        <v>15</v>
      </c>
      <c r="G16" s="2"/>
      <c r="H16" s="2"/>
      <c r="J16" s="2" t="s">
        <v>16</v>
      </c>
      <c r="K16" s="2"/>
      <c r="L16" s="2"/>
      <c r="M16" s="2"/>
    </row>
    <row r="18" spans="2:13" ht="15.75" customHeight="1" x14ac:dyDescent="0.25">
      <c r="B18" s="6" t="s">
        <v>17</v>
      </c>
      <c r="C18" s="6"/>
      <c r="D18" s="6"/>
      <c r="F18" s="6" t="s">
        <v>18</v>
      </c>
      <c r="G18" s="6"/>
      <c r="H18" s="6"/>
      <c r="J18" s="6" t="s">
        <v>19</v>
      </c>
      <c r="K18" s="6"/>
      <c r="L18" s="6"/>
      <c r="M18" s="6"/>
    </row>
    <row r="19" spans="2:13" ht="19.5" customHeight="1" x14ac:dyDescent="0.25">
      <c r="B19" s="1">
        <f>Berechnung!F46</f>
        <v>3.3291370576941759</v>
      </c>
      <c r="C19" s="1"/>
      <c r="D19" s="1"/>
      <c r="F19" s="1">
        <f>Berechnung!F47</f>
        <v>3.8211569512772421</v>
      </c>
      <c r="G19" s="1"/>
      <c r="H19" s="1"/>
      <c r="J19" s="4">
        <f>Berechnung!F48</f>
        <v>0.82710687702049679</v>
      </c>
      <c r="K19" s="4"/>
      <c r="L19" s="4"/>
      <c r="M19" s="4"/>
    </row>
    <row r="20" spans="2:13" ht="13.5" customHeight="1" x14ac:dyDescent="0.25">
      <c r="B20" s="1"/>
      <c r="C20" s="1"/>
      <c r="D20" s="1"/>
      <c r="F20" s="1"/>
      <c r="G20" s="1"/>
      <c r="H20" s="1"/>
      <c r="J20" s="4"/>
      <c r="K20" s="4"/>
      <c r="L20" s="4"/>
      <c r="M20" s="4"/>
    </row>
    <row r="21" spans="2:13" x14ac:dyDescent="0.25">
      <c r="B21" s="2" t="s">
        <v>20</v>
      </c>
      <c r="C21" s="2"/>
      <c r="D21" s="2"/>
      <c r="F21" s="2" t="s">
        <v>21</v>
      </c>
      <c r="G21" s="2"/>
      <c r="H21" s="2"/>
      <c r="J21" s="2" t="s">
        <v>22</v>
      </c>
      <c r="K21" s="2"/>
      <c r="L21" s="2"/>
      <c r="M21" s="2"/>
    </row>
    <row r="23" spans="2:13" ht="19.5" customHeight="1" x14ac:dyDescent="0.25">
      <c r="B23" s="47" t="s">
        <v>23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41" spans="2:13" x14ac:dyDescent="0.25">
      <c r="B41" s="48" t="s">
        <v>24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2:13" x14ac:dyDescent="0.25">
      <c r="B42" s="49" t="s">
        <v>25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2:13" x14ac:dyDescent="0.25">
      <c r="B43" s="50" t="s">
        <v>26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2:13" x14ac:dyDescent="0.25">
      <c r="B44" s="49" t="s">
        <v>27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spans="2:13" x14ac:dyDescent="0.25">
      <c r="B45" s="50" t="s">
        <v>28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2:13" x14ac:dyDescent="0.25">
      <c r="B46" s="51" t="s">
        <v>29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</sheetData>
  <mergeCells count="39">
    <mergeCell ref="B45:M45"/>
    <mergeCell ref="B46:M46"/>
    <mergeCell ref="B23:M23"/>
    <mergeCell ref="B41:M41"/>
    <mergeCell ref="B42:M42"/>
    <mergeCell ref="B43:M43"/>
    <mergeCell ref="B44:M44"/>
    <mergeCell ref="B19:D20"/>
    <mergeCell ref="F19:H20"/>
    <mergeCell ref="J19:M20"/>
    <mergeCell ref="B21:D21"/>
    <mergeCell ref="F21:H21"/>
    <mergeCell ref="J21:M21"/>
    <mergeCell ref="B16:D16"/>
    <mergeCell ref="F16:H16"/>
    <mergeCell ref="J16:M16"/>
    <mergeCell ref="B18:D18"/>
    <mergeCell ref="F18:H18"/>
    <mergeCell ref="J18:M18"/>
    <mergeCell ref="B13:D13"/>
    <mergeCell ref="F13:H13"/>
    <mergeCell ref="J13:M13"/>
    <mergeCell ref="B14:D15"/>
    <mergeCell ref="F14:H15"/>
    <mergeCell ref="J14:M15"/>
    <mergeCell ref="B10:C10"/>
    <mergeCell ref="D10:F10"/>
    <mergeCell ref="G10:M11"/>
    <mergeCell ref="B11:C11"/>
    <mergeCell ref="D11:F11"/>
    <mergeCell ref="B2:M4"/>
    <mergeCell ref="B5:M5"/>
    <mergeCell ref="B7:C7"/>
    <mergeCell ref="D7:F7"/>
    <mergeCell ref="G7:M9"/>
    <mergeCell ref="B8:C8"/>
    <mergeCell ref="D8:F8"/>
    <mergeCell ref="B9:C9"/>
    <mergeCell ref="D9:F9"/>
  </mergeCells>
  <conditionalFormatting sqref="G7:M9">
    <cfRule type="expression" dxfId="5" priority="2">
      <formula>$G$7="WIRTSCHAFTLICH"</formula>
    </cfRule>
    <cfRule type="expression" dxfId="4" priority="3">
      <formula>$G$7="GRENZWERTIG"</formula>
    </cfRule>
    <cfRule type="expression" dxfId="3" priority="4">
      <formula>$G$7="UNWIRTSCHAFTLICH"</formula>
    </cfRule>
  </conditionalFormatting>
  <pageMargins left="0.4" right="0.4" top="0.5" bottom="0.5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2463A"/>
    <pageSetUpPr fitToPage="1"/>
  </sheetPr>
  <dimension ref="B2:L70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30" customWidth="1"/>
    <col min="3" max="3" width="8" customWidth="1"/>
    <col min="4" max="4" width="14.5703125" customWidth="1"/>
    <col min="5" max="6" width="15" customWidth="1"/>
    <col min="7" max="7" width="15.5703125" customWidth="1"/>
    <col min="8" max="8" width="13.42578125" customWidth="1"/>
    <col min="9" max="9" width="14.5703125" customWidth="1"/>
    <col min="10" max="11" width="15.5703125" customWidth="1"/>
    <col min="12" max="12" width="13" customWidth="1"/>
  </cols>
  <sheetData>
    <row r="2" spans="2:12" ht="33.75" customHeight="1" x14ac:dyDescent="0.25">
      <c r="B2" s="52" t="s">
        <v>30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2:12" ht="19.5" customHeight="1" x14ac:dyDescent="0.25">
      <c r="B4" s="53" t="s">
        <v>31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2:12" x14ac:dyDescent="0.25">
      <c r="B5" s="54" t="s">
        <v>32</v>
      </c>
      <c r="C5" s="54"/>
      <c r="D5" s="54"/>
      <c r="E5" s="54"/>
      <c r="F5" s="15">
        <v>0.06</v>
      </c>
      <c r="G5" s="55" t="s">
        <v>33</v>
      </c>
      <c r="H5" s="55"/>
      <c r="I5" s="55"/>
      <c r="J5" s="55"/>
      <c r="K5" s="55"/>
      <c r="L5" s="55"/>
    </row>
    <row r="6" spans="2:12" x14ac:dyDescent="0.25">
      <c r="B6" s="54" t="s">
        <v>34</v>
      </c>
      <c r="C6" s="54"/>
      <c r="D6" s="54"/>
      <c r="E6" s="54"/>
      <c r="F6" s="16">
        <v>2026</v>
      </c>
      <c r="G6" s="17"/>
      <c r="H6" s="17"/>
      <c r="I6" s="17"/>
      <c r="J6" s="17"/>
      <c r="K6" s="17"/>
      <c r="L6" s="17"/>
    </row>
    <row r="7" spans="2:12" x14ac:dyDescent="0.25">
      <c r="B7" s="54" t="s">
        <v>35</v>
      </c>
      <c r="C7" s="54"/>
      <c r="D7" s="54"/>
      <c r="E7" s="54"/>
      <c r="F7" s="18">
        <f>MAX(C34:C40)</f>
        <v>6</v>
      </c>
      <c r="G7" s="19"/>
      <c r="H7" s="19"/>
      <c r="I7" s="19"/>
      <c r="J7" s="19"/>
      <c r="K7" s="19"/>
      <c r="L7" s="19"/>
    </row>
    <row r="8" spans="2:12" x14ac:dyDescent="0.25">
      <c r="B8" s="54" t="s">
        <v>36</v>
      </c>
      <c r="C8" s="54"/>
      <c r="D8" s="54"/>
      <c r="E8" s="54"/>
      <c r="F8" s="15">
        <v>1.4999999999999999E-2</v>
      </c>
      <c r="G8" s="17"/>
      <c r="H8" s="17"/>
      <c r="I8" s="17"/>
      <c r="J8" s="17"/>
      <c r="K8" s="17"/>
      <c r="L8" s="17"/>
    </row>
    <row r="9" spans="2:12" x14ac:dyDescent="0.25">
      <c r="B9" s="54" t="s">
        <v>37</v>
      </c>
      <c r="C9" s="54"/>
      <c r="D9" s="54"/>
      <c r="E9" s="54"/>
      <c r="F9" s="15">
        <v>0.02</v>
      </c>
      <c r="G9" s="19"/>
      <c r="H9" s="19"/>
      <c r="I9" s="19"/>
      <c r="J9" s="19"/>
      <c r="K9" s="19"/>
      <c r="L9" s="19"/>
    </row>
    <row r="11" spans="2:12" ht="19.5" customHeight="1" x14ac:dyDescent="0.25">
      <c r="B11" s="53" t="s">
        <v>38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2:12" x14ac:dyDescent="0.25">
      <c r="B12" s="54" t="s">
        <v>39</v>
      </c>
      <c r="C12" s="54"/>
      <c r="D12" s="54"/>
      <c r="E12" s="54"/>
      <c r="F12" s="20">
        <v>88000</v>
      </c>
      <c r="G12" s="21"/>
      <c r="H12" s="21"/>
      <c r="I12" s="21"/>
      <c r="J12" s="21"/>
      <c r="K12" s="21"/>
      <c r="L12" s="21"/>
    </row>
    <row r="13" spans="2:12" x14ac:dyDescent="0.25">
      <c r="B13" s="54" t="s">
        <v>40</v>
      </c>
      <c r="C13" s="54"/>
      <c r="D13" s="54"/>
      <c r="E13" s="54"/>
      <c r="F13" s="20">
        <v>14000</v>
      </c>
      <c r="G13" s="17"/>
      <c r="H13" s="17"/>
      <c r="I13" s="17"/>
      <c r="J13" s="17"/>
      <c r="K13" s="17"/>
      <c r="L13" s="17"/>
    </row>
    <row r="14" spans="2:12" x14ac:dyDescent="0.25">
      <c r="B14" s="54" t="s">
        <v>41</v>
      </c>
      <c r="C14" s="54"/>
      <c r="D14" s="54"/>
      <c r="E14" s="54"/>
      <c r="F14" s="20">
        <v>9500</v>
      </c>
      <c r="G14" s="21"/>
      <c r="H14" s="21"/>
      <c r="I14" s="21"/>
      <c r="J14" s="21"/>
      <c r="K14" s="21"/>
      <c r="L14" s="21"/>
    </row>
    <row r="15" spans="2:12" x14ac:dyDescent="0.25">
      <c r="B15" s="54" t="s">
        <v>42</v>
      </c>
      <c r="C15" s="54"/>
      <c r="D15" s="54"/>
      <c r="E15" s="54"/>
      <c r="F15" s="20">
        <v>6500</v>
      </c>
      <c r="G15" s="17"/>
      <c r="H15" s="17"/>
      <c r="I15" s="17"/>
      <c r="J15" s="17"/>
      <c r="K15" s="17"/>
      <c r="L15" s="17"/>
    </row>
    <row r="16" spans="2:12" x14ac:dyDescent="0.25">
      <c r="B16" s="56" t="s">
        <v>43</v>
      </c>
      <c r="C16" s="56"/>
      <c r="D16" s="56"/>
      <c r="E16" s="56"/>
      <c r="F16" s="22">
        <f>SUM(F12:F15)</f>
        <v>118000</v>
      </c>
    </row>
    <row r="18" spans="2:12" ht="19.5" customHeight="1" x14ac:dyDescent="0.25">
      <c r="B18" s="53" t="s">
        <v>44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x14ac:dyDescent="0.25">
      <c r="B19" s="54" t="s">
        <v>45</v>
      </c>
      <c r="C19" s="54"/>
      <c r="D19" s="54"/>
      <c r="E19" s="54"/>
      <c r="F19" s="20">
        <v>9000</v>
      </c>
      <c r="G19" s="21"/>
      <c r="H19" s="21"/>
      <c r="I19" s="21"/>
      <c r="J19" s="21"/>
      <c r="K19" s="21"/>
      <c r="L19" s="21"/>
    </row>
    <row r="20" spans="2:12" x14ac:dyDescent="0.25">
      <c r="B20" s="54" t="s">
        <v>46</v>
      </c>
      <c r="C20" s="54"/>
      <c r="D20" s="54"/>
      <c r="E20" s="54"/>
      <c r="F20" s="20">
        <v>6500</v>
      </c>
      <c r="G20" s="17"/>
      <c r="H20" s="17"/>
      <c r="I20" s="17"/>
      <c r="J20" s="17"/>
      <c r="K20" s="17"/>
      <c r="L20" s="17"/>
    </row>
    <row r="21" spans="2:12" x14ac:dyDescent="0.25">
      <c r="B21" s="54" t="s">
        <v>47</v>
      </c>
      <c r="C21" s="54"/>
      <c r="D21" s="54"/>
      <c r="E21" s="54"/>
      <c r="F21" s="20">
        <v>12000</v>
      </c>
      <c r="G21" s="21"/>
      <c r="H21" s="21"/>
      <c r="I21" s="21"/>
      <c r="J21" s="21"/>
      <c r="K21" s="21"/>
      <c r="L21" s="21"/>
    </row>
    <row r="22" spans="2:12" x14ac:dyDescent="0.25">
      <c r="B22" s="54" t="s">
        <v>48</v>
      </c>
      <c r="C22" s="54"/>
      <c r="D22" s="54"/>
      <c r="E22" s="54"/>
      <c r="F22" s="20">
        <v>3500</v>
      </c>
      <c r="G22" s="17"/>
      <c r="H22" s="17"/>
      <c r="I22" s="17"/>
      <c r="J22" s="17"/>
      <c r="K22" s="17"/>
      <c r="L22" s="17"/>
    </row>
    <row r="23" spans="2:12" x14ac:dyDescent="0.25">
      <c r="B23" s="56" t="s">
        <v>49</v>
      </c>
      <c r="C23" s="56"/>
      <c r="D23" s="56"/>
      <c r="E23" s="56"/>
      <c r="F23" s="22">
        <f>SUM(F19:F22)</f>
        <v>31000</v>
      </c>
    </row>
    <row r="25" spans="2:12" ht="19.5" customHeight="1" x14ac:dyDescent="0.25">
      <c r="B25" s="53" t="s">
        <v>50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2:12" x14ac:dyDescent="0.25">
      <c r="B26" s="54" t="s">
        <v>51</v>
      </c>
      <c r="C26" s="54"/>
      <c r="D26" s="54"/>
      <c r="E26" s="54"/>
      <c r="F26" s="20">
        <v>34000</v>
      </c>
      <c r="G26" s="17"/>
      <c r="H26" s="17"/>
      <c r="I26" s="17"/>
      <c r="J26" s="17"/>
      <c r="K26" s="17"/>
      <c r="L26" s="17"/>
    </row>
    <row r="27" spans="2:12" x14ac:dyDescent="0.25">
      <c r="B27" s="54" t="s">
        <v>52</v>
      </c>
      <c r="C27" s="54"/>
      <c r="D27" s="54"/>
      <c r="E27" s="54"/>
      <c r="F27" s="20">
        <v>22000</v>
      </c>
      <c r="G27" s="21"/>
      <c r="H27" s="21"/>
      <c r="I27" s="21"/>
      <c r="J27" s="21"/>
      <c r="K27" s="21"/>
      <c r="L27" s="21"/>
    </row>
    <row r="28" spans="2:12" x14ac:dyDescent="0.25">
      <c r="B28" s="54" t="s">
        <v>53</v>
      </c>
      <c r="C28" s="54"/>
      <c r="D28" s="54"/>
      <c r="E28" s="54"/>
      <c r="F28" s="20">
        <v>8000</v>
      </c>
      <c r="G28" s="17"/>
      <c r="H28" s="17"/>
      <c r="I28" s="17"/>
      <c r="J28" s="17"/>
      <c r="K28" s="17"/>
      <c r="L28" s="17"/>
    </row>
    <row r="29" spans="2:12" x14ac:dyDescent="0.25">
      <c r="B29" s="54" t="s">
        <v>54</v>
      </c>
      <c r="C29" s="54"/>
      <c r="D29" s="54"/>
      <c r="E29" s="54"/>
      <c r="F29" s="20">
        <v>2000</v>
      </c>
      <c r="G29" s="21"/>
      <c r="H29" s="21"/>
      <c r="I29" s="21"/>
      <c r="J29" s="21"/>
      <c r="K29" s="21"/>
      <c r="L29" s="21"/>
    </row>
    <row r="30" spans="2:12" x14ac:dyDescent="0.25">
      <c r="B30" s="56" t="s">
        <v>55</v>
      </c>
      <c r="C30" s="56"/>
      <c r="D30" s="56"/>
      <c r="E30" s="56"/>
      <c r="F30" s="22">
        <f>SUM(F26:F29)</f>
        <v>66000</v>
      </c>
    </row>
    <row r="32" spans="2:12" ht="19.5" customHeight="1" x14ac:dyDescent="0.25">
      <c r="B32" s="53" t="s">
        <v>56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2:12" ht="30" customHeight="1" x14ac:dyDescent="0.25">
      <c r="B33" s="23" t="s">
        <v>57</v>
      </c>
      <c r="C33" s="23" t="s">
        <v>58</v>
      </c>
      <c r="D33" s="23" t="s">
        <v>59</v>
      </c>
      <c r="E33" s="23" t="s">
        <v>60</v>
      </c>
      <c r="F33" s="23" t="s">
        <v>61</v>
      </c>
      <c r="G33" s="23" t="s">
        <v>62</v>
      </c>
      <c r="H33" s="23" t="s">
        <v>63</v>
      </c>
      <c r="I33" s="23" t="s">
        <v>64</v>
      </c>
      <c r="J33" s="23" t="s">
        <v>65</v>
      </c>
      <c r="K33" s="23" t="s">
        <v>66</v>
      </c>
      <c r="L33" s="23" t="s">
        <v>67</v>
      </c>
    </row>
    <row r="34" spans="2:12" x14ac:dyDescent="0.25">
      <c r="B34" s="24">
        <f t="shared" ref="B34:B40" si="0">$F$6+C34</f>
        <v>2026</v>
      </c>
      <c r="C34" s="24">
        <v>0</v>
      </c>
      <c r="D34" s="25">
        <f>-F16</f>
        <v>-118000</v>
      </c>
      <c r="E34" s="25">
        <v>0</v>
      </c>
      <c r="F34" s="25">
        <v>0</v>
      </c>
      <c r="G34" s="25">
        <f t="shared" ref="G34:G40" si="1">D34+E34+F34</f>
        <v>-118000</v>
      </c>
      <c r="H34" s="26">
        <f t="shared" ref="H34:H40" si="2">1/(1+$F$5)^C34</f>
        <v>1</v>
      </c>
      <c r="I34" s="25">
        <f t="shared" ref="I34:I40" si="3">G34*H34</f>
        <v>-118000</v>
      </c>
      <c r="J34" s="25">
        <f>G34</f>
        <v>-118000</v>
      </c>
      <c r="K34" s="25">
        <f>I34</f>
        <v>-118000</v>
      </c>
      <c r="L34" s="25">
        <f t="shared" ref="L34:L40" si="4">-E34</f>
        <v>0</v>
      </c>
    </row>
    <row r="35" spans="2:12" x14ac:dyDescent="0.25">
      <c r="B35" s="27">
        <f t="shared" si="0"/>
        <v>2027</v>
      </c>
      <c r="C35" s="27">
        <v>1</v>
      </c>
      <c r="D35" s="28">
        <v>0</v>
      </c>
      <c r="E35" s="28">
        <f t="shared" ref="E35:E40" si="5">-$F$23*(1+$F$9)^(C35-1)</f>
        <v>-31000</v>
      </c>
      <c r="F35" s="28">
        <f t="shared" ref="F35:F40" si="6">$F$30*(1+$F$8)^(C35-1)</f>
        <v>66000</v>
      </c>
      <c r="G35" s="28">
        <f t="shared" si="1"/>
        <v>35000</v>
      </c>
      <c r="H35" s="29">
        <f t="shared" si="2"/>
        <v>0.94339622641509424</v>
      </c>
      <c r="I35" s="28">
        <f t="shared" si="3"/>
        <v>33018.867924528298</v>
      </c>
      <c r="J35" s="28">
        <f t="shared" ref="J35:J40" si="7">J34+G35</f>
        <v>-83000</v>
      </c>
      <c r="K35" s="28">
        <f t="shared" ref="K35:K40" si="8">K34+I35</f>
        <v>-84981.132075471702</v>
      </c>
      <c r="L35" s="28">
        <f t="shared" si="4"/>
        <v>31000</v>
      </c>
    </row>
    <row r="36" spans="2:12" x14ac:dyDescent="0.25">
      <c r="B36" s="30">
        <f t="shared" si="0"/>
        <v>2028</v>
      </c>
      <c r="C36" s="30">
        <v>2</v>
      </c>
      <c r="D36" s="31">
        <v>0</v>
      </c>
      <c r="E36" s="31">
        <f t="shared" si="5"/>
        <v>-31620</v>
      </c>
      <c r="F36" s="31">
        <f t="shared" si="6"/>
        <v>66990</v>
      </c>
      <c r="G36" s="31">
        <f t="shared" si="1"/>
        <v>35370</v>
      </c>
      <c r="H36" s="32">
        <f t="shared" si="2"/>
        <v>0.88999644001423983</v>
      </c>
      <c r="I36" s="31">
        <f t="shared" si="3"/>
        <v>31479.174083303664</v>
      </c>
      <c r="J36" s="31">
        <f t="shared" si="7"/>
        <v>-47630</v>
      </c>
      <c r="K36" s="31">
        <f t="shared" si="8"/>
        <v>-53501.957992168042</v>
      </c>
      <c r="L36" s="31">
        <f t="shared" si="4"/>
        <v>31620</v>
      </c>
    </row>
    <row r="37" spans="2:12" x14ac:dyDescent="0.25">
      <c r="B37" s="27">
        <f t="shared" si="0"/>
        <v>2029</v>
      </c>
      <c r="C37" s="27">
        <v>3</v>
      </c>
      <c r="D37" s="28">
        <v>0</v>
      </c>
      <c r="E37" s="28">
        <f t="shared" si="5"/>
        <v>-32252.400000000001</v>
      </c>
      <c r="F37" s="28">
        <f t="shared" si="6"/>
        <v>67994.849999999977</v>
      </c>
      <c r="G37" s="28">
        <f t="shared" si="1"/>
        <v>35742.449999999975</v>
      </c>
      <c r="H37" s="29">
        <f t="shared" si="2"/>
        <v>0.8396192830323016</v>
      </c>
      <c r="I37" s="28">
        <f t="shared" si="3"/>
        <v>30010.050242817866</v>
      </c>
      <c r="J37" s="28">
        <f t="shared" si="7"/>
        <v>-11887.550000000025</v>
      </c>
      <c r="K37" s="28">
        <f t="shared" si="8"/>
        <v>-23491.907749350175</v>
      </c>
      <c r="L37" s="28">
        <f t="shared" si="4"/>
        <v>32252.400000000001</v>
      </c>
    </row>
    <row r="38" spans="2:12" x14ac:dyDescent="0.25">
      <c r="B38" s="30">
        <f t="shared" si="0"/>
        <v>2030</v>
      </c>
      <c r="C38" s="30">
        <v>4</v>
      </c>
      <c r="D38" s="31">
        <v>0</v>
      </c>
      <c r="E38" s="31">
        <f t="shared" si="5"/>
        <v>-32897.447999999997</v>
      </c>
      <c r="F38" s="31">
        <f t="shared" si="6"/>
        <v>69014.772749999975</v>
      </c>
      <c r="G38" s="31">
        <f t="shared" si="1"/>
        <v>36117.324749999978</v>
      </c>
      <c r="H38" s="32">
        <f t="shared" si="2"/>
        <v>0.79209366323802044</v>
      </c>
      <c r="I38" s="31">
        <f t="shared" si="3"/>
        <v>28608.304067584704</v>
      </c>
      <c r="J38" s="31">
        <f t="shared" si="7"/>
        <v>24229.774749999953</v>
      </c>
      <c r="K38" s="31">
        <f t="shared" si="8"/>
        <v>5116.3963182345287</v>
      </c>
      <c r="L38" s="31">
        <f t="shared" si="4"/>
        <v>32897.447999999997</v>
      </c>
    </row>
    <row r="39" spans="2:12" x14ac:dyDescent="0.25">
      <c r="B39" s="27">
        <f t="shared" si="0"/>
        <v>2031</v>
      </c>
      <c r="C39" s="27">
        <v>5</v>
      </c>
      <c r="D39" s="28">
        <v>0</v>
      </c>
      <c r="E39" s="28">
        <f t="shared" si="5"/>
        <v>-33555.396959999998</v>
      </c>
      <c r="F39" s="28">
        <f t="shared" si="6"/>
        <v>70049.994341249956</v>
      </c>
      <c r="G39" s="28">
        <f t="shared" si="1"/>
        <v>36494.597381249958</v>
      </c>
      <c r="H39" s="29">
        <f t="shared" si="2"/>
        <v>0.74725817286605689</v>
      </c>
      <c r="I39" s="28">
        <f t="shared" si="3"/>
        <v>27270.886158595229</v>
      </c>
      <c r="J39" s="28">
        <f t="shared" si="7"/>
        <v>60724.372131249911</v>
      </c>
      <c r="K39" s="28">
        <f t="shared" si="8"/>
        <v>32387.282476829758</v>
      </c>
      <c r="L39" s="28">
        <f t="shared" si="4"/>
        <v>33555.396959999998</v>
      </c>
    </row>
    <row r="40" spans="2:12" x14ac:dyDescent="0.25">
      <c r="B40" s="30">
        <f t="shared" si="0"/>
        <v>2032</v>
      </c>
      <c r="C40" s="30">
        <v>6</v>
      </c>
      <c r="D40" s="31">
        <v>0</v>
      </c>
      <c r="E40" s="31">
        <f t="shared" si="5"/>
        <v>-34226.504899200001</v>
      </c>
      <c r="F40" s="31">
        <f t="shared" si="6"/>
        <v>71100.744256368707</v>
      </c>
      <c r="G40" s="31">
        <f t="shared" si="1"/>
        <v>36874.239357168706</v>
      </c>
      <c r="H40" s="32">
        <f t="shared" si="2"/>
        <v>0.70496054043967626</v>
      </c>
      <c r="I40" s="31">
        <f t="shared" si="3"/>
        <v>25994.883705531633</v>
      </c>
      <c r="J40" s="31">
        <f t="shared" si="7"/>
        <v>97598.611488418625</v>
      </c>
      <c r="K40" s="31">
        <f t="shared" si="8"/>
        <v>58382.16618236139</v>
      </c>
      <c r="L40" s="31">
        <f t="shared" si="4"/>
        <v>34226.504899200001</v>
      </c>
    </row>
    <row r="41" spans="2:12" x14ac:dyDescent="0.25">
      <c r="B41" s="57" t="s">
        <v>68</v>
      </c>
      <c r="C41" s="57"/>
      <c r="D41" s="33">
        <f>SUM(D34:D40)</f>
        <v>-118000</v>
      </c>
      <c r="E41" s="33">
        <f>SUM(E34:E40)</f>
        <v>-195551.74985919998</v>
      </c>
      <c r="F41" s="33">
        <f>SUM(F34:F40)</f>
        <v>411150.36134761863</v>
      </c>
      <c r="G41" s="33">
        <f>SUM(G34:G40)</f>
        <v>97598.611488418625</v>
      </c>
      <c r="H41" s="34"/>
      <c r="I41" s="33">
        <f>SUM(I34:I40)</f>
        <v>58382.16618236139</v>
      </c>
      <c r="J41" s="34"/>
      <c r="K41" s="34"/>
      <c r="L41" s="33">
        <f>SUM(L34:L40)</f>
        <v>195551.74985919998</v>
      </c>
    </row>
    <row r="43" spans="2:12" ht="19.5" customHeight="1" x14ac:dyDescent="0.25">
      <c r="B43" s="53" t="s">
        <v>69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2:12" x14ac:dyDescent="0.25">
      <c r="B44" s="58" t="s">
        <v>70</v>
      </c>
      <c r="C44" s="58"/>
      <c r="D44" s="58"/>
      <c r="E44" s="58"/>
      <c r="F44" s="35">
        <f>K40</f>
        <v>58382.16618236139</v>
      </c>
      <c r="G44" s="59" t="s">
        <v>71</v>
      </c>
      <c r="H44" s="59"/>
      <c r="I44" s="59"/>
      <c r="J44" s="59"/>
      <c r="K44" s="59"/>
      <c r="L44" s="59"/>
    </row>
    <row r="45" spans="2:12" x14ac:dyDescent="0.25">
      <c r="B45" s="60" t="s">
        <v>12</v>
      </c>
      <c r="C45" s="60"/>
      <c r="D45" s="60"/>
      <c r="E45" s="60"/>
      <c r="F45" s="36">
        <f>IRR(G34:G40)</f>
        <v>0.20285893867299909</v>
      </c>
      <c r="G45" s="59" t="s">
        <v>72</v>
      </c>
      <c r="H45" s="59"/>
      <c r="I45" s="59"/>
      <c r="J45" s="59"/>
      <c r="K45" s="59"/>
      <c r="L45" s="59"/>
    </row>
    <row r="46" spans="2:12" x14ac:dyDescent="0.25">
      <c r="B46" s="58" t="s">
        <v>17</v>
      </c>
      <c r="C46" s="58"/>
      <c r="D46" s="58"/>
      <c r="E46" s="58"/>
      <c r="F46" s="37">
        <f>IFERROR(IF(COUNTIF(J34:J40,"&lt;0")&gt;=7,"n. a.",(COUNTIF(J34:J40,"&lt;0")-1)+(-INDEX(J34:J40,COUNTIF(J34:J40,"&lt;0")))/INDEX(G34:G40,COUNTIF(J34:J40,"&lt;0")+1)),"n. a.")</f>
        <v>3.3291370576941759</v>
      </c>
      <c r="G46" s="59" t="s">
        <v>73</v>
      </c>
      <c r="H46" s="59"/>
      <c r="I46" s="59"/>
      <c r="J46" s="59"/>
      <c r="K46" s="59"/>
      <c r="L46" s="59"/>
    </row>
    <row r="47" spans="2:12" x14ac:dyDescent="0.25">
      <c r="B47" s="60" t="s">
        <v>18</v>
      </c>
      <c r="C47" s="60"/>
      <c r="D47" s="60"/>
      <c r="E47" s="60"/>
      <c r="F47" s="37">
        <f>IFERROR(IF(COUNTIF(K34:K40,"&lt;0")&gt;=7,"n. a.",(COUNTIF(K34:K40,"&lt;0")-1)+(-INDEX(K34:K40,COUNTIF(K34:K40,"&lt;0")))/INDEX(I34:I40,COUNTIF(K34:K40,"&lt;0")+1)),"n. a.")</f>
        <v>3.8211569512772421</v>
      </c>
      <c r="G47" s="59" t="s">
        <v>74</v>
      </c>
      <c r="H47" s="59"/>
      <c r="I47" s="59"/>
      <c r="J47" s="59"/>
      <c r="K47" s="59"/>
      <c r="L47" s="59"/>
    </row>
    <row r="48" spans="2:12" x14ac:dyDescent="0.25">
      <c r="B48" s="58" t="s">
        <v>75</v>
      </c>
      <c r="C48" s="58"/>
      <c r="D48" s="58"/>
      <c r="E48" s="58"/>
      <c r="F48" s="36">
        <f>SUM(G34:G40)/F16</f>
        <v>0.82710687702049679</v>
      </c>
      <c r="G48" s="59" t="s">
        <v>76</v>
      </c>
      <c r="H48" s="59"/>
      <c r="I48" s="59"/>
      <c r="J48" s="59"/>
      <c r="K48" s="59"/>
      <c r="L48" s="59"/>
    </row>
    <row r="49" spans="2:12" x14ac:dyDescent="0.25">
      <c r="B49" s="60" t="s">
        <v>77</v>
      </c>
      <c r="C49" s="60"/>
      <c r="D49" s="60"/>
      <c r="E49" s="60"/>
      <c r="F49" s="36">
        <f>AVERAGE(G35:G40)/F16</f>
        <v>0.30451781283674945</v>
      </c>
      <c r="G49" s="59" t="s">
        <v>78</v>
      </c>
      <c r="H49" s="59"/>
      <c r="I49" s="59"/>
      <c r="J49" s="59"/>
      <c r="K49" s="59"/>
      <c r="L49" s="59"/>
    </row>
    <row r="50" spans="2:12" x14ac:dyDescent="0.25">
      <c r="B50" s="58" t="s">
        <v>79</v>
      </c>
      <c r="C50" s="58"/>
      <c r="D50" s="58"/>
      <c r="E50" s="58"/>
      <c r="F50" s="35">
        <f>F44*(F5*(1+F5)^F7)/((1+F5)^F7-1)</f>
        <v>11872.750770903154</v>
      </c>
      <c r="G50" s="59" t="s">
        <v>80</v>
      </c>
      <c r="H50" s="59"/>
      <c r="I50" s="59"/>
      <c r="J50" s="59"/>
      <c r="K50" s="59"/>
      <c r="L50" s="59"/>
    </row>
    <row r="51" spans="2:12" x14ac:dyDescent="0.25">
      <c r="B51" s="60" t="s">
        <v>13</v>
      </c>
      <c r="C51" s="60"/>
      <c r="D51" s="60"/>
      <c r="E51" s="60"/>
      <c r="F51" s="38">
        <f>SUMPRODUCT(F34:F40,H34:H40)/(-SUMPRODUCT((D34:D40+E34:E40),H34:H40))</f>
        <v>1.2102138866800443</v>
      </c>
      <c r="G51" s="59" t="s">
        <v>81</v>
      </c>
      <c r="H51" s="59"/>
      <c r="I51" s="59"/>
      <c r="J51" s="59"/>
      <c r="K51" s="59"/>
      <c r="L51" s="59"/>
    </row>
    <row r="52" spans="2:12" x14ac:dyDescent="0.25">
      <c r="B52" s="61" t="s">
        <v>82</v>
      </c>
      <c r="C52" s="61"/>
      <c r="D52" s="61"/>
      <c r="E52" s="61"/>
      <c r="F52" s="39" t="str">
        <f>IF(F44&lt;0,"UNWIRTSCHAFTLICH",IF(F44&lt;0.02*F16,"GRENZWERTIG","WIRTSCHAFTLICH"))</f>
        <v>WIRTSCHAFTLICH</v>
      </c>
      <c r="G52" s="59" t="s">
        <v>83</v>
      </c>
      <c r="H52" s="59"/>
      <c r="I52" s="59"/>
      <c r="J52" s="59"/>
      <c r="K52" s="59"/>
      <c r="L52" s="59"/>
    </row>
    <row r="54" spans="2:12" ht="19.5" customHeight="1" x14ac:dyDescent="0.25">
      <c r="B54" s="53" t="s">
        <v>84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2:12" x14ac:dyDescent="0.25">
      <c r="B55" s="59" t="s">
        <v>85</v>
      </c>
      <c r="C55" s="59"/>
      <c r="D55" s="59"/>
      <c r="E55" s="40" t="s">
        <v>86</v>
      </c>
      <c r="F55" s="41" t="s">
        <v>87</v>
      </c>
      <c r="G55" s="41" t="s">
        <v>88</v>
      </c>
      <c r="H55" s="41" t="s">
        <v>89</v>
      </c>
    </row>
    <row r="56" spans="2:12" x14ac:dyDescent="0.25">
      <c r="B56" s="59" t="s">
        <v>90</v>
      </c>
      <c r="C56" s="59"/>
      <c r="D56" s="59"/>
      <c r="E56" s="15">
        <v>0.04</v>
      </c>
      <c r="F56" s="31">
        <f>-$F$16+SUMPRODUCT((0.85*$F$35:$F$40+$E$35:$E$40),$D$63:$D$68)</f>
        <v>16350.675144519453</v>
      </c>
      <c r="G56" s="42">
        <f>-$F$16+SUMPRODUCT((1*$F$35:$F$40+$E$35:$E$40),$D$63:$D$68)</f>
        <v>70141.69370048173</v>
      </c>
      <c r="H56" s="31">
        <f>-$F$16+SUMPRODUCT((1.15*$F$35:$F$40+$E$35:$E$40),$D$63:$D$68)</f>
        <v>123932.71225644395</v>
      </c>
    </row>
    <row r="57" spans="2:12" x14ac:dyDescent="0.25">
      <c r="B57" s="59" t="s">
        <v>91</v>
      </c>
      <c r="C57" s="59"/>
      <c r="D57" s="59"/>
      <c r="E57" s="15">
        <v>0.06</v>
      </c>
      <c r="F57" s="43">
        <f>-$F$16+SUMPRODUCT((0.85*$F$35:$F$40+$E$35:$E$40),$E$63:$E$68)</f>
        <v>7965.7241259695293</v>
      </c>
      <c r="G57" s="42">
        <f>-$F$16+SUMPRODUCT((1*$F$35:$F$40+$E$35:$E$40),$E$63:$E$68)</f>
        <v>58382.166182361369</v>
      </c>
      <c r="H57" s="43">
        <f>-$F$16+SUMPRODUCT((1.15*$F$35:$F$40+$E$35:$E$40),$E$63:$E$68)</f>
        <v>108798.60823875322</v>
      </c>
    </row>
    <row r="58" spans="2:12" x14ac:dyDescent="0.25">
      <c r="B58" s="59" t="s">
        <v>92</v>
      </c>
      <c r="C58" s="59"/>
      <c r="D58" s="59"/>
      <c r="E58" s="15">
        <v>0.08</v>
      </c>
      <c r="F58" s="31">
        <f>-$F$16+SUMPRODUCT((0.85*$F$35:$F$40+$E$35:$E$40),$F$63:$F$68)</f>
        <v>367.58202565569081</v>
      </c>
      <c r="G58" s="42">
        <f>-$F$16+SUMPRODUCT((1*$F$35:$F$40+$E$35:$E$40),$F$63:$F$68)</f>
        <v>47726.937976423011</v>
      </c>
      <c r="H58" s="31">
        <f>-$F$16+SUMPRODUCT((1.15*$F$35:$F$40+$E$35:$E$40),$F$63:$F$68)</f>
        <v>95086.293927190331</v>
      </c>
    </row>
    <row r="61" spans="2:12" x14ac:dyDescent="0.25">
      <c r="B61" s="62" t="s">
        <v>93</v>
      </c>
      <c r="C61" s="62"/>
      <c r="D61" s="62"/>
      <c r="E61" s="62"/>
      <c r="F61" s="62"/>
    </row>
    <row r="62" spans="2:12" x14ac:dyDescent="0.25">
      <c r="C62" s="44" t="s">
        <v>94</v>
      </c>
      <c r="D62" s="44" t="s">
        <v>95</v>
      </c>
      <c r="E62" s="44" t="s">
        <v>96</v>
      </c>
      <c r="F62" s="44" t="s">
        <v>97</v>
      </c>
    </row>
    <row r="63" spans="2:12" x14ac:dyDescent="0.25">
      <c r="C63" s="45">
        <v>1</v>
      </c>
      <c r="D63" s="46">
        <f t="shared" ref="D63:D68" si="9">1/(1+$E$56)^C63</f>
        <v>0.96153846153846145</v>
      </c>
      <c r="E63" s="46">
        <f t="shared" ref="E63:E68" si="10">1/(1+$E$57)^C63</f>
        <v>0.94339622641509424</v>
      </c>
      <c r="F63" s="46">
        <f t="shared" ref="F63:F68" si="11">1/(1+$E$58)^C63</f>
        <v>0.92592592592592582</v>
      </c>
    </row>
    <row r="64" spans="2:12" x14ac:dyDescent="0.25">
      <c r="C64" s="45">
        <v>2</v>
      </c>
      <c r="D64" s="46">
        <f t="shared" si="9"/>
        <v>0.92455621301775137</v>
      </c>
      <c r="E64" s="46">
        <f t="shared" si="10"/>
        <v>0.88999644001423983</v>
      </c>
      <c r="F64" s="46">
        <f t="shared" si="11"/>
        <v>0.85733882030178321</v>
      </c>
    </row>
    <row r="65" spans="2:12" x14ac:dyDescent="0.25">
      <c r="C65" s="45">
        <v>3</v>
      </c>
      <c r="D65" s="46">
        <f t="shared" si="9"/>
        <v>0.88899635867091487</v>
      </c>
      <c r="E65" s="46">
        <f t="shared" si="10"/>
        <v>0.8396192830323016</v>
      </c>
      <c r="F65" s="46">
        <f t="shared" si="11"/>
        <v>0.79383224102016958</v>
      </c>
    </row>
    <row r="66" spans="2:12" x14ac:dyDescent="0.25">
      <c r="C66" s="45">
        <v>4</v>
      </c>
      <c r="D66" s="46">
        <f t="shared" si="9"/>
        <v>0.85480419102972571</v>
      </c>
      <c r="E66" s="46">
        <f t="shared" si="10"/>
        <v>0.79209366323802044</v>
      </c>
      <c r="F66" s="46">
        <f t="shared" si="11"/>
        <v>0.73502985279645328</v>
      </c>
    </row>
    <row r="67" spans="2:12" x14ac:dyDescent="0.25">
      <c r="C67" s="45">
        <v>5</v>
      </c>
      <c r="D67" s="46">
        <f t="shared" si="9"/>
        <v>0.82192710675935154</v>
      </c>
      <c r="E67" s="46">
        <f t="shared" si="10"/>
        <v>0.74725817286605689</v>
      </c>
      <c r="F67" s="46">
        <f t="shared" si="11"/>
        <v>0.68058319703375303</v>
      </c>
    </row>
    <row r="68" spans="2:12" x14ac:dyDescent="0.25">
      <c r="C68" s="45">
        <v>6</v>
      </c>
      <c r="D68" s="46">
        <f t="shared" si="9"/>
        <v>0.79031452573014571</v>
      </c>
      <c r="E68" s="46">
        <f t="shared" si="10"/>
        <v>0.70496054043967626</v>
      </c>
      <c r="F68" s="46">
        <f t="shared" si="11"/>
        <v>0.63016962688310452</v>
      </c>
    </row>
    <row r="70" spans="2:12" x14ac:dyDescent="0.25">
      <c r="B70" s="63" t="s">
        <v>98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</row>
  </sheetData>
  <mergeCells count="54">
    <mergeCell ref="B70:L70"/>
    <mergeCell ref="B55:D55"/>
    <mergeCell ref="B56:D56"/>
    <mergeCell ref="B57:D57"/>
    <mergeCell ref="B58:D58"/>
    <mergeCell ref="B61:F61"/>
    <mergeCell ref="B51:E51"/>
    <mergeCell ref="G51:L51"/>
    <mergeCell ref="B52:E52"/>
    <mergeCell ref="G52:L52"/>
    <mergeCell ref="B54:L54"/>
    <mergeCell ref="B48:E48"/>
    <mergeCell ref="G48:L48"/>
    <mergeCell ref="B49:E49"/>
    <mergeCell ref="G49:L49"/>
    <mergeCell ref="B50:E50"/>
    <mergeCell ref="G50:L50"/>
    <mergeCell ref="B45:E45"/>
    <mergeCell ref="G45:L45"/>
    <mergeCell ref="B46:E46"/>
    <mergeCell ref="G46:L46"/>
    <mergeCell ref="B47:E47"/>
    <mergeCell ref="G47:L47"/>
    <mergeCell ref="B30:E30"/>
    <mergeCell ref="B32:L32"/>
    <mergeCell ref="B41:C41"/>
    <mergeCell ref="B43:L43"/>
    <mergeCell ref="B44:E44"/>
    <mergeCell ref="G44:L44"/>
    <mergeCell ref="B25:L25"/>
    <mergeCell ref="B26:E26"/>
    <mergeCell ref="B27:E27"/>
    <mergeCell ref="B28:E28"/>
    <mergeCell ref="B29:E29"/>
    <mergeCell ref="B19:E19"/>
    <mergeCell ref="B20:E20"/>
    <mergeCell ref="B21:E21"/>
    <mergeCell ref="B22:E22"/>
    <mergeCell ref="B23:E23"/>
    <mergeCell ref="B13:E13"/>
    <mergeCell ref="B14:E14"/>
    <mergeCell ref="B15:E15"/>
    <mergeCell ref="B16:E16"/>
    <mergeCell ref="B18:L18"/>
    <mergeCell ref="B7:E7"/>
    <mergeCell ref="B8:E8"/>
    <mergeCell ref="B9:E9"/>
    <mergeCell ref="B11:L11"/>
    <mergeCell ref="B12:E12"/>
    <mergeCell ref="B2:L2"/>
    <mergeCell ref="B4:L4"/>
    <mergeCell ref="B5:E5"/>
    <mergeCell ref="G5:L5"/>
    <mergeCell ref="B6:E6"/>
  </mergeCells>
  <conditionalFormatting sqref="F52">
    <cfRule type="expression" dxfId="2" priority="2">
      <formula>$F$52="WIRTSCHAFTLICH"</formula>
    </cfRule>
    <cfRule type="expression" dxfId="1" priority="3">
      <formula>$F$52="GRENZWERTIG"</formula>
    </cfRule>
    <cfRule type="expression" dxfId="0" priority="4">
      <formula>$F$52="UNWIRTSCHAFTLICH"</formula>
    </cfRule>
  </conditionalFormatting>
  <pageMargins left="0.4" right="0.4" top="0.5" bottom="0.5" header="0.511811023622047" footer="0.511811023622047"/>
  <pageSetup paperSize="9"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2026-07-15T12:22:31Z</dcterms:created>
  <dcterms:modified xsi:type="dcterms:W3CDTF">2026-07-15T16:29:05Z</dcterms:modified>
  <dc:language>en-US</dc:language>
</cp:coreProperties>
</file>