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erkzeug-Inventar" sheetId="2" state="visible" r:id="rId4"/>
    <sheet name="Ausleihen" sheetId="3" state="visible" r:id="rId5"/>
    <sheet name="Wartung &amp; Prüfung" sheetId="4" state="visible" r:id="rId6"/>
    <sheet name="Lieferanten" sheetId="5" state="visible" r:id="rId7"/>
    <sheet name="Konfiguration" sheetId="6" state="visible" r:id="rId8"/>
  </sheets>
  <definedNames>
    <definedName function="false" hidden="true" localSheetId="2" name="_xlnm._FilterDatabase" vbProcedure="false">Ausleihen!$B$9:$L$34</definedName>
    <definedName function="false" hidden="true" localSheetId="4" name="_xlnm._FilterDatabase" vbProcedure="false">Lieferanten!$B$9:$J$26</definedName>
    <definedName function="false" hidden="true" localSheetId="3" name="_xlnm._FilterDatabase" vbProcedure="false">'Wartung &amp; Prüfung'!$B$9:$M$36</definedName>
    <definedName function="false" hidden="true" localSheetId="1" name="_xlnm._FilterDatabase" vbProcedure="false">'Werkzeug-Inventar'!$B$9:$N$42</definedName>
    <definedName function="false" hidden="false" name="Abteilungen" vbProcedure="false">Konfiguration!$D$21:$D$28</definedName>
    <definedName function="false" hidden="false" name="Intervalle" vbProcedure="false">Konfiguration!$F$21:$F$25</definedName>
    <definedName function="false" hidden="false" name="Kategorien" vbProcedure="false">Konfiguration!$B$8:$B$15</definedName>
    <definedName function="false" hidden="false" name="Pruefarten" vbProcedure="false">Konfiguration!$B$21:$B$28</definedName>
    <definedName function="false" hidden="false" name="Standorte" vbProcedure="false">Konfiguration!$D$8:$D$15</definedName>
    <definedName function="false" hidden="false" name="StatusAusleihe" vbProcedure="false">Konfiguration!$H$21:$H$24</definedName>
    <definedName function="false" hidden="false" name="StatusWerkzeug" vbProcedure="false">Konfiguration!$F$8:$F$13</definedName>
    <definedName function="false" hidden="false" name="Zustand" vbProcedure="false">Konfiguration!$H$8:$H$13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<sst xmlns="http://schemas.openxmlformats.org/spreadsheetml/2006/main" count="531" uniqueCount="385">
  <si>
    <t xml:space="preserve">WERKZEUGVERWALTUNG</t>
  </si>
  <si>
    <t xml:space="preserve">Zentrale Betriebsmittel- und Inventarverwaltung  ·  Geschäftsjahr 2026</t>
  </si>
  <si>
    <t xml:space="preserve">WERKZEUGE GESAMT</t>
  </si>
  <si>
    <t xml:space="preserve">VERFÜGBAR</t>
  </si>
  <si>
    <t xml:space="preserve">AUSGELIEHEN</t>
  </si>
  <si>
    <t xml:space="preserve">IN REPARATUR</t>
  </si>
  <si>
    <t xml:space="preserve">PRÜFUNG ÜBERFÄLLIG</t>
  </si>
  <si>
    <t xml:space="preserve">INVENTARWERT (€)</t>
  </si>
  <si>
    <t xml:space="preserve">  Verteilung nach Kategorien</t>
  </si>
  <si>
    <t xml:space="preserve">  Status-Übersicht</t>
  </si>
  <si>
    <t xml:space="preserve">Kategorie</t>
  </si>
  <si>
    <t xml:space="preserve">Anzahl</t>
  </si>
  <si>
    <t xml:space="preserve">Inventarwert (€)</t>
  </si>
  <si>
    <t xml:space="preserve">Anteil</t>
  </si>
  <si>
    <t xml:space="preserve">Handwerkzeug</t>
  </si>
  <si>
    <t xml:space="preserve">Aktive Ausleihen</t>
  </si>
  <si>
    <t xml:space="preserve">Elektrowerkzeug</t>
  </si>
  <si>
    <t xml:space="preserve">Überfällige Rückgaben</t>
  </si>
  <si>
    <t xml:space="preserve">Druckluftwerkzeug</t>
  </si>
  <si>
    <t xml:space="preserve">Wartungen diesen Monat</t>
  </si>
  <si>
    <t xml:space="preserve">Messtechnik</t>
  </si>
  <si>
    <t xml:space="preserve">Wartungskosten YTD (€)</t>
  </si>
  <si>
    <t xml:space="preserve">Sicherheitsausrüstung</t>
  </si>
  <si>
    <t xml:space="preserve">Anzahl Lieferanten</t>
  </si>
  <si>
    <t xml:space="preserve">Hebezeuge</t>
  </si>
  <si>
    <t xml:space="preserve">Ausgesonderte Werkzeuge</t>
  </si>
  <si>
    <t xml:space="preserve">Gartengeräte</t>
  </si>
  <si>
    <t xml:space="preserve">Ø Alter Inventar (Jahre)</t>
  </si>
  <si>
    <t xml:space="preserve">Sonstiges</t>
  </si>
  <si>
    <t xml:space="preserve">Neuanschaffungen 2026</t>
  </si>
  <si>
    <t xml:space="preserve">GESAMT</t>
  </si>
  <si>
    <t xml:space="preserve">100%</t>
  </si>
  <si>
    <t xml:space="preserve">  Anleitung zur Nutzung dieser Vorlage</t>
  </si>
  <si>
    <t xml:space="preserve">1.</t>
  </si>
  <si>
    <t xml:space="preserve">Werkzeug-Inventar</t>
  </si>
  <si>
    <t xml:space="preserve">Erfassen Sie alle Betriebsmittel mit eindeutiger Inventarnummer, Kategorie, Standort und Anschaffungsdaten.</t>
  </si>
  <si>
    <t xml:space="preserve">2.</t>
  </si>
  <si>
    <t xml:space="preserve">Ausleihen</t>
  </si>
  <si>
    <t xml:space="preserve">Dokumentieren Sie jede Ausleihe und Rückgabe. Überfällige Rückgaben werden automatisch markiert.</t>
  </si>
  <si>
    <t xml:space="preserve">3.</t>
  </si>
  <si>
    <t xml:space="preserve">Wartung &amp; Prüfung</t>
  </si>
  <si>
    <t xml:space="preserve">Planen Sie DGUV-Prüfungen, Kalibrierungen und Wartungen. Das Ampelsystem zeigt fällige Termine.</t>
  </si>
  <si>
    <t xml:space="preserve">4.</t>
  </si>
  <si>
    <t xml:space="preserve">Lieferanten</t>
  </si>
  <si>
    <t xml:space="preserve">Pflegen Sie die Kontaktdaten Ihrer Werkzeug- und Serviceanbieter zentral.</t>
  </si>
  <si>
    <t xml:space="preserve">5.</t>
  </si>
  <si>
    <t xml:space="preserve">Konfiguration</t>
  </si>
  <si>
    <t xml:space="preserve">Passen Sie Kategorien, Standorte und Statuswerte an Ihre betrieblichen Bedürfnisse an.</t>
  </si>
  <si>
    <t xml:space="preserve">  Hinweis:  Blau hinterlegte Zellen sind Eingabefelder.  Weiße Zellen enthalten automatische Berechnungen.  Alle Angaben und Beispieldaten dienen ausschließlich zur Veranschaulichung.</t>
  </si>
  <si>
    <t xml:space="preserve">WERKZEUG-INVENTAR</t>
  </si>
  <si>
    <t xml:space="preserve">Zentrale Bestandsliste aller Betriebsmittel  ·  Neue Einträge in leerer Zeile ergänzen</t>
  </si>
  <si>
    <t xml:space="preserve"> Einträge</t>
  </si>
  <si>
    <t xml:space="preserve"> Verfügbar</t>
  </si>
  <si>
    <t xml:space="preserve"> Ausgeliehen</t>
  </si>
  <si>
    <t xml:space="preserve"> Reparatur</t>
  </si>
  <si>
    <t xml:space="preserve"> Ausgesondert</t>
  </si>
  <si>
    <t xml:space="preserve"> Ø Wert (€)</t>
  </si>
  <si>
    <t xml:space="preserve">Inventar-Nr.</t>
  </si>
  <si>
    <t xml:space="preserve">Bezeichnung</t>
  </si>
  <si>
    <t xml:space="preserve">Hersteller</t>
  </si>
  <si>
    <t xml:space="preserve">Modell / Typ</t>
  </si>
  <si>
    <t xml:space="preserve">Serien-Nr.</t>
  </si>
  <si>
    <t xml:space="preserve">Standort</t>
  </si>
  <si>
    <t xml:space="preserve">Anschaffung</t>
  </si>
  <si>
    <t xml:space="preserve">ND (J.)</t>
  </si>
  <si>
    <t xml:space="preserve">Wert (€)</t>
  </si>
  <si>
    <t xml:space="preserve">Status</t>
  </si>
  <si>
    <t xml:space="preserve">Zustand</t>
  </si>
  <si>
    <t xml:space="preserve">Bemerkung</t>
  </si>
  <si>
    <t xml:space="preserve">WKZ-1001</t>
  </si>
  <si>
    <t xml:space="preserve">Akku-Schlagbohrmaschine 18V</t>
  </si>
  <si>
    <t xml:space="preserve">Bosch Professional</t>
  </si>
  <si>
    <t xml:space="preserve">GSB 18V-150 C</t>
  </si>
  <si>
    <t xml:space="preserve">SN-BS-24831</t>
  </si>
  <si>
    <t xml:space="preserve">Werkstatt A - Hauptgebäude</t>
  </si>
  <si>
    <t xml:space="preserve">Verfügbar</t>
  </si>
  <si>
    <t xml:space="preserve">Sehr gut</t>
  </si>
  <si>
    <t xml:space="preserve">Inkl. 2 Akkus 5,0 Ah</t>
  </si>
  <si>
    <t xml:space="preserve">WKZ-1002</t>
  </si>
  <si>
    <t xml:space="preserve">Winkelschleifer 125 mm</t>
  </si>
  <si>
    <t xml:space="preserve">Metabo</t>
  </si>
  <si>
    <t xml:space="preserve">WEV 15-125 Quick</t>
  </si>
  <si>
    <t xml:space="preserve">SN-MT-11205</t>
  </si>
  <si>
    <t xml:space="preserve">Ausgeliehen</t>
  </si>
  <si>
    <t xml:space="preserve">Gut</t>
  </si>
  <si>
    <t xml:space="preserve">WKZ-1003</t>
  </si>
  <si>
    <t xml:space="preserve">Drehmomentschlüssel 20-100 Nm</t>
  </si>
  <si>
    <t xml:space="preserve">Hazet</t>
  </si>
  <si>
    <t xml:space="preserve">5122-2 CT</t>
  </si>
  <si>
    <t xml:space="preserve">SN-HZ-77419</t>
  </si>
  <si>
    <t xml:space="preserve">Werkstatt B - Nebengebäude</t>
  </si>
  <si>
    <t xml:space="preserve">Kalibrierschein vorhanden</t>
  </si>
  <si>
    <t xml:space="preserve">WKZ-1004</t>
  </si>
  <si>
    <t xml:space="preserve">Lasermessgerät 100 m</t>
  </si>
  <si>
    <t xml:space="preserve">Leica Geosystems</t>
  </si>
  <si>
    <t xml:space="preserve">DISTO X4</t>
  </si>
  <si>
    <t xml:space="preserve">SN-LC-90312</t>
  </si>
  <si>
    <t xml:space="preserve">Büro - Verwaltung</t>
  </si>
  <si>
    <t xml:space="preserve">Neuwertig</t>
  </si>
  <si>
    <t xml:space="preserve">Bluetooth-fähig</t>
  </si>
  <si>
    <t xml:space="preserve">WKZ-1005</t>
  </si>
  <si>
    <t xml:space="preserve">Kompressor 50 L stationär</t>
  </si>
  <si>
    <t xml:space="preserve">Schneider Airsystems</t>
  </si>
  <si>
    <t xml:space="preserve">UNM 410-10-50 W</t>
  </si>
  <si>
    <t xml:space="preserve">SN-SC-33128</t>
  </si>
  <si>
    <t xml:space="preserve">In Wartung</t>
  </si>
  <si>
    <t xml:space="preserve">Öl nachfüllen prüfen</t>
  </si>
  <si>
    <t xml:space="preserve">WKZ-1006</t>
  </si>
  <si>
    <t xml:space="preserve">Digitaler Messschieber 150 mm</t>
  </si>
  <si>
    <t xml:space="preserve">Mitutoyo</t>
  </si>
  <si>
    <t xml:space="preserve">500-181-30</t>
  </si>
  <si>
    <t xml:space="preserve">SN-MU-44881</t>
  </si>
  <si>
    <t xml:space="preserve">Kalibrierlabor</t>
  </si>
  <si>
    <t xml:space="preserve">IP67 geschützt</t>
  </si>
  <si>
    <t xml:space="preserve">WKZ-1007</t>
  </si>
  <si>
    <t xml:space="preserve">Steckschlüsselsatz 1/2" 40-tlg.</t>
  </si>
  <si>
    <t xml:space="preserve">Gedore</t>
  </si>
  <si>
    <t xml:space="preserve">D 19 LMU-40</t>
  </si>
  <si>
    <t xml:space="preserve">SN-GD-56032</t>
  </si>
  <si>
    <t xml:space="preserve">Fahrzeug - Servicewagen 01</t>
  </si>
  <si>
    <t xml:space="preserve">WKZ-1008</t>
  </si>
  <si>
    <t xml:space="preserve">Kappsäge 216 mm</t>
  </si>
  <si>
    <t xml:space="preserve">Makita</t>
  </si>
  <si>
    <t xml:space="preserve">LS0815FL</t>
  </si>
  <si>
    <t xml:space="preserve">SN-MK-28104</t>
  </si>
  <si>
    <t xml:space="preserve">In Reparatur</t>
  </si>
  <si>
    <t xml:space="preserve">Reparaturbedürftig</t>
  </si>
  <si>
    <t xml:space="preserve">Motor defekt, in Werkstatt</t>
  </si>
  <si>
    <t xml:space="preserve">WKZ-1009</t>
  </si>
  <si>
    <t xml:space="preserve">Wasserwaage 180 cm magnetisch</t>
  </si>
  <si>
    <t xml:space="preserve">Stabila</t>
  </si>
  <si>
    <t xml:space="preserve">196-2 M</t>
  </si>
  <si>
    <t xml:space="preserve">SN-ST-19844</t>
  </si>
  <si>
    <t xml:space="preserve">WKZ-1010</t>
  </si>
  <si>
    <t xml:space="preserve">Kettenzug 500 kg</t>
  </si>
  <si>
    <t xml:space="preserve">Yale</t>
  </si>
  <si>
    <t xml:space="preserve">VS III</t>
  </si>
  <si>
    <t xml:space="preserve">SN-YL-70119</t>
  </si>
  <si>
    <t xml:space="preserve">DGUV V3 jährlich</t>
  </si>
  <si>
    <t xml:space="preserve">WKZ-1011</t>
  </si>
  <si>
    <t xml:space="preserve">Schutzhelm mit Visier</t>
  </si>
  <si>
    <t xml:space="preserve">uvex</t>
  </si>
  <si>
    <t xml:space="preserve">pheos B-WR</t>
  </si>
  <si>
    <t xml:space="preserve">SN-UV-88503</t>
  </si>
  <si>
    <t xml:space="preserve">6 Stück im Bestand</t>
  </si>
  <si>
    <t xml:space="preserve">WKZ-1012</t>
  </si>
  <si>
    <t xml:space="preserve">Bohrhammer SDS-Plus</t>
  </si>
  <si>
    <t xml:space="preserve">Hilti</t>
  </si>
  <si>
    <t xml:space="preserve">TE 6-A22</t>
  </si>
  <si>
    <t xml:space="preserve">SN-HL-61230</t>
  </si>
  <si>
    <t xml:space="preserve">Fahrzeug - Servicewagen 02</t>
  </si>
  <si>
    <t xml:space="preserve">Fleet-Management aktiv</t>
  </si>
  <si>
    <t xml:space="preserve">WKZ-1013</t>
  </si>
  <si>
    <t xml:space="preserve">Isolationsprüfgerät</t>
  </si>
  <si>
    <t xml:space="preserve">Fluke</t>
  </si>
  <si>
    <t xml:space="preserve">1663</t>
  </si>
  <si>
    <t xml:space="preserve">SN-FL-40712</t>
  </si>
  <si>
    <t xml:space="preserve">DGUV V3-Prüfungen</t>
  </si>
  <si>
    <t xml:space="preserve">WKZ-1014</t>
  </si>
  <si>
    <t xml:space="preserve">Heckenschere Akku 55 cm</t>
  </si>
  <si>
    <t xml:space="preserve">STIHL</t>
  </si>
  <si>
    <t xml:space="preserve">HSA 66</t>
  </si>
  <si>
    <t xml:space="preserve">SN-SH-29014</t>
  </si>
  <si>
    <t xml:space="preserve">Lager C - Außenlager</t>
  </si>
  <si>
    <t xml:space="preserve">Gebraucht</t>
  </si>
  <si>
    <t xml:space="preserve">Schnittmesser nachschleifen</t>
  </si>
  <si>
    <t xml:space="preserve">WKZ-1015</t>
  </si>
  <si>
    <t xml:space="preserve">Nietzange Blindnieten</t>
  </si>
  <si>
    <t xml:space="preserve">Rems</t>
  </si>
  <si>
    <t xml:space="preserve">Nieto Set</t>
  </si>
  <si>
    <t xml:space="preserve">SN-RM-11902</t>
  </si>
  <si>
    <t xml:space="preserve">Ausgesondert</t>
  </si>
  <si>
    <t xml:space="preserve">Unbrauchbar</t>
  </si>
  <si>
    <t xml:space="preserve">Gelenk gebrochen, ersetzt 2025</t>
  </si>
  <si>
    <t xml:space="preserve">WKZ-1016</t>
  </si>
  <si>
    <t xml:space="preserve">Palettenhubwagen 2.500 kg</t>
  </si>
  <si>
    <t xml:space="preserve">Jungheinrich</t>
  </si>
  <si>
    <t xml:space="preserve">AM 22</t>
  </si>
  <si>
    <t xml:space="preserve">SN-JH-33807</t>
  </si>
  <si>
    <t xml:space="preserve">Räder tauschen 2027</t>
  </si>
  <si>
    <t xml:space="preserve">WKZ-1017</t>
  </si>
  <si>
    <t xml:space="preserve">Multimeter TRMS</t>
  </si>
  <si>
    <t xml:space="preserve">117</t>
  </si>
  <si>
    <t xml:space="preserve">SN-FL-45521</t>
  </si>
  <si>
    <t xml:space="preserve">WKZ-1018</t>
  </si>
  <si>
    <t xml:space="preserve">Sicherheitsschuhe S3 (Paar)</t>
  </si>
  <si>
    <t xml:space="preserve">Elten</t>
  </si>
  <si>
    <t xml:space="preserve">MADDOX Boa</t>
  </si>
  <si>
    <t xml:space="preserve">SN-EL-70998</t>
  </si>
  <si>
    <t xml:space="preserve">Gr. 42 - 12 Paar Lager</t>
  </si>
  <si>
    <t xml:space="preserve">AUSLEIHEN</t>
  </si>
  <si>
    <t xml:space="preserve">Erfassung aller Werkzeug-Ausleihen und Rückgaben  ·  Überfällige Termine werden automatisch markiert</t>
  </si>
  <si>
    <t xml:space="preserve"> Ausleihen gesamt</t>
  </si>
  <si>
    <t xml:space="preserve"> Aktuell offen</t>
  </si>
  <si>
    <t xml:space="preserve"> Überfällig</t>
  </si>
  <si>
    <t xml:space="preserve"> Diese Woche zurück</t>
  </si>
  <si>
    <t xml:space="preserve"> Ø Ausleihdauer (Tg.)</t>
  </si>
  <si>
    <t xml:space="preserve">Ausleih-Nr.</t>
  </si>
  <si>
    <t xml:space="preserve">Bezeichnung (auto)</t>
  </si>
  <si>
    <t xml:space="preserve">Entleiher</t>
  </si>
  <si>
    <t xml:space="preserve">Abteilung</t>
  </si>
  <si>
    <t xml:space="preserve">Ausleihdatum</t>
  </si>
  <si>
    <t xml:space="preserve">Rückg. geplant</t>
  </si>
  <si>
    <t xml:space="preserve">Rückg. erfolgt</t>
  </si>
  <si>
    <t xml:space="preserve">Verbl. Tage</t>
  </si>
  <si>
    <t xml:space="preserve">AUS-2026-001</t>
  </si>
  <si>
    <t xml:space="preserve">Max Bergmann</t>
  </si>
  <si>
    <t xml:space="preserve">Montage</t>
  </si>
  <si>
    <t xml:space="preserve">Werkzeug für Baustelle Süd</t>
  </si>
  <si>
    <t xml:space="preserve">AUS-2026-002</t>
  </si>
  <si>
    <t xml:space="preserve">Sabine Krüger</t>
  </si>
  <si>
    <t xml:space="preserve">Instandhaltung</t>
  </si>
  <si>
    <t xml:space="preserve">Reparaturarbeiten Halle 3</t>
  </si>
  <si>
    <t xml:space="preserve">AUS-2026-003</t>
  </si>
  <si>
    <t xml:space="preserve">Jürgen Hartmann</t>
  </si>
  <si>
    <t xml:space="preserve">Qualitätssicherung</t>
  </si>
  <si>
    <t xml:space="preserve">Vermessung neuer Fertigungsbereich</t>
  </si>
  <si>
    <t xml:space="preserve">AUS-2026-004</t>
  </si>
  <si>
    <t xml:space="preserve">Andreas Vogel</t>
  </si>
  <si>
    <t xml:space="preserve">Elektrik</t>
  </si>
  <si>
    <t xml:space="preserve">Einbau Schaltschrank</t>
  </si>
  <si>
    <t xml:space="preserve">AUS-2026-005</t>
  </si>
  <si>
    <t xml:space="preserve">Petra Neumann</t>
  </si>
  <si>
    <t xml:space="preserve">AUS-2026-006</t>
  </si>
  <si>
    <t xml:space="preserve">Michael Braun</t>
  </si>
  <si>
    <t xml:space="preserve">AUS-2026-007</t>
  </si>
  <si>
    <t xml:space="preserve">Rainer Fischer</t>
  </si>
  <si>
    <t xml:space="preserve">Bau &amp; Ausbau</t>
  </si>
  <si>
    <t xml:space="preserve">Hebearbeiten Maschinenumzug</t>
  </si>
  <si>
    <t xml:space="preserve">AUS-2026-008</t>
  </si>
  <si>
    <t xml:space="preserve">Julia Schäfer</t>
  </si>
  <si>
    <t xml:space="preserve">Serienmessung Bauteil 4712</t>
  </si>
  <si>
    <t xml:space="preserve">AUS-2026-009</t>
  </si>
  <si>
    <t xml:space="preserve">Thomas Wagner</t>
  </si>
  <si>
    <t xml:space="preserve">Verwaltung</t>
  </si>
  <si>
    <t xml:space="preserve">Grünflächenpflege Firmengelände</t>
  </si>
  <si>
    <t xml:space="preserve">AUS-2026-010</t>
  </si>
  <si>
    <t xml:space="preserve">Kai Zimmermann</t>
  </si>
  <si>
    <t xml:space="preserve">Ausbildung</t>
  </si>
  <si>
    <t xml:space="preserve">Ausbildungswerkstatt</t>
  </si>
  <si>
    <t xml:space="preserve">WARTUNG &amp; PRÜFUNG</t>
  </si>
  <si>
    <t xml:space="preserve">Prüftermine, Kalibrierungen und Wartungshistorie  ·  Ampelsystem zeigt fällige Termine automatisch</t>
  </si>
  <si>
    <t xml:space="preserve"> Prüfungen gesamt</t>
  </si>
  <si>
    <t xml:space="preserve"> Fällig in ≤30 Tagen</t>
  </si>
  <si>
    <t xml:space="preserve"> Wartungskosten YTD</t>
  </si>
  <si>
    <t xml:space="preserve"> Ø Kosten pro Prüfung</t>
  </si>
  <si>
    <t xml:space="preserve">Wartungs-Nr.</t>
  </si>
  <si>
    <t xml:space="preserve">Prüfart</t>
  </si>
  <si>
    <t xml:space="preserve">Letzte Prüfung</t>
  </si>
  <si>
    <t xml:space="preserve">Nächste Prüfung</t>
  </si>
  <si>
    <t xml:space="preserve">Intervall</t>
  </si>
  <si>
    <t xml:space="preserve">Kosten (€)</t>
  </si>
  <si>
    <t xml:space="preserve">Verantwortlich</t>
  </si>
  <si>
    <t xml:space="preserve">Bericht-Nr.</t>
  </si>
  <si>
    <t xml:space="preserve">WRT-2026-001</t>
  </si>
  <si>
    <t xml:space="preserve">DGUV V3 - Elektroprüfung</t>
  </si>
  <si>
    <t xml:space="preserve">Elektrofachkraft intern</t>
  </si>
  <si>
    <t xml:space="preserve">PB-2026-014</t>
  </si>
  <si>
    <t xml:space="preserve">Nächste Prüfung März 2027</t>
  </si>
  <si>
    <t xml:space="preserve">WRT-2026-002</t>
  </si>
  <si>
    <t xml:space="preserve">PB-2025-089</t>
  </si>
  <si>
    <t xml:space="preserve">WRT-2026-003</t>
  </si>
  <si>
    <t xml:space="preserve">Kalibrierung</t>
  </si>
  <si>
    <t xml:space="preserve">Externer Kalibrierdienst</t>
  </si>
  <si>
    <t xml:space="preserve">KAL-2025-041</t>
  </si>
  <si>
    <t xml:space="preserve">DIN EN ISO 6789</t>
  </si>
  <si>
    <t xml:space="preserve">WRT-2026-004</t>
  </si>
  <si>
    <t xml:space="preserve">Hersteller-Service</t>
  </si>
  <si>
    <t xml:space="preserve">KAL-2026-008</t>
  </si>
  <si>
    <t xml:space="preserve">Werksrückführbar</t>
  </si>
  <si>
    <t xml:space="preserve">WRT-2026-005</t>
  </si>
  <si>
    <t xml:space="preserve">Druckprüfung</t>
  </si>
  <si>
    <t xml:space="preserve">TÜV Süd</t>
  </si>
  <si>
    <t xml:space="preserve">TUV-2025-2210</t>
  </si>
  <si>
    <t xml:space="preserve">Druckbehälter §14 BetrSichV</t>
  </si>
  <si>
    <t xml:space="preserve">WRT-2026-006</t>
  </si>
  <si>
    <t xml:space="preserve">Kalibrierlabor Meier</t>
  </si>
  <si>
    <t xml:space="preserve">KAL-2026-002</t>
  </si>
  <si>
    <t xml:space="preserve">WRT-2026-007</t>
  </si>
  <si>
    <t xml:space="preserve">Sicherheitsüberprüfung</t>
  </si>
  <si>
    <t xml:space="preserve">Meister Instandhaltung</t>
  </si>
  <si>
    <t xml:space="preserve">SP-2025-041</t>
  </si>
  <si>
    <t xml:space="preserve">Vor Reparatur dokumentiert</t>
  </si>
  <si>
    <t xml:space="preserve">WRT-2026-008</t>
  </si>
  <si>
    <t xml:space="preserve">Externer Prüfer</t>
  </si>
  <si>
    <t xml:space="preserve">PB-2025-101</t>
  </si>
  <si>
    <t xml:space="preserve">Hebezeug gem. DGUV V54</t>
  </si>
  <si>
    <t xml:space="preserve">WRT-2026-009</t>
  </si>
  <si>
    <t xml:space="preserve">PB-2026-021</t>
  </si>
  <si>
    <t xml:space="preserve">WRT-2026-010</t>
  </si>
  <si>
    <t xml:space="preserve">Fluke-Service</t>
  </si>
  <si>
    <t xml:space="preserve">KAL-2025-058</t>
  </si>
  <si>
    <t xml:space="preserve">Herstellerkalibrierung</t>
  </si>
  <si>
    <t xml:space="preserve">WRT-2026-011</t>
  </si>
  <si>
    <t xml:space="preserve">Fachkraft intern</t>
  </si>
  <si>
    <t xml:space="preserve">SP-2025-038</t>
  </si>
  <si>
    <t xml:space="preserve">WRT-2026-012</t>
  </si>
  <si>
    <t xml:space="preserve">Funktionsprüfung</t>
  </si>
  <si>
    <t xml:space="preserve">FP-2026-011</t>
  </si>
  <si>
    <t xml:space="preserve">LIEFERANTEN</t>
  </si>
  <si>
    <t xml:space="preserve">Zentrale Kontaktdatenbank für Werkzeug- und Servicelieferanten</t>
  </si>
  <si>
    <t xml:space="preserve"> Lieferanten gesamt</t>
  </si>
  <si>
    <t xml:space="preserve"> Ø Bewertung</t>
  </si>
  <si>
    <t xml:space="preserve"> Top-Bewertungen (5)</t>
  </si>
  <si>
    <t xml:space="preserve">Lieferanten-Nr.</t>
  </si>
  <si>
    <t xml:space="preserve">Firma</t>
  </si>
  <si>
    <t xml:space="preserve">Ansprechpartner</t>
  </si>
  <si>
    <t xml:space="preserve">Telefon</t>
  </si>
  <si>
    <t xml:space="preserve">E-Mail</t>
  </si>
  <si>
    <t xml:space="preserve">Anschrift</t>
  </si>
  <si>
    <t xml:space="preserve">Leistungsbereich</t>
  </si>
  <si>
    <t xml:space="preserve">Bewertung (1–5)</t>
  </si>
  <si>
    <t xml:space="preserve">LIEF-01</t>
  </si>
  <si>
    <t xml:space="preserve">Nordwerk Handelsgesellschaft mbH</t>
  </si>
  <si>
    <t xml:space="preserve">Karin Lehmann</t>
  </si>
  <si>
    <t xml:space="preserve">+49 40 8823-4501</t>
  </si>
  <si>
    <t xml:space="preserve">[email protected]</t>
  </si>
  <si>
    <t xml:space="preserve">Elbchaussee 128, 22763 Hamburg</t>
  </si>
  <si>
    <t xml:space="preserve">Elektrowerkzeuge</t>
  </si>
  <si>
    <t xml:space="preserve">Rahmenvertrag bis 12/2027</t>
  </si>
  <si>
    <t xml:space="preserve">LIEF-02</t>
  </si>
  <si>
    <t xml:space="preserve">Rheinland Betriebsbedarf GmbH</t>
  </si>
  <si>
    <t xml:space="preserve">Franz Osterloh</t>
  </si>
  <si>
    <t xml:space="preserve">+49 221 7745-892</t>
  </si>
  <si>
    <t xml:space="preserve">Aachener Str. 442, 50933 Köln</t>
  </si>
  <si>
    <t xml:space="preserve">Handwerkzeuge</t>
  </si>
  <si>
    <t xml:space="preserve">Skonto 3% bei 10 Tagen</t>
  </si>
  <si>
    <t xml:space="preserve">LIEF-03</t>
  </si>
  <si>
    <t xml:space="preserve">Alpen-Messtechnik Service e.K.</t>
  </si>
  <si>
    <t xml:space="preserve">Dr. Renate Furtwängler</t>
  </si>
  <si>
    <t xml:space="preserve">+49 89 3312-770</t>
  </si>
  <si>
    <t xml:space="preserve">Landsberger Str. 87, 80339 München</t>
  </si>
  <si>
    <t xml:space="preserve">Kalibrierdienst</t>
  </si>
  <si>
    <t xml:space="preserve">DAkkS-akkreditiert</t>
  </si>
  <si>
    <t xml:space="preserve">LIEF-04</t>
  </si>
  <si>
    <t xml:space="preserve">Ostsee-Sicherheitstechnik AG</t>
  </si>
  <si>
    <t xml:space="preserve">Helge Brandtner</t>
  </si>
  <si>
    <t xml:space="preserve">+49 431 5588-201</t>
  </si>
  <si>
    <t xml:space="preserve">Hafenstr. 12, 24103 Kiel</t>
  </si>
  <si>
    <t xml:space="preserve">DGUV V3 Prüfungen</t>
  </si>
  <si>
    <t xml:space="preserve">Vor-Ort-Prüfungen möglich</t>
  </si>
  <si>
    <t xml:space="preserve">LIEF-05</t>
  </si>
  <si>
    <t xml:space="preserve">Werkstoff &amp; Werkzeug Süd oHG</t>
  </si>
  <si>
    <t xml:space="preserve">Bruno Kolbenschmidt</t>
  </si>
  <si>
    <t xml:space="preserve">+49 711 6690-115</t>
  </si>
  <si>
    <t xml:space="preserve">Wangener Str. 219, 70188 Stuttgart</t>
  </si>
  <si>
    <t xml:space="preserve">Druckluft &amp; Kompressoren</t>
  </si>
  <si>
    <t xml:space="preserve">Guter Wartungsservice</t>
  </si>
  <si>
    <t xml:space="preserve">LIEF-06</t>
  </si>
  <si>
    <t xml:space="preserve">Grünstadt Gartentechnik GmbH</t>
  </si>
  <si>
    <t xml:space="preserve">Sylvia Rother</t>
  </si>
  <si>
    <t xml:space="preserve">+49 6321 4471-88</t>
  </si>
  <si>
    <t xml:space="preserve">Bahnhofstr. 76, 67433 Neustadt</t>
  </si>
  <si>
    <t xml:space="preserve">Nur regionale Belieferung</t>
  </si>
  <si>
    <t xml:space="preserve">LIEF-07</t>
  </si>
  <si>
    <t xml:space="preserve">Industriearmaturen Weser GmbH</t>
  </si>
  <si>
    <t xml:space="preserve">Marco Fehrenbach</t>
  </si>
  <si>
    <t xml:space="preserve">+49 421 1179-403</t>
  </si>
  <si>
    <t xml:space="preserve">Am Wasserturm 8, 28195 Bremen</t>
  </si>
  <si>
    <t xml:space="preserve">Hebezeuge &amp; Prüfung</t>
  </si>
  <si>
    <t xml:space="preserve">TÜV-Zertifikate inklusive</t>
  </si>
  <si>
    <t xml:space="preserve">KONFIGURATION</t>
  </si>
  <si>
    <t xml:space="preserve">Stammdaten für Dropdown-Listen  ·  Bei Änderungen bitte auch die Datenüberprüfung anpassen</t>
  </si>
  <si>
    <t xml:space="preserve">Kategorien</t>
  </si>
  <si>
    <t xml:space="preserve">Standorte</t>
  </si>
  <si>
    <t xml:space="preserve">Status Werkzeug</t>
  </si>
  <si>
    <t xml:space="preserve">Reserviert</t>
  </si>
  <si>
    <t xml:space="preserve">Baustelle - Wechselnd</t>
  </si>
  <si>
    <t xml:space="preserve">Prüfarten</t>
  </si>
  <si>
    <t xml:space="preserve">Abteilungen</t>
  </si>
  <si>
    <t xml:space="preserve">Prüfintervalle</t>
  </si>
  <si>
    <t xml:space="preserve">Status Ausleihe</t>
  </si>
  <si>
    <t xml:space="preserve">Produktion</t>
  </si>
  <si>
    <t xml:space="preserve">3 Monate</t>
  </si>
  <si>
    <t xml:space="preserve">Offen</t>
  </si>
  <si>
    <t xml:space="preserve">6 Monate</t>
  </si>
  <si>
    <t xml:space="preserve">Zurückgegeben</t>
  </si>
  <si>
    <t xml:space="preserve">Sichtprüfung</t>
  </si>
  <si>
    <t xml:space="preserve">12 Monate</t>
  </si>
  <si>
    <t xml:space="preserve">Überfällig</t>
  </si>
  <si>
    <t xml:space="preserve">24 Monate</t>
  </si>
  <si>
    <t xml:space="preserve">Verlängert</t>
  </si>
  <si>
    <t xml:space="preserve">36 Monate</t>
  </si>
  <si>
    <t xml:space="preserve">Wartung nach Herstellerangabe</t>
  </si>
  <si>
    <t xml:space="preserve">Reinigung &amp; Pflege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</si>
</sst>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"/>
    <numFmt numFmtId="166" formatCode="#,##0&quot; €&quot;"/>
    <numFmt numFmtId="167" formatCode="#,##0.00&quot; €&quot;"/>
    <numFmt numFmtId="168" formatCode="0.0%"/>
    <numFmt numFmtId="169" formatCode="0"/>
    <numFmt numFmtId="170" formatCode="0.0&quot; Jahre&quot;"/>
    <numFmt numFmtId="171" formatCode="dd\.mm\.yyyy"/>
    <numFmt numFmtId="172" formatCode="0.0"/>
    <numFmt numFmtId="173" formatCode="0;\-0;\-"/>
    <numFmt numFmtId="174" formatCode="0&quot; Monate&quot;"/>
    <numFmt numFmtId="175" formatCode="0.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F3864"/>
      <name val="Calibri"/>
      <family val="0"/>
      <charset val="1"/>
    </font>
    <font>
      <i val="true"/>
      <sz val="11"/>
      <color rgb="FF2E559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b val="true"/>
      <sz val="14"/>
      <color rgb="FFC9A961"/>
      <name val="Calibri"/>
      <family val="0"/>
      <charset val="1"/>
    </font>
    <font>
      <i val="true"/>
      <sz val="9"/>
      <color rgb="FF2E5597"/>
      <name val="Calibri"/>
      <family val="0"/>
      <charset val="1"/>
    </font>
    <font>
      <b val="true"/>
      <sz val="22"/>
      <color rgb="FF1F3864"/>
      <name val="Calibri"/>
      <family val="0"/>
      <charset val="1"/>
    </font>
    <font>
      <i val="true"/>
      <sz val="10"/>
      <color rgb="FF2E5597"/>
      <name val="Calibri"/>
      <family val="0"/>
      <charset val="1"/>
    </font>
    <font>
      <sz val="9"/>
      <color rgb="FF2E5597"/>
      <name val="Calibri"/>
      <family val="0"/>
      <charset val="1"/>
    </font>
    <font>
      <b val="true"/>
      <sz val="15"/>
      <color rgb="FF1F3864"/>
      <name val="Calibri"/>
      <family val="0"/>
      <charset val="1"/>
    </font>
    <font>
      <b val="true"/>
      <sz val="10"/>
      <color rgb="FF1F3864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u val="single"/>
      <sz val="10"/>
      <color rgb="FF2E5597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C9A961"/>
        <bgColor rgb="FFBFC5D2"/>
      </patternFill>
    </fill>
    <fill>
      <patternFill patternType="solid">
        <fgColor rgb="FF1F3864"/>
        <bgColor rgb="FF2E5597"/>
      </patternFill>
    </fill>
    <fill>
      <patternFill patternType="solid">
        <fgColor rgb="FF70AD47"/>
        <bgColor rgb="FF99CC00"/>
      </patternFill>
    </fill>
    <fill>
      <patternFill patternType="solid">
        <fgColor rgb="FF2E5597"/>
        <bgColor rgb="FF1F3864"/>
      </patternFill>
    </fill>
    <fill>
      <patternFill patternType="solid">
        <fgColor rgb="FFFFFFFF"/>
        <bgColor rgb="FFFAFBFD"/>
      </patternFill>
    </fill>
    <fill>
      <patternFill patternType="solid">
        <fgColor rgb="FFFFC000"/>
        <bgColor rgb="FFC9A961"/>
      </patternFill>
    </fill>
    <fill>
      <patternFill patternType="solid">
        <fgColor rgb="FFC00000"/>
        <bgColor rgb="FFA02020"/>
      </patternFill>
    </fill>
    <fill>
      <patternFill patternType="solid">
        <fgColor rgb="FFF2F5FA"/>
        <bgColor rgb="FFFAFBFD"/>
      </patternFill>
    </fill>
    <fill>
      <patternFill patternType="solid">
        <fgColor rgb="FFFAFBFD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F3864"/>
      </bottom>
      <diagonal/>
    </border>
    <border diagonalUp="false" diagonalDown="false">
      <left style="thin">
        <color rgb="FFBFC5D2"/>
      </left>
      <right/>
      <top/>
      <bottom style="thin">
        <color rgb="FFBFC5D2"/>
      </bottom>
      <diagonal/>
    </border>
    <border diagonalUp="false" diagonalDown="false">
      <left style="thin">
        <color rgb="FF2E5597"/>
      </left>
      <right style="thin">
        <color rgb="FF2E5597"/>
      </right>
      <top style="thin">
        <color rgb="FF2E5597"/>
      </top>
      <bottom style="thin">
        <color rgb="FF2E5597"/>
      </bottom>
      <diagonal/>
    </border>
    <border diagonalUp="false" diagonalDown="false"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  <border diagonalUp="false" diagonalDown="false">
      <left/>
      <right/>
      <top/>
      <bottom style="thin">
        <color rgb="FFBFC5D2"/>
      </bottom>
      <diagonal/>
    </border>
    <border diagonalUp="false" diagonalDown="false">
      <left/>
      <right/>
      <top/>
      <bottom style="thin">
        <color rgb="FFC9A961"/>
      </bottom>
      <diagonal/>
    </border>
    <border diagonalUp="false" diagonalDown="false"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9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9" fillId="9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0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0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7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2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71" fontId="17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5" fillId="10" borderId="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8" fillId="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2F5F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fgColor rgb="FFD5EBD8"/>
          <bgColor rgb="FF000000"/>
        </patternFill>
      </fill>
    </dxf>
    <dxf>
      <fill>
        <patternFill patternType="solid">
          <fgColor rgb="FFD7E4F5"/>
          <bgColor rgb="FF000000"/>
        </patternFill>
      </fill>
    </dxf>
    <dxf>
      <fill>
        <patternFill patternType="solid">
          <fgColor rgb="FFF5D5D5"/>
          <bgColor rgb="FF000000"/>
        </patternFill>
      </fill>
    </dxf>
    <dxf>
      <fill>
        <patternFill patternType="solid">
          <fgColor rgb="FFFCECC5"/>
          <bgColor rgb="FF000000"/>
        </patternFill>
      </fill>
    </dxf>
    <dxf>
      <fill>
        <patternFill patternType="solid">
          <fgColor rgb="FF1F6E28"/>
          <bgColor rgb="FF000000"/>
        </patternFill>
      </fill>
    </dxf>
    <dxf>
      <fill>
        <patternFill patternType="solid">
          <fgColor rgb="FF8B5A00"/>
          <bgColor rgb="FF000000"/>
        </patternFill>
      </fill>
    </dxf>
    <dxf>
      <fill>
        <patternFill patternType="solid">
          <fgColor rgb="FFA02020"/>
          <bgColor rgb="FF000000"/>
        </patternFill>
      </fill>
    </dxf>
    <dxf>
      <font>
        <name val="Calibri"/>
        <charset val="1"/>
        <family val="0"/>
        <b val="1"/>
        <color rgb="FF1F6E28"/>
        <sz val="10"/>
      </font>
      <fill>
        <patternFill>
          <bgColor rgb="FFD5EBD8"/>
        </patternFill>
      </fill>
    </dxf>
    <dxf>
      <font>
        <name val="Calibri"/>
        <charset val="1"/>
        <family val="0"/>
        <b val="1"/>
        <color rgb="FF1F3864"/>
        <sz val="10"/>
      </font>
      <fill>
        <patternFill>
          <bgColor rgb="FFD7E4F5"/>
        </patternFill>
      </fill>
    </dxf>
    <dxf>
      <font>
        <name val="Calibri"/>
        <charset val="1"/>
        <family val="0"/>
        <b val="1"/>
        <color rgb="FF8B5A00"/>
        <sz val="10"/>
      </font>
      <fill>
        <patternFill>
          <bgColor rgb="FFFCECC5"/>
        </patternFill>
      </fill>
    </dxf>
    <dxf>
      <font>
        <name val="Calibri"/>
        <charset val="1"/>
        <family val="0"/>
        <b val="1"/>
        <color rgb="FFA02020"/>
        <sz val="10"/>
      </font>
      <fill>
        <patternFill>
          <bgColor rgb="FFF5D5D5"/>
        </patternFill>
      </fill>
    </dxf>
    <dxf>
      <font>
        <name val="Calibri"/>
        <charset val="1"/>
        <family val="0"/>
        <b val="1"/>
        <color rgb="FF8B6914"/>
        <sz val="10"/>
      </font>
      <fill>
        <patternFill>
          <bgColor rgb="FFEFE6D0"/>
        </patternFill>
      </fill>
    </dxf>
    <dxf>
      <fill>
        <patternFill patternType="solid">
          <fgColor rgb="FF2E5597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fgColor rgb="FFC08000"/>
          <bgColor rgb="FF000000"/>
        </patternFill>
      </fill>
    </dxf>
    <dxf>
      <font>
        <name val="Calibri"/>
        <charset val="1"/>
        <family val="0"/>
        <b val="1"/>
        <color rgb="FFC00000"/>
        <sz val="10"/>
      </font>
    </dxf>
    <dxf>
      <font>
        <name val="Calibri"/>
        <charset val="1"/>
        <family val="0"/>
        <b val="1"/>
        <color rgb="FFC08000"/>
        <sz val="10"/>
      </font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F6E28"/>
      <rgbColor rgb="FF000080"/>
      <rgbColor rgb="FF8B6914"/>
      <rgbColor rgb="FF800080"/>
      <rgbColor rgb="FF008080"/>
      <rgbColor rgb="FFBFC5D2"/>
      <rgbColor rgb="FF808080"/>
      <rgbColor rgb="FF9999FF"/>
      <rgbColor rgb="FF8B5A00"/>
      <rgbColor rgb="FFFCECC5"/>
      <rgbColor rgb="FFF2F5FA"/>
      <rgbColor rgb="FF660066"/>
      <rgbColor rgb="FFFF8080"/>
      <rgbColor rgb="FF0066CC"/>
      <rgbColor rgb="FFD7E4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BFD"/>
      <rgbColor rgb="FFD5EBD8"/>
      <rgbColor rgb="FFEFE6D0"/>
      <rgbColor rgb="FF99CCFF"/>
      <rgbColor rgb="FFFF99CC"/>
      <rgbColor rgb="FFCC99FF"/>
      <rgbColor rgb="FFF5D5D5"/>
      <rgbColor rgb="FF3366FF"/>
      <rgbColor rgb="FF33CCCC"/>
      <rgbColor rgb="FF99CC00"/>
      <rgbColor rgb="FFFFC000"/>
      <rgbColor rgb="FFC08000"/>
      <rgbColor rgb="FFFF6600"/>
      <rgbColor rgb="FF666699"/>
      <rgbColor rgb="FFC9A961"/>
      <rgbColor rgb="FF1F3864"/>
      <rgbColor rgb="FF70AD47"/>
      <rgbColor rgb="FF003300"/>
      <rgbColor rgb="FF333300"/>
      <rgbColor rgb="FFA02020"/>
      <rgbColor rgb="FF993366"/>
      <rgbColor rgb="FF2E5597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"/>
    <col collapsed="false" customWidth="true" hidden="false" outlineLevel="0" max="8" min="8" style="0" width="32"/>
    <col collapsed="false" customWidth="true" hidden="false" outlineLevel="0" max="9" min="9" style="0" width="18"/>
    <col collapsed="false" customWidth="true" hidden="false" outlineLevel="0" max="10" min="10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9.75" hidden="false" customHeight="true" outlineLevel="0" collapsed="false"/>
    <row r="3" customFormat="false" ht="42" hidden="false" customHeight="true" outlineLevel="0" collapsed="false">
      <c r="B3" s="2" t="s">
        <v>0</v>
      </c>
      <c r="C3" s="2"/>
      <c r="D3" s="2"/>
      <c r="E3" s="2"/>
      <c r="F3" s="2"/>
      <c r="G3" s="2"/>
      <c r="H3" s="2"/>
      <c r="I3" s="2"/>
    </row>
    <row r="4" customFormat="false" ht="21.75" hidden="false" customHeight="true" outlineLevel="0" collapsed="false">
      <c r="B4" s="3" t="s">
        <v>1</v>
      </c>
      <c r="C4" s="3"/>
      <c r="D4" s="3"/>
      <c r="E4" s="3"/>
      <c r="F4" s="3"/>
      <c r="G4" s="3"/>
      <c r="H4" s="3"/>
      <c r="I4" s="3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  <c r="I5" s="4"/>
    </row>
    <row r="6" customFormat="false" ht="18" hidden="false" customHeight="true" outlineLevel="0" collapsed="false"/>
    <row r="7" customFormat="false" ht="21.75" hidden="false" customHeight="true" outlineLevel="0" collapsed="false">
      <c r="B7" s="5" t="s">
        <v>2</v>
      </c>
      <c r="C7" s="5"/>
      <c r="E7" s="6" t="s">
        <v>3</v>
      </c>
      <c r="F7" s="6"/>
      <c r="H7" s="7" t="s">
        <v>4</v>
      </c>
      <c r="I7" s="7"/>
    </row>
    <row r="8" customFormat="false" ht="45.75" hidden="false" customHeight="true" outlineLevel="0" collapsed="false">
      <c r="B8" s="8" t="n">
        <f aca="false">COUNTA('Werkzeug-Inventar'!B10:B1000)</f>
        <v>18</v>
      </c>
      <c r="C8" s="8"/>
      <c r="E8" s="8" t="n">
        <f aca="false">COUNTIF('Werkzeug-Inventar'!L10:L1000,"Verfügbar")</f>
        <v>13</v>
      </c>
      <c r="F8" s="8"/>
      <c r="H8" s="8" t="n">
        <f aca="false">COUNTIF('Werkzeug-Inventar'!L10:L1000,"Ausgeliehen")</f>
        <v>2</v>
      </c>
      <c r="I8" s="8"/>
    </row>
    <row r="9" customFormat="false" ht="9.75" hidden="false" customHeight="true" outlineLevel="0" collapsed="false"/>
    <row r="10" customFormat="false" ht="21.75" hidden="false" customHeight="true" outlineLevel="0" collapsed="false">
      <c r="B10" s="9" t="s">
        <v>5</v>
      </c>
      <c r="C10" s="9"/>
      <c r="E10" s="10" t="s">
        <v>6</v>
      </c>
      <c r="F10" s="10"/>
      <c r="H10" s="11" t="s">
        <v>7</v>
      </c>
      <c r="I10" s="11"/>
    </row>
    <row r="11" customFormat="false" ht="45.75" hidden="false" customHeight="true" outlineLevel="0" collapsed="false">
      <c r="B11" s="8" t="n">
        <f aca="false">COUNTIF('Werkzeug-Inventar'!L10:L1000,"In Reparatur")</f>
        <v>1</v>
      </c>
      <c r="C11" s="8"/>
      <c r="E11" s="8" t="n">
        <f aca="false">COUNTIF('Wartung &amp; Prüfung'!K10:K1000,"Überfällig")</f>
        <v>1</v>
      </c>
      <c r="F11" s="8"/>
      <c r="H11" s="12" t="n">
        <f aca="false">SUMPRODUCT(('Werkzeug-Inventar'!L10:L1000&lt;&gt;"Ausgesondert")*'Werkzeug-Inventar'!K10:K1000)</f>
        <v>5835.8</v>
      </c>
      <c r="I11" s="12"/>
    </row>
    <row r="12" customFormat="false" ht="13.5" hidden="false" customHeight="true" outlineLevel="0" collapsed="false"/>
    <row r="13" customFormat="false" ht="27.75" hidden="false" customHeight="true" outlineLevel="0" collapsed="false">
      <c r="B13" s="13" t="s">
        <v>8</v>
      </c>
      <c r="C13" s="13"/>
      <c r="D13" s="13"/>
      <c r="E13" s="13"/>
      <c r="F13" s="13"/>
      <c r="G13" s="13" t="s">
        <v>9</v>
      </c>
      <c r="H13" s="13"/>
      <c r="I13" s="13"/>
    </row>
    <row r="14" customFormat="false" ht="21.75" hidden="false" customHeight="true" outlineLevel="0" collapsed="false">
      <c r="B14" s="14" t="s">
        <v>10</v>
      </c>
      <c r="C14" s="14" t="s">
        <v>11</v>
      </c>
      <c r="D14" s="14" t="s">
        <v>12</v>
      </c>
      <c r="E14" s="14" t="s">
        <v>13</v>
      </c>
    </row>
    <row r="15" customFormat="false" ht="18.75" hidden="false" customHeight="true" outlineLevel="0" collapsed="false">
      <c r="B15" s="15" t="s">
        <v>14</v>
      </c>
      <c r="C15" s="16" t="n">
        <f aca="false">COUNTIF('Werkzeug-Inventar'!E10:E1000,"Handwerkzeug")</f>
        <v>4</v>
      </c>
      <c r="D15" s="17" t="n">
        <f aca="false">SUMIFS('Werkzeug-Inventar'!K10:K1000,'Werkzeug-Inventar'!E10:E1000,"Handwerkzeug")</f>
        <v>578.8</v>
      </c>
      <c r="E15" s="18" t="n">
        <f aca="false">IFERROR(D15/SUM($D$15:$D$22),0)</f>
        <v>0.0982232253466153</v>
      </c>
      <c r="G15" s="15" t="s">
        <v>15</v>
      </c>
      <c r="H15" s="19" t="n">
        <f aca="false">COUNTIF(Ausleihen!I10:I1000,"Offen")</f>
        <v>0</v>
      </c>
      <c r="I15" s="19"/>
    </row>
    <row r="16" customFormat="false" ht="18.75" hidden="false" customHeight="true" outlineLevel="0" collapsed="false">
      <c r="B16" s="20" t="s">
        <v>16</v>
      </c>
      <c r="C16" s="21" t="n">
        <f aca="false">COUNTIF('Werkzeug-Inventar'!E10:E1000,"Elektrowerkzeug")</f>
        <v>4</v>
      </c>
      <c r="D16" s="22" t="n">
        <f aca="false">SUMIFS('Werkzeug-Inventar'!K10:K1000,'Werkzeug-Inventar'!E10:E1000,"Elektrowerkzeug")</f>
        <v>1586.9</v>
      </c>
      <c r="E16" s="23" t="n">
        <f aca="false">IFERROR(D16/SUM($D$15:$D$22),0)</f>
        <v>0.269299302526855</v>
      </c>
      <c r="G16" s="20" t="s">
        <v>17</v>
      </c>
      <c r="H16" s="24" t="n">
        <f aca="false">COUNTIF(Ausleihen!J10:J1000,"Überfällig")</f>
        <v>1</v>
      </c>
      <c r="I16" s="24"/>
    </row>
    <row r="17" customFormat="false" ht="18.75" hidden="false" customHeight="true" outlineLevel="0" collapsed="false">
      <c r="B17" s="15" t="s">
        <v>18</v>
      </c>
      <c r="C17" s="16" t="n">
        <f aca="false">COUNTIF('Werkzeug-Inventar'!E10:E1000,"Druckluftwerkzeug")</f>
        <v>1</v>
      </c>
      <c r="D17" s="17" t="n">
        <f aca="false">SUMIFS('Werkzeug-Inventar'!K10:K1000,'Werkzeug-Inventar'!E10:E1000,"Druckluftwerkzeug")</f>
        <v>649</v>
      </c>
      <c r="E17" s="18" t="n">
        <f aca="false">IFERROR(D17/SUM($D$15:$D$22),0)</f>
        <v>0.110136270300541</v>
      </c>
      <c r="G17" s="15" t="s">
        <v>19</v>
      </c>
      <c r="H17" s="19" t="n">
        <f aca="true">SUMPRODUCT((IFERROR(MONTH('Wartung &amp; Prüfung'!G10:G1000),0)=MONTH(TODAY()))*(IFERROR(YEAR('Wartung &amp; Prüfung'!G10:G1000),0)=YEAR(TODAY()))*1)</f>
        <v>0</v>
      </c>
      <c r="I17" s="19"/>
    </row>
    <row r="18" customFormat="false" ht="18.75" hidden="false" customHeight="true" outlineLevel="0" collapsed="false">
      <c r="B18" s="20" t="s">
        <v>20</v>
      </c>
      <c r="C18" s="21" t="n">
        <f aca="false">COUNTIF('Werkzeug-Inventar'!E10:E1000,"Messtechnik")</f>
        <v>4</v>
      </c>
      <c r="D18" s="22" t="n">
        <f aca="false">SUMIFS('Werkzeug-Inventar'!K10:K1000,'Werkzeug-Inventar'!E10:E1000,"Messtechnik")</f>
        <v>1832</v>
      </c>
      <c r="E18" s="23" t="n">
        <f aca="false">IFERROR(D18/SUM($D$15:$D$22),0)</f>
        <v>0.310893138968554</v>
      </c>
      <c r="G18" s="20" t="s">
        <v>21</v>
      </c>
      <c r="H18" s="25" t="n">
        <f aca="true">SUMPRODUCT((IFERROR(YEAR('Wartung &amp; Prüfung'!F10:F1000),0)=YEAR(TODAY()))*IFERROR('Wartung &amp; Prüfung'!I10:I1000,0))</f>
        <v>310</v>
      </c>
      <c r="I18" s="25"/>
    </row>
    <row r="19" customFormat="false" ht="18.75" hidden="false" customHeight="true" outlineLevel="0" collapsed="false">
      <c r="B19" s="15" t="s">
        <v>22</v>
      </c>
      <c r="C19" s="16" t="n">
        <f aca="false">COUNTIF('Werkzeug-Inventar'!E10:E1000,"Sicherheitsausrüstung")</f>
        <v>2</v>
      </c>
      <c r="D19" s="17" t="n">
        <f aca="false">SUMIFS('Werkzeug-Inventar'!K10:K1000,'Werkzeug-Inventar'!E10:E1000,"Sicherheitsausrüstung")</f>
        <v>213</v>
      </c>
      <c r="E19" s="18" t="n">
        <f aca="false">IFERROR(D19/SUM($D$15:$D$22),0)</f>
        <v>0.0361464184499465</v>
      </c>
      <c r="G19" s="15" t="s">
        <v>23</v>
      </c>
      <c r="H19" s="19" t="n">
        <f aca="false">COUNTA(Lieferanten!B10:B1000)</f>
        <v>7</v>
      </c>
      <c r="I19" s="19"/>
    </row>
    <row r="20" customFormat="false" ht="18.75" hidden="false" customHeight="true" outlineLevel="0" collapsed="false">
      <c r="B20" s="20" t="s">
        <v>24</v>
      </c>
      <c r="C20" s="21" t="n">
        <f aca="false">COUNTIF('Werkzeug-Inventar'!E10:E1000,"Hebezeuge")</f>
        <v>2</v>
      </c>
      <c r="D20" s="22" t="n">
        <f aca="false">SUMIFS('Werkzeug-Inventar'!K10:K1000,'Werkzeug-Inventar'!E10:E1000,"Hebezeuge")</f>
        <v>744</v>
      </c>
      <c r="E20" s="23" t="n">
        <f aca="false">IFERROR(D20/SUM($D$15:$D$22),0)</f>
        <v>0.126257912332208</v>
      </c>
      <c r="G20" s="20" t="s">
        <v>25</v>
      </c>
      <c r="H20" s="24" t="n">
        <f aca="false">COUNTIF('Werkzeug-Inventar'!L10:L1000,"Ausgesondert")</f>
        <v>1</v>
      </c>
      <c r="I20" s="24"/>
    </row>
    <row r="21" customFormat="false" ht="18.75" hidden="false" customHeight="true" outlineLevel="0" collapsed="false">
      <c r="B21" s="15" t="s">
        <v>26</v>
      </c>
      <c r="C21" s="16" t="n">
        <f aca="false">COUNTIF('Werkzeug-Inventar'!E10:E1000,"Gartengeräte")</f>
        <v>1</v>
      </c>
      <c r="D21" s="17" t="n">
        <f aca="false">SUMIFS('Werkzeug-Inventar'!K10:K1000,'Werkzeug-Inventar'!E10:E1000,"Gartengeräte")</f>
        <v>289</v>
      </c>
      <c r="E21" s="18" t="n">
        <f aca="false">IFERROR(D21/SUM($D$15:$D$22),0)</f>
        <v>0.0490437320752796</v>
      </c>
      <c r="G21" s="15" t="s">
        <v>27</v>
      </c>
      <c r="H21" s="26" t="n">
        <f aca="true">IFERROR((TODAY()-AVERAGEIF('Werkzeug-Inventar'!L10:L1000,"&lt;&gt;Ausgesondert",'Werkzeug-Inventar'!I10:I1000))/365.25,0)</f>
        <v>2.88344002898902</v>
      </c>
      <c r="I21" s="26"/>
    </row>
    <row r="22" customFormat="false" ht="18.75" hidden="false" customHeight="true" outlineLevel="0" collapsed="false">
      <c r="B22" s="20" t="s">
        <v>28</v>
      </c>
      <c r="C22" s="21" t="n">
        <f aca="false">COUNTIF('Werkzeug-Inventar'!E10:E1000,"Sonstiges")</f>
        <v>0</v>
      </c>
      <c r="D22" s="22" t="n">
        <f aca="false">SUMIFS('Werkzeug-Inventar'!K10:K1000,'Werkzeug-Inventar'!E10:E1000,"Sonstiges")</f>
        <v>0</v>
      </c>
      <c r="E22" s="23" t="n">
        <f aca="false">IFERROR(D22/SUM($D$15:$D$22),0)</f>
        <v>0</v>
      </c>
      <c r="G22" s="20" t="s">
        <v>29</v>
      </c>
      <c r="H22" s="24" t="n">
        <f aca="false">SUMPRODUCT((IFERROR(YEAR('Werkzeug-Inventar'!I10:I1000),0)=2026)*1)</f>
        <v>0</v>
      </c>
      <c r="I22" s="24"/>
    </row>
    <row r="23" customFormat="false" ht="21.75" hidden="false" customHeight="true" outlineLevel="0" collapsed="false">
      <c r="B23" s="27" t="s">
        <v>30</v>
      </c>
      <c r="C23" s="28" t="n">
        <f aca="false">SUM(C15:C22)</f>
        <v>18</v>
      </c>
      <c r="D23" s="29" t="n">
        <f aca="false">SUM(D15:D22)</f>
        <v>5892.7</v>
      </c>
      <c r="E23" s="28" t="s">
        <v>31</v>
      </c>
    </row>
    <row r="26" customFormat="false" ht="27.75" hidden="false" customHeight="true" outlineLevel="0" collapsed="false">
      <c r="B26" s="13" t="s">
        <v>32</v>
      </c>
      <c r="C26" s="13"/>
      <c r="D26" s="13"/>
      <c r="E26" s="13"/>
      <c r="F26" s="13"/>
      <c r="G26" s="13"/>
      <c r="H26" s="13"/>
      <c r="I26" s="13"/>
    </row>
    <row r="27" customFormat="false" ht="24" hidden="false" customHeight="true" outlineLevel="0" collapsed="false">
      <c r="B27" s="30" t="s">
        <v>33</v>
      </c>
      <c r="C27" s="31" t="s">
        <v>34</v>
      </c>
      <c r="D27" s="32" t="s">
        <v>35</v>
      </c>
      <c r="E27" s="32"/>
      <c r="F27" s="32"/>
      <c r="G27" s="32"/>
      <c r="H27" s="32"/>
      <c r="I27" s="32"/>
    </row>
    <row r="28" customFormat="false" ht="24" hidden="false" customHeight="true" outlineLevel="0" collapsed="false">
      <c r="B28" s="33" t="s">
        <v>36</v>
      </c>
      <c r="C28" s="34" t="s">
        <v>37</v>
      </c>
      <c r="D28" s="35" t="s">
        <v>38</v>
      </c>
      <c r="E28" s="35"/>
      <c r="F28" s="35"/>
      <c r="G28" s="35"/>
      <c r="H28" s="35"/>
      <c r="I28" s="35"/>
    </row>
    <row r="29" customFormat="false" ht="24" hidden="false" customHeight="true" outlineLevel="0" collapsed="false">
      <c r="B29" s="30" t="s">
        <v>39</v>
      </c>
      <c r="C29" s="31" t="s">
        <v>40</v>
      </c>
      <c r="D29" s="32" t="s">
        <v>41</v>
      </c>
      <c r="E29" s="32"/>
      <c r="F29" s="32"/>
      <c r="G29" s="32"/>
      <c r="H29" s="32"/>
      <c r="I29" s="32"/>
    </row>
    <row r="30" customFormat="false" ht="24" hidden="false" customHeight="true" outlineLevel="0" collapsed="false">
      <c r="B30" s="33" t="s">
        <v>42</v>
      </c>
      <c r="C30" s="34" t="s">
        <v>43</v>
      </c>
      <c r="D30" s="35" t="s">
        <v>44</v>
      </c>
      <c r="E30" s="35"/>
      <c r="F30" s="35"/>
      <c r="G30" s="35"/>
      <c r="H30" s="35"/>
      <c r="I30" s="35"/>
    </row>
    <row r="31" customFormat="false" ht="24" hidden="false" customHeight="true" outlineLevel="0" collapsed="false">
      <c r="B31" s="30" t="s">
        <v>45</v>
      </c>
      <c r="C31" s="31" t="s">
        <v>46</v>
      </c>
      <c r="D31" s="32" t="s">
        <v>47</v>
      </c>
      <c r="E31" s="32"/>
      <c r="F31" s="32"/>
      <c r="G31" s="32"/>
      <c r="H31" s="32"/>
      <c r="I31" s="32"/>
    </row>
    <row r="34" customFormat="false" ht="19.5" hidden="false" customHeight="true" outlineLevel="0" collapsed="false">
      <c r="B34" s="36" t="s">
        <v>48</v>
      </c>
      <c r="C34" s="36"/>
      <c r="D34" s="36"/>
      <c r="E34" s="36"/>
      <c r="F34" s="36"/>
      <c r="G34" s="36"/>
      <c r="H34" s="36"/>
      <c r="I34" s="36"/>
    </row>
  </sheetData>
  <mergeCells count="31">
    <mergeCell ref="B3:I3"/>
    <mergeCell ref="B4:I4"/>
    <mergeCell ref="B7:C7"/>
    <mergeCell ref="E7:F7"/>
    <mergeCell ref="H7:I7"/>
    <mergeCell ref="B8:C8"/>
    <mergeCell ref="E8:F8"/>
    <mergeCell ref="H8:I8"/>
    <mergeCell ref="B10:C10"/>
    <mergeCell ref="E10:F10"/>
    <mergeCell ref="H10:I10"/>
    <mergeCell ref="B11:C11"/>
    <mergeCell ref="E11:F11"/>
    <mergeCell ref="H11:I11"/>
    <mergeCell ref="B13:F13"/>
    <mergeCell ref="G13:I13"/>
    <mergeCell ref="H15:I15"/>
    <mergeCell ref="H16:I16"/>
    <mergeCell ref="H17:I17"/>
    <mergeCell ref="H18:I18"/>
    <mergeCell ref="H19:I19"/>
    <mergeCell ref="H20:I20"/>
    <mergeCell ref="H21:I21"/>
    <mergeCell ref="H22:I22"/>
    <mergeCell ref="B26:I26"/>
    <mergeCell ref="D27:I27"/>
    <mergeCell ref="D28:I28"/>
    <mergeCell ref="D29:I29"/>
    <mergeCell ref="D30:I30"/>
    <mergeCell ref="D31:I31"/>
    <mergeCell ref="B34:I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26"/>
    <col collapsed="false" customWidth="true" hidden="false" outlineLevel="0" max="4" min="4" style="0" width="18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15"/>
    <col collapsed="false" customWidth="true" hidden="false" outlineLevel="0" max="8" min="8" style="0" width="26"/>
    <col collapsed="false" customWidth="true" hidden="false" outlineLevel="0" max="9" min="9" style="0" width="14"/>
    <col collapsed="false" customWidth="true" hidden="false" outlineLevel="0" max="10" min="10" style="0" width="8"/>
    <col collapsed="false" customWidth="true" hidden="false" outlineLevel="0" max="12" min="11" style="0" width="15"/>
    <col collapsed="false" customWidth="true" hidden="false" outlineLevel="0" max="13" min="13" style="0" width="12"/>
    <col collapsed="false" customWidth="true" hidden="false" outlineLevel="0" max="14" min="14" style="0" width="30"/>
    <col collapsed="false" customWidth="true" hidden="false" outlineLevel="0" max="15" min="15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9.75" hidden="false" customHeight="true" outlineLevel="0" collapsed="false"/>
    <row r="3" customFormat="false" ht="36" hidden="false" customHeight="true" outlineLevel="0" collapsed="false">
      <c r="B3" s="37" t="s">
        <v>49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customFormat="false" ht="19.5" hidden="false" customHeight="true" outlineLevel="0" collapsed="false">
      <c r="B4" s="38" t="s">
        <v>50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8" hidden="false" customHeight="true" outlineLevel="0" collapsed="false">
      <c r="B6" s="39" t="s">
        <v>51</v>
      </c>
      <c r="C6" s="39"/>
      <c r="D6" s="39" t="s">
        <v>52</v>
      </c>
      <c r="E6" s="39"/>
      <c r="F6" s="39" t="s">
        <v>53</v>
      </c>
      <c r="G6" s="39"/>
      <c r="H6" s="39" t="s">
        <v>54</v>
      </c>
      <c r="I6" s="39"/>
      <c r="J6" s="39" t="s">
        <v>55</v>
      </c>
      <c r="K6" s="39"/>
      <c r="L6" s="39" t="s">
        <v>56</v>
      </c>
      <c r="M6" s="39"/>
    </row>
    <row r="7" customFormat="false" ht="31.5" hidden="false" customHeight="true" outlineLevel="0" collapsed="false">
      <c r="B7" s="40" t="n">
        <f aca="false">COUNTA(B10:B1000)</f>
        <v>18</v>
      </c>
      <c r="C7" s="40"/>
      <c r="D7" s="40" t="n">
        <f aca="false">COUNTIF(L10:L1000,"Verfügbar")</f>
        <v>13</v>
      </c>
      <c r="E7" s="40"/>
      <c r="F7" s="40" t="n">
        <f aca="false">COUNTIF(L10:L1000,"Ausgeliehen")</f>
        <v>2</v>
      </c>
      <c r="G7" s="40"/>
      <c r="H7" s="40" t="n">
        <f aca="false">COUNTIF(L10:L1000,"In Reparatur")</f>
        <v>1</v>
      </c>
      <c r="I7" s="40"/>
      <c r="J7" s="40" t="n">
        <f aca="false">COUNTIF(L10:L1000,"Ausgesondert")</f>
        <v>1</v>
      </c>
      <c r="K7" s="40"/>
      <c r="L7" s="41" t="n">
        <f aca="false">IFERROR(AVERAGEIF(L10:L1000,"&lt;&gt;Ausgesondert",K10:K1000),0)</f>
        <v>343.282352941177</v>
      </c>
      <c r="M7" s="41"/>
    </row>
    <row r="8" customFormat="false" ht="13.5" hidden="false" customHeight="true" outlineLevel="0" collapsed="false"/>
    <row r="9" customFormat="false" ht="31.5" hidden="false" customHeight="true" outlineLevel="0" collapsed="false">
      <c r="B9" s="42" t="s">
        <v>57</v>
      </c>
      <c r="C9" s="42" t="s">
        <v>58</v>
      </c>
      <c r="D9" s="42" t="s">
        <v>59</v>
      </c>
      <c r="E9" s="42" t="s">
        <v>10</v>
      </c>
      <c r="F9" s="42" t="s">
        <v>60</v>
      </c>
      <c r="G9" s="42" t="s">
        <v>61</v>
      </c>
      <c r="H9" s="42" t="s">
        <v>62</v>
      </c>
      <c r="I9" s="42" t="s">
        <v>63</v>
      </c>
      <c r="J9" s="42" t="s">
        <v>64</v>
      </c>
      <c r="K9" s="42" t="s">
        <v>65</v>
      </c>
      <c r="L9" s="42" t="s">
        <v>66</v>
      </c>
      <c r="M9" s="42" t="s">
        <v>67</v>
      </c>
      <c r="N9" s="42" t="s">
        <v>68</v>
      </c>
    </row>
    <row r="10" customFormat="false" ht="21.75" hidden="false" customHeight="true" outlineLevel="0" collapsed="false">
      <c r="B10" s="43" t="s">
        <v>69</v>
      </c>
      <c r="C10" s="44" t="s">
        <v>70</v>
      </c>
      <c r="D10" s="44" t="s">
        <v>71</v>
      </c>
      <c r="E10" s="15" t="s">
        <v>16</v>
      </c>
      <c r="F10" s="44" t="s">
        <v>72</v>
      </c>
      <c r="G10" s="44" t="s">
        <v>73</v>
      </c>
      <c r="H10" s="44" t="s">
        <v>74</v>
      </c>
      <c r="I10" s="45" t="n">
        <v>45363</v>
      </c>
      <c r="J10" s="46" t="n">
        <v>5</v>
      </c>
      <c r="K10" s="17" t="n">
        <v>389.9</v>
      </c>
      <c r="L10" s="47" t="s">
        <v>75</v>
      </c>
      <c r="M10" s="47" t="s">
        <v>76</v>
      </c>
      <c r="N10" s="44" t="s">
        <v>77</v>
      </c>
    </row>
    <row r="11" customFormat="false" ht="21.75" hidden="false" customHeight="true" outlineLevel="0" collapsed="false">
      <c r="B11" s="48" t="s">
        <v>78</v>
      </c>
      <c r="C11" s="49" t="s">
        <v>79</v>
      </c>
      <c r="D11" s="49" t="s">
        <v>80</v>
      </c>
      <c r="E11" s="20" t="s">
        <v>16</v>
      </c>
      <c r="F11" s="49" t="s">
        <v>81</v>
      </c>
      <c r="G11" s="49" t="s">
        <v>82</v>
      </c>
      <c r="H11" s="49" t="s">
        <v>74</v>
      </c>
      <c r="I11" s="50" t="n">
        <v>45143</v>
      </c>
      <c r="J11" s="51" t="n">
        <v>6</v>
      </c>
      <c r="K11" s="22" t="n">
        <v>219</v>
      </c>
      <c r="L11" s="52" t="s">
        <v>83</v>
      </c>
      <c r="M11" s="52" t="s">
        <v>84</v>
      </c>
      <c r="N11" s="49"/>
    </row>
    <row r="12" customFormat="false" ht="21.75" hidden="false" customHeight="true" outlineLevel="0" collapsed="false">
      <c r="B12" s="43" t="s">
        <v>85</v>
      </c>
      <c r="C12" s="44" t="s">
        <v>86</v>
      </c>
      <c r="D12" s="44" t="s">
        <v>87</v>
      </c>
      <c r="E12" s="15" t="s">
        <v>14</v>
      </c>
      <c r="F12" s="44" t="s">
        <v>88</v>
      </c>
      <c r="G12" s="44" t="s">
        <v>89</v>
      </c>
      <c r="H12" s="44" t="s">
        <v>90</v>
      </c>
      <c r="I12" s="45" t="n">
        <v>44883</v>
      </c>
      <c r="J12" s="46" t="n">
        <v>10</v>
      </c>
      <c r="K12" s="17" t="n">
        <v>179.5</v>
      </c>
      <c r="L12" s="47" t="s">
        <v>75</v>
      </c>
      <c r="M12" s="47" t="s">
        <v>76</v>
      </c>
      <c r="N12" s="44" t="s">
        <v>91</v>
      </c>
    </row>
    <row r="13" customFormat="false" ht="21.75" hidden="false" customHeight="true" outlineLevel="0" collapsed="false">
      <c r="B13" s="48" t="s">
        <v>92</v>
      </c>
      <c r="C13" s="49" t="s">
        <v>93</v>
      </c>
      <c r="D13" s="49" t="s">
        <v>94</v>
      </c>
      <c r="E13" s="20" t="s">
        <v>20</v>
      </c>
      <c r="F13" s="49" t="s">
        <v>95</v>
      </c>
      <c r="G13" s="49" t="s">
        <v>96</v>
      </c>
      <c r="H13" s="49" t="s">
        <v>97</v>
      </c>
      <c r="I13" s="50" t="n">
        <v>45679</v>
      </c>
      <c r="J13" s="51" t="n">
        <v>6</v>
      </c>
      <c r="K13" s="22" t="n">
        <v>549</v>
      </c>
      <c r="L13" s="52" t="s">
        <v>75</v>
      </c>
      <c r="M13" s="52" t="s">
        <v>98</v>
      </c>
      <c r="N13" s="49" t="s">
        <v>99</v>
      </c>
    </row>
    <row r="14" customFormat="false" ht="21.75" hidden="false" customHeight="true" outlineLevel="0" collapsed="false">
      <c r="B14" s="43" t="s">
        <v>100</v>
      </c>
      <c r="C14" s="44" t="s">
        <v>101</v>
      </c>
      <c r="D14" s="44" t="s">
        <v>102</v>
      </c>
      <c r="E14" s="15" t="s">
        <v>18</v>
      </c>
      <c r="F14" s="44" t="s">
        <v>103</v>
      </c>
      <c r="G14" s="44" t="s">
        <v>104</v>
      </c>
      <c r="H14" s="44" t="s">
        <v>74</v>
      </c>
      <c r="I14" s="45" t="n">
        <v>44377</v>
      </c>
      <c r="J14" s="46" t="n">
        <v>12</v>
      </c>
      <c r="K14" s="17" t="n">
        <v>649</v>
      </c>
      <c r="L14" s="47" t="s">
        <v>105</v>
      </c>
      <c r="M14" s="47" t="s">
        <v>84</v>
      </c>
      <c r="N14" s="44" t="s">
        <v>106</v>
      </c>
    </row>
    <row r="15" customFormat="false" ht="21.75" hidden="false" customHeight="true" outlineLevel="0" collapsed="false">
      <c r="B15" s="48" t="s">
        <v>107</v>
      </c>
      <c r="C15" s="49" t="s">
        <v>108</v>
      </c>
      <c r="D15" s="49" t="s">
        <v>109</v>
      </c>
      <c r="E15" s="20" t="s">
        <v>20</v>
      </c>
      <c r="F15" s="49" t="s">
        <v>110</v>
      </c>
      <c r="G15" s="49" t="s">
        <v>111</v>
      </c>
      <c r="H15" s="49" t="s">
        <v>112</v>
      </c>
      <c r="I15" s="50" t="n">
        <v>45426</v>
      </c>
      <c r="J15" s="51" t="n">
        <v>8</v>
      </c>
      <c r="K15" s="22" t="n">
        <v>129</v>
      </c>
      <c r="L15" s="52" t="s">
        <v>75</v>
      </c>
      <c r="M15" s="52" t="s">
        <v>76</v>
      </c>
      <c r="N15" s="49" t="s">
        <v>113</v>
      </c>
    </row>
    <row r="16" customFormat="false" ht="21.75" hidden="false" customHeight="true" outlineLevel="0" collapsed="false">
      <c r="B16" s="43" t="s">
        <v>114</v>
      </c>
      <c r="C16" s="44" t="s">
        <v>115</v>
      </c>
      <c r="D16" s="44" t="s">
        <v>116</v>
      </c>
      <c r="E16" s="15" t="s">
        <v>14</v>
      </c>
      <c r="F16" s="44" t="s">
        <v>117</v>
      </c>
      <c r="G16" s="44" t="s">
        <v>118</v>
      </c>
      <c r="H16" s="44" t="s">
        <v>119</v>
      </c>
      <c r="I16" s="45" t="n">
        <v>44966</v>
      </c>
      <c r="J16" s="46" t="n">
        <v>12</v>
      </c>
      <c r="K16" s="17" t="n">
        <v>249.9</v>
      </c>
      <c r="L16" s="47" t="s">
        <v>75</v>
      </c>
      <c r="M16" s="47" t="s">
        <v>84</v>
      </c>
      <c r="N16" s="44"/>
    </row>
    <row r="17" customFormat="false" ht="21.75" hidden="false" customHeight="true" outlineLevel="0" collapsed="false">
      <c r="B17" s="48" t="s">
        <v>120</v>
      </c>
      <c r="C17" s="49" t="s">
        <v>121</v>
      </c>
      <c r="D17" s="49" t="s">
        <v>122</v>
      </c>
      <c r="E17" s="20" t="s">
        <v>16</v>
      </c>
      <c r="F17" s="49" t="s">
        <v>123</v>
      </c>
      <c r="G17" s="49" t="s">
        <v>124</v>
      </c>
      <c r="H17" s="49" t="s">
        <v>90</v>
      </c>
      <c r="I17" s="50" t="n">
        <v>44807</v>
      </c>
      <c r="J17" s="51" t="n">
        <v>8</v>
      </c>
      <c r="K17" s="22" t="n">
        <v>379</v>
      </c>
      <c r="L17" s="52" t="s">
        <v>125</v>
      </c>
      <c r="M17" s="52" t="s">
        <v>126</v>
      </c>
      <c r="N17" s="49" t="s">
        <v>127</v>
      </c>
    </row>
    <row r="18" customFormat="false" ht="21.75" hidden="false" customHeight="true" outlineLevel="0" collapsed="false">
      <c r="B18" s="43" t="s">
        <v>128</v>
      </c>
      <c r="C18" s="44" t="s">
        <v>129</v>
      </c>
      <c r="D18" s="44" t="s">
        <v>130</v>
      </c>
      <c r="E18" s="15" t="s">
        <v>14</v>
      </c>
      <c r="F18" s="44" t="s">
        <v>131</v>
      </c>
      <c r="G18" s="44" t="s">
        <v>132</v>
      </c>
      <c r="H18" s="44" t="s">
        <v>74</v>
      </c>
      <c r="I18" s="45" t="n">
        <v>45043</v>
      </c>
      <c r="J18" s="46" t="n">
        <v>15</v>
      </c>
      <c r="K18" s="17" t="n">
        <v>92.5</v>
      </c>
      <c r="L18" s="47" t="s">
        <v>75</v>
      </c>
      <c r="M18" s="47" t="s">
        <v>76</v>
      </c>
      <c r="N18" s="44"/>
    </row>
    <row r="19" customFormat="false" ht="21.75" hidden="false" customHeight="true" outlineLevel="0" collapsed="false">
      <c r="B19" s="48" t="s">
        <v>133</v>
      </c>
      <c r="C19" s="49" t="s">
        <v>134</v>
      </c>
      <c r="D19" s="49" t="s">
        <v>135</v>
      </c>
      <c r="E19" s="20" t="s">
        <v>24</v>
      </c>
      <c r="F19" s="49" t="s">
        <v>136</v>
      </c>
      <c r="G19" s="49" t="s">
        <v>137</v>
      </c>
      <c r="H19" s="49" t="s">
        <v>74</v>
      </c>
      <c r="I19" s="50" t="n">
        <v>44481</v>
      </c>
      <c r="J19" s="51" t="n">
        <v>15</v>
      </c>
      <c r="K19" s="22" t="n">
        <v>419</v>
      </c>
      <c r="L19" s="52" t="s">
        <v>75</v>
      </c>
      <c r="M19" s="52" t="s">
        <v>84</v>
      </c>
      <c r="N19" s="49" t="s">
        <v>138</v>
      </c>
    </row>
    <row r="20" customFormat="false" ht="21.75" hidden="false" customHeight="true" outlineLevel="0" collapsed="false">
      <c r="B20" s="43" t="s">
        <v>139</v>
      </c>
      <c r="C20" s="44" t="s">
        <v>140</v>
      </c>
      <c r="D20" s="44" t="s">
        <v>141</v>
      </c>
      <c r="E20" s="15" t="s">
        <v>22</v>
      </c>
      <c r="F20" s="44" t="s">
        <v>142</v>
      </c>
      <c r="G20" s="44" t="s">
        <v>143</v>
      </c>
      <c r="H20" s="44" t="s">
        <v>74</v>
      </c>
      <c r="I20" s="45" t="n">
        <v>45692</v>
      </c>
      <c r="J20" s="46" t="n">
        <v>4</v>
      </c>
      <c r="K20" s="17" t="n">
        <v>68</v>
      </c>
      <c r="L20" s="47" t="s">
        <v>75</v>
      </c>
      <c r="M20" s="47" t="s">
        <v>98</v>
      </c>
      <c r="N20" s="44" t="s">
        <v>144</v>
      </c>
    </row>
    <row r="21" customFormat="false" ht="21.75" hidden="false" customHeight="true" outlineLevel="0" collapsed="false">
      <c r="B21" s="48" t="s">
        <v>145</v>
      </c>
      <c r="C21" s="49" t="s">
        <v>146</v>
      </c>
      <c r="D21" s="49" t="s">
        <v>147</v>
      </c>
      <c r="E21" s="20" t="s">
        <v>16</v>
      </c>
      <c r="F21" s="49" t="s">
        <v>148</v>
      </c>
      <c r="G21" s="49" t="s">
        <v>149</v>
      </c>
      <c r="H21" s="49" t="s">
        <v>150</v>
      </c>
      <c r="I21" s="50" t="n">
        <v>45491</v>
      </c>
      <c r="J21" s="51" t="n">
        <v>6</v>
      </c>
      <c r="K21" s="22" t="n">
        <v>599</v>
      </c>
      <c r="L21" s="52" t="s">
        <v>83</v>
      </c>
      <c r="M21" s="52" t="s">
        <v>76</v>
      </c>
      <c r="N21" s="49" t="s">
        <v>151</v>
      </c>
    </row>
    <row r="22" customFormat="false" ht="21.75" hidden="false" customHeight="true" outlineLevel="0" collapsed="false">
      <c r="B22" s="43" t="s">
        <v>152</v>
      </c>
      <c r="C22" s="44" t="s">
        <v>153</v>
      </c>
      <c r="D22" s="44" t="s">
        <v>154</v>
      </c>
      <c r="E22" s="15" t="s">
        <v>20</v>
      </c>
      <c r="F22" s="44" t="s">
        <v>155</v>
      </c>
      <c r="G22" s="44" t="s">
        <v>156</v>
      </c>
      <c r="H22" s="44" t="s">
        <v>112</v>
      </c>
      <c r="I22" s="45" t="n">
        <v>45261</v>
      </c>
      <c r="J22" s="46" t="n">
        <v>10</v>
      </c>
      <c r="K22" s="17" t="n">
        <v>895</v>
      </c>
      <c r="L22" s="47" t="s">
        <v>75</v>
      </c>
      <c r="M22" s="47" t="s">
        <v>84</v>
      </c>
      <c r="N22" s="44" t="s">
        <v>157</v>
      </c>
    </row>
    <row r="23" customFormat="false" ht="21.75" hidden="false" customHeight="true" outlineLevel="0" collapsed="false">
      <c r="B23" s="48" t="s">
        <v>158</v>
      </c>
      <c r="C23" s="49" t="s">
        <v>159</v>
      </c>
      <c r="D23" s="49" t="s">
        <v>160</v>
      </c>
      <c r="E23" s="20" t="s">
        <v>26</v>
      </c>
      <c r="F23" s="49" t="s">
        <v>161</v>
      </c>
      <c r="G23" s="49" t="s">
        <v>162</v>
      </c>
      <c r="H23" s="49" t="s">
        <v>163</v>
      </c>
      <c r="I23" s="50" t="n">
        <v>44672</v>
      </c>
      <c r="J23" s="51" t="n">
        <v>8</v>
      </c>
      <c r="K23" s="22" t="n">
        <v>289</v>
      </c>
      <c r="L23" s="52" t="s">
        <v>75</v>
      </c>
      <c r="M23" s="52" t="s">
        <v>164</v>
      </c>
      <c r="N23" s="49" t="s">
        <v>165</v>
      </c>
    </row>
    <row r="24" customFormat="false" ht="21.75" hidden="false" customHeight="true" outlineLevel="0" collapsed="false">
      <c r="B24" s="43" t="s">
        <v>166</v>
      </c>
      <c r="C24" s="44" t="s">
        <v>167</v>
      </c>
      <c r="D24" s="44" t="s">
        <v>168</v>
      </c>
      <c r="E24" s="15" t="s">
        <v>14</v>
      </c>
      <c r="F24" s="44" t="s">
        <v>169</v>
      </c>
      <c r="G24" s="44" t="s">
        <v>170</v>
      </c>
      <c r="H24" s="44" t="s">
        <v>90</v>
      </c>
      <c r="I24" s="45" t="n">
        <v>44058</v>
      </c>
      <c r="J24" s="46" t="n">
        <v>12</v>
      </c>
      <c r="K24" s="17" t="n">
        <v>56.9</v>
      </c>
      <c r="L24" s="47" t="s">
        <v>171</v>
      </c>
      <c r="M24" s="47" t="s">
        <v>172</v>
      </c>
      <c r="N24" s="44" t="s">
        <v>173</v>
      </c>
    </row>
    <row r="25" customFormat="false" ht="21.75" hidden="false" customHeight="true" outlineLevel="0" collapsed="false">
      <c r="B25" s="48" t="s">
        <v>174</v>
      </c>
      <c r="C25" s="49" t="s">
        <v>175</v>
      </c>
      <c r="D25" s="49" t="s">
        <v>176</v>
      </c>
      <c r="E25" s="20" t="s">
        <v>24</v>
      </c>
      <c r="F25" s="49" t="s">
        <v>177</v>
      </c>
      <c r="G25" s="49" t="s">
        <v>178</v>
      </c>
      <c r="H25" s="49" t="s">
        <v>163</v>
      </c>
      <c r="I25" s="50" t="n">
        <v>45085</v>
      </c>
      <c r="J25" s="51" t="n">
        <v>15</v>
      </c>
      <c r="K25" s="22" t="n">
        <v>325</v>
      </c>
      <c r="L25" s="52" t="s">
        <v>75</v>
      </c>
      <c r="M25" s="52" t="s">
        <v>84</v>
      </c>
      <c r="N25" s="49" t="s">
        <v>179</v>
      </c>
    </row>
    <row r="26" customFormat="false" ht="21.75" hidden="false" customHeight="true" outlineLevel="0" collapsed="false">
      <c r="B26" s="43" t="s">
        <v>180</v>
      </c>
      <c r="C26" s="44" t="s">
        <v>181</v>
      </c>
      <c r="D26" s="44" t="s">
        <v>154</v>
      </c>
      <c r="E26" s="15" t="s">
        <v>20</v>
      </c>
      <c r="F26" s="44" t="s">
        <v>182</v>
      </c>
      <c r="G26" s="44" t="s">
        <v>183</v>
      </c>
      <c r="H26" s="44" t="s">
        <v>74</v>
      </c>
      <c r="I26" s="45" t="n">
        <v>45576</v>
      </c>
      <c r="J26" s="46" t="n">
        <v>10</v>
      </c>
      <c r="K26" s="17" t="n">
        <v>259</v>
      </c>
      <c r="L26" s="47" t="s">
        <v>75</v>
      </c>
      <c r="M26" s="47" t="s">
        <v>98</v>
      </c>
      <c r="N26" s="44"/>
    </row>
    <row r="27" customFormat="false" ht="21.75" hidden="false" customHeight="true" outlineLevel="0" collapsed="false">
      <c r="B27" s="48" t="s">
        <v>184</v>
      </c>
      <c r="C27" s="49" t="s">
        <v>185</v>
      </c>
      <c r="D27" s="49" t="s">
        <v>186</v>
      </c>
      <c r="E27" s="20" t="s">
        <v>22</v>
      </c>
      <c r="F27" s="49" t="s">
        <v>187</v>
      </c>
      <c r="G27" s="49" t="s">
        <v>188</v>
      </c>
      <c r="H27" s="49" t="s">
        <v>74</v>
      </c>
      <c r="I27" s="50" t="n">
        <v>45823</v>
      </c>
      <c r="J27" s="51" t="n">
        <v>3</v>
      </c>
      <c r="K27" s="22" t="n">
        <v>145</v>
      </c>
      <c r="L27" s="52" t="s">
        <v>75</v>
      </c>
      <c r="M27" s="52" t="s">
        <v>98</v>
      </c>
      <c r="N27" s="49" t="s">
        <v>189</v>
      </c>
    </row>
    <row r="28" customFormat="false" ht="21.75" hidden="false" customHeight="true" outlineLevel="0" collapsed="false">
      <c r="B28" s="16"/>
      <c r="C28" s="15"/>
      <c r="D28" s="15"/>
      <c r="E28" s="15"/>
      <c r="F28" s="15"/>
      <c r="G28" s="15"/>
      <c r="H28" s="15"/>
      <c r="I28" s="45"/>
      <c r="J28" s="46"/>
      <c r="K28" s="17"/>
      <c r="L28" s="47"/>
      <c r="M28" s="47"/>
      <c r="N28" s="15"/>
    </row>
    <row r="29" customFormat="false" ht="21.75" hidden="false" customHeight="true" outlineLevel="0" collapsed="false">
      <c r="B29" s="21"/>
      <c r="C29" s="20"/>
      <c r="D29" s="20"/>
      <c r="E29" s="20"/>
      <c r="F29" s="20"/>
      <c r="G29" s="20"/>
      <c r="H29" s="20"/>
      <c r="I29" s="50"/>
      <c r="J29" s="51"/>
      <c r="K29" s="22"/>
      <c r="L29" s="52"/>
      <c r="M29" s="52"/>
      <c r="N29" s="20"/>
    </row>
    <row r="30" customFormat="false" ht="21.75" hidden="false" customHeight="true" outlineLevel="0" collapsed="false">
      <c r="B30" s="16"/>
      <c r="C30" s="15"/>
      <c r="D30" s="15"/>
      <c r="E30" s="15"/>
      <c r="F30" s="15"/>
      <c r="G30" s="15"/>
      <c r="H30" s="15"/>
      <c r="I30" s="45"/>
      <c r="J30" s="46"/>
      <c r="K30" s="17"/>
      <c r="L30" s="47"/>
      <c r="M30" s="47"/>
      <c r="N30" s="15"/>
    </row>
    <row r="31" customFormat="false" ht="21.75" hidden="false" customHeight="true" outlineLevel="0" collapsed="false">
      <c r="B31" s="21"/>
      <c r="C31" s="20"/>
      <c r="D31" s="20"/>
      <c r="E31" s="20"/>
      <c r="F31" s="20"/>
      <c r="G31" s="20"/>
      <c r="H31" s="20"/>
      <c r="I31" s="50"/>
      <c r="J31" s="51"/>
      <c r="K31" s="22"/>
      <c r="L31" s="52"/>
      <c r="M31" s="52"/>
      <c r="N31" s="20"/>
    </row>
    <row r="32" customFormat="false" ht="21.75" hidden="false" customHeight="true" outlineLevel="0" collapsed="false">
      <c r="B32" s="16"/>
      <c r="C32" s="15"/>
      <c r="D32" s="15"/>
      <c r="E32" s="15"/>
      <c r="F32" s="15"/>
      <c r="G32" s="15"/>
      <c r="H32" s="15"/>
      <c r="I32" s="45"/>
      <c r="J32" s="46"/>
      <c r="K32" s="17"/>
      <c r="L32" s="47"/>
      <c r="M32" s="47"/>
      <c r="N32" s="15"/>
    </row>
    <row r="33" customFormat="false" ht="21.75" hidden="false" customHeight="true" outlineLevel="0" collapsed="false">
      <c r="B33" s="21"/>
      <c r="C33" s="20"/>
      <c r="D33" s="20"/>
      <c r="E33" s="20"/>
      <c r="F33" s="20"/>
      <c r="G33" s="20"/>
      <c r="H33" s="20"/>
      <c r="I33" s="50"/>
      <c r="J33" s="51"/>
      <c r="K33" s="22"/>
      <c r="L33" s="52"/>
      <c r="M33" s="52"/>
      <c r="N33" s="20"/>
    </row>
    <row r="34" customFormat="false" ht="21.75" hidden="false" customHeight="true" outlineLevel="0" collapsed="false">
      <c r="B34" s="16"/>
      <c r="C34" s="15"/>
      <c r="D34" s="15"/>
      <c r="E34" s="15"/>
      <c r="F34" s="15"/>
      <c r="G34" s="15"/>
      <c r="H34" s="15"/>
      <c r="I34" s="45"/>
      <c r="J34" s="46"/>
      <c r="K34" s="17"/>
      <c r="L34" s="47"/>
      <c r="M34" s="47"/>
      <c r="N34" s="15"/>
    </row>
    <row r="35" customFormat="false" ht="21.75" hidden="false" customHeight="true" outlineLevel="0" collapsed="false">
      <c r="B35" s="21"/>
      <c r="C35" s="20"/>
      <c r="D35" s="20"/>
      <c r="E35" s="20"/>
      <c r="F35" s="20"/>
      <c r="G35" s="20"/>
      <c r="H35" s="20"/>
      <c r="I35" s="50"/>
      <c r="J35" s="51"/>
      <c r="K35" s="22"/>
      <c r="L35" s="52"/>
      <c r="M35" s="52"/>
      <c r="N35" s="20"/>
    </row>
    <row r="36" customFormat="false" ht="21.75" hidden="false" customHeight="true" outlineLevel="0" collapsed="false">
      <c r="B36" s="16"/>
      <c r="C36" s="15"/>
      <c r="D36" s="15"/>
      <c r="E36" s="15"/>
      <c r="F36" s="15"/>
      <c r="G36" s="15"/>
      <c r="H36" s="15"/>
      <c r="I36" s="45"/>
      <c r="J36" s="46"/>
      <c r="K36" s="17"/>
      <c r="L36" s="47"/>
      <c r="M36" s="47"/>
      <c r="N36" s="15"/>
    </row>
    <row r="37" customFormat="false" ht="21.75" hidden="false" customHeight="true" outlineLevel="0" collapsed="false">
      <c r="B37" s="21"/>
      <c r="C37" s="20"/>
      <c r="D37" s="20"/>
      <c r="E37" s="20"/>
      <c r="F37" s="20"/>
      <c r="G37" s="20"/>
      <c r="H37" s="20"/>
      <c r="I37" s="50"/>
      <c r="J37" s="51"/>
      <c r="K37" s="22"/>
      <c r="L37" s="52"/>
      <c r="M37" s="52"/>
      <c r="N37" s="20"/>
    </row>
    <row r="38" customFormat="false" ht="21.75" hidden="false" customHeight="true" outlineLevel="0" collapsed="false">
      <c r="B38" s="16"/>
      <c r="C38" s="15"/>
      <c r="D38" s="15"/>
      <c r="E38" s="15"/>
      <c r="F38" s="15"/>
      <c r="G38" s="15"/>
      <c r="H38" s="15"/>
      <c r="I38" s="45"/>
      <c r="J38" s="46"/>
      <c r="K38" s="17"/>
      <c r="L38" s="47"/>
      <c r="M38" s="47"/>
      <c r="N38" s="15"/>
    </row>
    <row r="39" customFormat="false" ht="21.75" hidden="false" customHeight="true" outlineLevel="0" collapsed="false">
      <c r="B39" s="21"/>
      <c r="C39" s="20"/>
      <c r="D39" s="20"/>
      <c r="E39" s="20"/>
      <c r="F39" s="20"/>
      <c r="G39" s="20"/>
      <c r="H39" s="20"/>
      <c r="I39" s="50"/>
      <c r="J39" s="51"/>
      <c r="K39" s="22"/>
      <c r="L39" s="52"/>
      <c r="M39" s="52"/>
      <c r="N39" s="20"/>
    </row>
    <row r="40" customFormat="false" ht="21.75" hidden="false" customHeight="true" outlineLevel="0" collapsed="false">
      <c r="B40" s="16"/>
      <c r="C40" s="15"/>
      <c r="D40" s="15"/>
      <c r="E40" s="15"/>
      <c r="F40" s="15"/>
      <c r="G40" s="15"/>
      <c r="H40" s="15"/>
      <c r="I40" s="45"/>
      <c r="J40" s="46"/>
      <c r="K40" s="17"/>
      <c r="L40" s="47"/>
      <c r="M40" s="47"/>
      <c r="N40" s="15"/>
    </row>
    <row r="41" customFormat="false" ht="21.75" hidden="false" customHeight="true" outlineLevel="0" collapsed="false">
      <c r="B41" s="21"/>
      <c r="C41" s="20"/>
      <c r="D41" s="20"/>
      <c r="E41" s="20"/>
      <c r="F41" s="20"/>
      <c r="G41" s="20"/>
      <c r="H41" s="20"/>
      <c r="I41" s="50"/>
      <c r="J41" s="51"/>
      <c r="K41" s="22"/>
      <c r="L41" s="52"/>
      <c r="M41" s="52"/>
      <c r="N41" s="20"/>
    </row>
    <row r="42" customFormat="false" ht="21.75" hidden="false" customHeight="true" outlineLevel="0" collapsed="false">
      <c r="B42" s="16"/>
      <c r="C42" s="15"/>
      <c r="D42" s="15"/>
      <c r="E42" s="15"/>
      <c r="F42" s="15"/>
      <c r="G42" s="15"/>
      <c r="H42" s="15"/>
      <c r="I42" s="45"/>
      <c r="J42" s="46"/>
      <c r="K42" s="17"/>
      <c r="L42" s="47"/>
      <c r="M42" s="47"/>
      <c r="N42" s="15"/>
    </row>
  </sheetData>
  <autoFilter ref="B9:N42"/>
  <mergeCells count="14">
    <mergeCell ref="B3:N3"/>
    <mergeCell ref="B4:N4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</mergeCells>
  <conditionalFormatting sqref="L10:L42">
    <cfRule type="cellIs" priority="2" operator="equal" aboveAverage="0" equalAverage="0" bottom="0" percent="0" rank="0" text="" dxfId="11">
      <formula>"Verfügbar"</formula>
    </cfRule>
    <cfRule type="cellIs" priority="3" operator="equal" aboveAverage="0" equalAverage="0" bottom="0" percent="0" rank="0" text="" dxfId="12">
      <formula>"Ausgeliehen"</formula>
    </cfRule>
    <cfRule type="cellIs" priority="4" operator="equal" aboveAverage="0" equalAverage="0" bottom="0" percent="0" rank="0" text="" dxfId="13">
      <formula>"In Reparatur"</formula>
    </cfRule>
    <cfRule type="cellIs" priority="5" operator="equal" aboveAverage="0" equalAverage="0" bottom="0" percent="0" rank="0" text="" dxfId="13">
      <formula>"In Wartung"</formula>
    </cfRule>
    <cfRule type="cellIs" priority="6" operator="equal" aboveAverage="0" equalAverage="0" bottom="0" percent="0" rank="0" text="" dxfId="14">
      <formula>"Ausgesondert"</formula>
    </cfRule>
    <cfRule type="cellIs" priority="7" operator="equal" aboveAverage="0" equalAverage="0" bottom="0" percent="0" rank="0" text="" dxfId="15">
      <formula>"Reserviert"</formula>
    </cfRule>
  </conditionalFormatting>
  <dataValidations count="4">
    <dataValidation allowBlank="true" error="Bitte einen Wert aus der Liste wählen." errorStyle="stop" errorTitle="Ungültiger Eintrag" operator="between" showDropDown="false" showErrorMessage="false" showInputMessage="false" sqref="E10:E42" type="list">
      <formula1>Kategorien</formula1>
      <formula2>0</formula2>
    </dataValidation>
    <dataValidation allowBlank="true" errorStyle="stop" operator="between" showDropDown="false" showErrorMessage="false" showInputMessage="false" sqref="H10:H42" type="list">
      <formula1>Standorte</formula1>
      <formula2>0</formula2>
    </dataValidation>
    <dataValidation allowBlank="true" errorStyle="stop" operator="between" showDropDown="false" showErrorMessage="false" showInputMessage="false" sqref="L10:L42" type="list">
      <formula1>StatusWerkzeug</formula1>
      <formula2>0</formula2>
    </dataValidation>
    <dataValidation allowBlank="true" errorStyle="stop" operator="between" showDropDown="false" showErrorMessage="false" showInputMessage="false" sqref="M10:M42" type="list">
      <formula1>Zustand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3"/>
    <col collapsed="false" customWidth="true" hidden="false" outlineLevel="0" max="4" min="4" style="0" width="30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10" min="7" style="0" width="14"/>
    <col collapsed="false" customWidth="true" hidden="false" outlineLevel="0" max="11" min="11" style="0" width="12"/>
    <col collapsed="false" customWidth="true" hidden="false" outlineLevel="0" max="12" min="12" style="0" width="26"/>
    <col collapsed="false" customWidth="true" hidden="false" outlineLevel="0" max="13" min="13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9.75" hidden="false" customHeight="true" outlineLevel="0" collapsed="false"/>
    <row r="3" customFormat="false" ht="36" hidden="false" customHeight="true" outlineLevel="0" collapsed="false">
      <c r="B3" s="37" t="s">
        <v>190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customFormat="false" ht="19.5" hidden="false" customHeight="true" outlineLevel="0" collapsed="false">
      <c r="B4" s="38" t="s">
        <v>191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8" hidden="false" customHeight="true" outlineLevel="0" collapsed="false">
      <c r="B6" s="39" t="s">
        <v>192</v>
      </c>
      <c r="C6" s="39"/>
      <c r="D6" s="39" t="s">
        <v>193</v>
      </c>
      <c r="E6" s="39"/>
      <c r="F6" s="39" t="s">
        <v>194</v>
      </c>
      <c r="G6" s="39"/>
      <c r="H6" s="39" t="s">
        <v>195</v>
      </c>
      <c r="I6" s="39"/>
      <c r="J6" s="39" t="s">
        <v>196</v>
      </c>
      <c r="K6" s="39"/>
    </row>
    <row r="7" customFormat="false" ht="31.5" hidden="false" customHeight="true" outlineLevel="0" collapsed="false">
      <c r="B7" s="53" t="n">
        <f aca="false">COUNTA(B10:B1000)</f>
        <v>10</v>
      </c>
      <c r="C7" s="53"/>
      <c r="D7" s="53" t="n">
        <f aca="false">COUNTIF(J10:J1000,"Offen")</f>
        <v>2</v>
      </c>
      <c r="E7" s="53"/>
      <c r="F7" s="53" t="n">
        <f aca="false">COUNTIF(J10:J1000,"Überfällig")</f>
        <v>1</v>
      </c>
      <c r="G7" s="53"/>
      <c r="H7" s="53" t="n">
        <f aca="true">COUNTIFS(I10:I1000,"&gt;="&amp;(TODAY()-WEEKDAY(TODAY(),2)+1),I10:I1000,"&lt;="&amp;(TODAY()-WEEKDAY(TODAY(),2)+7))</f>
        <v>0</v>
      </c>
      <c r="I7" s="53"/>
      <c r="J7" s="54" t="n">
        <f aca="false">IFERROR(AVERAGE(H10:H1000)-AVERAGE(G10:G1000),0)</f>
        <v>13.6</v>
      </c>
      <c r="K7" s="54"/>
    </row>
    <row r="8" customFormat="false" ht="13.5" hidden="false" customHeight="true" outlineLevel="0" collapsed="false"/>
    <row r="9" customFormat="false" ht="31.5" hidden="false" customHeight="true" outlineLevel="0" collapsed="false">
      <c r="B9" s="42" t="s">
        <v>197</v>
      </c>
      <c r="C9" s="42" t="s">
        <v>57</v>
      </c>
      <c r="D9" s="42" t="s">
        <v>198</v>
      </c>
      <c r="E9" s="42" t="s">
        <v>199</v>
      </c>
      <c r="F9" s="42" t="s">
        <v>200</v>
      </c>
      <c r="G9" s="42" t="s">
        <v>201</v>
      </c>
      <c r="H9" s="42" t="s">
        <v>202</v>
      </c>
      <c r="I9" s="42" t="s">
        <v>203</v>
      </c>
      <c r="J9" s="42" t="s">
        <v>66</v>
      </c>
      <c r="K9" s="42" t="s">
        <v>204</v>
      </c>
      <c r="L9" s="42" t="s">
        <v>68</v>
      </c>
    </row>
    <row r="10" customFormat="false" ht="21.75" hidden="false" customHeight="true" outlineLevel="0" collapsed="false">
      <c r="B10" s="43" t="s">
        <v>205</v>
      </c>
      <c r="C10" s="16" t="s">
        <v>78</v>
      </c>
      <c r="D10" s="55" t="str">
        <f aca="false">IFERROR(INDEX('Werkzeug-Inventar'!C:C,MATCH(C10,'Werkzeug-Inventar'!B:B,0)),"")</f>
        <v>Winkelschleifer 125 mm</v>
      </c>
      <c r="E10" s="15" t="s">
        <v>206</v>
      </c>
      <c r="F10" s="15" t="s">
        <v>207</v>
      </c>
      <c r="G10" s="45" t="n">
        <v>46195</v>
      </c>
      <c r="H10" s="45" t="n">
        <v>46223</v>
      </c>
      <c r="I10" s="45"/>
      <c r="J10" s="56" t="str">
        <f aca="true">IF(I10&lt;&gt;"","Zurückgegeben",IF(H10&lt;TODAY(),"Überfällig","Offen"))</f>
        <v>Offen</v>
      </c>
      <c r="K10" s="57" t="n">
        <f aca="true">IF(I10&lt;&gt;"","-",H10-TODAY())</f>
        <v>7</v>
      </c>
      <c r="L10" s="58" t="s">
        <v>208</v>
      </c>
    </row>
    <row r="11" customFormat="false" ht="21.75" hidden="false" customHeight="true" outlineLevel="0" collapsed="false">
      <c r="B11" s="48" t="s">
        <v>209</v>
      </c>
      <c r="C11" s="21" t="s">
        <v>145</v>
      </c>
      <c r="D11" s="59" t="str">
        <f aca="false">IFERROR(INDEX('Werkzeug-Inventar'!C:C,MATCH(C11,'Werkzeug-Inventar'!B:B,0)),"")</f>
        <v>Bohrhammer SDS-Plus</v>
      </c>
      <c r="E11" s="20" t="s">
        <v>210</v>
      </c>
      <c r="F11" s="20" t="s">
        <v>211</v>
      </c>
      <c r="G11" s="50" t="n">
        <v>46204</v>
      </c>
      <c r="H11" s="50" t="n">
        <v>46218</v>
      </c>
      <c r="I11" s="50"/>
      <c r="J11" s="60" t="str">
        <f aca="true">IF(I11&lt;&gt;"","Zurückgegeben",IF(H11&lt;TODAY(),"Überfällig","Offen"))</f>
        <v>Offen</v>
      </c>
      <c r="K11" s="61" t="n">
        <f aca="true">IF(I11&lt;&gt;"","-",H11-TODAY())</f>
        <v>2</v>
      </c>
      <c r="L11" s="62" t="s">
        <v>212</v>
      </c>
    </row>
    <row r="12" customFormat="false" ht="21.75" hidden="false" customHeight="true" outlineLevel="0" collapsed="false">
      <c r="B12" s="43" t="s">
        <v>213</v>
      </c>
      <c r="C12" s="16" t="s">
        <v>92</v>
      </c>
      <c r="D12" s="55" t="str">
        <f aca="false">IFERROR(INDEX('Werkzeug-Inventar'!C:C,MATCH(C12,'Werkzeug-Inventar'!B:B,0)),"")</f>
        <v>Lasermessgerät 100 m</v>
      </c>
      <c r="E12" s="15" t="s">
        <v>214</v>
      </c>
      <c r="F12" s="15" t="s">
        <v>215</v>
      </c>
      <c r="G12" s="45" t="n">
        <v>46188</v>
      </c>
      <c r="H12" s="45" t="n">
        <v>46198</v>
      </c>
      <c r="I12" s="45" t="n">
        <v>46197</v>
      </c>
      <c r="J12" s="56" t="str">
        <f aca="true">IF(I12&lt;&gt;"","Zurückgegeben",IF(H12&lt;TODAY(),"Überfällig","Offen"))</f>
        <v>Zurückgegeben</v>
      </c>
      <c r="K12" s="57" t="str">
        <f aca="true">IF(I12&lt;&gt;"","-",H12-TODAY())</f>
        <v>-</v>
      </c>
      <c r="L12" s="58" t="s">
        <v>216</v>
      </c>
    </row>
    <row r="13" customFormat="false" ht="21.75" hidden="false" customHeight="true" outlineLevel="0" collapsed="false">
      <c r="B13" s="48" t="s">
        <v>217</v>
      </c>
      <c r="C13" s="21" t="s">
        <v>114</v>
      </c>
      <c r="D13" s="59" t="str">
        <f aca="false">IFERROR(INDEX('Werkzeug-Inventar'!C:C,MATCH(C13,'Werkzeug-Inventar'!B:B,0)),"")</f>
        <v>Steckschlüsselsatz 1/2" 40-tlg.</v>
      </c>
      <c r="E13" s="20" t="s">
        <v>218</v>
      </c>
      <c r="F13" s="20" t="s">
        <v>219</v>
      </c>
      <c r="G13" s="50" t="n">
        <v>46170</v>
      </c>
      <c r="H13" s="50" t="n">
        <v>46184</v>
      </c>
      <c r="I13" s="50" t="n">
        <v>46185</v>
      </c>
      <c r="J13" s="60" t="str">
        <f aca="true">IF(I13&lt;&gt;"","Zurückgegeben",IF(H13&lt;TODAY(),"Überfällig","Offen"))</f>
        <v>Zurückgegeben</v>
      </c>
      <c r="K13" s="61" t="str">
        <f aca="true">IF(I13&lt;&gt;"","-",H13-TODAY())</f>
        <v>-</v>
      </c>
      <c r="L13" s="62" t="s">
        <v>220</v>
      </c>
    </row>
    <row r="14" customFormat="false" ht="21.75" hidden="false" customHeight="true" outlineLevel="0" collapsed="false">
      <c r="B14" s="43" t="s">
        <v>221</v>
      </c>
      <c r="C14" s="16" t="s">
        <v>152</v>
      </c>
      <c r="D14" s="55" t="str">
        <f aca="false">IFERROR(INDEX('Werkzeug-Inventar'!C:C,MATCH(C14,'Werkzeug-Inventar'!B:B,0)),"")</f>
        <v>Isolationsprüfgerät</v>
      </c>
      <c r="E14" s="15" t="s">
        <v>222</v>
      </c>
      <c r="F14" s="15" t="s">
        <v>219</v>
      </c>
      <c r="G14" s="45" t="n">
        <v>46145</v>
      </c>
      <c r="H14" s="45" t="n">
        <v>46159</v>
      </c>
      <c r="I14" s="45" t="n">
        <v>46159</v>
      </c>
      <c r="J14" s="56" t="str">
        <f aca="true">IF(I14&lt;&gt;"","Zurückgegeben",IF(H14&lt;TODAY(),"Überfällig","Offen"))</f>
        <v>Zurückgegeben</v>
      </c>
      <c r="K14" s="57" t="str">
        <f aca="true">IF(I14&lt;&gt;"","-",H14-TODAY())</f>
        <v>-</v>
      </c>
      <c r="L14" s="58"/>
    </row>
    <row r="15" customFormat="false" ht="21.75" hidden="false" customHeight="true" outlineLevel="0" collapsed="false">
      <c r="B15" s="48" t="s">
        <v>223</v>
      </c>
      <c r="C15" s="21" t="s">
        <v>180</v>
      </c>
      <c r="D15" s="59" t="str">
        <f aca="false">IFERROR(INDEX('Werkzeug-Inventar'!C:C,MATCH(C15,'Werkzeug-Inventar'!B:B,0)),"")</f>
        <v>Multimeter TRMS</v>
      </c>
      <c r="E15" s="20" t="s">
        <v>224</v>
      </c>
      <c r="F15" s="20" t="s">
        <v>211</v>
      </c>
      <c r="G15" s="50" t="n">
        <v>46181</v>
      </c>
      <c r="H15" s="50" t="n">
        <v>46195</v>
      </c>
      <c r="I15" s="50" t="n">
        <v>46195</v>
      </c>
      <c r="J15" s="60" t="str">
        <f aca="true">IF(I15&lt;&gt;"","Zurückgegeben",IF(H15&lt;TODAY(),"Überfällig","Offen"))</f>
        <v>Zurückgegeben</v>
      </c>
      <c r="K15" s="61" t="str">
        <f aca="true">IF(I15&lt;&gt;"","-",H15-TODAY())</f>
        <v>-</v>
      </c>
      <c r="L15" s="62"/>
    </row>
    <row r="16" customFormat="false" ht="21.75" hidden="false" customHeight="true" outlineLevel="0" collapsed="false">
      <c r="B16" s="43" t="s">
        <v>225</v>
      </c>
      <c r="C16" s="16" t="s">
        <v>133</v>
      </c>
      <c r="D16" s="55" t="str">
        <f aca="false">IFERROR(INDEX('Werkzeug-Inventar'!C:C,MATCH(C16,'Werkzeug-Inventar'!B:B,0)),"")</f>
        <v>Kettenzug 500 kg</v>
      </c>
      <c r="E16" s="15" t="s">
        <v>226</v>
      </c>
      <c r="F16" s="15" t="s">
        <v>227</v>
      </c>
      <c r="G16" s="45" t="n">
        <v>46162</v>
      </c>
      <c r="H16" s="45" t="n">
        <v>46176</v>
      </c>
      <c r="I16" s="45" t="n">
        <v>46177</v>
      </c>
      <c r="J16" s="56" t="str">
        <f aca="true">IF(I16&lt;&gt;"","Zurückgegeben",IF(H16&lt;TODAY(),"Überfällig","Offen"))</f>
        <v>Zurückgegeben</v>
      </c>
      <c r="K16" s="57" t="str">
        <f aca="true">IF(I16&lt;&gt;"","-",H16-TODAY())</f>
        <v>-</v>
      </c>
      <c r="L16" s="58" t="s">
        <v>228</v>
      </c>
    </row>
    <row r="17" customFormat="false" ht="21.75" hidden="false" customHeight="true" outlineLevel="0" collapsed="false">
      <c r="B17" s="48" t="s">
        <v>229</v>
      </c>
      <c r="C17" s="21" t="s">
        <v>107</v>
      </c>
      <c r="D17" s="59" t="str">
        <f aca="false">IFERROR(INDEX('Werkzeug-Inventar'!C:C,MATCH(C17,'Werkzeug-Inventar'!B:B,0)),"")</f>
        <v>Digitaler Messschieber 150 mm</v>
      </c>
      <c r="E17" s="20" t="s">
        <v>230</v>
      </c>
      <c r="F17" s="20" t="s">
        <v>215</v>
      </c>
      <c r="G17" s="50" t="n">
        <v>46203</v>
      </c>
      <c r="H17" s="50" t="n">
        <v>46210</v>
      </c>
      <c r="I17" s="50"/>
      <c r="J17" s="60" t="str">
        <f aca="true">IF(I17&lt;&gt;"","Zurückgegeben",IF(H17&lt;TODAY(),"Überfällig","Offen"))</f>
        <v>Überfällig</v>
      </c>
      <c r="K17" s="61" t="n">
        <f aca="true">IF(I17&lt;&gt;"","-",H17-TODAY())</f>
        <v>-6</v>
      </c>
      <c r="L17" s="62" t="s">
        <v>231</v>
      </c>
    </row>
    <row r="18" customFormat="false" ht="21.75" hidden="false" customHeight="true" outlineLevel="0" collapsed="false">
      <c r="B18" s="43" t="s">
        <v>232</v>
      </c>
      <c r="C18" s="16" t="s">
        <v>158</v>
      </c>
      <c r="D18" s="55" t="str">
        <f aca="false">IFERROR(INDEX('Werkzeug-Inventar'!C:C,MATCH(C18,'Werkzeug-Inventar'!B:B,0)),"")</f>
        <v>Heckenschere Akku 55 cm</v>
      </c>
      <c r="E18" s="15" t="s">
        <v>233</v>
      </c>
      <c r="F18" s="15" t="s">
        <v>234</v>
      </c>
      <c r="G18" s="45" t="n">
        <v>46157</v>
      </c>
      <c r="H18" s="45" t="n">
        <v>46164</v>
      </c>
      <c r="I18" s="45" t="n">
        <v>46163</v>
      </c>
      <c r="J18" s="56" t="str">
        <f aca="true">IF(I18&lt;&gt;"","Zurückgegeben",IF(H18&lt;TODAY(),"Überfällig","Offen"))</f>
        <v>Zurückgegeben</v>
      </c>
      <c r="K18" s="57" t="str">
        <f aca="true">IF(I18&lt;&gt;"","-",H18-TODAY())</f>
        <v>-</v>
      </c>
      <c r="L18" s="58" t="s">
        <v>235</v>
      </c>
    </row>
    <row r="19" customFormat="false" ht="21.75" hidden="false" customHeight="true" outlineLevel="0" collapsed="false">
      <c r="B19" s="48" t="s">
        <v>236</v>
      </c>
      <c r="C19" s="21" t="s">
        <v>69</v>
      </c>
      <c r="D19" s="59" t="str">
        <f aca="false">IFERROR(INDEX('Werkzeug-Inventar'!C:C,MATCH(C19,'Werkzeug-Inventar'!B:B,0)),"")</f>
        <v>Akku-Schlagbohrmaschine 18V</v>
      </c>
      <c r="E19" s="20" t="s">
        <v>237</v>
      </c>
      <c r="F19" s="20" t="s">
        <v>238</v>
      </c>
      <c r="G19" s="50" t="n">
        <v>46124</v>
      </c>
      <c r="H19" s="50" t="n">
        <v>46138</v>
      </c>
      <c r="I19" s="50" t="n">
        <v>46138</v>
      </c>
      <c r="J19" s="60" t="str">
        <f aca="true">IF(I19&lt;&gt;"","Zurückgegeben",IF(H19&lt;TODAY(),"Überfällig","Offen"))</f>
        <v>Zurückgegeben</v>
      </c>
      <c r="K19" s="61" t="str">
        <f aca="true">IF(I19&lt;&gt;"","-",H19-TODAY())</f>
        <v>-</v>
      </c>
      <c r="L19" s="62" t="s">
        <v>239</v>
      </c>
    </row>
    <row r="20" customFormat="false" ht="21.75" hidden="false" customHeight="true" outlineLevel="0" collapsed="false">
      <c r="B20" s="43"/>
      <c r="C20" s="16"/>
      <c r="D20" s="55" t="str">
        <f aca="false">IFERROR(IF(C20="","",INDEX('Werkzeug-Inventar'!C:C,MATCH(C20,'Werkzeug-Inventar'!B:B,0))),"")</f>
        <v/>
      </c>
      <c r="E20" s="15"/>
      <c r="F20" s="15"/>
      <c r="G20" s="45"/>
      <c r="H20" s="45"/>
      <c r="I20" s="45"/>
      <c r="J20" s="56" t="str">
        <f aca="true">IF(B20="","",IF(I20&lt;&gt;"","Zurückgegeben",IF(H20&lt;TODAY(),"Überfällig","Offen")))</f>
        <v/>
      </c>
      <c r="K20" s="57" t="str">
        <f aca="true">IF(B20="","",IF(I20&lt;&gt;"","-",H20-TODAY()))</f>
        <v/>
      </c>
      <c r="L20" s="15"/>
    </row>
    <row r="21" customFormat="false" ht="21.75" hidden="false" customHeight="true" outlineLevel="0" collapsed="false">
      <c r="B21" s="48"/>
      <c r="C21" s="21"/>
      <c r="D21" s="59" t="str">
        <f aca="false">IFERROR(IF(C21="","",INDEX('Werkzeug-Inventar'!C:C,MATCH(C21,'Werkzeug-Inventar'!B:B,0))),"")</f>
        <v/>
      </c>
      <c r="E21" s="20"/>
      <c r="F21" s="20"/>
      <c r="G21" s="50"/>
      <c r="H21" s="50"/>
      <c r="I21" s="50"/>
      <c r="J21" s="60" t="str">
        <f aca="true">IF(B21="","",IF(I21&lt;&gt;"","Zurückgegeben",IF(H21&lt;TODAY(),"Überfällig","Offen")))</f>
        <v/>
      </c>
      <c r="K21" s="61" t="str">
        <f aca="true">IF(B21="","",IF(I21&lt;&gt;"","-",H21-TODAY()))</f>
        <v/>
      </c>
      <c r="L21" s="20"/>
    </row>
    <row r="22" customFormat="false" ht="21.75" hidden="false" customHeight="true" outlineLevel="0" collapsed="false">
      <c r="B22" s="43"/>
      <c r="C22" s="16"/>
      <c r="D22" s="55" t="str">
        <f aca="false">IFERROR(IF(C22="","",INDEX('Werkzeug-Inventar'!C:C,MATCH(C22,'Werkzeug-Inventar'!B:B,0))),"")</f>
        <v/>
      </c>
      <c r="E22" s="15"/>
      <c r="F22" s="15"/>
      <c r="G22" s="45"/>
      <c r="H22" s="45"/>
      <c r="I22" s="45"/>
      <c r="J22" s="56" t="str">
        <f aca="true">IF(B22="","",IF(I22&lt;&gt;"","Zurückgegeben",IF(H22&lt;TODAY(),"Überfällig","Offen")))</f>
        <v/>
      </c>
      <c r="K22" s="57" t="str">
        <f aca="true">IF(B22="","",IF(I22&lt;&gt;"","-",H22-TODAY()))</f>
        <v/>
      </c>
      <c r="L22" s="15"/>
    </row>
    <row r="23" customFormat="false" ht="21.75" hidden="false" customHeight="true" outlineLevel="0" collapsed="false">
      <c r="B23" s="48"/>
      <c r="C23" s="21"/>
      <c r="D23" s="59" t="str">
        <f aca="false">IFERROR(IF(C23="","",INDEX('Werkzeug-Inventar'!C:C,MATCH(C23,'Werkzeug-Inventar'!B:B,0))),"")</f>
        <v/>
      </c>
      <c r="E23" s="20"/>
      <c r="F23" s="20"/>
      <c r="G23" s="50"/>
      <c r="H23" s="50"/>
      <c r="I23" s="50"/>
      <c r="J23" s="60" t="str">
        <f aca="true">IF(B23="","",IF(I23&lt;&gt;"","Zurückgegeben",IF(H23&lt;TODAY(),"Überfällig","Offen")))</f>
        <v/>
      </c>
      <c r="K23" s="61" t="str">
        <f aca="true">IF(B23="","",IF(I23&lt;&gt;"","-",H23-TODAY()))</f>
        <v/>
      </c>
      <c r="L23" s="20"/>
    </row>
    <row r="24" customFormat="false" ht="21.75" hidden="false" customHeight="true" outlineLevel="0" collapsed="false">
      <c r="B24" s="43"/>
      <c r="C24" s="16"/>
      <c r="D24" s="55" t="str">
        <f aca="false">IFERROR(IF(C24="","",INDEX('Werkzeug-Inventar'!C:C,MATCH(C24,'Werkzeug-Inventar'!B:B,0))),"")</f>
        <v/>
      </c>
      <c r="E24" s="15"/>
      <c r="F24" s="15"/>
      <c r="G24" s="45"/>
      <c r="H24" s="45"/>
      <c r="I24" s="45"/>
      <c r="J24" s="56" t="str">
        <f aca="true">IF(B24="","",IF(I24&lt;&gt;"","Zurückgegeben",IF(H24&lt;TODAY(),"Überfällig","Offen")))</f>
        <v/>
      </c>
      <c r="K24" s="57" t="str">
        <f aca="true">IF(B24="","",IF(I24&lt;&gt;"","-",H24-TODAY()))</f>
        <v/>
      </c>
      <c r="L24" s="15"/>
    </row>
    <row r="25" customFormat="false" ht="21.75" hidden="false" customHeight="true" outlineLevel="0" collapsed="false">
      <c r="B25" s="48"/>
      <c r="C25" s="21"/>
      <c r="D25" s="59" t="str">
        <f aca="false">IFERROR(IF(C25="","",INDEX('Werkzeug-Inventar'!C:C,MATCH(C25,'Werkzeug-Inventar'!B:B,0))),"")</f>
        <v/>
      </c>
      <c r="E25" s="20"/>
      <c r="F25" s="20"/>
      <c r="G25" s="50"/>
      <c r="H25" s="50"/>
      <c r="I25" s="50"/>
      <c r="J25" s="60" t="str">
        <f aca="true">IF(B25="","",IF(I25&lt;&gt;"","Zurückgegeben",IF(H25&lt;TODAY(),"Überfällig","Offen")))</f>
        <v/>
      </c>
      <c r="K25" s="61" t="str">
        <f aca="true">IF(B25="","",IF(I25&lt;&gt;"","-",H25-TODAY()))</f>
        <v/>
      </c>
      <c r="L25" s="20"/>
    </row>
    <row r="26" customFormat="false" ht="21.75" hidden="false" customHeight="true" outlineLevel="0" collapsed="false">
      <c r="B26" s="43"/>
      <c r="C26" s="16"/>
      <c r="D26" s="55" t="str">
        <f aca="false">IFERROR(IF(C26="","",INDEX('Werkzeug-Inventar'!C:C,MATCH(C26,'Werkzeug-Inventar'!B:B,0))),"")</f>
        <v/>
      </c>
      <c r="E26" s="15"/>
      <c r="F26" s="15"/>
      <c r="G26" s="45"/>
      <c r="H26" s="45"/>
      <c r="I26" s="45"/>
      <c r="J26" s="56" t="str">
        <f aca="true">IF(B26="","",IF(I26&lt;&gt;"","Zurückgegeben",IF(H26&lt;TODAY(),"Überfällig","Offen")))</f>
        <v/>
      </c>
      <c r="K26" s="57" t="str">
        <f aca="true">IF(B26="","",IF(I26&lt;&gt;"","-",H26-TODAY()))</f>
        <v/>
      </c>
      <c r="L26" s="15"/>
    </row>
    <row r="27" customFormat="false" ht="21.75" hidden="false" customHeight="true" outlineLevel="0" collapsed="false">
      <c r="B27" s="48"/>
      <c r="C27" s="21"/>
      <c r="D27" s="59" t="str">
        <f aca="false">IFERROR(IF(C27="","",INDEX('Werkzeug-Inventar'!C:C,MATCH(C27,'Werkzeug-Inventar'!B:B,0))),"")</f>
        <v/>
      </c>
      <c r="E27" s="20"/>
      <c r="F27" s="20"/>
      <c r="G27" s="50"/>
      <c r="H27" s="50"/>
      <c r="I27" s="50"/>
      <c r="J27" s="60" t="str">
        <f aca="true">IF(B27="","",IF(I27&lt;&gt;"","Zurückgegeben",IF(H27&lt;TODAY(),"Überfällig","Offen")))</f>
        <v/>
      </c>
      <c r="K27" s="61" t="str">
        <f aca="true">IF(B27="","",IF(I27&lt;&gt;"","-",H27-TODAY()))</f>
        <v/>
      </c>
      <c r="L27" s="20"/>
    </row>
    <row r="28" customFormat="false" ht="21.75" hidden="false" customHeight="true" outlineLevel="0" collapsed="false">
      <c r="B28" s="43"/>
      <c r="C28" s="16"/>
      <c r="D28" s="55" t="str">
        <f aca="false">IFERROR(IF(C28="","",INDEX('Werkzeug-Inventar'!C:C,MATCH(C28,'Werkzeug-Inventar'!B:B,0))),"")</f>
        <v/>
      </c>
      <c r="E28" s="15"/>
      <c r="F28" s="15"/>
      <c r="G28" s="45"/>
      <c r="H28" s="45"/>
      <c r="I28" s="45"/>
      <c r="J28" s="56" t="str">
        <f aca="true">IF(B28="","",IF(I28&lt;&gt;"","Zurückgegeben",IF(H28&lt;TODAY(),"Überfällig","Offen")))</f>
        <v/>
      </c>
      <c r="K28" s="57" t="str">
        <f aca="true">IF(B28="","",IF(I28&lt;&gt;"","-",H28-TODAY()))</f>
        <v/>
      </c>
      <c r="L28" s="15"/>
    </row>
    <row r="29" customFormat="false" ht="21.75" hidden="false" customHeight="true" outlineLevel="0" collapsed="false">
      <c r="B29" s="48"/>
      <c r="C29" s="21"/>
      <c r="D29" s="59" t="str">
        <f aca="false">IFERROR(IF(C29="","",INDEX('Werkzeug-Inventar'!C:C,MATCH(C29,'Werkzeug-Inventar'!B:B,0))),"")</f>
        <v/>
      </c>
      <c r="E29" s="20"/>
      <c r="F29" s="20"/>
      <c r="G29" s="50"/>
      <c r="H29" s="50"/>
      <c r="I29" s="50"/>
      <c r="J29" s="60" t="str">
        <f aca="true">IF(B29="","",IF(I29&lt;&gt;"","Zurückgegeben",IF(H29&lt;TODAY(),"Überfällig","Offen")))</f>
        <v/>
      </c>
      <c r="K29" s="61" t="str">
        <f aca="true">IF(B29="","",IF(I29&lt;&gt;"","-",H29-TODAY()))</f>
        <v/>
      </c>
      <c r="L29" s="20"/>
    </row>
    <row r="30" customFormat="false" ht="21.75" hidden="false" customHeight="true" outlineLevel="0" collapsed="false">
      <c r="B30" s="43"/>
      <c r="C30" s="16"/>
      <c r="D30" s="55" t="str">
        <f aca="false">IFERROR(IF(C30="","",INDEX('Werkzeug-Inventar'!C:C,MATCH(C30,'Werkzeug-Inventar'!B:B,0))),"")</f>
        <v/>
      </c>
      <c r="E30" s="15"/>
      <c r="F30" s="15"/>
      <c r="G30" s="45"/>
      <c r="H30" s="45"/>
      <c r="I30" s="45"/>
      <c r="J30" s="56" t="str">
        <f aca="true">IF(B30="","",IF(I30&lt;&gt;"","Zurückgegeben",IF(H30&lt;TODAY(),"Überfällig","Offen")))</f>
        <v/>
      </c>
      <c r="K30" s="57" t="str">
        <f aca="true">IF(B30="","",IF(I30&lt;&gt;"","-",H30-TODAY()))</f>
        <v/>
      </c>
      <c r="L30" s="15"/>
    </row>
    <row r="31" customFormat="false" ht="21.75" hidden="false" customHeight="true" outlineLevel="0" collapsed="false">
      <c r="B31" s="48"/>
      <c r="C31" s="21"/>
      <c r="D31" s="59" t="str">
        <f aca="false">IFERROR(IF(C31="","",INDEX('Werkzeug-Inventar'!C:C,MATCH(C31,'Werkzeug-Inventar'!B:B,0))),"")</f>
        <v/>
      </c>
      <c r="E31" s="20"/>
      <c r="F31" s="20"/>
      <c r="G31" s="50"/>
      <c r="H31" s="50"/>
      <c r="I31" s="50"/>
      <c r="J31" s="60" t="str">
        <f aca="true">IF(B31="","",IF(I31&lt;&gt;"","Zurückgegeben",IF(H31&lt;TODAY(),"Überfällig","Offen")))</f>
        <v/>
      </c>
      <c r="K31" s="61" t="str">
        <f aca="true">IF(B31="","",IF(I31&lt;&gt;"","-",H31-TODAY()))</f>
        <v/>
      </c>
      <c r="L31" s="20"/>
    </row>
    <row r="32" customFormat="false" ht="21.75" hidden="false" customHeight="true" outlineLevel="0" collapsed="false">
      <c r="B32" s="43"/>
      <c r="C32" s="16"/>
      <c r="D32" s="55" t="str">
        <f aca="false">IFERROR(IF(C32="","",INDEX('Werkzeug-Inventar'!C:C,MATCH(C32,'Werkzeug-Inventar'!B:B,0))),"")</f>
        <v/>
      </c>
      <c r="E32" s="15"/>
      <c r="F32" s="15"/>
      <c r="G32" s="45"/>
      <c r="H32" s="45"/>
      <c r="I32" s="45"/>
      <c r="J32" s="56" t="str">
        <f aca="true">IF(B32="","",IF(I32&lt;&gt;"","Zurückgegeben",IF(H32&lt;TODAY(),"Überfällig","Offen")))</f>
        <v/>
      </c>
      <c r="K32" s="57" t="str">
        <f aca="true">IF(B32="","",IF(I32&lt;&gt;"","-",H32-TODAY()))</f>
        <v/>
      </c>
      <c r="L32" s="15"/>
    </row>
    <row r="33" customFormat="false" ht="21.75" hidden="false" customHeight="true" outlineLevel="0" collapsed="false">
      <c r="B33" s="48"/>
      <c r="C33" s="21"/>
      <c r="D33" s="59" t="str">
        <f aca="false">IFERROR(IF(C33="","",INDEX('Werkzeug-Inventar'!C:C,MATCH(C33,'Werkzeug-Inventar'!B:B,0))),"")</f>
        <v/>
      </c>
      <c r="E33" s="20"/>
      <c r="F33" s="20"/>
      <c r="G33" s="50"/>
      <c r="H33" s="50"/>
      <c r="I33" s="50"/>
      <c r="J33" s="60" t="str">
        <f aca="true">IF(B33="","",IF(I33&lt;&gt;"","Zurückgegeben",IF(H33&lt;TODAY(),"Überfällig","Offen")))</f>
        <v/>
      </c>
      <c r="K33" s="61" t="str">
        <f aca="true">IF(B33="","",IF(I33&lt;&gt;"","-",H33-TODAY()))</f>
        <v/>
      </c>
      <c r="L33" s="20"/>
    </row>
    <row r="34" customFormat="false" ht="21.75" hidden="false" customHeight="true" outlineLevel="0" collapsed="false">
      <c r="B34" s="43"/>
      <c r="C34" s="16"/>
      <c r="D34" s="55" t="str">
        <f aca="false">IFERROR(IF(C34="","",INDEX('Werkzeug-Inventar'!C:C,MATCH(C34,'Werkzeug-Inventar'!B:B,0))),"")</f>
        <v/>
      </c>
      <c r="E34" s="15"/>
      <c r="F34" s="15"/>
      <c r="G34" s="45"/>
      <c r="H34" s="45"/>
      <c r="I34" s="45"/>
      <c r="J34" s="56" t="str">
        <f aca="true">IF(B34="","",IF(I34&lt;&gt;"","Zurückgegeben",IF(H34&lt;TODAY(),"Überfällig","Offen")))</f>
        <v/>
      </c>
      <c r="K34" s="57" t="str">
        <f aca="true">IF(B34="","",IF(I34&lt;&gt;"","-",H34-TODAY()))</f>
        <v/>
      </c>
      <c r="L34" s="15"/>
    </row>
  </sheetData>
  <autoFilter ref="B9:L34"/>
  <mergeCells count="12">
    <mergeCell ref="B3:L3"/>
    <mergeCell ref="B4:L4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</mergeCells>
  <conditionalFormatting sqref="J10:J34">
    <cfRule type="cellIs" priority="2" operator="equal" aboveAverage="0" equalAverage="0" bottom="0" percent="0" rank="0" text="" dxfId="11">
      <formula>"Zurückgegeben"</formula>
    </cfRule>
    <cfRule type="cellIs" priority="3" operator="equal" aboveAverage="0" equalAverage="0" bottom="0" percent="0" rank="0" text="" dxfId="12">
      <formula>"Offen"</formula>
    </cfRule>
    <cfRule type="cellIs" priority="4" operator="equal" aboveAverage="0" equalAverage="0" bottom="0" percent="0" rank="0" text="" dxfId="14">
      <formula>"Überfällig"</formula>
    </cfRule>
  </conditionalFormatting>
  <conditionalFormatting sqref="K10:K34">
    <cfRule type="cellIs" priority="5" operator="lessThan" aboveAverage="0" equalAverage="0" bottom="0" percent="0" rank="0" text="" dxfId="19">
      <formula>0</formula>
    </cfRule>
    <cfRule type="cellIs" priority="6" operator="between" aboveAverage="0" equalAverage="0" bottom="0" percent="0" rank="0" text="" dxfId="20">
      <formula>0</formula>
      <formula>3</formula>
    </cfRule>
  </conditionalFormatting>
  <dataValidations count="1">
    <dataValidation allowBlank="true" errorStyle="stop" operator="between" showDropDown="false" showErrorMessage="false" showInputMessage="false" sqref="F10:F34" type="list">
      <formula1>Abteilungen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3"/>
    <col collapsed="false" customWidth="true" hidden="false" outlineLevel="0" max="4" min="4" style="0" width="30"/>
    <col collapsed="false" customWidth="true" hidden="false" outlineLevel="0" max="5" min="5" style="0" width="24"/>
    <col collapsed="false" customWidth="true" hidden="false" outlineLevel="0" max="7" min="6" style="0" width="14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20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24"/>
    <col collapsed="false" customWidth="true" hidden="false" outlineLevel="0" max="14" min="14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9.75" hidden="false" customHeight="true" outlineLevel="0" collapsed="false"/>
    <row r="3" customFormat="false" ht="36" hidden="false" customHeight="true" outlineLevel="0" collapsed="false">
      <c r="B3" s="37" t="s">
        <v>240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customFormat="false" ht="19.5" hidden="false" customHeight="true" outlineLevel="0" collapsed="false">
      <c r="B4" s="38" t="s">
        <v>241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8" hidden="false" customHeight="true" outlineLevel="0" collapsed="false">
      <c r="B6" s="39" t="s">
        <v>242</v>
      </c>
      <c r="C6" s="39"/>
      <c r="D6" s="39" t="s">
        <v>194</v>
      </c>
      <c r="E6" s="39"/>
      <c r="F6" s="39" t="s">
        <v>243</v>
      </c>
      <c r="G6" s="39"/>
      <c r="H6" s="39" t="s">
        <v>244</v>
      </c>
      <c r="I6" s="39"/>
      <c r="J6" s="39" t="s">
        <v>245</v>
      </c>
      <c r="K6" s="39"/>
    </row>
    <row r="7" customFormat="false" ht="31.5" hidden="false" customHeight="true" outlineLevel="0" collapsed="false">
      <c r="B7" s="53" t="n">
        <f aca="false">COUNTA(B10:B1000)</f>
        <v>12</v>
      </c>
      <c r="C7" s="53"/>
      <c r="D7" s="53" t="n">
        <f aca="false">COUNTIF(K10:K1000,"Überfällig")</f>
        <v>1</v>
      </c>
      <c r="E7" s="53"/>
      <c r="F7" s="53" t="n">
        <f aca="false">COUNTIF(K10:K1000,"Fällig")</f>
        <v>1</v>
      </c>
      <c r="G7" s="53"/>
      <c r="H7" s="53" t="n">
        <f aca="true">SUMPRODUCT((IFERROR(YEAR(F10:F1000),0)=YEAR(TODAY()))*IFERROR(I10:I1000,0))</f>
        <v>310</v>
      </c>
      <c r="I7" s="53"/>
      <c r="J7" s="63" t="n">
        <f aca="false">IFERROR(AVERAGE(I10:I1000),0)</f>
        <v>78.875</v>
      </c>
      <c r="K7" s="63"/>
    </row>
    <row r="8" customFormat="false" ht="13.5" hidden="false" customHeight="true" outlineLevel="0" collapsed="false"/>
    <row r="9" customFormat="false" ht="31.5" hidden="false" customHeight="true" outlineLevel="0" collapsed="false">
      <c r="B9" s="42" t="s">
        <v>246</v>
      </c>
      <c r="C9" s="42" t="s">
        <v>57</v>
      </c>
      <c r="D9" s="42" t="s">
        <v>198</v>
      </c>
      <c r="E9" s="42" t="s">
        <v>247</v>
      </c>
      <c r="F9" s="42" t="s">
        <v>248</v>
      </c>
      <c r="G9" s="42" t="s">
        <v>249</v>
      </c>
      <c r="H9" s="42" t="s">
        <v>250</v>
      </c>
      <c r="I9" s="42" t="s">
        <v>251</v>
      </c>
      <c r="J9" s="42" t="s">
        <v>252</v>
      </c>
      <c r="K9" s="42" t="s">
        <v>66</v>
      </c>
      <c r="L9" s="42" t="s">
        <v>253</v>
      </c>
      <c r="M9" s="42" t="s">
        <v>68</v>
      </c>
    </row>
    <row r="10" customFormat="false" ht="21.75" hidden="false" customHeight="true" outlineLevel="0" collapsed="false">
      <c r="B10" s="43" t="s">
        <v>254</v>
      </c>
      <c r="C10" s="16" t="s">
        <v>69</v>
      </c>
      <c r="D10" s="55" t="str">
        <f aca="false">IFERROR(INDEX('Werkzeug-Inventar'!C:C,MATCH(C10,'Werkzeug-Inventar'!B:B,0)),"")</f>
        <v>Akku-Schlagbohrmaschine 18V</v>
      </c>
      <c r="E10" s="15" t="s">
        <v>255</v>
      </c>
      <c r="F10" s="45" t="n">
        <v>46095</v>
      </c>
      <c r="G10" s="64" t="n">
        <f aca="false">IF(OR(F10="",H10=""),"",EDATE(F10,H10))</f>
        <v>46460</v>
      </c>
      <c r="H10" s="65" t="n">
        <v>12</v>
      </c>
      <c r="I10" s="17" t="n">
        <v>42.5</v>
      </c>
      <c r="J10" s="15" t="s">
        <v>256</v>
      </c>
      <c r="K10" s="56" t="str">
        <f aca="true">IF(G10="","",IF(G10&lt;TODAY(),"Überfällig",IF(G10&lt;=TODAY()+30,"Fällig","OK")))</f>
        <v>OK</v>
      </c>
      <c r="L10" s="16" t="s">
        <v>257</v>
      </c>
      <c r="M10" s="58" t="s">
        <v>258</v>
      </c>
    </row>
    <row r="11" customFormat="false" ht="21.75" hidden="false" customHeight="true" outlineLevel="0" collapsed="false">
      <c r="B11" s="48" t="s">
        <v>259</v>
      </c>
      <c r="C11" s="21" t="s">
        <v>78</v>
      </c>
      <c r="D11" s="59" t="str">
        <f aca="false">IFERROR(INDEX('Werkzeug-Inventar'!C:C,MATCH(C11,'Werkzeug-Inventar'!B:B,0)),"")</f>
        <v>Winkelschleifer 125 mm</v>
      </c>
      <c r="E11" s="20" t="s">
        <v>255</v>
      </c>
      <c r="F11" s="50" t="n">
        <v>45908</v>
      </c>
      <c r="G11" s="66" t="n">
        <f aca="false">IF(OR(F11="",H11=""),"",EDATE(F11,H11))</f>
        <v>46273</v>
      </c>
      <c r="H11" s="67" t="n">
        <v>12</v>
      </c>
      <c r="I11" s="22" t="n">
        <v>42.5</v>
      </c>
      <c r="J11" s="20" t="s">
        <v>256</v>
      </c>
      <c r="K11" s="60" t="str">
        <f aca="true">IF(G11="","",IF(G11&lt;TODAY(),"Überfällig",IF(G11&lt;=TODAY()+30,"Fällig","OK")))</f>
        <v>OK</v>
      </c>
      <c r="L11" s="21" t="s">
        <v>260</v>
      </c>
      <c r="M11" s="62"/>
    </row>
    <row r="12" customFormat="false" ht="21.75" hidden="false" customHeight="true" outlineLevel="0" collapsed="false">
      <c r="B12" s="43" t="s">
        <v>261</v>
      </c>
      <c r="C12" s="16" t="s">
        <v>85</v>
      </c>
      <c r="D12" s="55" t="str">
        <f aca="false">IFERROR(INDEX('Werkzeug-Inventar'!C:C,MATCH(C12,'Werkzeug-Inventar'!B:B,0)),"")</f>
        <v>Drehmomentschlüssel 20-100 Nm</v>
      </c>
      <c r="E12" s="15" t="s">
        <v>262</v>
      </c>
      <c r="F12" s="45" t="n">
        <v>45981</v>
      </c>
      <c r="G12" s="64" t="n">
        <f aca="false">IF(OR(F12="",H12=""),"",EDATE(F12,H12))</f>
        <v>46711</v>
      </c>
      <c r="H12" s="65" t="n">
        <v>24</v>
      </c>
      <c r="I12" s="17" t="n">
        <v>89</v>
      </c>
      <c r="J12" s="15" t="s">
        <v>263</v>
      </c>
      <c r="K12" s="56" t="str">
        <f aca="true">IF(G12="","",IF(G12&lt;TODAY(),"Überfällig",IF(G12&lt;=TODAY()+30,"Fällig","OK")))</f>
        <v>OK</v>
      </c>
      <c r="L12" s="16" t="s">
        <v>264</v>
      </c>
      <c r="M12" s="58" t="s">
        <v>265</v>
      </c>
    </row>
    <row r="13" customFormat="false" ht="21.75" hidden="false" customHeight="true" outlineLevel="0" collapsed="false">
      <c r="B13" s="48" t="s">
        <v>266</v>
      </c>
      <c r="C13" s="21" t="s">
        <v>92</v>
      </c>
      <c r="D13" s="59" t="str">
        <f aca="false">IFERROR(INDEX('Werkzeug-Inventar'!C:C,MATCH(C13,'Werkzeug-Inventar'!B:B,0)),"")</f>
        <v>Lasermessgerät 100 m</v>
      </c>
      <c r="E13" s="20" t="s">
        <v>262</v>
      </c>
      <c r="F13" s="50" t="n">
        <v>46063</v>
      </c>
      <c r="G13" s="66" t="n">
        <f aca="false">IF(OR(F13="",H13=""),"",EDATE(F13,H13))</f>
        <v>46793</v>
      </c>
      <c r="H13" s="67" t="n">
        <v>24</v>
      </c>
      <c r="I13" s="22" t="n">
        <v>145</v>
      </c>
      <c r="J13" s="20" t="s">
        <v>267</v>
      </c>
      <c r="K13" s="60" t="str">
        <f aca="true">IF(G13="","",IF(G13&lt;TODAY(),"Überfällig",IF(G13&lt;=TODAY()+30,"Fällig","OK")))</f>
        <v>OK</v>
      </c>
      <c r="L13" s="21" t="s">
        <v>268</v>
      </c>
      <c r="M13" s="62" t="s">
        <v>269</v>
      </c>
    </row>
    <row r="14" customFormat="false" ht="21.75" hidden="false" customHeight="true" outlineLevel="0" collapsed="false">
      <c r="B14" s="43" t="s">
        <v>270</v>
      </c>
      <c r="C14" s="16" t="s">
        <v>100</v>
      </c>
      <c r="D14" s="55" t="str">
        <f aca="false">IFERROR(INDEX('Werkzeug-Inventar'!C:C,MATCH(C14,'Werkzeug-Inventar'!B:B,0)),"")</f>
        <v>Kompressor 50 L stationär</v>
      </c>
      <c r="E14" s="15" t="s">
        <v>271</v>
      </c>
      <c r="F14" s="45" t="n">
        <v>45872</v>
      </c>
      <c r="G14" s="64" t="n">
        <f aca="false">IF(OR(F14="",H14=""),"",EDATE(F14,H14))</f>
        <v>46237</v>
      </c>
      <c r="H14" s="65" t="n">
        <v>12</v>
      </c>
      <c r="I14" s="17" t="n">
        <v>185</v>
      </c>
      <c r="J14" s="15" t="s">
        <v>272</v>
      </c>
      <c r="K14" s="56" t="str">
        <f aca="true">IF(G14="","",IF(G14&lt;TODAY(),"Überfällig",IF(G14&lt;=TODAY()+30,"Fällig","OK")))</f>
        <v>Fällig</v>
      </c>
      <c r="L14" s="16" t="s">
        <v>273</v>
      </c>
      <c r="M14" s="58" t="s">
        <v>274</v>
      </c>
    </row>
    <row r="15" customFormat="false" ht="21.75" hidden="false" customHeight="true" outlineLevel="0" collapsed="false">
      <c r="B15" s="48" t="s">
        <v>275</v>
      </c>
      <c r="C15" s="21" t="s">
        <v>107</v>
      </c>
      <c r="D15" s="59" t="str">
        <f aca="false">IFERROR(INDEX('Werkzeug-Inventar'!C:C,MATCH(C15,'Werkzeug-Inventar'!B:B,0)),"")</f>
        <v>Digitaler Messschieber 150 mm</v>
      </c>
      <c r="E15" s="20" t="s">
        <v>262</v>
      </c>
      <c r="F15" s="50" t="n">
        <v>46037</v>
      </c>
      <c r="G15" s="66" t="n">
        <f aca="false">IF(OR(F15="",H15=""),"",EDATE(F15,H15))</f>
        <v>46402</v>
      </c>
      <c r="H15" s="67" t="n">
        <v>12</v>
      </c>
      <c r="I15" s="22" t="n">
        <v>55</v>
      </c>
      <c r="J15" s="20" t="s">
        <v>276</v>
      </c>
      <c r="K15" s="60" t="str">
        <f aca="true">IF(G15="","",IF(G15&lt;TODAY(),"Überfällig",IF(G15&lt;=TODAY()+30,"Fällig","OK")))</f>
        <v>OK</v>
      </c>
      <c r="L15" s="21" t="s">
        <v>277</v>
      </c>
      <c r="M15" s="62"/>
    </row>
    <row r="16" customFormat="false" ht="21.75" hidden="false" customHeight="true" outlineLevel="0" collapsed="false">
      <c r="B16" s="43" t="s">
        <v>278</v>
      </c>
      <c r="C16" s="16" t="s">
        <v>120</v>
      </c>
      <c r="D16" s="55" t="str">
        <f aca="false">IFERROR(INDEX('Werkzeug-Inventar'!C:C,MATCH(C16,'Werkzeug-Inventar'!B:B,0)),"")</f>
        <v>Kappsäge 216 mm</v>
      </c>
      <c r="E16" s="15" t="s">
        <v>279</v>
      </c>
      <c r="F16" s="45" t="n">
        <v>45996</v>
      </c>
      <c r="G16" s="64" t="n">
        <f aca="false">IF(OR(F16="",H16=""),"",EDATE(F16,H16))</f>
        <v>46178</v>
      </c>
      <c r="H16" s="65" t="n">
        <v>6</v>
      </c>
      <c r="I16" s="17" t="n">
        <v>35</v>
      </c>
      <c r="J16" s="15" t="s">
        <v>280</v>
      </c>
      <c r="K16" s="56" t="str">
        <f aca="true">IF(G16="","",IF(G16&lt;TODAY(),"Überfällig",IF(G16&lt;=TODAY()+30,"Fällig","OK")))</f>
        <v>Überfällig</v>
      </c>
      <c r="L16" s="16" t="s">
        <v>281</v>
      </c>
      <c r="M16" s="58" t="s">
        <v>282</v>
      </c>
    </row>
    <row r="17" customFormat="false" ht="21.75" hidden="false" customHeight="true" outlineLevel="0" collapsed="false">
      <c r="B17" s="48" t="s">
        <v>283</v>
      </c>
      <c r="C17" s="21" t="s">
        <v>133</v>
      </c>
      <c r="D17" s="59" t="str">
        <f aca="false">IFERROR(INDEX('Werkzeug-Inventar'!C:C,MATCH(C17,'Werkzeug-Inventar'!B:B,0)),"")</f>
        <v>Kettenzug 500 kg</v>
      </c>
      <c r="E17" s="20" t="s">
        <v>255</v>
      </c>
      <c r="F17" s="50" t="n">
        <v>45952</v>
      </c>
      <c r="G17" s="66" t="n">
        <f aca="false">IF(OR(F17="",H17=""),"",EDATE(F17,H17))</f>
        <v>46317</v>
      </c>
      <c r="H17" s="67" t="n">
        <v>12</v>
      </c>
      <c r="I17" s="22" t="n">
        <v>65</v>
      </c>
      <c r="J17" s="20" t="s">
        <v>284</v>
      </c>
      <c r="K17" s="60" t="str">
        <f aca="true">IF(G17="","",IF(G17&lt;TODAY(),"Überfällig",IF(G17&lt;=TODAY()+30,"Fällig","OK")))</f>
        <v>OK</v>
      </c>
      <c r="L17" s="21" t="s">
        <v>285</v>
      </c>
      <c r="M17" s="62" t="s">
        <v>286</v>
      </c>
    </row>
    <row r="18" customFormat="false" ht="21.75" hidden="false" customHeight="true" outlineLevel="0" collapsed="false">
      <c r="B18" s="43" t="s">
        <v>287</v>
      </c>
      <c r="C18" s="16" t="s">
        <v>145</v>
      </c>
      <c r="D18" s="55" t="str">
        <f aca="false">IFERROR(INDEX('Werkzeug-Inventar'!C:C,MATCH(C18,'Werkzeug-Inventar'!B:B,0)),"")</f>
        <v>Bohrhammer SDS-Plus</v>
      </c>
      <c r="E18" s="15" t="s">
        <v>255</v>
      </c>
      <c r="F18" s="45" t="n">
        <v>46142</v>
      </c>
      <c r="G18" s="64" t="n">
        <f aca="false">IF(OR(F18="",H18=""),"",EDATE(F18,H18))</f>
        <v>46507</v>
      </c>
      <c r="H18" s="65" t="n">
        <v>12</v>
      </c>
      <c r="I18" s="17" t="n">
        <v>42.5</v>
      </c>
      <c r="J18" s="15" t="s">
        <v>256</v>
      </c>
      <c r="K18" s="56" t="str">
        <f aca="true">IF(G18="","",IF(G18&lt;TODAY(),"Überfällig",IF(G18&lt;=TODAY()+30,"Fällig","OK")))</f>
        <v>OK</v>
      </c>
      <c r="L18" s="16" t="s">
        <v>288</v>
      </c>
      <c r="M18" s="58"/>
    </row>
    <row r="19" customFormat="false" ht="21.75" hidden="false" customHeight="true" outlineLevel="0" collapsed="false">
      <c r="B19" s="48" t="s">
        <v>289</v>
      </c>
      <c r="C19" s="21" t="s">
        <v>152</v>
      </c>
      <c r="D19" s="59" t="str">
        <f aca="false">IFERROR(INDEX('Werkzeug-Inventar'!C:C,MATCH(C19,'Werkzeug-Inventar'!B:B,0)),"")</f>
        <v>Isolationsprüfgerät</v>
      </c>
      <c r="E19" s="20" t="s">
        <v>262</v>
      </c>
      <c r="F19" s="50" t="n">
        <v>46003</v>
      </c>
      <c r="G19" s="66" t="n">
        <f aca="false">IF(OR(F19="",H19=""),"",EDATE(F19,H19))</f>
        <v>46368</v>
      </c>
      <c r="H19" s="67" t="n">
        <v>12</v>
      </c>
      <c r="I19" s="22" t="n">
        <v>175</v>
      </c>
      <c r="J19" s="20" t="s">
        <v>290</v>
      </c>
      <c r="K19" s="60" t="str">
        <f aca="true">IF(G19="","",IF(G19&lt;TODAY(),"Überfällig",IF(G19&lt;=TODAY()+30,"Fällig","OK")))</f>
        <v>OK</v>
      </c>
      <c r="L19" s="21" t="s">
        <v>291</v>
      </c>
      <c r="M19" s="62" t="s">
        <v>292</v>
      </c>
    </row>
    <row r="20" customFormat="false" ht="21.75" hidden="false" customHeight="true" outlineLevel="0" collapsed="false">
      <c r="B20" s="43" t="s">
        <v>293</v>
      </c>
      <c r="C20" s="16" t="s">
        <v>174</v>
      </c>
      <c r="D20" s="55" t="str">
        <f aca="false">IFERROR(INDEX('Werkzeug-Inventar'!C:C,MATCH(C20,'Werkzeug-Inventar'!B:B,0)),"")</f>
        <v>Palettenhubwagen 2.500 kg</v>
      </c>
      <c r="E20" s="15" t="s">
        <v>279</v>
      </c>
      <c r="F20" s="45" t="n">
        <v>45969</v>
      </c>
      <c r="G20" s="64" t="n">
        <f aca="false">IF(OR(F20="",H20=""),"",EDATE(F20,H20))</f>
        <v>46334</v>
      </c>
      <c r="H20" s="65" t="n">
        <v>12</v>
      </c>
      <c r="I20" s="17" t="n">
        <v>45</v>
      </c>
      <c r="J20" s="15" t="s">
        <v>294</v>
      </c>
      <c r="K20" s="56" t="str">
        <f aca="true">IF(G20="","",IF(G20&lt;TODAY(),"Überfällig",IF(G20&lt;=TODAY()+30,"Fällig","OK")))</f>
        <v>OK</v>
      </c>
      <c r="L20" s="16" t="s">
        <v>295</v>
      </c>
      <c r="M20" s="58"/>
    </row>
    <row r="21" customFormat="false" ht="21.75" hidden="false" customHeight="true" outlineLevel="0" collapsed="false">
      <c r="B21" s="48" t="s">
        <v>296</v>
      </c>
      <c r="C21" s="21" t="s">
        <v>180</v>
      </c>
      <c r="D21" s="59" t="str">
        <f aca="false">IFERROR(INDEX('Werkzeug-Inventar'!C:C,MATCH(C21,'Werkzeug-Inventar'!B:B,0)),"")</f>
        <v>Multimeter TRMS</v>
      </c>
      <c r="E21" s="20" t="s">
        <v>297</v>
      </c>
      <c r="F21" s="50" t="n">
        <v>46162</v>
      </c>
      <c r="G21" s="66" t="n">
        <f aca="false">IF(OR(F21="",H21=""),"",EDATE(F21,H21))</f>
        <v>46527</v>
      </c>
      <c r="H21" s="67" t="n">
        <v>12</v>
      </c>
      <c r="I21" s="22" t="n">
        <v>25</v>
      </c>
      <c r="J21" s="20" t="s">
        <v>256</v>
      </c>
      <c r="K21" s="60" t="str">
        <f aca="true">IF(G21="","",IF(G21&lt;TODAY(),"Überfällig",IF(G21&lt;=TODAY()+30,"Fällig","OK")))</f>
        <v>OK</v>
      </c>
      <c r="L21" s="21" t="s">
        <v>298</v>
      </c>
      <c r="M21" s="62"/>
    </row>
    <row r="22" customFormat="false" ht="21.75" hidden="false" customHeight="true" outlineLevel="0" collapsed="false">
      <c r="B22" s="43"/>
      <c r="C22" s="16"/>
      <c r="D22" s="55" t="str">
        <f aca="false">IFERROR(IF(C22="","",INDEX('Werkzeug-Inventar'!C:C,MATCH(C22,'Werkzeug-Inventar'!B:B,0))),"")</f>
        <v/>
      </c>
      <c r="E22" s="15"/>
      <c r="F22" s="45"/>
      <c r="G22" s="45" t="str">
        <f aca="false">IF(OR(F22="",H22=""),"",EDATE(F22,H22))</f>
        <v/>
      </c>
      <c r="H22" s="65"/>
      <c r="I22" s="17"/>
      <c r="J22" s="15"/>
      <c r="K22" s="56" t="str">
        <f aca="true">IF(G22="","",IF(G22&lt;TODAY(),"Überfällig",IF(G22&lt;=TODAY()+30,"Fällig","OK")))</f>
        <v/>
      </c>
      <c r="L22" s="16"/>
      <c r="M22" s="15"/>
    </row>
    <row r="23" customFormat="false" ht="21.75" hidden="false" customHeight="true" outlineLevel="0" collapsed="false">
      <c r="B23" s="48"/>
      <c r="C23" s="21"/>
      <c r="D23" s="59" t="str">
        <f aca="false">IFERROR(IF(C23="","",INDEX('Werkzeug-Inventar'!C:C,MATCH(C23,'Werkzeug-Inventar'!B:B,0))),"")</f>
        <v/>
      </c>
      <c r="E23" s="20"/>
      <c r="F23" s="50"/>
      <c r="G23" s="50" t="str">
        <f aca="false">IF(OR(F23="",H23=""),"",EDATE(F23,H23))</f>
        <v/>
      </c>
      <c r="H23" s="67"/>
      <c r="I23" s="22"/>
      <c r="J23" s="20"/>
      <c r="K23" s="60" t="str">
        <f aca="true">IF(G23="","",IF(G23&lt;TODAY(),"Überfällig",IF(G23&lt;=TODAY()+30,"Fällig","OK")))</f>
        <v/>
      </c>
      <c r="L23" s="21"/>
      <c r="M23" s="20"/>
    </row>
    <row r="24" customFormat="false" ht="21.75" hidden="false" customHeight="true" outlineLevel="0" collapsed="false">
      <c r="B24" s="43"/>
      <c r="C24" s="16"/>
      <c r="D24" s="55" t="str">
        <f aca="false">IFERROR(IF(C24="","",INDEX('Werkzeug-Inventar'!C:C,MATCH(C24,'Werkzeug-Inventar'!B:B,0))),"")</f>
        <v/>
      </c>
      <c r="E24" s="15"/>
      <c r="F24" s="45"/>
      <c r="G24" s="45" t="str">
        <f aca="false">IF(OR(F24="",H24=""),"",EDATE(F24,H24))</f>
        <v/>
      </c>
      <c r="H24" s="65"/>
      <c r="I24" s="17"/>
      <c r="J24" s="15"/>
      <c r="K24" s="56" t="str">
        <f aca="true">IF(G24="","",IF(G24&lt;TODAY(),"Überfällig",IF(G24&lt;=TODAY()+30,"Fällig","OK")))</f>
        <v/>
      </c>
      <c r="L24" s="16"/>
      <c r="M24" s="15"/>
    </row>
    <row r="25" customFormat="false" ht="21.75" hidden="false" customHeight="true" outlineLevel="0" collapsed="false">
      <c r="B25" s="48"/>
      <c r="C25" s="21"/>
      <c r="D25" s="59" t="str">
        <f aca="false">IFERROR(IF(C25="","",INDEX('Werkzeug-Inventar'!C:C,MATCH(C25,'Werkzeug-Inventar'!B:B,0))),"")</f>
        <v/>
      </c>
      <c r="E25" s="20"/>
      <c r="F25" s="50"/>
      <c r="G25" s="50" t="str">
        <f aca="false">IF(OR(F25="",H25=""),"",EDATE(F25,H25))</f>
        <v/>
      </c>
      <c r="H25" s="67"/>
      <c r="I25" s="22"/>
      <c r="J25" s="20"/>
      <c r="K25" s="60" t="str">
        <f aca="true">IF(G25="","",IF(G25&lt;TODAY(),"Überfällig",IF(G25&lt;=TODAY()+30,"Fällig","OK")))</f>
        <v/>
      </c>
      <c r="L25" s="21"/>
      <c r="M25" s="20"/>
    </row>
    <row r="26" customFormat="false" ht="21.75" hidden="false" customHeight="true" outlineLevel="0" collapsed="false">
      <c r="B26" s="43"/>
      <c r="C26" s="16"/>
      <c r="D26" s="55" t="str">
        <f aca="false">IFERROR(IF(C26="","",INDEX('Werkzeug-Inventar'!C:C,MATCH(C26,'Werkzeug-Inventar'!B:B,0))),"")</f>
        <v/>
      </c>
      <c r="E26" s="15"/>
      <c r="F26" s="45"/>
      <c r="G26" s="45" t="str">
        <f aca="false">IF(OR(F26="",H26=""),"",EDATE(F26,H26))</f>
        <v/>
      </c>
      <c r="H26" s="65"/>
      <c r="I26" s="17"/>
      <c r="J26" s="15"/>
      <c r="K26" s="56" t="str">
        <f aca="true">IF(G26="","",IF(G26&lt;TODAY(),"Überfällig",IF(G26&lt;=TODAY()+30,"Fällig","OK")))</f>
        <v/>
      </c>
      <c r="L26" s="16"/>
      <c r="M26" s="15"/>
    </row>
    <row r="27" customFormat="false" ht="21.75" hidden="false" customHeight="true" outlineLevel="0" collapsed="false">
      <c r="B27" s="48"/>
      <c r="C27" s="21"/>
      <c r="D27" s="59" t="str">
        <f aca="false">IFERROR(IF(C27="","",INDEX('Werkzeug-Inventar'!C:C,MATCH(C27,'Werkzeug-Inventar'!B:B,0))),"")</f>
        <v/>
      </c>
      <c r="E27" s="20"/>
      <c r="F27" s="50"/>
      <c r="G27" s="50" t="str">
        <f aca="false">IF(OR(F27="",H27=""),"",EDATE(F27,H27))</f>
        <v/>
      </c>
      <c r="H27" s="67"/>
      <c r="I27" s="22"/>
      <c r="J27" s="20"/>
      <c r="K27" s="60" t="str">
        <f aca="true">IF(G27="","",IF(G27&lt;TODAY(),"Überfällig",IF(G27&lt;=TODAY()+30,"Fällig","OK")))</f>
        <v/>
      </c>
      <c r="L27" s="21"/>
      <c r="M27" s="20"/>
    </row>
    <row r="28" customFormat="false" ht="21.75" hidden="false" customHeight="true" outlineLevel="0" collapsed="false">
      <c r="B28" s="43"/>
      <c r="C28" s="16"/>
      <c r="D28" s="55" t="str">
        <f aca="false">IFERROR(IF(C28="","",INDEX('Werkzeug-Inventar'!C:C,MATCH(C28,'Werkzeug-Inventar'!B:B,0))),"")</f>
        <v/>
      </c>
      <c r="E28" s="15"/>
      <c r="F28" s="45"/>
      <c r="G28" s="45" t="str">
        <f aca="false">IF(OR(F28="",H28=""),"",EDATE(F28,H28))</f>
        <v/>
      </c>
      <c r="H28" s="65"/>
      <c r="I28" s="17"/>
      <c r="J28" s="15"/>
      <c r="K28" s="56" t="str">
        <f aca="true">IF(G28="","",IF(G28&lt;TODAY(),"Überfällig",IF(G28&lt;=TODAY()+30,"Fällig","OK")))</f>
        <v/>
      </c>
      <c r="L28" s="16"/>
      <c r="M28" s="15"/>
    </row>
    <row r="29" customFormat="false" ht="21.75" hidden="false" customHeight="true" outlineLevel="0" collapsed="false">
      <c r="B29" s="48"/>
      <c r="C29" s="21"/>
      <c r="D29" s="59" t="str">
        <f aca="false">IFERROR(IF(C29="","",INDEX('Werkzeug-Inventar'!C:C,MATCH(C29,'Werkzeug-Inventar'!B:B,0))),"")</f>
        <v/>
      </c>
      <c r="E29" s="20"/>
      <c r="F29" s="50"/>
      <c r="G29" s="50" t="str">
        <f aca="false">IF(OR(F29="",H29=""),"",EDATE(F29,H29))</f>
        <v/>
      </c>
      <c r="H29" s="67"/>
      <c r="I29" s="22"/>
      <c r="J29" s="20"/>
      <c r="K29" s="60" t="str">
        <f aca="true">IF(G29="","",IF(G29&lt;TODAY(),"Überfällig",IF(G29&lt;=TODAY()+30,"Fällig","OK")))</f>
        <v/>
      </c>
      <c r="L29" s="21"/>
      <c r="M29" s="20"/>
    </row>
    <row r="30" customFormat="false" ht="21.75" hidden="false" customHeight="true" outlineLevel="0" collapsed="false">
      <c r="B30" s="43"/>
      <c r="C30" s="16"/>
      <c r="D30" s="55" t="str">
        <f aca="false">IFERROR(IF(C30="","",INDEX('Werkzeug-Inventar'!C:C,MATCH(C30,'Werkzeug-Inventar'!B:B,0))),"")</f>
        <v/>
      </c>
      <c r="E30" s="15"/>
      <c r="F30" s="45"/>
      <c r="G30" s="45" t="str">
        <f aca="false">IF(OR(F30="",H30=""),"",EDATE(F30,H30))</f>
        <v/>
      </c>
      <c r="H30" s="65"/>
      <c r="I30" s="17"/>
      <c r="J30" s="15"/>
      <c r="K30" s="56" t="str">
        <f aca="true">IF(G30="","",IF(G30&lt;TODAY(),"Überfällig",IF(G30&lt;=TODAY()+30,"Fällig","OK")))</f>
        <v/>
      </c>
      <c r="L30" s="16"/>
      <c r="M30" s="15"/>
    </row>
    <row r="31" customFormat="false" ht="21.75" hidden="false" customHeight="true" outlineLevel="0" collapsed="false">
      <c r="B31" s="48"/>
      <c r="C31" s="21"/>
      <c r="D31" s="59" t="str">
        <f aca="false">IFERROR(IF(C31="","",INDEX('Werkzeug-Inventar'!C:C,MATCH(C31,'Werkzeug-Inventar'!B:B,0))),"")</f>
        <v/>
      </c>
      <c r="E31" s="20"/>
      <c r="F31" s="50"/>
      <c r="G31" s="50" t="str">
        <f aca="false">IF(OR(F31="",H31=""),"",EDATE(F31,H31))</f>
        <v/>
      </c>
      <c r="H31" s="67"/>
      <c r="I31" s="22"/>
      <c r="J31" s="20"/>
      <c r="K31" s="60" t="str">
        <f aca="true">IF(G31="","",IF(G31&lt;TODAY(),"Überfällig",IF(G31&lt;=TODAY()+30,"Fällig","OK")))</f>
        <v/>
      </c>
      <c r="L31" s="21"/>
      <c r="M31" s="20"/>
    </row>
    <row r="32" customFormat="false" ht="21.75" hidden="false" customHeight="true" outlineLevel="0" collapsed="false">
      <c r="B32" s="43"/>
      <c r="C32" s="16"/>
      <c r="D32" s="55" t="str">
        <f aca="false">IFERROR(IF(C32="","",INDEX('Werkzeug-Inventar'!C:C,MATCH(C32,'Werkzeug-Inventar'!B:B,0))),"")</f>
        <v/>
      </c>
      <c r="E32" s="15"/>
      <c r="F32" s="45"/>
      <c r="G32" s="45" t="str">
        <f aca="false">IF(OR(F32="",H32=""),"",EDATE(F32,H32))</f>
        <v/>
      </c>
      <c r="H32" s="65"/>
      <c r="I32" s="17"/>
      <c r="J32" s="15"/>
      <c r="K32" s="56" t="str">
        <f aca="true">IF(G32="","",IF(G32&lt;TODAY(),"Überfällig",IF(G32&lt;=TODAY()+30,"Fällig","OK")))</f>
        <v/>
      </c>
      <c r="L32" s="16"/>
      <c r="M32" s="15"/>
    </row>
    <row r="33" customFormat="false" ht="21.75" hidden="false" customHeight="true" outlineLevel="0" collapsed="false">
      <c r="B33" s="48"/>
      <c r="C33" s="21"/>
      <c r="D33" s="59" t="str">
        <f aca="false">IFERROR(IF(C33="","",INDEX('Werkzeug-Inventar'!C:C,MATCH(C33,'Werkzeug-Inventar'!B:B,0))),"")</f>
        <v/>
      </c>
      <c r="E33" s="20"/>
      <c r="F33" s="50"/>
      <c r="G33" s="50" t="str">
        <f aca="false">IF(OR(F33="",H33=""),"",EDATE(F33,H33))</f>
        <v/>
      </c>
      <c r="H33" s="67"/>
      <c r="I33" s="22"/>
      <c r="J33" s="20"/>
      <c r="K33" s="60" t="str">
        <f aca="true">IF(G33="","",IF(G33&lt;TODAY(),"Überfällig",IF(G33&lt;=TODAY()+30,"Fällig","OK")))</f>
        <v/>
      </c>
      <c r="L33" s="21"/>
      <c r="M33" s="20"/>
    </row>
    <row r="34" customFormat="false" ht="21.75" hidden="false" customHeight="true" outlineLevel="0" collapsed="false">
      <c r="B34" s="43"/>
      <c r="C34" s="16"/>
      <c r="D34" s="55" t="str">
        <f aca="false">IFERROR(IF(C34="","",INDEX('Werkzeug-Inventar'!C:C,MATCH(C34,'Werkzeug-Inventar'!B:B,0))),"")</f>
        <v/>
      </c>
      <c r="E34" s="15"/>
      <c r="F34" s="45"/>
      <c r="G34" s="45" t="str">
        <f aca="false">IF(OR(F34="",H34=""),"",EDATE(F34,H34))</f>
        <v/>
      </c>
      <c r="H34" s="65"/>
      <c r="I34" s="17"/>
      <c r="J34" s="15"/>
      <c r="K34" s="56" t="str">
        <f aca="true">IF(G34="","",IF(G34&lt;TODAY(),"Überfällig",IF(G34&lt;=TODAY()+30,"Fällig","OK")))</f>
        <v/>
      </c>
      <c r="L34" s="16"/>
      <c r="M34" s="15"/>
    </row>
    <row r="35" customFormat="false" ht="21.75" hidden="false" customHeight="true" outlineLevel="0" collapsed="false">
      <c r="B35" s="48"/>
      <c r="C35" s="21"/>
      <c r="D35" s="59" t="str">
        <f aca="false">IFERROR(IF(C35="","",INDEX('Werkzeug-Inventar'!C:C,MATCH(C35,'Werkzeug-Inventar'!B:B,0))),"")</f>
        <v/>
      </c>
      <c r="E35" s="20"/>
      <c r="F35" s="50"/>
      <c r="G35" s="50" t="str">
        <f aca="false">IF(OR(F35="",H35=""),"",EDATE(F35,H35))</f>
        <v/>
      </c>
      <c r="H35" s="67"/>
      <c r="I35" s="22"/>
      <c r="J35" s="20"/>
      <c r="K35" s="60" t="str">
        <f aca="true">IF(G35="","",IF(G35&lt;TODAY(),"Überfällig",IF(G35&lt;=TODAY()+30,"Fällig","OK")))</f>
        <v/>
      </c>
      <c r="L35" s="21"/>
      <c r="M35" s="20"/>
    </row>
    <row r="36" customFormat="false" ht="21.75" hidden="false" customHeight="true" outlineLevel="0" collapsed="false">
      <c r="B36" s="43"/>
      <c r="C36" s="16"/>
      <c r="D36" s="55" t="str">
        <f aca="false">IFERROR(IF(C36="","",INDEX('Werkzeug-Inventar'!C:C,MATCH(C36,'Werkzeug-Inventar'!B:B,0))),"")</f>
        <v/>
      </c>
      <c r="E36" s="15"/>
      <c r="F36" s="45"/>
      <c r="G36" s="45" t="str">
        <f aca="false">IF(OR(F36="",H36=""),"",EDATE(F36,H36))</f>
        <v/>
      </c>
      <c r="H36" s="65"/>
      <c r="I36" s="17"/>
      <c r="J36" s="15"/>
      <c r="K36" s="56" t="str">
        <f aca="true">IF(G36="","",IF(G36&lt;TODAY(),"Überfällig",IF(G36&lt;=TODAY()+30,"Fällig","OK")))</f>
        <v/>
      </c>
      <c r="L36" s="16"/>
      <c r="M36" s="15"/>
    </row>
  </sheetData>
  <autoFilter ref="B9:M36"/>
  <mergeCells count="12">
    <mergeCell ref="B3:M3"/>
    <mergeCell ref="B4:M4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</mergeCells>
  <conditionalFormatting sqref="K10:K36">
    <cfRule type="cellIs" priority="2" operator="equal" aboveAverage="0" equalAverage="0" bottom="0" percent="0" rank="0" text="" dxfId="11">
      <formula>"OK"</formula>
    </cfRule>
    <cfRule type="cellIs" priority="3" operator="equal" aboveAverage="0" equalAverage="0" bottom="0" percent="0" rank="0" text="" dxfId="13">
      <formula>"Fällig"</formula>
    </cfRule>
    <cfRule type="cellIs" priority="4" operator="equal" aboveAverage="0" equalAverage="0" bottom="0" percent="0" rank="0" text="" dxfId="14">
      <formula>"Überfällig"</formula>
    </cfRule>
  </conditionalFormatting>
  <dataValidations count="1">
    <dataValidation allowBlank="true" errorStyle="stop" operator="between" showDropDown="false" showErrorMessage="false" showInputMessage="false" sqref="E10:E36" type="list">
      <formula1>Pruefarten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30"/>
    <col collapsed="false" customWidth="true" hidden="false" outlineLevel="0" max="4" min="4" style="0" width="22"/>
    <col collapsed="false" customWidth="true" hidden="false" outlineLevel="0" max="5" min="5" style="0" width="20"/>
    <col collapsed="false" customWidth="true" hidden="false" outlineLevel="0" max="6" min="6" style="0" width="28"/>
    <col collapsed="false" customWidth="true" hidden="false" outlineLevel="0" max="7" min="7" style="0" width="30"/>
    <col collapsed="false" customWidth="true" hidden="false" outlineLevel="0" max="8" min="8" style="0" width="20"/>
    <col collapsed="false" customWidth="true" hidden="false" outlineLevel="0" max="9" min="9" style="0" width="12"/>
    <col collapsed="false" customWidth="true" hidden="false" outlineLevel="0" max="10" min="10" style="0" width="26"/>
    <col collapsed="false" customWidth="true" hidden="false" outlineLevel="0" max="11" min="11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9.75" hidden="false" customHeight="true" outlineLevel="0" collapsed="false"/>
    <row r="3" customFormat="false" ht="36" hidden="false" customHeight="true" outlineLevel="0" collapsed="false">
      <c r="B3" s="37" t="s">
        <v>299</v>
      </c>
      <c r="C3" s="37"/>
      <c r="D3" s="37"/>
      <c r="E3" s="37"/>
      <c r="F3" s="37"/>
      <c r="G3" s="37"/>
      <c r="H3" s="37"/>
      <c r="I3" s="37"/>
      <c r="J3" s="37"/>
    </row>
    <row r="4" customFormat="false" ht="19.5" hidden="false" customHeight="true" outlineLevel="0" collapsed="false">
      <c r="B4" s="38" t="s">
        <v>300</v>
      </c>
      <c r="C4" s="38"/>
      <c r="D4" s="38"/>
      <c r="E4" s="38"/>
      <c r="F4" s="38"/>
      <c r="G4" s="38"/>
      <c r="H4" s="38"/>
      <c r="I4" s="38"/>
      <c r="J4" s="38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</row>
    <row r="6" customFormat="false" ht="18" hidden="false" customHeight="true" outlineLevel="0" collapsed="false">
      <c r="B6" s="39" t="s">
        <v>301</v>
      </c>
      <c r="C6" s="39"/>
      <c r="E6" s="39" t="s">
        <v>302</v>
      </c>
      <c r="F6" s="39"/>
      <c r="H6" s="39" t="s">
        <v>303</v>
      </c>
      <c r="I6" s="39"/>
    </row>
    <row r="7" customFormat="false" ht="31.5" hidden="false" customHeight="true" outlineLevel="0" collapsed="false">
      <c r="B7" s="53" t="n">
        <f aca="false">COUNTA(B10:B1000)</f>
        <v>7</v>
      </c>
      <c r="C7" s="53"/>
      <c r="E7" s="68" t="n">
        <f aca="false">IFERROR(AVERAGE(I10:I1000),0)</f>
        <v>4.28571428571429</v>
      </c>
      <c r="F7" s="68"/>
      <c r="H7" s="53" t="n">
        <f aca="false">COUNTIF(I10:I1000,5)</f>
        <v>3</v>
      </c>
      <c r="I7" s="53"/>
    </row>
    <row r="8" customFormat="false" ht="13.5" hidden="false" customHeight="true" outlineLevel="0" collapsed="false"/>
    <row r="9" customFormat="false" ht="31.5" hidden="false" customHeight="true" outlineLevel="0" collapsed="false">
      <c r="B9" s="42" t="s">
        <v>304</v>
      </c>
      <c r="C9" s="42" t="s">
        <v>305</v>
      </c>
      <c r="D9" s="42" t="s">
        <v>306</v>
      </c>
      <c r="E9" s="42" t="s">
        <v>307</v>
      </c>
      <c r="F9" s="42" t="s">
        <v>308</v>
      </c>
      <c r="G9" s="42" t="s">
        <v>309</v>
      </c>
      <c r="H9" s="42" t="s">
        <v>310</v>
      </c>
      <c r="I9" s="42" t="s">
        <v>311</v>
      </c>
      <c r="J9" s="42" t="s">
        <v>68</v>
      </c>
    </row>
    <row r="10" customFormat="false" ht="24" hidden="false" customHeight="true" outlineLevel="0" collapsed="false">
      <c r="B10" s="43" t="s">
        <v>312</v>
      </c>
      <c r="C10" s="44" t="s">
        <v>313</v>
      </c>
      <c r="D10" s="44" t="s">
        <v>314</v>
      </c>
      <c r="E10" s="15" t="s">
        <v>315</v>
      </c>
      <c r="F10" s="69" t="s">
        <v>316</v>
      </c>
      <c r="G10" s="44" t="s">
        <v>317</v>
      </c>
      <c r="H10" s="44" t="s">
        <v>318</v>
      </c>
      <c r="I10" s="46" t="n">
        <v>5</v>
      </c>
      <c r="J10" s="44" t="s">
        <v>319</v>
      </c>
    </row>
    <row r="11" customFormat="false" ht="24" hidden="false" customHeight="true" outlineLevel="0" collapsed="false">
      <c r="B11" s="48" t="s">
        <v>320</v>
      </c>
      <c r="C11" s="49" t="s">
        <v>321</v>
      </c>
      <c r="D11" s="49" t="s">
        <v>322</v>
      </c>
      <c r="E11" s="20" t="s">
        <v>323</v>
      </c>
      <c r="F11" s="70" t="s">
        <v>316</v>
      </c>
      <c r="G11" s="49" t="s">
        <v>324</v>
      </c>
      <c r="H11" s="49" t="s">
        <v>325</v>
      </c>
      <c r="I11" s="51" t="n">
        <v>4</v>
      </c>
      <c r="J11" s="49" t="s">
        <v>326</v>
      </c>
    </row>
    <row r="12" customFormat="false" ht="24" hidden="false" customHeight="true" outlineLevel="0" collapsed="false">
      <c r="B12" s="43" t="s">
        <v>327</v>
      </c>
      <c r="C12" s="44" t="s">
        <v>328</v>
      </c>
      <c r="D12" s="44" t="s">
        <v>329</v>
      </c>
      <c r="E12" s="15" t="s">
        <v>330</v>
      </c>
      <c r="F12" s="69" t="s">
        <v>316</v>
      </c>
      <c r="G12" s="44" t="s">
        <v>331</v>
      </c>
      <c r="H12" s="44" t="s">
        <v>332</v>
      </c>
      <c r="I12" s="46" t="n">
        <v>5</v>
      </c>
      <c r="J12" s="44" t="s">
        <v>333</v>
      </c>
    </row>
    <row r="13" customFormat="false" ht="24" hidden="false" customHeight="true" outlineLevel="0" collapsed="false">
      <c r="B13" s="48" t="s">
        <v>334</v>
      </c>
      <c r="C13" s="49" t="s">
        <v>335</v>
      </c>
      <c r="D13" s="49" t="s">
        <v>336</v>
      </c>
      <c r="E13" s="20" t="s">
        <v>337</v>
      </c>
      <c r="F13" s="70" t="s">
        <v>316</v>
      </c>
      <c r="G13" s="49" t="s">
        <v>338</v>
      </c>
      <c r="H13" s="49" t="s">
        <v>339</v>
      </c>
      <c r="I13" s="51" t="n">
        <v>5</v>
      </c>
      <c r="J13" s="49" t="s">
        <v>340</v>
      </c>
    </row>
    <row r="14" customFormat="false" ht="24" hidden="false" customHeight="true" outlineLevel="0" collapsed="false">
      <c r="B14" s="43" t="s">
        <v>341</v>
      </c>
      <c r="C14" s="44" t="s">
        <v>342</v>
      </c>
      <c r="D14" s="44" t="s">
        <v>343</v>
      </c>
      <c r="E14" s="15" t="s">
        <v>344</v>
      </c>
      <c r="F14" s="69" t="s">
        <v>316</v>
      </c>
      <c r="G14" s="44" t="s">
        <v>345</v>
      </c>
      <c r="H14" s="44" t="s">
        <v>346</v>
      </c>
      <c r="I14" s="46" t="n">
        <v>4</v>
      </c>
      <c r="J14" s="44" t="s">
        <v>347</v>
      </c>
    </row>
    <row r="15" customFormat="false" ht="24" hidden="false" customHeight="true" outlineLevel="0" collapsed="false">
      <c r="B15" s="48" t="s">
        <v>348</v>
      </c>
      <c r="C15" s="49" t="s">
        <v>349</v>
      </c>
      <c r="D15" s="49" t="s">
        <v>350</v>
      </c>
      <c r="E15" s="20" t="s">
        <v>351</v>
      </c>
      <c r="F15" s="70" t="s">
        <v>316</v>
      </c>
      <c r="G15" s="49" t="s">
        <v>352</v>
      </c>
      <c r="H15" s="49" t="s">
        <v>26</v>
      </c>
      <c r="I15" s="51" t="n">
        <v>3</v>
      </c>
      <c r="J15" s="49" t="s">
        <v>353</v>
      </c>
    </row>
    <row r="16" customFormat="false" ht="24" hidden="false" customHeight="true" outlineLevel="0" collapsed="false">
      <c r="B16" s="43" t="s">
        <v>354</v>
      </c>
      <c r="C16" s="44" t="s">
        <v>355</v>
      </c>
      <c r="D16" s="44" t="s">
        <v>356</v>
      </c>
      <c r="E16" s="15" t="s">
        <v>357</v>
      </c>
      <c r="F16" s="69" t="s">
        <v>316</v>
      </c>
      <c r="G16" s="44" t="s">
        <v>358</v>
      </c>
      <c r="H16" s="44" t="s">
        <v>359</v>
      </c>
      <c r="I16" s="46" t="n">
        <v>4</v>
      </c>
      <c r="J16" s="44" t="s">
        <v>360</v>
      </c>
    </row>
    <row r="17" customFormat="false" ht="24" hidden="false" customHeight="true" outlineLevel="0" collapsed="false">
      <c r="B17" s="48"/>
      <c r="C17" s="20"/>
      <c r="D17" s="20"/>
      <c r="E17" s="20"/>
      <c r="F17" s="20"/>
      <c r="G17" s="20"/>
      <c r="H17" s="20"/>
      <c r="I17" s="51"/>
      <c r="J17" s="20"/>
    </row>
    <row r="18" customFormat="false" ht="24" hidden="false" customHeight="true" outlineLevel="0" collapsed="false">
      <c r="B18" s="43"/>
      <c r="C18" s="15"/>
      <c r="D18" s="15"/>
      <c r="E18" s="15"/>
      <c r="F18" s="15"/>
      <c r="G18" s="15"/>
      <c r="H18" s="15"/>
      <c r="I18" s="46"/>
      <c r="J18" s="15"/>
    </row>
    <row r="19" customFormat="false" ht="24" hidden="false" customHeight="true" outlineLevel="0" collapsed="false">
      <c r="B19" s="48"/>
      <c r="C19" s="20"/>
      <c r="D19" s="20"/>
      <c r="E19" s="20"/>
      <c r="F19" s="20"/>
      <c r="G19" s="20"/>
      <c r="H19" s="20"/>
      <c r="I19" s="51"/>
      <c r="J19" s="20"/>
    </row>
    <row r="20" customFormat="false" ht="24" hidden="false" customHeight="true" outlineLevel="0" collapsed="false">
      <c r="B20" s="43"/>
      <c r="C20" s="15"/>
      <c r="D20" s="15"/>
      <c r="E20" s="15"/>
      <c r="F20" s="15"/>
      <c r="G20" s="15"/>
      <c r="H20" s="15"/>
      <c r="I20" s="46"/>
      <c r="J20" s="15"/>
    </row>
    <row r="21" customFormat="false" ht="24" hidden="false" customHeight="true" outlineLevel="0" collapsed="false">
      <c r="B21" s="48"/>
      <c r="C21" s="20"/>
      <c r="D21" s="20"/>
      <c r="E21" s="20"/>
      <c r="F21" s="20"/>
      <c r="G21" s="20"/>
      <c r="H21" s="20"/>
      <c r="I21" s="51"/>
      <c r="J21" s="20"/>
    </row>
    <row r="22" customFormat="false" ht="24" hidden="false" customHeight="true" outlineLevel="0" collapsed="false">
      <c r="B22" s="43"/>
      <c r="C22" s="15"/>
      <c r="D22" s="15"/>
      <c r="E22" s="15"/>
      <c r="F22" s="15"/>
      <c r="G22" s="15"/>
      <c r="H22" s="15"/>
      <c r="I22" s="46"/>
      <c r="J22" s="15"/>
    </row>
    <row r="23" customFormat="false" ht="24" hidden="false" customHeight="true" outlineLevel="0" collapsed="false">
      <c r="B23" s="48"/>
      <c r="C23" s="20"/>
      <c r="D23" s="20"/>
      <c r="E23" s="20"/>
      <c r="F23" s="20"/>
      <c r="G23" s="20"/>
      <c r="H23" s="20"/>
      <c r="I23" s="51"/>
      <c r="J23" s="20"/>
    </row>
    <row r="24" customFormat="false" ht="24" hidden="false" customHeight="true" outlineLevel="0" collapsed="false">
      <c r="B24" s="43"/>
      <c r="C24" s="15"/>
      <c r="D24" s="15"/>
      <c r="E24" s="15"/>
      <c r="F24" s="15"/>
      <c r="G24" s="15"/>
      <c r="H24" s="15"/>
      <c r="I24" s="46"/>
      <c r="J24" s="15"/>
    </row>
    <row r="25" customFormat="false" ht="24" hidden="false" customHeight="true" outlineLevel="0" collapsed="false">
      <c r="B25" s="48"/>
      <c r="C25" s="20"/>
      <c r="D25" s="20"/>
      <c r="E25" s="20"/>
      <c r="F25" s="20"/>
      <c r="G25" s="20"/>
      <c r="H25" s="20"/>
      <c r="I25" s="51"/>
      <c r="J25" s="20"/>
    </row>
    <row r="26" customFormat="false" ht="24" hidden="false" customHeight="true" outlineLevel="0" collapsed="false">
      <c r="B26" s="43"/>
      <c r="C26" s="15"/>
      <c r="D26" s="15"/>
      <c r="E26" s="15"/>
      <c r="F26" s="15"/>
      <c r="G26" s="15"/>
      <c r="H26" s="15"/>
      <c r="I26" s="46"/>
      <c r="J26" s="15"/>
    </row>
  </sheetData>
  <autoFilter ref="B9:J26"/>
  <mergeCells count="8">
    <mergeCell ref="B3:J3"/>
    <mergeCell ref="B4:J4"/>
    <mergeCell ref="B6:C6"/>
    <mergeCell ref="E6:F6"/>
    <mergeCell ref="H6:I6"/>
    <mergeCell ref="B7:C7"/>
    <mergeCell ref="E7:F7"/>
    <mergeCell ref="H7:I7"/>
  </mergeCells>
  <conditionalFormatting sqref="I10:I26">
    <cfRule type="dataBar" priority="2">
      <dataBar showValue="1" minLength="10" maxLength="90">
        <cfvo type="num" val="1"/>
        <cfvo type="num" val="5"/>
        <color rgb="FFC9A961"/>
      </dataBar>
      <extLst>
        <ext xmlns:x14="http://schemas.microsoft.com/office/spreadsheetml/2009/9/main" uri="{B025F937-C7B1-47D3-B67F-A62EFF666E3E}">
          <x14:id>{9BB87B9F-C7B4-4AB8-9624-EA9392AF3CCD}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B87B9F-C7B4-4AB8-9624-EA9392AF3CCD}">
            <x14:dataBar minLength="10" maxLength="90" axisPosition="none" gradient="true">
              <x14:cfvo type="num">
                <xm:f>1</xm:f>
              </x14:cfvo>
              <x14:cfvo type="num">
                <xm:f>5</xm:f>
              </x14:cfvo>
              <x14:negativeFillColor rgb="FFC9A961"/>
              <x14:axisColor rgb="FF000000"/>
            </x14:dataBar>
          </x14:cfRule>
          <xm:sqref>I10:I26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3"/>
    <col collapsed="false" customWidth="true" hidden="false" outlineLevel="0" max="4" min="4" style="0" width="28"/>
    <col collapsed="false" customWidth="true" hidden="false" outlineLevel="0" max="5" min="5" style="0" width="3"/>
    <col collapsed="false" customWidth="true" hidden="false" outlineLevel="0" max="6" min="6" style="0" width="28"/>
    <col collapsed="false" customWidth="true" hidden="false" outlineLevel="0" max="7" min="7" style="0" width="3"/>
    <col collapsed="false" customWidth="true" hidden="false" outlineLevel="0" max="8" min="8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9.75" hidden="false" customHeight="true" outlineLevel="0" collapsed="false"/>
    <row r="3" customFormat="false" ht="36" hidden="false" customHeight="true" outlineLevel="0" collapsed="false">
      <c r="B3" s="37" t="s">
        <v>361</v>
      </c>
      <c r="C3" s="37"/>
      <c r="D3" s="37"/>
      <c r="E3" s="37"/>
      <c r="F3" s="37"/>
      <c r="G3" s="37"/>
      <c r="H3" s="37"/>
    </row>
    <row r="4" customFormat="false" ht="19.5" hidden="false" customHeight="true" outlineLevel="0" collapsed="false">
      <c r="B4" s="38" t="s">
        <v>362</v>
      </c>
      <c r="C4" s="38"/>
      <c r="D4" s="38"/>
      <c r="E4" s="38"/>
      <c r="F4" s="38"/>
      <c r="G4" s="38"/>
      <c r="H4" s="38"/>
    </row>
    <row r="5" customFormat="false" ht="6" hidden="false" customHeight="true" outlineLevel="0" collapsed="false">
      <c r="B5" s="4"/>
      <c r="C5" s="4"/>
      <c r="D5" s="4"/>
      <c r="E5" s="4"/>
      <c r="F5" s="4"/>
      <c r="G5" s="4"/>
      <c r="H5" s="4"/>
    </row>
    <row r="6" customFormat="false" ht="13.5" hidden="false" customHeight="true" outlineLevel="0" collapsed="false"/>
    <row r="7" customFormat="false" ht="25.5" hidden="false" customHeight="true" outlineLevel="0" collapsed="false">
      <c r="B7" s="71" t="s">
        <v>363</v>
      </c>
      <c r="D7" s="71" t="s">
        <v>364</v>
      </c>
      <c r="F7" s="71" t="s">
        <v>365</v>
      </c>
      <c r="H7" s="71" t="s">
        <v>67</v>
      </c>
    </row>
    <row r="8" customFormat="false" ht="19.5" hidden="false" customHeight="true" outlineLevel="0" collapsed="false">
      <c r="B8" s="15" t="s">
        <v>14</v>
      </c>
      <c r="D8" s="15" t="s">
        <v>74</v>
      </c>
      <c r="F8" s="15" t="s">
        <v>75</v>
      </c>
      <c r="H8" s="15" t="s">
        <v>98</v>
      </c>
    </row>
    <row r="9" customFormat="false" ht="19.5" hidden="false" customHeight="true" outlineLevel="0" collapsed="false">
      <c r="B9" s="20" t="s">
        <v>16</v>
      </c>
      <c r="D9" s="20" t="s">
        <v>90</v>
      </c>
      <c r="F9" s="20" t="s">
        <v>83</v>
      </c>
      <c r="H9" s="20" t="s">
        <v>76</v>
      </c>
    </row>
    <row r="10" customFormat="false" ht="19.5" hidden="false" customHeight="true" outlineLevel="0" collapsed="false">
      <c r="B10" s="15" t="s">
        <v>18</v>
      </c>
      <c r="D10" s="15" t="s">
        <v>163</v>
      </c>
      <c r="F10" s="15" t="s">
        <v>125</v>
      </c>
      <c r="H10" s="15" t="s">
        <v>84</v>
      </c>
    </row>
    <row r="11" customFormat="false" ht="19.5" hidden="false" customHeight="true" outlineLevel="0" collapsed="false">
      <c r="B11" s="20" t="s">
        <v>20</v>
      </c>
      <c r="D11" s="20" t="s">
        <v>97</v>
      </c>
      <c r="F11" s="20" t="s">
        <v>105</v>
      </c>
      <c r="H11" s="20" t="s">
        <v>164</v>
      </c>
    </row>
    <row r="12" customFormat="false" ht="19.5" hidden="false" customHeight="true" outlineLevel="0" collapsed="false">
      <c r="B12" s="15" t="s">
        <v>22</v>
      </c>
      <c r="D12" s="15" t="s">
        <v>119</v>
      </c>
      <c r="F12" s="15" t="s">
        <v>171</v>
      </c>
      <c r="H12" s="15" t="s">
        <v>126</v>
      </c>
    </row>
    <row r="13" customFormat="false" ht="19.5" hidden="false" customHeight="true" outlineLevel="0" collapsed="false">
      <c r="B13" s="20" t="s">
        <v>24</v>
      </c>
      <c r="D13" s="20" t="s">
        <v>150</v>
      </c>
      <c r="F13" s="20" t="s">
        <v>366</v>
      </c>
      <c r="H13" s="20" t="s">
        <v>172</v>
      </c>
    </row>
    <row r="14" customFormat="false" ht="19.5" hidden="false" customHeight="true" outlineLevel="0" collapsed="false">
      <c r="B14" s="15" t="s">
        <v>26</v>
      </c>
      <c r="D14" s="15" t="s">
        <v>367</v>
      </c>
    </row>
    <row r="15" customFormat="false" ht="19.5" hidden="false" customHeight="true" outlineLevel="0" collapsed="false">
      <c r="B15" s="20" t="s">
        <v>28</v>
      </c>
      <c r="D15" s="20" t="s">
        <v>112</v>
      </c>
    </row>
    <row r="20" customFormat="false" ht="25.5" hidden="false" customHeight="true" outlineLevel="0" collapsed="false">
      <c r="B20" s="71" t="s">
        <v>368</v>
      </c>
      <c r="D20" s="71" t="s">
        <v>369</v>
      </c>
      <c r="F20" s="71" t="s">
        <v>370</v>
      </c>
      <c r="H20" s="71" t="s">
        <v>371</v>
      </c>
    </row>
    <row r="21" customFormat="false" ht="19.5" hidden="false" customHeight="true" outlineLevel="0" collapsed="false">
      <c r="B21" s="15" t="s">
        <v>255</v>
      </c>
      <c r="D21" s="15" t="s">
        <v>372</v>
      </c>
      <c r="F21" s="15" t="s">
        <v>373</v>
      </c>
      <c r="H21" s="15" t="s">
        <v>374</v>
      </c>
    </row>
    <row r="22" customFormat="false" ht="19.5" hidden="false" customHeight="true" outlineLevel="0" collapsed="false">
      <c r="B22" s="20" t="s">
        <v>262</v>
      </c>
      <c r="D22" s="20" t="s">
        <v>207</v>
      </c>
      <c r="F22" s="20" t="s">
        <v>375</v>
      </c>
      <c r="H22" s="20" t="s">
        <v>376</v>
      </c>
    </row>
    <row r="23" customFormat="false" ht="19.5" hidden="false" customHeight="true" outlineLevel="0" collapsed="false">
      <c r="B23" s="15" t="s">
        <v>377</v>
      </c>
      <c r="D23" s="15" t="s">
        <v>211</v>
      </c>
      <c r="F23" s="15" t="s">
        <v>378</v>
      </c>
      <c r="H23" s="15" t="s">
        <v>379</v>
      </c>
    </row>
    <row r="24" customFormat="false" ht="19.5" hidden="false" customHeight="true" outlineLevel="0" collapsed="false">
      <c r="B24" s="20" t="s">
        <v>297</v>
      </c>
      <c r="D24" s="20" t="s">
        <v>215</v>
      </c>
      <c r="F24" s="20" t="s">
        <v>380</v>
      </c>
      <c r="H24" s="20" t="s">
        <v>381</v>
      </c>
    </row>
    <row r="25" customFormat="false" ht="19.5" hidden="false" customHeight="true" outlineLevel="0" collapsed="false">
      <c r="B25" s="15" t="s">
        <v>271</v>
      </c>
      <c r="D25" s="15" t="s">
        <v>219</v>
      </c>
      <c r="F25" s="15" t="s">
        <v>382</v>
      </c>
    </row>
    <row r="26" customFormat="false" ht="19.5" hidden="false" customHeight="true" outlineLevel="0" collapsed="false">
      <c r="B26" s="20" t="s">
        <v>279</v>
      </c>
      <c r="D26" s="20" t="s">
        <v>227</v>
      </c>
    </row>
    <row r="27" customFormat="false" ht="19.5" hidden="false" customHeight="true" outlineLevel="0" collapsed="false">
      <c r="B27" s="15" t="s">
        <v>383</v>
      </c>
      <c r="D27" s="15" t="s">
        <v>234</v>
      </c>
    </row>
    <row r="28" customFormat="false" ht="19.5" hidden="false" customHeight="true" outlineLevel="0" collapsed="false">
      <c r="B28" s="20" t="s">
        <v>384</v>
      </c>
      <c r="D28" s="20" t="s">
        <v>238</v>
      </c>
    </row>
  </sheetData>
  <mergeCells count="2">
    <mergeCell ref="B3:H3"/>
    <mergeCell ref="B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2026-07-13T11:31:16Z</dcterms:created>
  <dc:creator>openpyxl</dc:creator>
  <dc:description/>
  <dc:language>en-US</dc:language>
  <cp:lastModifiedBy/>
  <dcterms:modified xsi:type="dcterms:W3CDTF">2026-07-13T11:31:16Z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