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8887B92-9F68-4008-9522-0AA8D2E0F482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Dashboard" sheetId="1" r:id="rId1"/>
    <sheet name="Werkzeugliste" sheetId="2" r:id="rId2"/>
    <sheet name="Listen" sheetId="3" r:id="rId3"/>
    <sheet name="Hinweise" sheetId="4" r:id="rId4"/>
  </sheets>
  <definedNames>
    <definedName name="_xlnm._FilterDatabase" localSheetId="1" hidden="1">Werkzeugliste!$B$10:$P$45</definedName>
    <definedName name="Kategorien">Listen!$B$7:$B$14</definedName>
    <definedName name="Standorte">Listen!$D$7:$D$14</definedName>
    <definedName name="StatusWerte">Listen!$F$7:$F$12</definedName>
    <definedName name="Zustand">Listen!$H$7:$H$12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5" i="2" l="1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N7" i="2"/>
  <c r="K7" i="2"/>
  <c r="H7" i="2"/>
  <c r="E7" i="2"/>
  <c r="B7" i="2"/>
  <c r="D23" i="1"/>
  <c r="E23" i="1" s="1"/>
  <c r="C23" i="1"/>
  <c r="D22" i="1"/>
  <c r="E22" i="1" s="1"/>
  <c r="C22" i="1"/>
  <c r="I21" i="1"/>
  <c r="J21" i="1" s="1"/>
  <c r="D21" i="1"/>
  <c r="E21" i="1" s="1"/>
  <c r="C21" i="1"/>
  <c r="I20" i="1"/>
  <c r="J20" i="1" s="1"/>
  <c r="D20" i="1"/>
  <c r="E20" i="1" s="1"/>
  <c r="C20" i="1"/>
  <c r="I19" i="1"/>
  <c r="J19" i="1" s="1"/>
  <c r="D19" i="1"/>
  <c r="E19" i="1" s="1"/>
  <c r="C19" i="1"/>
  <c r="I18" i="1"/>
  <c r="J18" i="1" s="1"/>
  <c r="D18" i="1"/>
  <c r="E18" i="1" s="1"/>
  <c r="C18" i="1"/>
  <c r="I17" i="1"/>
  <c r="J17" i="1" s="1"/>
  <c r="D17" i="1"/>
  <c r="E17" i="1" s="1"/>
  <c r="C17" i="1"/>
  <c r="I16" i="1"/>
  <c r="I22" i="1" s="1"/>
  <c r="D16" i="1"/>
  <c r="D24" i="1" s="1"/>
  <c r="C16" i="1"/>
  <c r="C24" i="1" s="1"/>
  <c r="J12" i="1"/>
  <c r="H12" i="1"/>
  <c r="F12" i="1"/>
  <c r="D12" i="1"/>
  <c r="B12" i="1"/>
  <c r="J8" i="1"/>
  <c r="H8" i="1"/>
  <c r="F8" i="1"/>
  <c r="D8" i="1"/>
  <c r="B8" i="1"/>
  <c r="J16" i="1" l="1"/>
  <c r="E16" i="1"/>
</calcChain>
</file>

<file path=xl/sharedStrings.xml><?xml version="1.0" encoding="utf-8"?>
<sst xmlns="http://schemas.openxmlformats.org/spreadsheetml/2006/main" count="330" uniqueCount="210">
  <si>
    <t>WERKZEUGLISTE  ·  DASHBOARD</t>
  </si>
  <si>
    <t>Zentrale Auswertung des Werkzeugbestands  ·  Alle Kennzahlen aktualisieren sich automatisch  ·  Stand: aktuelles Datum</t>
  </si>
  <si>
    <t xml:space="preserve">  BESTAND GESAMT</t>
  </si>
  <si>
    <t xml:space="preserve">  VERFÜGBAR</t>
  </si>
  <si>
    <t xml:space="preserve">  AUSGELIEHEN</t>
  </si>
  <si>
    <t xml:space="preserve">  IN REPARATUR</t>
  </si>
  <si>
    <t xml:space="preserve">  BESTANDSWERT</t>
  </si>
  <si>
    <t xml:space="preserve">  PRÜFUNG ÜBERFÄLLIG</t>
  </si>
  <si>
    <t xml:space="preserve">  PRÜFUNG ≤30 TAGE</t>
  </si>
  <si>
    <t xml:space="preserve">  DURCHSCHNITTSWERT</t>
  </si>
  <si>
    <t xml:space="preserve">  VERFÜGBARKEIT</t>
  </si>
  <si>
    <t xml:space="preserve">  NEUANSCHAFFUNGEN 2026</t>
  </si>
  <si>
    <t xml:space="preserve">  Auswertung nach Kategorie</t>
  </si>
  <si>
    <t xml:space="preserve">  Status-Verteilung</t>
  </si>
  <si>
    <t>Kategorie</t>
  </si>
  <si>
    <t>Anzahl</t>
  </si>
  <si>
    <t>Bestandswert</t>
  </si>
  <si>
    <t>Anteil</t>
  </si>
  <si>
    <t>Status</t>
  </si>
  <si>
    <t>Handwerkzeug</t>
  </si>
  <si>
    <t>Verfügbar</t>
  </si>
  <si>
    <t>Elektrowerkzeug</t>
  </si>
  <si>
    <t>Ausgeliehen</t>
  </si>
  <si>
    <t>Akkuwerkzeug</t>
  </si>
  <si>
    <t>In Reparatur</t>
  </si>
  <si>
    <t>Druckluftwerkzeug</t>
  </si>
  <si>
    <t>Prüfung fällig</t>
  </si>
  <si>
    <t>Messgerät</t>
  </si>
  <si>
    <t>Defekt</t>
  </si>
  <si>
    <t>Sicherheitsausrüstung</t>
  </si>
  <si>
    <t>Ausgesondert</t>
  </si>
  <si>
    <t>Maschine stationär</t>
  </si>
  <si>
    <t>GESAMT</t>
  </si>
  <si>
    <t>100.0%</t>
  </si>
  <si>
    <t>Zubehör &amp; Verbrauchsmaterial</t>
  </si>
  <si>
    <t xml:space="preserve">  Alle Kennzahlen und Anteile werden automatisch aus der Werkzeugliste berechnet. Neue Einträge dort ergänzen — das Dashboard aktualisiert sich beim Öffnen der Datei.</t>
  </si>
  <si>
    <t>WERKZEUGLISTE</t>
  </si>
  <si>
    <t>Zentrale Erfassung aller Werkzeuge  ·  Neue Einträge in freier Zeile ergänzen  ·  Fälligkeit und Status werden automatisch berechnet</t>
  </si>
  <si>
    <t xml:space="preserve">  Einträge insgesamt</t>
  </si>
  <si>
    <t xml:space="preserve">  Aktive Positionen</t>
  </si>
  <si>
    <t xml:space="preserve">  Prüfung fällig</t>
  </si>
  <si>
    <t xml:space="preserve">  Prüfung überfällig</t>
  </si>
  <si>
    <t xml:space="preserve">  Gesamtwert Bestand</t>
  </si>
  <si>
    <t>Inv.-Nr.</t>
  </si>
  <si>
    <t>Bezeichnung</t>
  </si>
  <si>
    <t>Hersteller</t>
  </si>
  <si>
    <t>Modell</t>
  </si>
  <si>
    <t>Standort</t>
  </si>
  <si>
    <t>Verantwortlich</t>
  </si>
  <si>
    <t>Anschaffung</t>
  </si>
  <si>
    <t>Wert (€)</t>
  </si>
  <si>
    <t>Letzte Prüfung</t>
  </si>
  <si>
    <t>Intervall (Mon.)</t>
  </si>
  <si>
    <t>Nächste Prüfung</t>
  </si>
  <si>
    <t>Zustand</t>
  </si>
  <si>
    <t>Bemerkung</t>
  </si>
  <si>
    <t>W-2601</t>
  </si>
  <si>
    <t>Akku-Bohrschrauber 18V</t>
  </si>
  <si>
    <t>Festool</t>
  </si>
  <si>
    <t>TXS 2.6-Set</t>
  </si>
  <si>
    <t>Werkstatt Hauptgebäude</t>
  </si>
  <si>
    <t>Robert Anders</t>
  </si>
  <si>
    <t>Sehr gut</t>
  </si>
  <si>
    <t>W-2602</t>
  </si>
  <si>
    <t>Schlagbohrmaschine 900W</t>
  </si>
  <si>
    <t>Bosch Professional</t>
  </si>
  <si>
    <t>GSB 21-2 RE</t>
  </si>
  <si>
    <t>Werkstatt Halle 2</t>
  </si>
  <si>
    <t>Martin Bergmann</t>
  </si>
  <si>
    <t>Gut</t>
  </si>
  <si>
    <t>W-2603</t>
  </si>
  <si>
    <t>Elektronischer Drehmomentschlüssel</t>
  </si>
  <si>
    <t>Wera</t>
  </si>
  <si>
    <t>Click-Torque C 5</t>
  </si>
  <si>
    <t>Prüfraum</t>
  </si>
  <si>
    <t>Karin Diehl</t>
  </si>
  <si>
    <t>Neuwertig</t>
  </si>
  <si>
    <t>Kalibrierschein 05/2025</t>
  </si>
  <si>
    <t>W-2604</t>
  </si>
  <si>
    <t>Kappsäge Zug 305 mm</t>
  </si>
  <si>
    <t>Metabo</t>
  </si>
  <si>
    <t>KGS 305 M</t>
  </si>
  <si>
    <t>Gebraucht</t>
  </si>
  <si>
    <t>Sägeblatt kürzlich ersetzt</t>
  </si>
  <si>
    <t>W-2605</t>
  </si>
  <si>
    <t>Digital-Multimeter TRMS</t>
  </si>
  <si>
    <t>Fluke</t>
  </si>
  <si>
    <t>179</t>
  </si>
  <si>
    <t>Servicefahrzeug 01</t>
  </si>
  <si>
    <t>Erik Falkner</t>
  </si>
  <si>
    <t>W-2606</t>
  </si>
  <si>
    <t>Wasserwaage 200 cm mit Magnet</t>
  </si>
  <si>
    <t>Stabila</t>
  </si>
  <si>
    <t>70 Electronic</t>
  </si>
  <si>
    <t>Uwe Grothe</t>
  </si>
  <si>
    <t>W-2607</t>
  </si>
  <si>
    <t>Bandschleifer 950W</t>
  </si>
  <si>
    <t>Makita</t>
  </si>
  <si>
    <t>9403</t>
  </si>
  <si>
    <t>Peter Holzmann</t>
  </si>
  <si>
    <t>Reparaturbedürftig</t>
  </si>
  <si>
    <t>Motorlager laut</t>
  </si>
  <si>
    <t>W-2608</t>
  </si>
  <si>
    <t>Rotationslaser mit Empfänger</t>
  </si>
  <si>
    <t>Leica Geosystems</t>
  </si>
  <si>
    <t>Rugby 610</t>
  </si>
  <si>
    <t>Baustelle wechselnd</t>
  </si>
  <si>
    <t>Anja Kestner</t>
  </si>
  <si>
    <t>Justierung durch Hersteller</t>
  </si>
  <si>
    <t>W-2609</t>
  </si>
  <si>
    <t>Kompressor mobil 24 L</t>
  </si>
  <si>
    <t>Schneider Airsystems</t>
  </si>
  <si>
    <t>CPM 260-10-25 W</t>
  </si>
  <si>
    <t>Öl nachfüllen empfohlen</t>
  </si>
  <si>
    <t>W-2610</t>
  </si>
  <si>
    <t>Ratschenkasten 1/2" 32-tlg.</t>
  </si>
  <si>
    <t>Hazet</t>
  </si>
  <si>
    <t>6199-1</t>
  </si>
  <si>
    <t>Servicefahrzeug 02</t>
  </si>
  <si>
    <t>Ralf Malchow</t>
  </si>
  <si>
    <t>W-2611</t>
  </si>
  <si>
    <t>Bohrhammer SDS-Plus 800W</t>
  </si>
  <si>
    <t>Hilti</t>
  </si>
  <si>
    <t>TE 30-C</t>
  </si>
  <si>
    <t>Fleet-Management aktiv</t>
  </si>
  <si>
    <t>W-2612</t>
  </si>
  <si>
    <t>Schutzhelm Bauhelm (Set 4 Stk)</t>
  </si>
  <si>
    <t>uvex</t>
  </si>
  <si>
    <t>airwing B-WR</t>
  </si>
  <si>
    <t>Katrin Sauerbach</t>
  </si>
  <si>
    <t>W-2613</t>
  </si>
  <si>
    <t>Schwingschleifer 300W</t>
  </si>
  <si>
    <t>GSS 160-1 A</t>
  </si>
  <si>
    <t>W-2614</t>
  </si>
  <si>
    <t>Messschieber digital 200 mm</t>
  </si>
  <si>
    <t>Mitutoyo</t>
  </si>
  <si>
    <t>500-172-30</t>
  </si>
  <si>
    <t>IP67-Schutz</t>
  </si>
  <si>
    <t>W-2615</t>
  </si>
  <si>
    <t>Werkzeugkoffer Elektriker 65-tlg.</t>
  </si>
  <si>
    <t>Knipex</t>
  </si>
  <si>
    <t>00 21 06 EL</t>
  </si>
  <si>
    <t>VDE-geprüft</t>
  </si>
  <si>
    <t>W-2616</t>
  </si>
  <si>
    <t>Nagelpistole Akku 18V</t>
  </si>
  <si>
    <t>DeWalt</t>
  </si>
  <si>
    <t>DCN692N</t>
  </si>
  <si>
    <t>W-2617</t>
  </si>
  <si>
    <t>Tischbohrmaschine 500W</t>
  </si>
  <si>
    <t>Optimum</t>
  </si>
  <si>
    <t>OPTIdrill B 24H</t>
  </si>
  <si>
    <t>Wartung durch Techniker 2025</t>
  </si>
  <si>
    <t>W-2618</t>
  </si>
  <si>
    <t>Sicherheitsbrille Set (10 Stk)</t>
  </si>
  <si>
    <t>3M</t>
  </si>
  <si>
    <t>SecureFit 400</t>
  </si>
  <si>
    <t>W-2619</t>
  </si>
  <si>
    <t>Handhobel elektrisch 82 mm</t>
  </si>
  <si>
    <t>KP0800</t>
  </si>
  <si>
    <t>Außenlager Nord</t>
  </si>
  <si>
    <t>Antrieb defekt</t>
  </si>
  <si>
    <t>W-2620</t>
  </si>
  <si>
    <t>Endoskop-Kamera Industrie</t>
  </si>
  <si>
    <t>Testo</t>
  </si>
  <si>
    <t>319</t>
  </si>
  <si>
    <t>LISTEN</t>
  </si>
  <si>
    <t>Stammdaten für Auswahllisten  ·  Werte werden in der Werkzeugliste als Dropdown verwendet</t>
  </si>
  <si>
    <t>Kategorien</t>
  </si>
  <si>
    <t>Standorte</t>
  </si>
  <si>
    <t>Status-Werte</t>
  </si>
  <si>
    <t>Büro Verwaltung</t>
  </si>
  <si>
    <t xml:space="preserve">  Werte in diesen Listen können frei angepasst werden. Beim Hinzufügen neuer Einträge einfach in leere Zeile ergänzen — die Dropdowns übernehmen automatisch.</t>
  </si>
  <si>
    <t>HINWEISE  ·  ANLEITUNG</t>
  </si>
  <si>
    <t>Kurze Erläuterung zur Nutzung dieser Vorlage</t>
  </si>
  <si>
    <t xml:space="preserve">  Aufbau der Vorlage</t>
  </si>
  <si>
    <t>1</t>
  </si>
  <si>
    <t>Dashboard</t>
  </si>
  <si>
    <t>Automatisch berechnete Kennzahlen und Auswertungen nach Kategorie und Status. Enthält Bestandswert, Verfügbarkeit und Prüfungs-Übersicht.</t>
  </si>
  <si>
    <t>2</t>
  </si>
  <si>
    <t>Werkzeugliste</t>
  </si>
  <si>
    <t>Zentrale Erfassungstabelle. Hier wird jedes Werkzeug mit Inventarnummer, Standort, Verantwortlichen, Wert und Prüfterminen dokumentiert.</t>
  </si>
  <si>
    <t>3</t>
  </si>
  <si>
    <t>Listen</t>
  </si>
  <si>
    <t>Stammdaten für Auswahllisten (Kategorien, Standorte, Status, Zustand). Änderungen wirken sich direkt auf die Dropdowns in der Werkzeugliste aus.</t>
  </si>
  <si>
    <t>4</t>
  </si>
  <si>
    <t>Hinweise</t>
  </si>
  <si>
    <t>Diese Erklärungsseite mit Anleitung und Legende.</t>
  </si>
  <si>
    <t xml:space="preserve">  Farblegende</t>
  </si>
  <si>
    <t xml:space="preserve">  Verfügbar</t>
  </si>
  <si>
    <t>Werkzeug ist einsatzbereit und verfügbar.</t>
  </si>
  <si>
    <t xml:space="preserve">  Ausgeliehen</t>
  </si>
  <si>
    <t>Werkzeug befindet sich aktuell in Nutzung durch einen Mitarbeiter.</t>
  </si>
  <si>
    <t xml:space="preserve">  In Reparatur / Defekt</t>
  </si>
  <si>
    <t>Werkzeug ist nicht einsatzfähig und muss instandgesetzt werden.</t>
  </si>
  <si>
    <t>DGUV- oder Kalibrierprüfung wird demnächst oder ist bereits fällig.</t>
  </si>
  <si>
    <t xml:space="preserve">  Ausgesondert</t>
  </si>
  <si>
    <t>Werkzeug wurde aus dem aktiven Bestand entfernt.</t>
  </si>
  <si>
    <t xml:space="preserve">  Praktische Tipps</t>
  </si>
  <si>
    <t>•</t>
  </si>
  <si>
    <t>Prüftermine planen</t>
  </si>
  <si>
    <t>Die Spalte «Nächste Prüfung» wird aus «Letzte Prüfung + Intervall» berechnet. Wenn ein Datum in Rot erscheint, ist die Prüfung überfällig.</t>
  </si>
  <si>
    <t>Kategorien nutzen</t>
  </si>
  <si>
    <t>Konsistente Kategorien in der Werkzeugliste sind Voraussetzung für saubere Auswertungen im Dashboard. Neue Kategorien bitte über die Registerkarte «Listen» ergänzen.</t>
  </si>
  <si>
    <t>Filter &amp; Sortierung</t>
  </si>
  <si>
    <t>In der Werkzeugliste ist der Autofilter aktiv. Über die Pfeile in der Kopfzeile lassen sich Einträge nach Standort, Kategorie oder Status filtern.</t>
  </si>
  <si>
    <t>Erweiterung</t>
  </si>
  <si>
    <t>Weitere Zeilen können jederzeit unterhalb der letzten Zeile ergänzt werden — die Formeln im Dashboard erfassen bis Zeile 1000 automatisch.</t>
  </si>
  <si>
    <t>Werte pflegen</t>
  </si>
  <si>
    <t>Der Bestandswert bildet die Grundlage für Inventur und Versicherung. Realistische Wiederbeschaffungswerte statt Nullen eintragen.</t>
  </si>
  <si>
    <t xml:space="preserve">  Alle Beispieldaten dienen ausschließlich zur Veranschaulichung. Personennamen und Werte sind frei erfunden.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</si>
</sst>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"/>
    <numFmt numFmtId="165" formatCode="#,##0.00&quot; €&quot;"/>
    <numFmt numFmtId="166" formatCode="0.0%"/>
    <numFmt numFmtId="167" formatCode="dd\.mm\.yyyy"/>
    <numFmt numFmtId="168" formatCode="0&quot; Mon.&quot;"/>
  </numFmts>
  <fonts count="29" x14ac:knownFonts="1">
    <font>
      <sz val="11"/>
      <color theme="1"/>
      <name val="Calibri"/>
      <family val="2"/>
      <charset val="1"/>
    </font>
    <font>
      <b/>
      <sz val="24"/>
      <color rgb="FF2C3639"/>
      <name val="Calibri"/>
      <charset val="1"/>
    </font>
    <font>
      <i/>
      <sz val="10"/>
      <color rgb="FF3F4E4F"/>
      <name val="Calibri"/>
      <charset val="1"/>
    </font>
    <font>
      <b/>
      <sz val="9"/>
      <color rgb="FF3F4E4F"/>
      <name val="Calibri"/>
      <charset val="1"/>
    </font>
    <font>
      <b/>
      <sz val="26"/>
      <color rgb="FF2C3639"/>
      <name val="Calibri"/>
      <charset val="1"/>
    </font>
    <font>
      <b/>
      <sz val="16"/>
      <color rgb="FFB23A48"/>
      <name val="Calibri"/>
      <charset val="1"/>
    </font>
    <font>
      <b/>
      <sz val="16"/>
      <color rgb="FFD9A441"/>
      <name val="Calibri"/>
      <charset val="1"/>
    </font>
    <font>
      <b/>
      <sz val="16"/>
      <color rgb="FFA27B5C"/>
      <name val="Calibri"/>
      <charset val="1"/>
    </font>
    <font>
      <b/>
      <sz val="16"/>
      <color rgb="FF5B8C5A"/>
      <name val="Calibri"/>
      <charset val="1"/>
    </font>
    <font>
      <b/>
      <sz val="16"/>
      <color rgb="FF6B8E7F"/>
      <name val="Calibri"/>
      <charset val="1"/>
    </font>
    <font>
      <b/>
      <sz val="13"/>
      <color rgb="FFFFFFFF"/>
      <name val="Calibri"/>
      <charset val="1"/>
    </font>
    <font>
      <b/>
      <sz val="10"/>
      <color rgb="FFFFFFFF"/>
      <name val="Calibri"/>
      <charset val="1"/>
    </font>
    <font>
      <sz val="10"/>
      <color rgb="FF1C2529"/>
      <name val="Calibri"/>
      <charset val="1"/>
    </font>
    <font>
      <b/>
      <sz val="10"/>
      <color rgb="FFA27B5C"/>
      <name val="Calibri"/>
      <charset val="1"/>
    </font>
    <font>
      <i/>
      <sz val="9"/>
      <color rgb="FF3F4E4F"/>
      <name val="Calibri"/>
      <charset val="1"/>
    </font>
    <font>
      <b/>
      <sz val="22"/>
      <color rgb="FF2C3639"/>
      <name val="Calibri"/>
      <charset val="1"/>
    </font>
    <font>
      <b/>
      <sz val="15"/>
      <color rgb="FF2C3639"/>
      <name val="Calibri"/>
      <charset val="1"/>
    </font>
    <font>
      <b/>
      <sz val="15"/>
      <color rgb="FFA27B5C"/>
      <name val="Calibri"/>
      <charset val="1"/>
    </font>
    <font>
      <b/>
      <sz val="10"/>
      <color rgb="FF1C2529"/>
      <name val="Calibri"/>
      <charset val="1"/>
    </font>
    <font>
      <b/>
      <sz val="11"/>
      <color rgb="FFFFFFFF"/>
      <name val="Calibri"/>
      <charset val="1"/>
    </font>
    <font>
      <b/>
      <sz val="12"/>
      <color rgb="FFFFFFFF"/>
      <name val="Calibri"/>
      <charset val="1"/>
    </font>
    <font>
      <b/>
      <sz val="14"/>
      <color rgb="FFA27B5C"/>
      <name val="Calibri"/>
      <charset val="1"/>
    </font>
    <font>
      <b/>
      <sz val="11"/>
      <color rgb="FF2C3639"/>
      <name val="Calibri"/>
      <charset val="1"/>
    </font>
    <font>
      <b/>
      <sz val="10"/>
      <color rgb="FF3D6B3A"/>
      <name val="Calibri"/>
      <charset val="1"/>
    </font>
    <font>
      <b/>
      <sz val="10"/>
      <color rgb="FF6B5B3F"/>
      <name val="Calibri"/>
      <charset val="1"/>
    </font>
    <font>
      <b/>
      <sz val="10"/>
      <color rgb="FF8B2C38"/>
      <name val="Calibri"/>
      <charset val="1"/>
    </font>
    <font>
      <b/>
      <sz val="10"/>
      <color rgb="FF8A5F1C"/>
      <name val="Calibri"/>
      <charset val="1"/>
    </font>
    <font>
      <b/>
      <sz val="10"/>
      <color rgb="FF4A4A4A"/>
      <name val="Calibri"/>
      <charset val="1"/>
    </font>
    <font>
      <b/>
      <sz val="10"/>
      <color rgb="FF2C3639"/>
      <name val="Calibri"/>
      <charset val="1"/>
    </font>
  </fonts>
  <fills count="16">
    <fill>
      <patternFill patternType="none"/>
    </fill>
    <fill>
      <patternFill patternType="gray125"/>
    </fill>
    <fill>
      <patternFill patternType="solid">
        <fgColor rgb="FFA27B5C"/>
        <bgColor rgb="FF8A5F1C"/>
      </patternFill>
    </fill>
    <fill>
      <patternFill patternType="solid">
        <fgColor rgb="FF2C3639"/>
        <bgColor rgb="FF1C2529"/>
      </patternFill>
    </fill>
    <fill>
      <patternFill patternType="solid">
        <fgColor rgb="FF5B8C5A"/>
        <bgColor rgb="FF6B8E7F"/>
      </patternFill>
    </fill>
    <fill>
      <patternFill patternType="solid">
        <fgColor rgb="FF6B8E7F"/>
        <bgColor rgb="FF5B8C5A"/>
      </patternFill>
    </fill>
    <fill>
      <patternFill patternType="solid">
        <fgColor rgb="FFD9A441"/>
        <bgColor rgb="FFFF8080"/>
      </patternFill>
    </fill>
    <fill>
      <patternFill patternType="solid">
        <fgColor rgb="FFFFFFFF"/>
        <bgColor rgb="FFFBF9F5"/>
      </patternFill>
    </fill>
    <fill>
      <patternFill patternType="solid">
        <fgColor rgb="FFFBF9F5"/>
        <bgColor rgb="FFFFFFFF"/>
      </patternFill>
    </fill>
    <fill>
      <patternFill patternType="solid">
        <fgColor rgb="FF3F4E4F"/>
        <bgColor rgb="FF4A4A4A"/>
      </patternFill>
    </fill>
    <fill>
      <patternFill patternType="solid">
        <fgColor rgb="FFF4F1EC"/>
        <bgColor rgb="FFFBF9F5"/>
      </patternFill>
    </fill>
    <fill>
      <patternFill patternType="solid">
        <fgColor rgb="FFD9E6D0"/>
        <bgColor rgb="FFE1DDD1"/>
      </patternFill>
    </fill>
    <fill>
      <patternFill patternType="solid">
        <fgColor rgb="FFE1DDD1"/>
        <bgColor rgb="FFDAD6CE"/>
      </patternFill>
    </fill>
    <fill>
      <patternFill patternType="solid">
        <fgColor rgb="FFEED4D7"/>
        <bgColor rgb="FFE1DDD1"/>
      </patternFill>
    </fill>
    <fill>
      <patternFill patternType="solid">
        <fgColor rgb="FFF5E4C6"/>
        <bgColor rgb="FFF9EAD0"/>
      </patternFill>
    </fill>
    <fill>
      <patternFill patternType="solid">
        <fgColor rgb="FFDAD6CE"/>
        <bgColor rgb="FFD6D0C4"/>
      </patternFill>
    </fill>
  </fills>
  <borders count="19">
    <border>
      <left/>
      <right/>
      <top/>
      <bottom/>
      <diagonal/>
    </border>
    <border>
      <left/>
      <right/>
      <top style="thin">
        <color rgb="FFA27B5C"/>
      </top>
      <bottom style="medium">
        <color rgb="FF2C3639"/>
      </bottom>
      <diagonal/>
    </border>
    <border>
      <left style="thin">
        <color rgb="FFD6D0C4"/>
      </left>
      <right/>
      <top/>
      <bottom/>
      <diagonal/>
    </border>
    <border>
      <left/>
      <right style="thin">
        <color rgb="FFD6D0C4"/>
      </right>
      <top/>
      <bottom/>
      <diagonal/>
    </border>
    <border>
      <left style="thin">
        <color rgb="FFD6D0C4"/>
      </left>
      <right style="thin">
        <color rgb="FFD6D0C4"/>
      </right>
      <top/>
      <bottom/>
      <diagonal/>
    </border>
    <border>
      <left style="thin">
        <color rgb="FFD6D0C4"/>
      </left>
      <right style="thin">
        <color rgb="FFD6D0C4"/>
      </right>
      <top/>
      <bottom style="thin">
        <color rgb="FFD6D0C4"/>
      </bottom>
      <diagonal/>
    </border>
    <border>
      <left/>
      <right/>
      <top/>
      <bottom style="thin">
        <color rgb="FFB23A48"/>
      </bottom>
      <diagonal/>
    </border>
    <border>
      <left/>
      <right/>
      <top/>
      <bottom style="thin">
        <color rgb="FFD9A441"/>
      </bottom>
      <diagonal/>
    </border>
    <border>
      <left/>
      <right/>
      <top/>
      <bottom style="thin">
        <color rgb="FFA27B5C"/>
      </bottom>
      <diagonal/>
    </border>
    <border>
      <left/>
      <right/>
      <top/>
      <bottom style="thin">
        <color rgb="FF5B8C5A"/>
      </bottom>
      <diagonal/>
    </border>
    <border>
      <left/>
      <right/>
      <top/>
      <bottom style="thin">
        <color rgb="FF6B8E7F"/>
      </bottom>
      <diagonal/>
    </border>
    <border>
      <left/>
      <right/>
      <top/>
      <bottom style="thin">
        <color rgb="FFD6D0C4"/>
      </bottom>
      <diagonal/>
    </border>
    <border>
      <left style="thin">
        <color rgb="FF3F4E4F"/>
      </left>
      <right style="thin">
        <color rgb="FF3F4E4F"/>
      </right>
      <top style="thin">
        <color rgb="FF3F4E4F"/>
      </top>
      <bottom style="thin">
        <color rgb="FF3F4E4F"/>
      </bottom>
      <diagonal/>
    </border>
    <border>
      <left/>
      <right/>
      <top/>
      <bottom style="medium">
        <color rgb="FFA27B5C"/>
      </bottom>
      <diagonal/>
    </border>
    <border>
      <left style="thin">
        <color rgb="FFFFFFFF"/>
      </left>
      <right style="thin">
        <color rgb="FFFFFFFF"/>
      </right>
      <top style="thin">
        <color rgb="FF2C3639"/>
      </top>
      <bottom style="thin">
        <color rgb="FF2C3639"/>
      </bottom>
      <diagonal/>
    </border>
    <border>
      <left style="thin">
        <color rgb="FF2C3639"/>
      </left>
      <right style="thin">
        <color rgb="FF2C3639"/>
      </right>
      <top style="thin">
        <color rgb="FF2C3639"/>
      </top>
      <bottom style="thin">
        <color rgb="FF2C3639"/>
      </bottom>
      <diagonal/>
    </border>
    <border>
      <left style="thin">
        <color rgb="FFA27B5C"/>
      </left>
      <right style="thin">
        <color rgb="FFA27B5C"/>
      </right>
      <top style="thin">
        <color rgb="FFA27B5C"/>
      </top>
      <bottom style="thin">
        <color rgb="FFA27B5C"/>
      </bottom>
      <diagonal/>
    </border>
    <border>
      <left style="thin">
        <color rgb="FF6B8E7F"/>
      </left>
      <right style="thin">
        <color rgb="FF6B8E7F"/>
      </right>
      <top style="thin">
        <color rgb="FF6B8E7F"/>
      </top>
      <bottom style="thin">
        <color rgb="FF6B8E7F"/>
      </bottom>
      <diagonal/>
    </border>
    <border>
      <left style="thin">
        <color rgb="FFD6D0C4"/>
      </left>
      <right style="thin">
        <color rgb="FFD6D0C4"/>
      </right>
      <top style="thin">
        <color rgb="FFD6D0C4"/>
      </top>
      <bottom style="thin">
        <color rgb="FFD6D0C4"/>
      </bottom>
      <diagonal/>
    </border>
  </borders>
  <cellStyleXfs count="1">
    <xf numFmtId="0" fontId="0" fillId="0" borderId="0"/>
  </cellStyleXfs>
  <cellXfs count="88">
    <xf numFmtId="0" fontId="0" fillId="0" borderId="0" xfId="0"/>
    <xf numFmtId="166" fontId="8" fillId="8" borderId="11" xfId="0" applyNumberFormat="1" applyFont="1" applyFill="1" applyBorder="1" applyAlignment="1">
      <alignment horizontal="left" vertical="center" indent="2"/>
    </xf>
    <xf numFmtId="165" fontId="7" fillId="8" borderId="11" xfId="0" applyNumberFormat="1" applyFont="1" applyFill="1" applyBorder="1" applyAlignment="1">
      <alignment horizontal="left" vertical="center" indent="2"/>
    </xf>
    <xf numFmtId="1" fontId="6" fillId="8" borderId="11" xfId="0" applyNumberFormat="1" applyFont="1" applyFill="1" applyBorder="1" applyAlignment="1">
      <alignment horizontal="left" vertical="center" indent="2"/>
    </xf>
    <xf numFmtId="1" fontId="5" fillId="8" borderId="11" xfId="0" applyNumberFormat="1" applyFont="1" applyFill="1" applyBorder="1" applyAlignment="1">
      <alignment horizontal="left" vertical="center" indent="2"/>
    </xf>
    <xf numFmtId="0" fontId="3" fillId="8" borderId="10" xfId="0" applyFont="1" applyFill="1" applyBorder="1" applyAlignment="1">
      <alignment horizontal="left" vertical="center" indent="2"/>
    </xf>
    <xf numFmtId="0" fontId="3" fillId="8" borderId="9" xfId="0" applyFont="1" applyFill="1" applyBorder="1" applyAlignment="1">
      <alignment horizontal="left" vertical="center" indent="2"/>
    </xf>
    <xf numFmtId="0" fontId="3" fillId="8" borderId="8" xfId="0" applyFont="1" applyFill="1" applyBorder="1" applyAlignment="1">
      <alignment horizontal="left" vertical="center" indent="2"/>
    </xf>
    <xf numFmtId="0" fontId="3" fillId="8" borderId="7" xfId="0" applyFont="1" applyFill="1" applyBorder="1" applyAlignment="1">
      <alignment horizontal="left" vertical="center" indent="2"/>
    </xf>
    <xf numFmtId="0" fontId="3" fillId="8" borderId="6" xfId="0" applyFont="1" applyFill="1" applyBorder="1" applyAlignment="1">
      <alignment horizontal="left" vertical="center" indent="2"/>
    </xf>
    <xf numFmtId="164" fontId="4" fillId="7" borderId="5" xfId="0" applyNumberFormat="1" applyFont="1" applyFill="1" applyBorder="1" applyAlignment="1">
      <alignment horizontal="left" vertical="center" indent="2"/>
    </xf>
    <xf numFmtId="1" fontId="4" fillId="7" borderId="5" xfId="0" applyNumberFormat="1" applyFont="1" applyFill="1" applyBorder="1" applyAlignment="1">
      <alignment horizontal="left" vertical="center" indent="2"/>
    </xf>
    <xf numFmtId="0" fontId="3" fillId="7" borderId="4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2" borderId="0" xfId="0" applyFill="1"/>
    <xf numFmtId="0" fontId="0" fillId="0" borderId="1" xfId="0" applyBorder="1"/>
    <xf numFmtId="0" fontId="0" fillId="3" borderId="2" xfId="0" applyFill="1" applyBorder="1"/>
    <xf numFmtId="0" fontId="0" fillId="3" borderId="3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2" xfId="0" applyFill="1" applyBorder="1"/>
    <xf numFmtId="0" fontId="0" fillId="5" borderId="3" xfId="0" applyFill="1" applyBorder="1"/>
    <xf numFmtId="0" fontId="0" fillId="6" borderId="2" xfId="0" applyFill="1" applyBorder="1"/>
    <xf numFmtId="0" fontId="0" fillId="6" borderId="3" xfId="0" applyFill="1" applyBorder="1"/>
    <xf numFmtId="0" fontId="0" fillId="2" borderId="2" xfId="0" applyFill="1" applyBorder="1"/>
    <xf numFmtId="0" fontId="0" fillId="2" borderId="3" xfId="0" applyFill="1" applyBorder="1"/>
    <xf numFmtId="0" fontId="11" fillId="9" borderId="12" xfId="0" applyFont="1" applyFill="1" applyBorder="1" applyAlignment="1">
      <alignment horizontal="center" vertical="center"/>
    </xf>
    <xf numFmtId="0" fontId="0" fillId="9" borderId="0" xfId="0" applyFill="1"/>
    <xf numFmtId="0" fontId="12" fillId="10" borderId="5" xfId="0" applyFont="1" applyFill="1" applyBorder="1" applyAlignment="1">
      <alignment horizontal="left" vertical="center" indent="1"/>
    </xf>
    <xf numFmtId="0" fontId="12" fillId="10" borderId="5" xfId="0" applyFont="1" applyFill="1" applyBorder="1" applyAlignment="1">
      <alignment horizontal="center" vertical="center"/>
    </xf>
    <xf numFmtId="165" fontId="12" fillId="10" borderId="5" xfId="0" applyNumberFormat="1" applyFont="1" applyFill="1" applyBorder="1" applyAlignment="1">
      <alignment horizontal="right" vertical="center" indent="1"/>
    </xf>
    <xf numFmtId="166" fontId="13" fillId="10" borderId="5" xfId="0" applyNumberFormat="1" applyFont="1" applyFill="1" applyBorder="1" applyAlignment="1">
      <alignment horizontal="center" vertical="center"/>
    </xf>
    <xf numFmtId="0" fontId="0" fillId="10" borderId="5" xfId="0" applyFill="1" applyBorder="1"/>
    <xf numFmtId="0" fontId="12" fillId="7" borderId="5" xfId="0" applyFont="1" applyFill="1" applyBorder="1" applyAlignment="1">
      <alignment horizontal="left" vertical="center" indent="1"/>
    </xf>
    <xf numFmtId="0" fontId="12" fillId="7" borderId="5" xfId="0" applyFont="1" applyFill="1" applyBorder="1" applyAlignment="1">
      <alignment horizontal="center" vertical="center"/>
    </xf>
    <xf numFmtId="165" fontId="12" fillId="7" borderId="5" xfId="0" applyNumberFormat="1" applyFont="1" applyFill="1" applyBorder="1" applyAlignment="1">
      <alignment horizontal="right" vertical="center" indent="1"/>
    </xf>
    <xf numFmtId="166" fontId="13" fillId="7" borderId="5" xfId="0" applyNumberFormat="1" applyFont="1" applyFill="1" applyBorder="1" applyAlignment="1">
      <alignment horizontal="center" vertical="center"/>
    </xf>
    <xf numFmtId="0" fontId="0" fillId="7" borderId="5" xfId="0" applyFill="1" applyBorder="1"/>
    <xf numFmtId="0" fontId="11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right" vertical="center" indent="1"/>
    </xf>
    <xf numFmtId="0" fontId="0" fillId="3" borderId="0" xfId="0" applyFill="1"/>
    <xf numFmtId="0" fontId="11" fillId="3" borderId="1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left" vertical="center" indent="1"/>
    </xf>
    <xf numFmtId="0" fontId="2" fillId="10" borderId="5" xfId="0" applyFont="1" applyFill="1" applyBorder="1" applyAlignment="1">
      <alignment horizontal="left" vertical="center" indent="1"/>
    </xf>
    <xf numFmtId="167" fontId="12" fillId="10" borderId="5" xfId="0" applyNumberFormat="1" applyFont="1" applyFill="1" applyBorder="1" applyAlignment="1">
      <alignment horizontal="center" vertical="center"/>
    </xf>
    <xf numFmtId="168" fontId="12" fillId="10" borderId="5" xfId="0" applyNumberFormat="1" applyFont="1" applyFill="1" applyBorder="1" applyAlignment="1">
      <alignment horizontal="center" vertical="center"/>
    </xf>
    <xf numFmtId="167" fontId="18" fillId="10" borderId="5" xfId="0" applyNumberFormat="1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left" vertical="center" wrapText="1" indent="1"/>
    </xf>
    <xf numFmtId="0" fontId="13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left" vertical="center" indent="1"/>
    </xf>
    <xf numFmtId="0" fontId="2" fillId="7" borderId="5" xfId="0" applyFont="1" applyFill="1" applyBorder="1" applyAlignment="1">
      <alignment horizontal="left" vertical="center" indent="1"/>
    </xf>
    <xf numFmtId="167" fontId="12" fillId="7" borderId="5" xfId="0" applyNumberFormat="1" applyFont="1" applyFill="1" applyBorder="1" applyAlignment="1">
      <alignment horizontal="center" vertical="center"/>
    </xf>
    <xf numFmtId="168" fontId="12" fillId="7" borderId="5" xfId="0" applyNumberFormat="1" applyFont="1" applyFill="1" applyBorder="1" applyAlignment="1">
      <alignment horizontal="center" vertical="center"/>
    </xf>
    <xf numFmtId="167" fontId="18" fillId="7" borderId="5" xfId="0" applyNumberFormat="1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left" vertical="center" wrapText="1" indent="1"/>
    </xf>
    <xf numFmtId="0" fontId="19" fillId="3" borderId="15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left" vertical="center" indent="2"/>
    </xf>
    <xf numFmtId="0" fontId="12" fillId="7" borderId="5" xfId="0" applyFont="1" applyFill="1" applyBorder="1" applyAlignment="1">
      <alignment horizontal="left" vertical="center" indent="2"/>
    </xf>
    <xf numFmtId="0" fontId="21" fillId="8" borderId="11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left" vertical="center" indent="1"/>
    </xf>
    <xf numFmtId="0" fontId="12" fillId="8" borderId="11" xfId="0" applyFont="1" applyFill="1" applyBorder="1" applyAlignment="1">
      <alignment horizontal="left" vertical="center" wrapText="1" indent="1"/>
    </xf>
    <xf numFmtId="0" fontId="21" fillId="7" borderId="11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left" vertical="center" indent="1"/>
    </xf>
    <xf numFmtId="0" fontId="12" fillId="7" borderId="11" xfId="0" applyFont="1" applyFill="1" applyBorder="1" applyAlignment="1">
      <alignment horizontal="left" vertical="center" wrapText="1" indent="1"/>
    </xf>
    <xf numFmtId="0" fontId="23" fillId="11" borderId="18" xfId="0" applyFont="1" applyFill="1" applyBorder="1" applyAlignment="1">
      <alignment horizontal="left" vertical="center" indent="1"/>
    </xf>
    <xf numFmtId="0" fontId="24" fillId="12" borderId="18" xfId="0" applyFont="1" applyFill="1" applyBorder="1" applyAlignment="1">
      <alignment horizontal="left" vertical="center" indent="1"/>
    </xf>
    <xf numFmtId="0" fontId="25" fillId="13" borderId="18" xfId="0" applyFont="1" applyFill="1" applyBorder="1" applyAlignment="1">
      <alignment horizontal="left" vertical="center" indent="1"/>
    </xf>
    <xf numFmtId="0" fontId="26" fillId="14" borderId="18" xfId="0" applyFont="1" applyFill="1" applyBorder="1" applyAlignment="1">
      <alignment horizontal="left" vertical="center" indent="1"/>
    </xf>
    <xf numFmtId="0" fontId="27" fillId="15" borderId="18" xfId="0" applyFont="1" applyFill="1" applyBorder="1" applyAlignment="1">
      <alignment horizontal="left" vertical="center" indent="1"/>
    </xf>
    <xf numFmtId="0" fontId="28" fillId="8" borderId="11" xfId="0" applyFont="1" applyFill="1" applyBorder="1" applyAlignment="1">
      <alignment horizontal="left" vertical="center" indent="1"/>
    </xf>
    <xf numFmtId="0" fontId="28" fillId="7" borderId="11" xfId="0" applyFont="1" applyFill="1" applyBorder="1" applyAlignment="1">
      <alignment horizontal="left" vertical="center" indent="1"/>
    </xf>
    <xf numFmtId="1" fontId="9" fillId="8" borderId="11" xfId="0" applyNumberFormat="1" applyFont="1" applyFill="1" applyBorder="1" applyAlignment="1">
      <alignment horizontal="left" vertical="center" indent="2"/>
    </xf>
    <xf numFmtId="0" fontId="10" fillId="3" borderId="0" xfId="0" applyFont="1" applyFill="1" applyAlignment="1">
      <alignment horizontal="left" vertical="center"/>
    </xf>
    <xf numFmtId="0" fontId="14" fillId="10" borderId="0" xfId="0" applyFont="1" applyFill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3" fillId="8" borderId="0" xfId="0" applyFont="1" applyFill="1" applyAlignment="1">
      <alignment horizontal="left" vertical="center"/>
    </xf>
    <xf numFmtId="1" fontId="16" fillId="8" borderId="13" xfId="0" applyNumberFormat="1" applyFont="1" applyFill="1" applyBorder="1" applyAlignment="1">
      <alignment horizontal="right" vertical="center" indent="2"/>
    </xf>
    <xf numFmtId="164" fontId="17" fillId="8" borderId="13" xfId="0" applyNumberFormat="1" applyFont="1" applyFill="1" applyBorder="1" applyAlignment="1">
      <alignment horizontal="right" vertical="center" indent="2"/>
    </xf>
    <xf numFmtId="0" fontId="14" fillId="10" borderId="0" xfId="0" applyFont="1" applyFill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/>
    </xf>
  </cellXfs>
  <cellStyles count="1">
    <cellStyle name="Standard" xfId="0" builtinId="0"/>
  </cellStyles>
  <dxfs count="11">
    <dxf>
      <font>
        <b/>
        <sz val="10"/>
        <color rgb="FF8B2C38"/>
        <name val="Calibri"/>
        <charset val="1"/>
      </font>
      <fill>
        <patternFill>
          <bgColor rgb="FFEED4D7"/>
        </patternFill>
      </fill>
    </dxf>
    <dxf>
      <font>
        <b/>
        <sz val="10"/>
        <color rgb="FF3D6B3A"/>
        <name val="Calibri"/>
        <charset val="1"/>
      </font>
      <fill>
        <patternFill>
          <bgColor rgb="FFD9E6D0"/>
        </patternFill>
      </fill>
    </dxf>
    <dxf>
      <font>
        <b/>
        <sz val="10"/>
        <color rgb="FF3D6B3A"/>
        <name val="Calibri"/>
        <charset val="1"/>
      </font>
      <fill>
        <patternFill>
          <bgColor rgb="FFD9E6D0"/>
        </patternFill>
      </fill>
    </dxf>
    <dxf>
      <font>
        <b/>
        <sz val="10"/>
        <color rgb="FF8B2C38"/>
        <name val="Calibri"/>
        <charset val="1"/>
      </font>
      <fill>
        <patternFill>
          <bgColor rgb="FFEED4D7"/>
        </patternFill>
      </fill>
    </dxf>
    <dxf>
      <font>
        <b/>
        <sz val="10"/>
        <color rgb="FF4A4A4A"/>
        <name val="Calibri"/>
        <charset val="1"/>
      </font>
      <fill>
        <patternFill>
          <bgColor rgb="FFDAD6CE"/>
        </patternFill>
      </fill>
    </dxf>
    <dxf>
      <font>
        <b/>
        <sz val="10"/>
        <color rgb="FF8A5F1C"/>
        <name val="Calibri"/>
        <charset val="1"/>
      </font>
      <fill>
        <patternFill>
          <bgColor rgb="FFF5E4C6"/>
        </patternFill>
      </fill>
    </dxf>
    <dxf>
      <font>
        <b/>
        <sz val="10"/>
        <color rgb="FF8A5F1C"/>
        <name val="Calibri"/>
        <charset val="1"/>
      </font>
      <fill>
        <patternFill>
          <bgColor rgb="FFF5E4C6"/>
        </patternFill>
      </fill>
    </dxf>
    <dxf>
      <font>
        <b/>
        <sz val="10"/>
        <color rgb="FF6B5B3F"/>
        <name val="Calibri"/>
        <charset val="1"/>
      </font>
      <fill>
        <patternFill>
          <bgColor rgb="FFE1DDD1"/>
        </patternFill>
      </fill>
    </dxf>
    <dxf>
      <font>
        <b/>
        <sz val="10"/>
        <color rgb="FF3D6B3A"/>
        <name val="Calibri"/>
        <charset val="1"/>
      </font>
      <fill>
        <patternFill>
          <bgColor rgb="FFD9E6D0"/>
        </patternFill>
      </fill>
    </dxf>
    <dxf>
      <font>
        <b/>
        <sz val="10"/>
        <color rgb="FF8A5F1C"/>
        <name val="Calibri"/>
        <charset val="1"/>
      </font>
      <fill>
        <patternFill>
          <bgColor rgb="FFF9EAD0"/>
        </patternFill>
      </fill>
    </dxf>
    <dxf>
      <font>
        <b/>
        <sz val="10"/>
        <color rgb="FFB23A48"/>
        <name val="Calibri"/>
        <charset val="1"/>
      </font>
      <fill>
        <patternFill>
          <bgColor rgb="FFF5E1E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D6B3A"/>
      <rgbColor rgb="FF000080"/>
      <rgbColor rgb="FF8A5F1C"/>
      <rgbColor rgb="FF800080"/>
      <rgbColor rgb="FF008080"/>
      <rgbColor rgb="FFD6D0C4"/>
      <rgbColor rgb="FF6B8E7F"/>
      <rgbColor rgb="FF9999FF"/>
      <rgbColor rgb="FFB23A48"/>
      <rgbColor rgb="FFFBF9F5"/>
      <rgbColor rgb="FFF4F1EC"/>
      <rgbColor rgb="FF660066"/>
      <rgbColor rgb="FFFF8080"/>
      <rgbColor rgb="FF0066CC"/>
      <rgbColor rgb="FFDAD6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1DDD1"/>
      <rgbColor rgb="FFD9E6D0"/>
      <rgbColor rgb="FFF9EAD0"/>
      <rgbColor rgb="FFF5E1E4"/>
      <rgbColor rgb="FFF5E4C6"/>
      <rgbColor rgb="FFCC99FF"/>
      <rgbColor rgb="FFEED4D7"/>
      <rgbColor rgb="FF3366FF"/>
      <rgbColor rgb="FF33CCCC"/>
      <rgbColor rgb="FF99CC00"/>
      <rgbColor rgb="FFFFCC00"/>
      <rgbColor rgb="FFD9A441"/>
      <rgbColor rgb="FFFF6600"/>
      <rgbColor rgb="FF6B5B3F"/>
      <rgbColor rgb="FFA27B5C"/>
      <rgbColor rgb="FF4A4A4A"/>
      <rgbColor rgb="FF5B8C5A"/>
      <rgbColor rgb="FF003300"/>
      <rgbColor rgb="FF1C2529"/>
      <rgbColor rgb="FF993300"/>
      <rgbColor rgb="FF8B2C38"/>
      <rgbColor rgb="FF3F4E4F"/>
      <rgbColor rgb="FF2C363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showGridLines="0" tabSelected="1" zoomScaleNormal="100" workbookViewId="0">
      <selection activeCell="T15" sqref="T15"/>
    </sheetView>
  </sheetViews>
  <sheetFormatPr baseColWidth="10" defaultColWidth="8.7109375" defaultRowHeight="15" x14ac:dyDescent="0.25"/>
  <cols>
    <col min="1" max="1" width="2" customWidth="1"/>
    <col min="2" max="2" width="20" customWidth="1"/>
    <col min="3" max="3" width="6.140625" bestFit="1" customWidth="1"/>
    <col min="4" max="4" width="20" customWidth="1"/>
    <col min="5" max="5" width="6.7109375" bestFit="1" customWidth="1"/>
    <col min="6" max="6" width="20" customWidth="1"/>
    <col min="7" max="7" width="3" customWidth="1"/>
    <col min="8" max="8" width="20" customWidth="1"/>
    <col min="9" max="9" width="6.140625" bestFit="1" customWidth="1"/>
    <col min="10" max="10" width="20" customWidth="1"/>
    <col min="11" max="11" width="2" customWidth="1"/>
  </cols>
  <sheetData>
    <row r="1" spans="1:11" ht="7.5" customHeight="1" x14ac:dyDescent="0.25">
      <c r="A1" s="15"/>
    </row>
    <row r="2" spans="1:11" ht="45.75" customHeight="1" x14ac:dyDescent="0.25">
      <c r="A2" s="15"/>
      <c r="B2" s="14" t="s">
        <v>0</v>
      </c>
      <c r="C2" s="14"/>
      <c r="D2" s="14"/>
      <c r="E2" s="14"/>
      <c r="F2" s="14"/>
      <c r="G2" s="14"/>
      <c r="H2" s="14"/>
      <c r="I2" s="14"/>
      <c r="J2" s="14"/>
    </row>
    <row r="3" spans="1:11" ht="21.75" customHeight="1" x14ac:dyDescent="0.25">
      <c r="A3" s="15"/>
      <c r="B3" s="13" t="s">
        <v>1</v>
      </c>
      <c r="C3" s="13"/>
      <c r="D3" s="13"/>
      <c r="E3" s="13"/>
      <c r="F3" s="13"/>
      <c r="G3" s="13"/>
      <c r="H3" s="13"/>
      <c r="I3" s="13"/>
      <c r="J3" s="13"/>
    </row>
    <row r="4" spans="1:11" ht="6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</row>
    <row r="5" spans="1:11" ht="13.5" customHeight="1" x14ac:dyDescent="0.25">
      <c r="A5" s="15"/>
    </row>
    <row r="6" spans="1:11" ht="6" customHeight="1" x14ac:dyDescent="0.25">
      <c r="A6" s="15"/>
      <c r="B6" s="17"/>
      <c r="C6" s="18"/>
      <c r="D6" s="19"/>
      <c r="E6" s="20"/>
      <c r="F6" s="21"/>
      <c r="G6" s="22"/>
      <c r="H6" s="23"/>
      <c r="I6" s="24"/>
      <c r="J6" s="25"/>
      <c r="K6" s="26"/>
    </row>
    <row r="7" spans="1:11" ht="21.75" customHeight="1" x14ac:dyDescent="0.25">
      <c r="A7" s="15"/>
      <c r="B7" s="12" t="s">
        <v>2</v>
      </c>
      <c r="C7" s="12"/>
      <c r="D7" s="12" t="s">
        <v>3</v>
      </c>
      <c r="E7" s="12"/>
      <c r="F7" s="12" t="s">
        <v>4</v>
      </c>
      <c r="G7" s="12"/>
      <c r="H7" s="12" t="s">
        <v>5</v>
      </c>
      <c r="I7" s="12"/>
      <c r="J7" s="12" t="s">
        <v>6</v>
      </c>
      <c r="K7" s="12"/>
    </row>
    <row r="8" spans="1:11" ht="45.75" customHeight="1" x14ac:dyDescent="0.25">
      <c r="A8" s="15"/>
      <c r="B8" s="11">
        <f>COUNTA(Werkzeugliste!B11:B1000)</f>
        <v>20</v>
      </c>
      <c r="C8" s="11"/>
      <c r="D8" s="11">
        <f>COUNTIF(Werkzeugliste!N11:N1000,"Verfügbar")</f>
        <v>15</v>
      </c>
      <c r="E8" s="11"/>
      <c r="F8" s="11">
        <f>COUNTIF(Werkzeugliste!N11:N1000,"Ausgeliehen")</f>
        <v>3</v>
      </c>
      <c r="G8" s="11"/>
      <c r="H8" s="11">
        <f>COUNTIF(Werkzeugliste!N11:N1000,"In Reparatur")+COUNTIF(Werkzeugliste!N11:N1000,"Defekt")</f>
        <v>2</v>
      </c>
      <c r="I8" s="11"/>
      <c r="J8" s="10">
        <f>SUMIF(Werkzeugliste!N11:N1000,"&lt;&gt;Ausgesondert",Werkzeugliste!J11:J1000)</f>
        <v>7053.9</v>
      </c>
      <c r="K8" s="10"/>
    </row>
    <row r="9" spans="1:11" ht="13.5" customHeight="1" x14ac:dyDescent="0.25">
      <c r="A9" s="15"/>
    </row>
    <row r="10" spans="1:11" ht="13.5" customHeight="1" x14ac:dyDescent="0.25">
      <c r="A10" s="15"/>
    </row>
    <row r="11" spans="1:11" ht="31.5" customHeight="1" x14ac:dyDescent="0.25">
      <c r="A11" s="15"/>
      <c r="B11" s="9" t="s">
        <v>7</v>
      </c>
      <c r="C11" s="9"/>
      <c r="D11" s="8" t="s">
        <v>8</v>
      </c>
      <c r="E11" s="8"/>
      <c r="F11" s="7" t="s">
        <v>9</v>
      </c>
      <c r="G11" s="7"/>
      <c r="H11" s="6" t="s">
        <v>10</v>
      </c>
      <c r="I11" s="6"/>
      <c r="J11" s="5" t="s">
        <v>11</v>
      </c>
      <c r="K11" s="5"/>
    </row>
    <row r="12" spans="1:11" ht="30" customHeight="1" x14ac:dyDescent="0.25">
      <c r="A12" s="15"/>
      <c r="B12" s="4">
        <f ca="1">SUMPRODUCT((IFERROR(Werkzeugliste!M11:M1000,0)&lt;TODAY())*(Werkzeugliste!M11:M1000&lt;&gt;"")*(ISNUMBER(Werkzeugliste!M11:M1000)))</f>
        <v>0</v>
      </c>
      <c r="C12" s="4"/>
      <c r="D12" s="3">
        <f ca="1">SUMPRODUCT((IFERROR(Werkzeugliste!M11:M1000,0)&gt;=TODAY())*(IFERROR(Werkzeugliste!M11:M1000,0)&lt;=TODAY()+30)*(ISNUMBER(Werkzeugliste!M11:M1000)))</f>
        <v>0</v>
      </c>
      <c r="E12" s="3"/>
      <c r="F12" s="2">
        <f>IFERROR(AVERAGE(Werkzeugliste!J11:J1000),0)</f>
        <v>352.69499999999999</v>
      </c>
      <c r="G12" s="2"/>
      <c r="H12" s="1">
        <f>IFERROR(COUNTIF(Werkzeugliste!N11:N1000,"Verfügbar")/COUNTA(Werkzeugliste!B11:B1000),0)</f>
        <v>0.75</v>
      </c>
      <c r="I12" s="1"/>
      <c r="J12" s="79">
        <f>SUMPRODUCT((IFERROR(YEAR(Werkzeugliste!I11:I1000),0)=2026)*1)</f>
        <v>0</v>
      </c>
      <c r="K12" s="79"/>
    </row>
    <row r="13" spans="1:11" ht="19.5" customHeight="1" x14ac:dyDescent="0.25">
      <c r="A13" s="15"/>
    </row>
    <row r="14" spans="1:11" ht="31.5" customHeight="1" x14ac:dyDescent="0.25">
      <c r="A14" s="15"/>
      <c r="B14" s="80" t="s">
        <v>12</v>
      </c>
      <c r="C14" s="80"/>
      <c r="D14" s="80"/>
      <c r="E14" s="80"/>
      <c r="F14" s="80"/>
      <c r="H14" s="80" t="s">
        <v>13</v>
      </c>
      <c r="I14" s="80"/>
      <c r="J14" s="80"/>
    </row>
    <row r="15" spans="1:11" ht="24" customHeight="1" x14ac:dyDescent="0.25">
      <c r="A15" s="15"/>
      <c r="B15" s="27" t="s">
        <v>14</v>
      </c>
      <c r="C15" s="27" t="s">
        <v>15</v>
      </c>
      <c r="D15" s="27" t="s">
        <v>16</v>
      </c>
      <c r="E15" s="27" t="s">
        <v>17</v>
      </c>
      <c r="F15" s="28"/>
      <c r="H15" s="27" t="s">
        <v>18</v>
      </c>
      <c r="I15" s="27" t="s">
        <v>15</v>
      </c>
      <c r="J15" s="27" t="s">
        <v>17</v>
      </c>
    </row>
    <row r="16" spans="1:11" ht="21.75" customHeight="1" x14ac:dyDescent="0.25">
      <c r="A16" s="15"/>
      <c r="B16" s="29" t="s">
        <v>19</v>
      </c>
      <c r="C16" s="30">
        <f>COUNTIF(Werkzeugliste!D11:D1000,"Handwerkzeug")</f>
        <v>4</v>
      </c>
      <c r="D16" s="31">
        <f>SUMIF(Werkzeugliste!D11:D1000,"Handwerkzeug",Werkzeugliste!J11:J1000)</f>
        <v>1268.5</v>
      </c>
      <c r="E16" s="32">
        <f t="shared" ref="E16:E23" si="0">IFERROR(D16/SUM($D$16:$D$23),0)</f>
        <v>0.17982959781113994</v>
      </c>
      <c r="F16" s="33"/>
      <c r="H16" s="29" t="s">
        <v>20</v>
      </c>
      <c r="I16" s="30">
        <f>COUNTIF(Werkzeugliste!N11:N1000,"Verfügbar")</f>
        <v>15</v>
      </c>
      <c r="J16" s="32">
        <f t="shared" ref="J16:J21" si="1">IFERROR(I16/SUM($I$16:$I$21),0)</f>
        <v>0.75</v>
      </c>
    </row>
    <row r="17" spans="1:10" ht="21.75" customHeight="1" x14ac:dyDescent="0.25">
      <c r="A17" s="15"/>
      <c r="B17" s="34" t="s">
        <v>21</v>
      </c>
      <c r="C17" s="35">
        <f>COUNTIF(Werkzeugliste!D11:D1000,"Elektrowerkzeug")</f>
        <v>6</v>
      </c>
      <c r="D17" s="36">
        <f>SUMIF(Werkzeugliste!D11:D1000,"Elektrowerkzeug",Werkzeugliste!J11:J1000)</f>
        <v>2036.9</v>
      </c>
      <c r="E17" s="37">
        <f t="shared" si="0"/>
        <v>0.28876224499922032</v>
      </c>
      <c r="F17" s="38"/>
      <c r="H17" s="34" t="s">
        <v>22</v>
      </c>
      <c r="I17" s="35">
        <f>COUNTIF(Werkzeugliste!N11:N1000,"Ausgeliehen")</f>
        <v>3</v>
      </c>
      <c r="J17" s="37">
        <f t="shared" si="1"/>
        <v>0.15</v>
      </c>
    </row>
    <row r="18" spans="1:10" ht="21.75" customHeight="1" x14ac:dyDescent="0.25">
      <c r="A18" s="15"/>
      <c r="B18" s="29" t="s">
        <v>23</v>
      </c>
      <c r="C18" s="30">
        <f>COUNTIF(Werkzeugliste!D11:D1000,"Akkuwerkzeug")</f>
        <v>2</v>
      </c>
      <c r="D18" s="31">
        <f>SUMIF(Werkzeugliste!D11:D1000,"Akkuwerkzeug",Werkzeugliste!J11:J1000)</f>
        <v>664</v>
      </c>
      <c r="E18" s="32">
        <f t="shared" si="0"/>
        <v>9.4132323962630604E-2</v>
      </c>
      <c r="F18" s="33"/>
      <c r="H18" s="29" t="s">
        <v>24</v>
      </c>
      <c r="I18" s="30">
        <f>COUNTIF(Werkzeugliste!N11:N1000,"In Reparatur")</f>
        <v>2</v>
      </c>
      <c r="J18" s="32">
        <f t="shared" si="1"/>
        <v>0.1</v>
      </c>
    </row>
    <row r="19" spans="1:10" ht="21.75" customHeight="1" x14ac:dyDescent="0.25">
      <c r="A19" s="15"/>
      <c r="B19" s="34" t="s">
        <v>25</v>
      </c>
      <c r="C19" s="35">
        <f>COUNTIF(Werkzeugliste!D11:D1000,"Druckluftwerkzeug")</f>
        <v>1</v>
      </c>
      <c r="D19" s="36">
        <f>SUMIF(Werkzeugliste!D11:D1000,"Druckluftwerkzeug",Werkzeugliste!J11:J1000)</f>
        <v>359</v>
      </c>
      <c r="E19" s="37">
        <f t="shared" si="0"/>
        <v>5.0893831781000584E-2</v>
      </c>
      <c r="F19" s="38"/>
      <c r="H19" s="34" t="s">
        <v>26</v>
      </c>
      <c r="I19" s="35">
        <f>COUNTIF(Werkzeugliste!N11:N1000,"Prüfung fällig")</f>
        <v>0</v>
      </c>
      <c r="J19" s="37">
        <f t="shared" si="1"/>
        <v>0</v>
      </c>
    </row>
    <row r="20" spans="1:10" ht="21.75" customHeight="1" x14ac:dyDescent="0.25">
      <c r="A20" s="15"/>
      <c r="B20" s="29" t="s">
        <v>27</v>
      </c>
      <c r="C20" s="30">
        <f>COUNTIF(Werkzeugliste!D11:D1000,"Messgerät")</f>
        <v>4</v>
      </c>
      <c r="D20" s="31">
        <f>SUMIF(Werkzeugliste!D11:D1000,"Messgerät",Werkzeugliste!J11:J1000)</f>
        <v>1842</v>
      </c>
      <c r="E20" s="32">
        <f t="shared" si="0"/>
        <v>0.26113213966741805</v>
      </c>
      <c r="F20" s="33"/>
      <c r="H20" s="29" t="s">
        <v>28</v>
      </c>
      <c r="I20" s="30">
        <f>COUNTIF(Werkzeugliste!N11:N1000,"Defekt")</f>
        <v>0</v>
      </c>
      <c r="J20" s="32">
        <f t="shared" si="1"/>
        <v>0</v>
      </c>
    </row>
    <row r="21" spans="1:10" ht="21.75" customHeight="1" x14ac:dyDescent="0.25">
      <c r="A21" s="15"/>
      <c r="B21" s="34" t="s">
        <v>29</v>
      </c>
      <c r="C21" s="35">
        <f>COUNTIF(Werkzeugliste!D11:D1000,"Sicherheitsausrüstung")</f>
        <v>2</v>
      </c>
      <c r="D21" s="36">
        <f>SUMIF(Werkzeugliste!D11:D1000,"Sicherheitsausrüstung",Werkzeugliste!J11:J1000)</f>
        <v>234.5</v>
      </c>
      <c r="E21" s="37">
        <f t="shared" si="0"/>
        <v>3.3244021038007346E-2</v>
      </c>
      <c r="F21" s="38"/>
      <c r="H21" s="34" t="s">
        <v>30</v>
      </c>
      <c r="I21" s="35">
        <f>COUNTIF(Werkzeugliste!N11:N1000,"Ausgesondert")</f>
        <v>0</v>
      </c>
      <c r="J21" s="37">
        <f t="shared" si="1"/>
        <v>0</v>
      </c>
    </row>
    <row r="22" spans="1:10" ht="24" customHeight="1" x14ac:dyDescent="0.25">
      <c r="A22" s="15"/>
      <c r="B22" s="29" t="s">
        <v>31</v>
      </c>
      <c r="C22" s="30">
        <f>COUNTIF(Werkzeugliste!D11:D1000,"Maschine stationär")</f>
        <v>1</v>
      </c>
      <c r="D22" s="31">
        <f>SUMIF(Werkzeugliste!D11:D1000,"Maschine stationär",Werkzeugliste!J11:J1000)</f>
        <v>649</v>
      </c>
      <c r="E22" s="32">
        <f t="shared" si="0"/>
        <v>9.2005840740583225E-2</v>
      </c>
      <c r="F22" s="33"/>
      <c r="H22" s="39" t="s">
        <v>32</v>
      </c>
      <c r="I22" s="40">
        <f>SUM(I16:I21)</f>
        <v>20</v>
      </c>
      <c r="J22" s="40" t="s">
        <v>33</v>
      </c>
    </row>
    <row r="23" spans="1:10" ht="21.75" customHeight="1" x14ac:dyDescent="0.25">
      <c r="A23" s="15"/>
      <c r="B23" s="34" t="s">
        <v>34</v>
      </c>
      <c r="C23" s="35">
        <f>COUNTIF(Werkzeugliste!D11:D1000,"Zubehör &amp; Verbrauchsmaterial")</f>
        <v>0</v>
      </c>
      <c r="D23" s="36">
        <f>SUMIF(Werkzeugliste!D11:D1000,"Zubehör &amp; Verbrauchsmaterial",Werkzeugliste!J11:J1000)</f>
        <v>0</v>
      </c>
      <c r="E23" s="37">
        <f t="shared" si="0"/>
        <v>0</v>
      </c>
      <c r="F23" s="38"/>
    </row>
    <row r="24" spans="1:10" ht="24" customHeight="1" x14ac:dyDescent="0.25">
      <c r="A24" s="15"/>
      <c r="B24" s="39" t="s">
        <v>32</v>
      </c>
      <c r="C24" s="40">
        <f>SUM(C16:C23)</f>
        <v>20</v>
      </c>
      <c r="D24" s="41">
        <f>SUM(D16:D23)</f>
        <v>7053.9</v>
      </c>
      <c r="E24" s="40" t="s">
        <v>33</v>
      </c>
      <c r="F24" s="42"/>
    </row>
    <row r="25" spans="1:10" x14ac:dyDescent="0.25">
      <c r="A25" s="15"/>
    </row>
    <row r="26" spans="1:10" x14ac:dyDescent="0.25">
      <c r="A26" s="15"/>
    </row>
    <row r="27" spans="1:10" x14ac:dyDescent="0.25">
      <c r="A27" s="15"/>
    </row>
    <row r="28" spans="1:10" ht="21.75" customHeight="1" x14ac:dyDescent="0.25">
      <c r="A28" s="15"/>
      <c r="B28" s="81" t="s">
        <v>35</v>
      </c>
      <c r="C28" s="81"/>
      <c r="D28" s="81"/>
      <c r="E28" s="81"/>
      <c r="F28" s="81"/>
      <c r="G28" s="81"/>
      <c r="H28" s="81"/>
      <c r="I28" s="81"/>
      <c r="J28" s="81"/>
    </row>
    <row r="29" spans="1:10" x14ac:dyDescent="0.25">
      <c r="A29" s="15"/>
    </row>
    <row r="30" spans="1:10" x14ac:dyDescent="0.25">
      <c r="A30" s="15"/>
    </row>
    <row r="31" spans="1:10" x14ac:dyDescent="0.25">
      <c r="A31" s="15"/>
    </row>
    <row r="32" spans="1:10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  <row r="47" spans="1:1" x14ac:dyDescent="0.25">
      <c r="A47" s="15"/>
    </row>
    <row r="48" spans="1:1" x14ac:dyDescent="0.25">
      <c r="A48" s="15"/>
    </row>
    <row r="49" spans="1:1" x14ac:dyDescent="0.25">
      <c r="A49" s="15"/>
    </row>
    <row r="50" spans="1:1" x14ac:dyDescent="0.25">
      <c r="A50" s="15"/>
    </row>
    <row r="51" spans="1:1" x14ac:dyDescent="0.25">
      <c r="A51" s="15"/>
    </row>
    <row r="52" spans="1:1" x14ac:dyDescent="0.25">
      <c r="A52" s="15"/>
    </row>
    <row r="53" spans="1:1" x14ac:dyDescent="0.25">
      <c r="A53" s="15"/>
    </row>
    <row r="54" spans="1:1" x14ac:dyDescent="0.25">
      <c r="A54" s="15"/>
    </row>
    <row r="55" spans="1:1" x14ac:dyDescent="0.25">
      <c r="A55" s="15"/>
    </row>
    <row r="56" spans="1:1" x14ac:dyDescent="0.25">
      <c r="A56" s="15"/>
    </row>
    <row r="57" spans="1:1" x14ac:dyDescent="0.25">
      <c r="A57" s="15"/>
    </row>
    <row r="58" spans="1:1" x14ac:dyDescent="0.25">
      <c r="A58" s="15"/>
    </row>
    <row r="59" spans="1:1" x14ac:dyDescent="0.25">
      <c r="A59" s="15"/>
    </row>
  </sheetData>
  <mergeCells count="25">
    <mergeCell ref="B14:F14"/>
    <mergeCell ref="H14:J14"/>
    <mergeCell ref="B28:J28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8:C8"/>
    <mergeCell ref="D8:E8"/>
    <mergeCell ref="F8:G8"/>
    <mergeCell ref="H8:I8"/>
    <mergeCell ref="J8:K8"/>
    <mergeCell ref="B2:J2"/>
    <mergeCell ref="B3:J3"/>
    <mergeCell ref="B7:C7"/>
    <mergeCell ref="D7:E7"/>
    <mergeCell ref="F7:G7"/>
    <mergeCell ref="H7:I7"/>
    <mergeCell ref="J7:K7"/>
  </mergeCells>
  <conditionalFormatting sqref="C16:C23">
    <cfRule type="dataBar" priority="2">
      <dataBar>
        <cfvo type="min"/>
        <cfvo type="max"/>
        <color rgb="FFA27B5C"/>
      </dataBar>
      <extLst>
        <ext xmlns:x14="http://schemas.microsoft.com/office/spreadsheetml/2009/9/main" uri="{B025F937-C7B1-47D3-B67F-A62EFF666E3E}">
          <x14:id>{44FAA93F-16A8-4D80-9A94-D040806F9B30}</x14:id>
        </ext>
      </extLst>
    </cfRule>
  </conditionalFormatting>
  <conditionalFormatting sqref="I16:I21">
    <cfRule type="dataBar" priority="3">
      <dataBar>
        <cfvo type="min"/>
        <cfvo type="max"/>
        <color rgb="FF6B8E7F"/>
      </dataBar>
      <extLst>
        <ext xmlns:x14="http://schemas.microsoft.com/office/spreadsheetml/2009/9/main" uri="{B025F937-C7B1-47D3-B67F-A62EFF666E3E}">
          <x14:id>{51185C44-317B-4BDE-9669-FCEC30E28033}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FAA93F-16A8-4D80-9A94-D040806F9B30}">
            <x14:dataBar axisPosition="none">
              <x14:cfvo type="min"/>
              <x14:cfvo type="max"/>
              <x14:negativeFillColor rgb="FFA27B5C"/>
            </x14:dataBar>
          </x14:cfRule>
          <xm:sqref>C16:C23</xm:sqref>
        </x14:conditionalFormatting>
        <x14:conditionalFormatting xmlns:xm="http://schemas.microsoft.com/office/excel/2006/main">
          <x14:cfRule type="dataBar" id="{51185C44-317B-4BDE-9669-FCEC30E28033}">
            <x14:dataBar axisPosition="none">
              <x14:cfvo type="min"/>
              <x14:cfvo type="max"/>
              <x14:negativeFillColor rgb="FF6B8E7F"/>
            </x14:dataBar>
          </x14:cfRule>
          <xm:sqref>I16:I21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9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2" customWidth="1"/>
    <col min="3" max="3" width="28" customWidth="1"/>
    <col min="4" max="4" width="18" customWidth="1"/>
    <col min="5" max="5" width="16" customWidth="1"/>
    <col min="6" max="6" width="15" customWidth="1"/>
    <col min="7" max="7" width="22" customWidth="1"/>
    <col min="8" max="8" width="18" customWidth="1"/>
    <col min="9" max="11" width="13" customWidth="1"/>
    <col min="12" max="12" width="10" customWidth="1"/>
    <col min="13" max="13" width="13" customWidth="1"/>
    <col min="14" max="14" width="14" customWidth="1"/>
    <col min="15" max="15" width="12" customWidth="1"/>
    <col min="16" max="16" width="24" customWidth="1"/>
    <col min="17" max="17" width="2" customWidth="1"/>
  </cols>
  <sheetData>
    <row r="1" spans="1:16" ht="7.5" customHeight="1" x14ac:dyDescent="0.25">
      <c r="A1" s="15"/>
    </row>
    <row r="2" spans="1:16" ht="42" customHeight="1" x14ac:dyDescent="0.25">
      <c r="A2" s="15"/>
      <c r="B2" s="82" t="s">
        <v>36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21.75" customHeight="1" x14ac:dyDescent="0.25">
      <c r="A3" s="15"/>
      <c r="B3" s="13" t="s">
        <v>37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6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2" customHeight="1" x14ac:dyDescent="0.25">
      <c r="A5" s="15"/>
    </row>
    <row r="6" spans="1:16" ht="19.5" customHeight="1" x14ac:dyDescent="0.25">
      <c r="A6" s="15"/>
      <c r="B6" s="83" t="s">
        <v>38</v>
      </c>
      <c r="C6" s="83"/>
      <c r="E6" s="83" t="s">
        <v>39</v>
      </c>
      <c r="F6" s="83"/>
      <c r="H6" s="83" t="s">
        <v>40</v>
      </c>
      <c r="I6" s="83"/>
      <c r="K6" s="83" t="s">
        <v>41</v>
      </c>
      <c r="L6" s="83"/>
      <c r="N6" s="83" t="s">
        <v>42</v>
      </c>
      <c r="O6" s="83"/>
    </row>
    <row r="7" spans="1:16" ht="30" customHeight="1" x14ac:dyDescent="0.25">
      <c r="A7" s="15"/>
      <c r="B7" s="84">
        <f>COUNTA(B11:B1000)</f>
        <v>20</v>
      </c>
      <c r="C7" s="84"/>
      <c r="E7" s="84">
        <f>COUNTIF(N11:N1000,"Verfügbar")+COUNTIF(N11:N1000,"Ausgeliehen")</f>
        <v>18</v>
      </c>
      <c r="F7" s="84"/>
      <c r="H7" s="84">
        <f ca="1">COUNTIFS(M11:M1000,"&gt;="&amp;(TODAY()-1),M11:M1000,"&lt;="&amp;(TODAY()+30))</f>
        <v>1</v>
      </c>
      <c r="I7" s="84"/>
      <c r="K7" s="84">
        <f>COUNTIF(N11:N1000,"Prüfung fällig")</f>
        <v>0</v>
      </c>
      <c r="L7" s="84"/>
      <c r="N7" s="85">
        <f>SUMIF(N11:N1000,"&lt;&gt;Ausgesondert",J11:J1000)</f>
        <v>7053.9</v>
      </c>
      <c r="O7" s="85"/>
    </row>
    <row r="8" spans="1:16" ht="13.5" customHeight="1" x14ac:dyDescent="0.25">
      <c r="A8" s="15"/>
    </row>
    <row r="9" spans="1:16" ht="18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33.75" customHeight="1" x14ac:dyDescent="0.25">
      <c r="A10" s="15"/>
      <c r="B10" s="43" t="s">
        <v>43</v>
      </c>
      <c r="C10" s="43" t="s">
        <v>44</v>
      </c>
      <c r="D10" s="43" t="s">
        <v>14</v>
      </c>
      <c r="E10" s="43" t="s">
        <v>45</v>
      </c>
      <c r="F10" s="43" t="s">
        <v>46</v>
      </c>
      <c r="G10" s="43" t="s">
        <v>47</v>
      </c>
      <c r="H10" s="43" t="s">
        <v>48</v>
      </c>
      <c r="I10" s="43" t="s">
        <v>49</v>
      </c>
      <c r="J10" s="43" t="s">
        <v>50</v>
      </c>
      <c r="K10" s="43" t="s">
        <v>51</v>
      </c>
      <c r="L10" s="43" t="s">
        <v>52</v>
      </c>
      <c r="M10" s="43" t="s">
        <v>53</v>
      </c>
      <c r="N10" s="43" t="s">
        <v>18</v>
      </c>
      <c r="O10" s="43" t="s">
        <v>54</v>
      </c>
      <c r="P10" s="43" t="s">
        <v>55</v>
      </c>
    </row>
    <row r="11" spans="1:16" ht="21.75" customHeight="1" x14ac:dyDescent="0.25">
      <c r="A11" s="15"/>
      <c r="B11" s="44" t="s">
        <v>56</v>
      </c>
      <c r="C11" s="45" t="s">
        <v>57</v>
      </c>
      <c r="D11" s="29" t="s">
        <v>23</v>
      </c>
      <c r="E11" s="29" t="s">
        <v>58</v>
      </c>
      <c r="F11" s="46" t="s">
        <v>59</v>
      </c>
      <c r="G11" s="29" t="s">
        <v>60</v>
      </c>
      <c r="H11" s="29" t="s">
        <v>61</v>
      </c>
      <c r="I11" s="47">
        <v>45390</v>
      </c>
      <c r="J11" s="31">
        <v>275</v>
      </c>
      <c r="K11" s="47">
        <v>46120</v>
      </c>
      <c r="L11" s="48">
        <v>12</v>
      </c>
      <c r="M11" s="49">
        <f t="shared" ref="M11:M45" si="0">IF(OR(K11="",L11=""),"",EDATE(K11,L11))</f>
        <v>46485</v>
      </c>
      <c r="N11" s="50" t="s">
        <v>20</v>
      </c>
      <c r="O11" s="30" t="s">
        <v>62</v>
      </c>
      <c r="P11" s="51"/>
    </row>
    <row r="12" spans="1:16" ht="21.75" customHeight="1" x14ac:dyDescent="0.25">
      <c r="A12" s="15"/>
      <c r="B12" s="52" t="s">
        <v>63</v>
      </c>
      <c r="C12" s="53" t="s">
        <v>64</v>
      </c>
      <c r="D12" s="34" t="s">
        <v>21</v>
      </c>
      <c r="E12" s="34" t="s">
        <v>65</v>
      </c>
      <c r="F12" s="54" t="s">
        <v>66</v>
      </c>
      <c r="G12" s="34" t="s">
        <v>67</v>
      </c>
      <c r="H12" s="34" t="s">
        <v>68</v>
      </c>
      <c r="I12" s="55">
        <v>45184</v>
      </c>
      <c r="J12" s="36">
        <v>189.9</v>
      </c>
      <c r="K12" s="55">
        <v>45915</v>
      </c>
      <c r="L12" s="56">
        <v>12</v>
      </c>
      <c r="M12" s="57">
        <f t="shared" si="0"/>
        <v>46280</v>
      </c>
      <c r="N12" s="58" t="s">
        <v>20</v>
      </c>
      <c r="O12" s="35" t="s">
        <v>69</v>
      </c>
      <c r="P12" s="59"/>
    </row>
    <row r="13" spans="1:16" ht="21.75" customHeight="1" x14ac:dyDescent="0.25">
      <c r="A13" s="15"/>
      <c r="B13" s="44" t="s">
        <v>70</v>
      </c>
      <c r="C13" s="45" t="s">
        <v>71</v>
      </c>
      <c r="D13" s="29" t="s">
        <v>19</v>
      </c>
      <c r="E13" s="29" t="s">
        <v>72</v>
      </c>
      <c r="F13" s="46" t="s">
        <v>73</v>
      </c>
      <c r="G13" s="29" t="s">
        <v>74</v>
      </c>
      <c r="H13" s="29" t="s">
        <v>75</v>
      </c>
      <c r="I13" s="47">
        <v>45708</v>
      </c>
      <c r="J13" s="31">
        <v>425</v>
      </c>
      <c r="K13" s="47">
        <v>46073</v>
      </c>
      <c r="L13" s="48">
        <v>12</v>
      </c>
      <c r="M13" s="49">
        <f t="shared" si="0"/>
        <v>46438</v>
      </c>
      <c r="N13" s="50" t="s">
        <v>20</v>
      </c>
      <c r="O13" s="30" t="s">
        <v>76</v>
      </c>
      <c r="P13" s="51" t="s">
        <v>77</v>
      </c>
    </row>
    <row r="14" spans="1:16" ht="21.75" customHeight="1" x14ac:dyDescent="0.25">
      <c r="A14" s="15"/>
      <c r="B14" s="52" t="s">
        <v>78</v>
      </c>
      <c r="C14" s="53" t="s">
        <v>79</v>
      </c>
      <c r="D14" s="34" t="s">
        <v>21</v>
      </c>
      <c r="E14" s="34" t="s">
        <v>80</v>
      </c>
      <c r="F14" s="54" t="s">
        <v>81</v>
      </c>
      <c r="G14" s="34" t="s">
        <v>67</v>
      </c>
      <c r="H14" s="34" t="s">
        <v>68</v>
      </c>
      <c r="I14" s="55">
        <v>44868</v>
      </c>
      <c r="J14" s="36">
        <v>549</v>
      </c>
      <c r="K14" s="55">
        <v>45964</v>
      </c>
      <c r="L14" s="56">
        <v>12</v>
      </c>
      <c r="M14" s="57">
        <f t="shared" si="0"/>
        <v>46329</v>
      </c>
      <c r="N14" s="58" t="s">
        <v>22</v>
      </c>
      <c r="O14" s="35" t="s">
        <v>82</v>
      </c>
      <c r="P14" s="59" t="s">
        <v>83</v>
      </c>
    </row>
    <row r="15" spans="1:16" ht="21.75" customHeight="1" x14ac:dyDescent="0.25">
      <c r="A15" s="15"/>
      <c r="B15" s="44" t="s">
        <v>84</v>
      </c>
      <c r="C15" s="45" t="s">
        <v>85</v>
      </c>
      <c r="D15" s="29" t="s">
        <v>27</v>
      </c>
      <c r="E15" s="29" t="s">
        <v>86</v>
      </c>
      <c r="F15" s="46" t="s">
        <v>87</v>
      </c>
      <c r="G15" s="29" t="s">
        <v>88</v>
      </c>
      <c r="H15" s="29" t="s">
        <v>89</v>
      </c>
      <c r="I15" s="47">
        <v>45485</v>
      </c>
      <c r="J15" s="31">
        <v>349</v>
      </c>
      <c r="K15" s="47">
        <v>46215</v>
      </c>
      <c r="L15" s="48">
        <v>24</v>
      </c>
      <c r="M15" s="49">
        <f t="shared" si="0"/>
        <v>46946</v>
      </c>
      <c r="N15" s="50" t="s">
        <v>20</v>
      </c>
      <c r="O15" s="30" t="s">
        <v>62</v>
      </c>
      <c r="P15" s="51"/>
    </row>
    <row r="16" spans="1:16" ht="21.75" customHeight="1" x14ac:dyDescent="0.25">
      <c r="A16" s="15"/>
      <c r="B16" s="52" t="s">
        <v>90</v>
      </c>
      <c r="C16" s="53" t="s">
        <v>91</v>
      </c>
      <c r="D16" s="34" t="s">
        <v>19</v>
      </c>
      <c r="E16" s="34" t="s">
        <v>92</v>
      </c>
      <c r="F16" s="54" t="s">
        <v>93</v>
      </c>
      <c r="G16" s="34" t="s">
        <v>60</v>
      </c>
      <c r="H16" s="34" t="s">
        <v>94</v>
      </c>
      <c r="I16" s="55">
        <v>45068</v>
      </c>
      <c r="J16" s="36">
        <v>129.5</v>
      </c>
      <c r="K16" s="55">
        <v>46164</v>
      </c>
      <c r="L16" s="56">
        <v>24</v>
      </c>
      <c r="M16" s="57">
        <f t="shared" si="0"/>
        <v>46895</v>
      </c>
      <c r="N16" s="58" t="s">
        <v>20</v>
      </c>
      <c r="O16" s="35" t="s">
        <v>62</v>
      </c>
      <c r="P16" s="59"/>
    </row>
    <row r="17" spans="1:16" ht="21.75" customHeight="1" x14ac:dyDescent="0.25">
      <c r="A17" s="15"/>
      <c r="B17" s="44" t="s">
        <v>95</v>
      </c>
      <c r="C17" s="45" t="s">
        <v>96</v>
      </c>
      <c r="D17" s="29" t="s">
        <v>21</v>
      </c>
      <c r="E17" s="29" t="s">
        <v>97</v>
      </c>
      <c r="F17" s="46" t="s">
        <v>98</v>
      </c>
      <c r="G17" s="29" t="s">
        <v>67</v>
      </c>
      <c r="H17" s="29" t="s">
        <v>99</v>
      </c>
      <c r="I17" s="47">
        <v>44499</v>
      </c>
      <c r="J17" s="31">
        <v>289</v>
      </c>
      <c r="K17" s="47">
        <v>45777</v>
      </c>
      <c r="L17" s="48">
        <v>12</v>
      </c>
      <c r="M17" s="49">
        <f t="shared" si="0"/>
        <v>46142</v>
      </c>
      <c r="N17" s="50" t="s">
        <v>24</v>
      </c>
      <c r="O17" s="30" t="s">
        <v>100</v>
      </c>
      <c r="P17" s="51" t="s">
        <v>101</v>
      </c>
    </row>
    <row r="18" spans="1:16" ht="21.75" customHeight="1" x14ac:dyDescent="0.25">
      <c r="A18" s="15"/>
      <c r="B18" s="52" t="s">
        <v>102</v>
      </c>
      <c r="C18" s="53" t="s">
        <v>103</v>
      </c>
      <c r="D18" s="34" t="s">
        <v>27</v>
      </c>
      <c r="E18" s="34" t="s">
        <v>104</v>
      </c>
      <c r="F18" s="54" t="s">
        <v>105</v>
      </c>
      <c r="G18" s="34" t="s">
        <v>106</v>
      </c>
      <c r="H18" s="34" t="s">
        <v>107</v>
      </c>
      <c r="I18" s="55">
        <v>45675</v>
      </c>
      <c r="J18" s="36">
        <v>895</v>
      </c>
      <c r="K18" s="55">
        <v>46040</v>
      </c>
      <c r="L18" s="56">
        <v>12</v>
      </c>
      <c r="M18" s="57">
        <f t="shared" si="0"/>
        <v>46405</v>
      </c>
      <c r="N18" s="58" t="s">
        <v>20</v>
      </c>
      <c r="O18" s="35" t="s">
        <v>76</v>
      </c>
      <c r="P18" s="59" t="s">
        <v>108</v>
      </c>
    </row>
    <row r="19" spans="1:16" ht="21.75" customHeight="1" x14ac:dyDescent="0.25">
      <c r="A19" s="15"/>
      <c r="B19" s="44" t="s">
        <v>109</v>
      </c>
      <c r="C19" s="45" t="s">
        <v>110</v>
      </c>
      <c r="D19" s="29" t="s">
        <v>25</v>
      </c>
      <c r="E19" s="29" t="s">
        <v>111</v>
      </c>
      <c r="F19" s="46" t="s">
        <v>112</v>
      </c>
      <c r="G19" s="29" t="s">
        <v>67</v>
      </c>
      <c r="H19" s="29" t="s">
        <v>99</v>
      </c>
      <c r="I19" s="47">
        <v>44994</v>
      </c>
      <c r="J19" s="31">
        <v>359</v>
      </c>
      <c r="K19" s="47">
        <v>45725</v>
      </c>
      <c r="L19" s="48">
        <v>12</v>
      </c>
      <c r="M19" s="49">
        <f t="shared" si="0"/>
        <v>46090</v>
      </c>
      <c r="N19" s="50" t="s">
        <v>20</v>
      </c>
      <c r="O19" s="30" t="s">
        <v>69</v>
      </c>
      <c r="P19" s="51" t="s">
        <v>113</v>
      </c>
    </row>
    <row r="20" spans="1:16" ht="21.75" customHeight="1" x14ac:dyDescent="0.25">
      <c r="A20" s="15"/>
      <c r="B20" s="52" t="s">
        <v>114</v>
      </c>
      <c r="C20" s="53" t="s">
        <v>115</v>
      </c>
      <c r="D20" s="34" t="s">
        <v>19</v>
      </c>
      <c r="E20" s="34" t="s">
        <v>116</v>
      </c>
      <c r="F20" s="54" t="s">
        <v>117</v>
      </c>
      <c r="G20" s="34" t="s">
        <v>118</v>
      </c>
      <c r="H20" s="34" t="s">
        <v>119</v>
      </c>
      <c r="I20" s="55">
        <v>44726</v>
      </c>
      <c r="J20" s="36">
        <v>219</v>
      </c>
      <c r="K20" s="55">
        <v>45822</v>
      </c>
      <c r="L20" s="56">
        <v>24</v>
      </c>
      <c r="M20" s="57">
        <f t="shared" si="0"/>
        <v>46552</v>
      </c>
      <c r="N20" s="58" t="s">
        <v>20</v>
      </c>
      <c r="O20" s="35" t="s">
        <v>69</v>
      </c>
      <c r="P20" s="59"/>
    </row>
    <row r="21" spans="1:16" ht="21.75" customHeight="1" x14ac:dyDescent="0.25">
      <c r="A21" s="15"/>
      <c r="B21" s="44" t="s">
        <v>120</v>
      </c>
      <c r="C21" s="45" t="s">
        <v>121</v>
      </c>
      <c r="D21" s="29" t="s">
        <v>21</v>
      </c>
      <c r="E21" s="29" t="s">
        <v>122</v>
      </c>
      <c r="F21" s="46" t="s">
        <v>123</v>
      </c>
      <c r="G21" s="29" t="s">
        <v>88</v>
      </c>
      <c r="H21" s="29" t="s">
        <v>89</v>
      </c>
      <c r="I21" s="47">
        <v>45572</v>
      </c>
      <c r="J21" s="31">
        <v>745</v>
      </c>
      <c r="K21" s="47">
        <v>46302</v>
      </c>
      <c r="L21" s="48">
        <v>12</v>
      </c>
      <c r="M21" s="49">
        <f t="shared" si="0"/>
        <v>46667</v>
      </c>
      <c r="N21" s="50" t="s">
        <v>22</v>
      </c>
      <c r="O21" s="30" t="s">
        <v>62</v>
      </c>
      <c r="P21" s="51" t="s">
        <v>124</v>
      </c>
    </row>
    <row r="22" spans="1:16" ht="21.75" customHeight="1" x14ac:dyDescent="0.25">
      <c r="A22" s="15"/>
      <c r="B22" s="52" t="s">
        <v>125</v>
      </c>
      <c r="C22" s="53" t="s">
        <v>126</v>
      </c>
      <c r="D22" s="34" t="s">
        <v>29</v>
      </c>
      <c r="E22" s="34" t="s">
        <v>127</v>
      </c>
      <c r="F22" s="54" t="s">
        <v>128</v>
      </c>
      <c r="G22" s="34" t="s">
        <v>60</v>
      </c>
      <c r="H22" s="34" t="s">
        <v>129</v>
      </c>
      <c r="I22" s="55">
        <v>45810</v>
      </c>
      <c r="J22" s="36">
        <v>156</v>
      </c>
      <c r="K22" s="55">
        <v>47271</v>
      </c>
      <c r="L22" s="56">
        <v>48</v>
      </c>
      <c r="M22" s="57">
        <f t="shared" si="0"/>
        <v>48732</v>
      </c>
      <c r="N22" s="58" t="s">
        <v>20</v>
      </c>
      <c r="O22" s="35" t="s">
        <v>76</v>
      </c>
      <c r="P22" s="59"/>
    </row>
    <row r="23" spans="1:16" ht="21.75" customHeight="1" x14ac:dyDescent="0.25">
      <c r="A23" s="15"/>
      <c r="B23" s="44" t="s">
        <v>130</v>
      </c>
      <c r="C23" s="45" t="s">
        <v>131</v>
      </c>
      <c r="D23" s="29" t="s">
        <v>21</v>
      </c>
      <c r="E23" s="29" t="s">
        <v>65</v>
      </c>
      <c r="F23" s="46" t="s">
        <v>132</v>
      </c>
      <c r="G23" s="29" t="s">
        <v>60</v>
      </c>
      <c r="H23" s="29" t="s">
        <v>94</v>
      </c>
      <c r="I23" s="47">
        <v>45149</v>
      </c>
      <c r="J23" s="31">
        <v>119</v>
      </c>
      <c r="K23" s="47">
        <v>45880</v>
      </c>
      <c r="L23" s="48">
        <v>12</v>
      </c>
      <c r="M23" s="49">
        <f t="shared" si="0"/>
        <v>46245</v>
      </c>
      <c r="N23" s="50" t="s">
        <v>20</v>
      </c>
      <c r="O23" s="30" t="s">
        <v>82</v>
      </c>
      <c r="P23" s="51"/>
    </row>
    <row r="24" spans="1:16" ht="21.75" customHeight="1" x14ac:dyDescent="0.25">
      <c r="A24" s="15"/>
      <c r="B24" s="52" t="s">
        <v>133</v>
      </c>
      <c r="C24" s="53" t="s">
        <v>134</v>
      </c>
      <c r="D24" s="34" t="s">
        <v>27</v>
      </c>
      <c r="E24" s="34" t="s">
        <v>135</v>
      </c>
      <c r="F24" s="54" t="s">
        <v>136</v>
      </c>
      <c r="G24" s="34" t="s">
        <v>74</v>
      </c>
      <c r="H24" s="34" t="s">
        <v>75</v>
      </c>
      <c r="I24" s="55">
        <v>45376</v>
      </c>
      <c r="J24" s="36">
        <v>169</v>
      </c>
      <c r="K24" s="55">
        <v>46106</v>
      </c>
      <c r="L24" s="56">
        <v>24</v>
      </c>
      <c r="M24" s="57">
        <f t="shared" si="0"/>
        <v>46837</v>
      </c>
      <c r="N24" s="58" t="s">
        <v>20</v>
      </c>
      <c r="O24" s="35" t="s">
        <v>62</v>
      </c>
      <c r="P24" s="59" t="s">
        <v>137</v>
      </c>
    </row>
    <row r="25" spans="1:16" ht="21.75" customHeight="1" x14ac:dyDescent="0.25">
      <c r="A25" s="15"/>
      <c r="B25" s="44" t="s">
        <v>138</v>
      </c>
      <c r="C25" s="45" t="s">
        <v>139</v>
      </c>
      <c r="D25" s="29" t="s">
        <v>19</v>
      </c>
      <c r="E25" s="29" t="s">
        <v>140</v>
      </c>
      <c r="F25" s="46" t="s">
        <v>141</v>
      </c>
      <c r="G25" s="29" t="s">
        <v>118</v>
      </c>
      <c r="H25" s="29" t="s">
        <v>119</v>
      </c>
      <c r="I25" s="47">
        <v>45258</v>
      </c>
      <c r="J25" s="31">
        <v>495</v>
      </c>
      <c r="K25" s="47">
        <v>46719</v>
      </c>
      <c r="L25" s="48">
        <v>48</v>
      </c>
      <c r="M25" s="49">
        <f t="shared" si="0"/>
        <v>48180</v>
      </c>
      <c r="N25" s="50" t="s">
        <v>20</v>
      </c>
      <c r="O25" s="30" t="s">
        <v>69</v>
      </c>
      <c r="P25" s="51" t="s">
        <v>142</v>
      </c>
    </row>
    <row r="26" spans="1:16" ht="21.75" customHeight="1" x14ac:dyDescent="0.25">
      <c r="A26" s="15"/>
      <c r="B26" s="52" t="s">
        <v>143</v>
      </c>
      <c r="C26" s="53" t="s">
        <v>144</v>
      </c>
      <c r="D26" s="34" t="s">
        <v>23</v>
      </c>
      <c r="E26" s="34" t="s">
        <v>145</v>
      </c>
      <c r="F26" s="54" t="s">
        <v>146</v>
      </c>
      <c r="G26" s="34" t="s">
        <v>106</v>
      </c>
      <c r="H26" s="34" t="s">
        <v>107</v>
      </c>
      <c r="I26" s="55">
        <v>45631</v>
      </c>
      <c r="J26" s="36">
        <v>389</v>
      </c>
      <c r="K26" s="55">
        <v>46361</v>
      </c>
      <c r="L26" s="56">
        <v>12</v>
      </c>
      <c r="M26" s="57">
        <f t="shared" si="0"/>
        <v>46726</v>
      </c>
      <c r="N26" s="58" t="s">
        <v>22</v>
      </c>
      <c r="O26" s="35" t="s">
        <v>62</v>
      </c>
      <c r="P26" s="59"/>
    </row>
    <row r="27" spans="1:16" ht="21.75" customHeight="1" x14ac:dyDescent="0.25">
      <c r="A27" s="15"/>
      <c r="B27" s="44" t="s">
        <v>147</v>
      </c>
      <c r="C27" s="45" t="s">
        <v>148</v>
      </c>
      <c r="D27" s="29" t="s">
        <v>31</v>
      </c>
      <c r="E27" s="29" t="s">
        <v>149</v>
      </c>
      <c r="F27" s="46" t="s">
        <v>150</v>
      </c>
      <c r="G27" s="29" t="s">
        <v>67</v>
      </c>
      <c r="H27" s="29" t="s">
        <v>99</v>
      </c>
      <c r="I27" s="47">
        <v>43938</v>
      </c>
      <c r="J27" s="31">
        <v>649</v>
      </c>
      <c r="K27" s="47">
        <v>46129</v>
      </c>
      <c r="L27" s="48">
        <v>12</v>
      </c>
      <c r="M27" s="49">
        <f t="shared" si="0"/>
        <v>46494</v>
      </c>
      <c r="N27" s="50" t="s">
        <v>20</v>
      </c>
      <c r="O27" s="30" t="s">
        <v>69</v>
      </c>
      <c r="P27" s="51" t="s">
        <v>151</v>
      </c>
    </row>
    <row r="28" spans="1:16" ht="21.75" customHeight="1" x14ac:dyDescent="0.25">
      <c r="A28" s="15"/>
      <c r="B28" s="52" t="s">
        <v>152</v>
      </c>
      <c r="C28" s="53" t="s">
        <v>153</v>
      </c>
      <c r="D28" s="34" t="s">
        <v>29</v>
      </c>
      <c r="E28" s="34" t="s">
        <v>154</v>
      </c>
      <c r="F28" s="54" t="s">
        <v>155</v>
      </c>
      <c r="G28" s="34" t="s">
        <v>60</v>
      </c>
      <c r="H28" s="34" t="s">
        <v>129</v>
      </c>
      <c r="I28" s="55">
        <v>45797</v>
      </c>
      <c r="J28" s="36">
        <v>78.5</v>
      </c>
      <c r="K28" s="55">
        <v>46893</v>
      </c>
      <c r="L28" s="56">
        <v>36</v>
      </c>
      <c r="M28" s="57">
        <f t="shared" si="0"/>
        <v>47988</v>
      </c>
      <c r="N28" s="58" t="s">
        <v>20</v>
      </c>
      <c r="O28" s="35" t="s">
        <v>76</v>
      </c>
      <c r="P28" s="59"/>
    </row>
    <row r="29" spans="1:16" ht="21.75" customHeight="1" x14ac:dyDescent="0.25">
      <c r="A29" s="15"/>
      <c r="B29" s="44" t="s">
        <v>156</v>
      </c>
      <c r="C29" s="45" t="s">
        <v>157</v>
      </c>
      <c r="D29" s="29" t="s">
        <v>21</v>
      </c>
      <c r="E29" s="29" t="s">
        <v>97</v>
      </c>
      <c r="F29" s="46" t="s">
        <v>158</v>
      </c>
      <c r="G29" s="29" t="s">
        <v>159</v>
      </c>
      <c r="H29" s="29" t="s">
        <v>94</v>
      </c>
      <c r="I29" s="47">
        <v>43716</v>
      </c>
      <c r="J29" s="31">
        <v>145</v>
      </c>
      <c r="K29" s="47">
        <v>45724</v>
      </c>
      <c r="L29" s="48">
        <v>12</v>
      </c>
      <c r="M29" s="49">
        <f t="shared" si="0"/>
        <v>46089</v>
      </c>
      <c r="N29" s="50" t="s">
        <v>24</v>
      </c>
      <c r="O29" s="30" t="s">
        <v>100</v>
      </c>
      <c r="P29" s="51" t="s">
        <v>160</v>
      </c>
    </row>
    <row r="30" spans="1:16" ht="21.75" customHeight="1" x14ac:dyDescent="0.25">
      <c r="A30" s="15"/>
      <c r="B30" s="52" t="s">
        <v>161</v>
      </c>
      <c r="C30" s="53" t="s">
        <v>162</v>
      </c>
      <c r="D30" s="34" t="s">
        <v>27</v>
      </c>
      <c r="E30" s="34" t="s">
        <v>163</v>
      </c>
      <c r="F30" s="54" t="s">
        <v>164</v>
      </c>
      <c r="G30" s="34" t="s">
        <v>74</v>
      </c>
      <c r="H30" s="34" t="s">
        <v>75</v>
      </c>
      <c r="I30" s="55">
        <v>45534</v>
      </c>
      <c r="J30" s="36">
        <v>429</v>
      </c>
      <c r="K30" s="55">
        <v>46264</v>
      </c>
      <c r="L30" s="56">
        <v>24</v>
      </c>
      <c r="M30" s="57">
        <f t="shared" si="0"/>
        <v>46995</v>
      </c>
      <c r="N30" s="58" t="s">
        <v>20</v>
      </c>
      <c r="O30" s="35" t="s">
        <v>62</v>
      </c>
      <c r="P30" s="59"/>
    </row>
    <row r="31" spans="1:16" ht="21.75" customHeight="1" x14ac:dyDescent="0.25">
      <c r="A31" s="15"/>
      <c r="B31" s="44"/>
      <c r="C31" s="29"/>
      <c r="D31" s="29"/>
      <c r="E31" s="29"/>
      <c r="F31" s="29"/>
      <c r="G31" s="29"/>
      <c r="H31" s="29"/>
      <c r="I31" s="47"/>
      <c r="J31" s="31"/>
      <c r="K31" s="47"/>
      <c r="L31" s="48"/>
      <c r="M31" s="49" t="str">
        <f t="shared" si="0"/>
        <v/>
      </c>
      <c r="N31" s="50"/>
      <c r="O31" s="50"/>
      <c r="P31" s="29"/>
    </row>
    <row r="32" spans="1:16" ht="21.75" customHeight="1" x14ac:dyDescent="0.25">
      <c r="A32" s="15"/>
      <c r="B32" s="52"/>
      <c r="C32" s="34"/>
      <c r="D32" s="34"/>
      <c r="E32" s="34"/>
      <c r="F32" s="34"/>
      <c r="G32" s="34"/>
      <c r="H32" s="34"/>
      <c r="I32" s="55"/>
      <c r="J32" s="36"/>
      <c r="K32" s="55"/>
      <c r="L32" s="56"/>
      <c r="M32" s="57" t="str">
        <f t="shared" si="0"/>
        <v/>
      </c>
      <c r="N32" s="58"/>
      <c r="O32" s="58"/>
      <c r="P32" s="34"/>
    </row>
    <row r="33" spans="1:16" ht="21.75" customHeight="1" x14ac:dyDescent="0.25">
      <c r="A33" s="15"/>
      <c r="B33" s="44"/>
      <c r="C33" s="29"/>
      <c r="D33" s="29"/>
      <c r="E33" s="29"/>
      <c r="F33" s="29"/>
      <c r="G33" s="29"/>
      <c r="H33" s="29"/>
      <c r="I33" s="47"/>
      <c r="J33" s="31"/>
      <c r="K33" s="47"/>
      <c r="L33" s="48"/>
      <c r="M33" s="49" t="str">
        <f t="shared" si="0"/>
        <v/>
      </c>
      <c r="N33" s="50"/>
      <c r="O33" s="50"/>
      <c r="P33" s="29"/>
    </row>
    <row r="34" spans="1:16" ht="21.75" customHeight="1" x14ac:dyDescent="0.25">
      <c r="A34" s="15"/>
      <c r="B34" s="52"/>
      <c r="C34" s="34"/>
      <c r="D34" s="34"/>
      <c r="E34" s="34"/>
      <c r="F34" s="34"/>
      <c r="G34" s="34"/>
      <c r="H34" s="34"/>
      <c r="I34" s="55"/>
      <c r="J34" s="36"/>
      <c r="K34" s="55"/>
      <c r="L34" s="56"/>
      <c r="M34" s="57" t="str">
        <f t="shared" si="0"/>
        <v/>
      </c>
      <c r="N34" s="58"/>
      <c r="O34" s="58"/>
      <c r="P34" s="34"/>
    </row>
    <row r="35" spans="1:16" ht="21.75" customHeight="1" x14ac:dyDescent="0.25">
      <c r="A35" s="15"/>
      <c r="B35" s="44"/>
      <c r="C35" s="29"/>
      <c r="D35" s="29"/>
      <c r="E35" s="29"/>
      <c r="F35" s="29"/>
      <c r="G35" s="29"/>
      <c r="H35" s="29"/>
      <c r="I35" s="47"/>
      <c r="J35" s="31"/>
      <c r="K35" s="47"/>
      <c r="L35" s="48"/>
      <c r="M35" s="49" t="str">
        <f t="shared" si="0"/>
        <v/>
      </c>
      <c r="N35" s="50"/>
      <c r="O35" s="50"/>
      <c r="P35" s="29"/>
    </row>
    <row r="36" spans="1:16" ht="21.75" customHeight="1" x14ac:dyDescent="0.25">
      <c r="A36" s="15"/>
      <c r="B36" s="52"/>
      <c r="C36" s="34"/>
      <c r="D36" s="34"/>
      <c r="E36" s="34"/>
      <c r="F36" s="34"/>
      <c r="G36" s="34"/>
      <c r="H36" s="34"/>
      <c r="I36" s="55"/>
      <c r="J36" s="36"/>
      <c r="K36" s="55"/>
      <c r="L36" s="56"/>
      <c r="M36" s="57" t="str">
        <f t="shared" si="0"/>
        <v/>
      </c>
      <c r="N36" s="58"/>
      <c r="O36" s="58"/>
      <c r="P36" s="34"/>
    </row>
    <row r="37" spans="1:16" ht="21.75" customHeight="1" x14ac:dyDescent="0.25">
      <c r="A37" s="15"/>
      <c r="B37" s="44"/>
      <c r="C37" s="29"/>
      <c r="D37" s="29"/>
      <c r="E37" s="29"/>
      <c r="F37" s="29"/>
      <c r="G37" s="29"/>
      <c r="H37" s="29"/>
      <c r="I37" s="47"/>
      <c r="J37" s="31"/>
      <c r="K37" s="47"/>
      <c r="L37" s="48"/>
      <c r="M37" s="49" t="str">
        <f t="shared" si="0"/>
        <v/>
      </c>
      <c r="N37" s="50"/>
      <c r="O37" s="50"/>
      <c r="P37" s="29"/>
    </row>
    <row r="38" spans="1:16" ht="21.75" customHeight="1" x14ac:dyDescent="0.25">
      <c r="A38" s="15"/>
      <c r="B38" s="52"/>
      <c r="C38" s="34"/>
      <c r="D38" s="34"/>
      <c r="E38" s="34"/>
      <c r="F38" s="34"/>
      <c r="G38" s="34"/>
      <c r="H38" s="34"/>
      <c r="I38" s="55"/>
      <c r="J38" s="36"/>
      <c r="K38" s="55"/>
      <c r="L38" s="56"/>
      <c r="M38" s="57" t="str">
        <f t="shared" si="0"/>
        <v/>
      </c>
      <c r="N38" s="58"/>
      <c r="O38" s="58"/>
      <c r="P38" s="34"/>
    </row>
    <row r="39" spans="1:16" ht="21.75" customHeight="1" x14ac:dyDescent="0.25">
      <c r="A39" s="15"/>
      <c r="B39" s="44"/>
      <c r="C39" s="29"/>
      <c r="D39" s="29"/>
      <c r="E39" s="29"/>
      <c r="F39" s="29"/>
      <c r="G39" s="29"/>
      <c r="H39" s="29"/>
      <c r="I39" s="47"/>
      <c r="J39" s="31"/>
      <c r="K39" s="47"/>
      <c r="L39" s="48"/>
      <c r="M39" s="49" t="str">
        <f t="shared" si="0"/>
        <v/>
      </c>
      <c r="N39" s="50"/>
      <c r="O39" s="50"/>
      <c r="P39" s="29"/>
    </row>
    <row r="40" spans="1:16" ht="21.75" customHeight="1" x14ac:dyDescent="0.25">
      <c r="A40" s="15"/>
      <c r="B40" s="52"/>
      <c r="C40" s="34"/>
      <c r="D40" s="34"/>
      <c r="E40" s="34"/>
      <c r="F40" s="34"/>
      <c r="G40" s="34"/>
      <c r="H40" s="34"/>
      <c r="I40" s="55"/>
      <c r="J40" s="36"/>
      <c r="K40" s="55"/>
      <c r="L40" s="56"/>
      <c r="M40" s="57" t="str">
        <f t="shared" si="0"/>
        <v/>
      </c>
      <c r="N40" s="58"/>
      <c r="O40" s="58"/>
      <c r="P40" s="34"/>
    </row>
    <row r="41" spans="1:16" ht="21.75" customHeight="1" x14ac:dyDescent="0.25">
      <c r="A41" s="15"/>
      <c r="B41" s="44"/>
      <c r="C41" s="29"/>
      <c r="D41" s="29"/>
      <c r="E41" s="29"/>
      <c r="F41" s="29"/>
      <c r="G41" s="29"/>
      <c r="H41" s="29"/>
      <c r="I41" s="47"/>
      <c r="J41" s="31"/>
      <c r="K41" s="47"/>
      <c r="L41" s="48"/>
      <c r="M41" s="49" t="str">
        <f t="shared" si="0"/>
        <v/>
      </c>
      <c r="N41" s="50"/>
      <c r="O41" s="50"/>
      <c r="P41" s="29"/>
    </row>
    <row r="42" spans="1:16" ht="21.75" customHeight="1" x14ac:dyDescent="0.25">
      <c r="A42" s="15"/>
      <c r="B42" s="52"/>
      <c r="C42" s="34"/>
      <c r="D42" s="34"/>
      <c r="E42" s="34"/>
      <c r="F42" s="34"/>
      <c r="G42" s="34"/>
      <c r="H42" s="34"/>
      <c r="I42" s="55"/>
      <c r="J42" s="36"/>
      <c r="K42" s="55"/>
      <c r="L42" s="56"/>
      <c r="M42" s="57" t="str">
        <f t="shared" si="0"/>
        <v/>
      </c>
      <c r="N42" s="58"/>
      <c r="O42" s="58"/>
      <c r="P42" s="34"/>
    </row>
    <row r="43" spans="1:16" ht="21.75" customHeight="1" x14ac:dyDescent="0.25">
      <c r="A43" s="15"/>
      <c r="B43" s="44"/>
      <c r="C43" s="29"/>
      <c r="D43" s="29"/>
      <c r="E43" s="29"/>
      <c r="F43" s="29"/>
      <c r="G43" s="29"/>
      <c r="H43" s="29"/>
      <c r="I43" s="47"/>
      <c r="J43" s="31"/>
      <c r="K43" s="47"/>
      <c r="L43" s="48"/>
      <c r="M43" s="49" t="str">
        <f t="shared" si="0"/>
        <v/>
      </c>
      <c r="N43" s="50"/>
      <c r="O43" s="50"/>
      <c r="P43" s="29"/>
    </row>
    <row r="44" spans="1:16" ht="21.75" customHeight="1" x14ac:dyDescent="0.25">
      <c r="A44" s="15"/>
      <c r="B44" s="52"/>
      <c r="C44" s="34"/>
      <c r="D44" s="34"/>
      <c r="E44" s="34"/>
      <c r="F44" s="34"/>
      <c r="G44" s="34"/>
      <c r="H44" s="34"/>
      <c r="I44" s="55"/>
      <c r="J44" s="36"/>
      <c r="K44" s="55"/>
      <c r="L44" s="56"/>
      <c r="M44" s="57" t="str">
        <f t="shared" si="0"/>
        <v/>
      </c>
      <c r="N44" s="58"/>
      <c r="O44" s="58"/>
      <c r="P44" s="34"/>
    </row>
    <row r="45" spans="1:16" ht="21.75" customHeight="1" x14ac:dyDescent="0.25">
      <c r="A45" s="15"/>
      <c r="B45" s="44"/>
      <c r="C45" s="29"/>
      <c r="D45" s="29"/>
      <c r="E45" s="29"/>
      <c r="F45" s="29"/>
      <c r="G45" s="29"/>
      <c r="H45" s="29"/>
      <c r="I45" s="47"/>
      <c r="J45" s="31"/>
      <c r="K45" s="47"/>
      <c r="L45" s="48"/>
      <c r="M45" s="49" t="str">
        <f t="shared" si="0"/>
        <v/>
      </c>
      <c r="N45" s="50"/>
      <c r="O45" s="50"/>
      <c r="P45" s="29"/>
    </row>
    <row r="46" spans="1:16" x14ac:dyDescent="0.25">
      <c r="A46" s="15"/>
    </row>
    <row r="47" spans="1:16" x14ac:dyDescent="0.25">
      <c r="A47" s="15"/>
    </row>
    <row r="48" spans="1:16" x14ac:dyDescent="0.25">
      <c r="A48" s="15"/>
    </row>
    <row r="49" spans="1:1" x14ac:dyDescent="0.25">
      <c r="A49" s="15"/>
    </row>
    <row r="50" spans="1:1" x14ac:dyDescent="0.25">
      <c r="A50" s="15"/>
    </row>
    <row r="51" spans="1:1" x14ac:dyDescent="0.25">
      <c r="A51" s="15"/>
    </row>
    <row r="52" spans="1:1" x14ac:dyDescent="0.25">
      <c r="A52" s="15"/>
    </row>
    <row r="53" spans="1:1" x14ac:dyDescent="0.25">
      <c r="A53" s="15"/>
    </row>
    <row r="54" spans="1:1" x14ac:dyDescent="0.25">
      <c r="A54" s="15"/>
    </row>
    <row r="55" spans="1:1" x14ac:dyDescent="0.25">
      <c r="A55" s="15"/>
    </row>
    <row r="56" spans="1:1" x14ac:dyDescent="0.25">
      <c r="A56" s="15"/>
    </row>
    <row r="57" spans="1:1" x14ac:dyDescent="0.25">
      <c r="A57" s="15"/>
    </row>
    <row r="58" spans="1:1" x14ac:dyDescent="0.25">
      <c r="A58" s="15"/>
    </row>
    <row r="59" spans="1:1" x14ac:dyDescent="0.25">
      <c r="A59" s="15"/>
    </row>
  </sheetData>
  <autoFilter ref="B10:P45" xr:uid="{00000000-0009-0000-0000-000001000000}"/>
  <mergeCells count="12">
    <mergeCell ref="B7:C7"/>
    <mergeCell ref="E7:F7"/>
    <mergeCell ref="H7:I7"/>
    <mergeCell ref="K7:L7"/>
    <mergeCell ref="N7:O7"/>
    <mergeCell ref="B2:P2"/>
    <mergeCell ref="B3:P3"/>
    <mergeCell ref="B6:C6"/>
    <mergeCell ref="E6:F6"/>
    <mergeCell ref="H6:I6"/>
    <mergeCell ref="K6:L6"/>
    <mergeCell ref="N6:O6"/>
  </mergeCells>
  <conditionalFormatting sqref="M11:M45">
    <cfRule type="expression" dxfId="10" priority="8">
      <formula>AND(ISNUMBER(M11),M11&lt;TODAY())</formula>
    </cfRule>
    <cfRule type="expression" dxfId="9" priority="9">
      <formula>AND(ISNUMBER(M11),M11&lt;=TODAY()+30,M11&gt;=TODAY())</formula>
    </cfRule>
  </conditionalFormatting>
  <conditionalFormatting sqref="N11:N45">
    <cfRule type="cellIs" dxfId="8" priority="2" operator="equal">
      <formula>"Verfügbar"</formula>
    </cfRule>
    <cfRule type="cellIs" dxfId="7" priority="3" operator="equal">
      <formula>"Ausgeliehen"</formula>
    </cfRule>
    <cfRule type="cellIs" dxfId="6" priority="4" operator="equal">
      <formula>"In Reparatur"</formula>
    </cfRule>
    <cfRule type="cellIs" dxfId="5" priority="5" operator="equal">
      <formula>"Prüfung fällig"</formula>
    </cfRule>
    <cfRule type="cellIs" dxfId="4" priority="7" operator="equal">
      <formula>"Ausgesondert"</formula>
    </cfRule>
  </conditionalFormatting>
  <conditionalFormatting sqref="N11:O45">
    <cfRule type="cellIs" dxfId="3" priority="6" operator="equal">
      <formula>"Defekt"</formula>
    </cfRule>
  </conditionalFormatting>
  <conditionalFormatting sqref="O11:O45">
    <cfRule type="cellIs" dxfId="2" priority="10" operator="equal">
      <formula>"Neuwertig"</formula>
    </cfRule>
    <cfRule type="cellIs" dxfId="1" priority="11" operator="equal">
      <formula>"Sehr gut"</formula>
    </cfRule>
    <cfRule type="cellIs" dxfId="0" priority="12" operator="equal">
      <formula>"Reparaturbedürftig"</formula>
    </cfRule>
  </conditionalFormatting>
  <dataValidations count="4">
    <dataValidation type="list" allowBlank="1" error="Bitte einen Wert aus der Liste wählen" sqref="D11:D45" xr:uid="{00000000-0002-0000-0100-000000000000}">
      <formula1>Kategorien</formula1>
      <formula2>0</formula2>
    </dataValidation>
    <dataValidation type="list" allowBlank="1" sqref="G11:G45" xr:uid="{00000000-0002-0000-0100-000001000000}">
      <formula1>Standorte</formula1>
      <formula2>0</formula2>
    </dataValidation>
    <dataValidation type="list" allowBlank="1" sqref="N11:N45" xr:uid="{00000000-0002-0000-0100-000002000000}">
      <formula1>StatusWerte</formula1>
      <formula2>0</formula2>
    </dataValidation>
    <dataValidation type="list" allowBlank="1" sqref="O11:O45" xr:uid="{00000000-0002-0000-0100-000003000000}">
      <formula1>Zustand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6" customWidth="1"/>
    <col min="3" max="3" width="3" customWidth="1"/>
    <col min="4" max="4" width="26" customWidth="1"/>
    <col min="5" max="5" width="3" customWidth="1"/>
    <col min="6" max="6" width="24" customWidth="1"/>
    <col min="7" max="7" width="3" customWidth="1"/>
    <col min="8" max="8" width="24" customWidth="1"/>
  </cols>
  <sheetData>
    <row r="1" spans="1:8" ht="7.5" customHeight="1" x14ac:dyDescent="0.25">
      <c r="A1" s="15"/>
    </row>
    <row r="2" spans="1:8" ht="42" customHeight="1" x14ac:dyDescent="0.25">
      <c r="A2" s="15"/>
      <c r="B2" s="82" t="s">
        <v>165</v>
      </c>
      <c r="C2" s="82"/>
      <c r="D2" s="82"/>
      <c r="E2" s="82"/>
      <c r="F2" s="82"/>
      <c r="G2" s="82"/>
      <c r="H2" s="82"/>
    </row>
    <row r="3" spans="1:8" ht="21.75" customHeight="1" x14ac:dyDescent="0.25">
      <c r="A3" s="15"/>
      <c r="B3" s="13" t="s">
        <v>166</v>
      </c>
      <c r="C3" s="13"/>
      <c r="D3" s="13"/>
      <c r="E3" s="13"/>
      <c r="F3" s="13"/>
      <c r="G3" s="13"/>
      <c r="H3" s="13"/>
    </row>
    <row r="4" spans="1:8" ht="6" customHeight="1" x14ac:dyDescent="0.25">
      <c r="A4" s="15"/>
      <c r="B4" s="16"/>
      <c r="C4" s="16"/>
      <c r="D4" s="16"/>
      <c r="E4" s="16"/>
      <c r="F4" s="16"/>
      <c r="G4" s="16"/>
      <c r="H4" s="16"/>
    </row>
    <row r="5" spans="1:8" ht="12" customHeight="1" x14ac:dyDescent="0.25">
      <c r="A5" s="15"/>
    </row>
    <row r="6" spans="1:8" ht="30" customHeight="1" x14ac:dyDescent="0.25">
      <c r="A6" s="15"/>
      <c r="B6" s="60" t="s">
        <v>167</v>
      </c>
      <c r="D6" s="61" t="s">
        <v>168</v>
      </c>
      <c r="F6" s="62" t="s">
        <v>169</v>
      </c>
      <c r="H6" s="63" t="s">
        <v>54</v>
      </c>
    </row>
    <row r="7" spans="1:8" ht="21.75" customHeight="1" x14ac:dyDescent="0.25">
      <c r="A7" s="15"/>
      <c r="B7" s="64" t="s">
        <v>19</v>
      </c>
      <c r="D7" s="64" t="s">
        <v>60</v>
      </c>
      <c r="F7" s="64" t="s">
        <v>20</v>
      </c>
      <c r="H7" s="64" t="s">
        <v>76</v>
      </c>
    </row>
    <row r="8" spans="1:8" ht="21.75" customHeight="1" x14ac:dyDescent="0.25">
      <c r="A8" s="15"/>
      <c r="B8" s="65" t="s">
        <v>21</v>
      </c>
      <c r="D8" s="65" t="s">
        <v>67</v>
      </c>
      <c r="F8" s="65" t="s">
        <v>22</v>
      </c>
      <c r="H8" s="65" t="s">
        <v>62</v>
      </c>
    </row>
    <row r="9" spans="1:8" ht="21.75" customHeight="1" x14ac:dyDescent="0.25">
      <c r="A9" s="15"/>
      <c r="B9" s="64" t="s">
        <v>23</v>
      </c>
      <c r="D9" s="64" t="s">
        <v>159</v>
      </c>
      <c r="F9" s="64" t="s">
        <v>24</v>
      </c>
      <c r="H9" s="64" t="s">
        <v>69</v>
      </c>
    </row>
    <row r="10" spans="1:8" ht="21.75" customHeight="1" x14ac:dyDescent="0.25">
      <c r="A10" s="15"/>
      <c r="B10" s="65" t="s">
        <v>25</v>
      </c>
      <c r="D10" s="65" t="s">
        <v>88</v>
      </c>
      <c r="F10" s="65" t="s">
        <v>26</v>
      </c>
      <c r="H10" s="65" t="s">
        <v>82</v>
      </c>
    </row>
    <row r="11" spans="1:8" ht="21.75" customHeight="1" x14ac:dyDescent="0.25">
      <c r="A11" s="15"/>
      <c r="B11" s="64" t="s">
        <v>27</v>
      </c>
      <c r="D11" s="64" t="s">
        <v>118</v>
      </c>
      <c r="F11" s="64" t="s">
        <v>28</v>
      </c>
      <c r="H11" s="64" t="s">
        <v>100</v>
      </c>
    </row>
    <row r="12" spans="1:8" ht="21.75" customHeight="1" x14ac:dyDescent="0.25">
      <c r="A12" s="15"/>
      <c r="B12" s="65" t="s">
        <v>29</v>
      </c>
      <c r="D12" s="65" t="s">
        <v>106</v>
      </c>
      <c r="F12" s="65" t="s">
        <v>30</v>
      </c>
      <c r="H12" s="65" t="s">
        <v>28</v>
      </c>
    </row>
    <row r="13" spans="1:8" ht="21.75" customHeight="1" x14ac:dyDescent="0.25">
      <c r="A13" s="15"/>
      <c r="B13" s="64" t="s">
        <v>31</v>
      </c>
      <c r="D13" s="64" t="s">
        <v>74</v>
      </c>
    </row>
    <row r="14" spans="1:8" ht="21.75" customHeight="1" x14ac:dyDescent="0.25">
      <c r="A14" s="15"/>
      <c r="B14" s="65" t="s">
        <v>34</v>
      </c>
      <c r="D14" s="65" t="s">
        <v>170</v>
      </c>
    </row>
    <row r="15" spans="1:8" x14ac:dyDescent="0.25">
      <c r="A15" s="15"/>
    </row>
    <row r="16" spans="1:8" x14ac:dyDescent="0.25">
      <c r="A16" s="15"/>
    </row>
    <row r="17" spans="1:8" ht="24" customHeight="1" x14ac:dyDescent="0.25">
      <c r="A17" s="15"/>
      <c r="B17" s="86" t="s">
        <v>171</v>
      </c>
      <c r="C17" s="86"/>
      <c r="D17" s="86"/>
      <c r="E17" s="86"/>
      <c r="F17" s="86"/>
      <c r="G17" s="86"/>
      <c r="H17" s="86"/>
    </row>
    <row r="18" spans="1:8" x14ac:dyDescent="0.25">
      <c r="A18" s="15"/>
    </row>
    <row r="19" spans="1:8" x14ac:dyDescent="0.25">
      <c r="A19" s="15"/>
    </row>
    <row r="20" spans="1:8" x14ac:dyDescent="0.25">
      <c r="A20" s="15"/>
    </row>
    <row r="21" spans="1:8" x14ac:dyDescent="0.25">
      <c r="A21" s="15"/>
    </row>
    <row r="22" spans="1:8" x14ac:dyDescent="0.25">
      <c r="A22" s="15"/>
    </row>
    <row r="23" spans="1:8" x14ac:dyDescent="0.25">
      <c r="A23" s="15"/>
    </row>
    <row r="24" spans="1:8" x14ac:dyDescent="0.25">
      <c r="A24" s="15"/>
    </row>
    <row r="25" spans="1:8" x14ac:dyDescent="0.25">
      <c r="A25" s="15"/>
    </row>
    <row r="26" spans="1:8" x14ac:dyDescent="0.25">
      <c r="A26" s="15"/>
    </row>
    <row r="27" spans="1:8" x14ac:dyDescent="0.25">
      <c r="A27" s="15"/>
    </row>
    <row r="28" spans="1:8" x14ac:dyDescent="0.25">
      <c r="A28" s="15"/>
    </row>
    <row r="29" spans="1:8" x14ac:dyDescent="0.25">
      <c r="A29" s="15"/>
    </row>
    <row r="30" spans="1:8" x14ac:dyDescent="0.25">
      <c r="A30" s="15"/>
    </row>
    <row r="31" spans="1:8" x14ac:dyDescent="0.25">
      <c r="A31" s="15"/>
    </row>
    <row r="32" spans="1:8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  <row r="47" spans="1:1" x14ac:dyDescent="0.25">
      <c r="A47" s="15"/>
    </row>
    <row r="48" spans="1:1" x14ac:dyDescent="0.25">
      <c r="A48" s="15"/>
    </row>
    <row r="49" spans="1:1" x14ac:dyDescent="0.25">
      <c r="A49" s="15"/>
    </row>
    <row r="50" spans="1:1" x14ac:dyDescent="0.25">
      <c r="A50" s="15"/>
    </row>
    <row r="51" spans="1:1" x14ac:dyDescent="0.25">
      <c r="A51" s="15"/>
    </row>
    <row r="52" spans="1:1" x14ac:dyDescent="0.25">
      <c r="A52" s="15"/>
    </row>
    <row r="53" spans="1:1" x14ac:dyDescent="0.25">
      <c r="A53" s="15"/>
    </row>
    <row r="54" spans="1:1" x14ac:dyDescent="0.25">
      <c r="A54" s="15"/>
    </row>
    <row r="55" spans="1:1" x14ac:dyDescent="0.25">
      <c r="A55" s="15"/>
    </row>
    <row r="56" spans="1:1" x14ac:dyDescent="0.25">
      <c r="A56" s="15"/>
    </row>
    <row r="57" spans="1:1" x14ac:dyDescent="0.25">
      <c r="A57" s="15"/>
    </row>
    <row r="58" spans="1:1" x14ac:dyDescent="0.25">
      <c r="A58" s="15"/>
    </row>
    <row r="59" spans="1:1" x14ac:dyDescent="0.25">
      <c r="A59" s="15"/>
    </row>
  </sheetData>
  <mergeCells count="3">
    <mergeCell ref="B2:H2"/>
    <mergeCell ref="B3:H3"/>
    <mergeCell ref="B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9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4" customWidth="1"/>
    <col min="3" max="3" width="26" customWidth="1"/>
    <col min="4" max="4" width="70" customWidth="1"/>
    <col min="5" max="5" width="2" customWidth="1"/>
  </cols>
  <sheetData>
    <row r="1" spans="1:4" ht="7.5" customHeight="1" x14ac:dyDescent="0.25">
      <c r="A1" s="15"/>
    </row>
    <row r="2" spans="1:4" ht="42" customHeight="1" x14ac:dyDescent="0.25">
      <c r="A2" s="15"/>
      <c r="B2" s="82" t="s">
        <v>172</v>
      </c>
      <c r="C2" s="82"/>
      <c r="D2" s="82"/>
    </row>
    <row r="3" spans="1:4" ht="21.75" customHeight="1" x14ac:dyDescent="0.25">
      <c r="A3" s="15"/>
      <c r="B3" s="13" t="s">
        <v>173</v>
      </c>
      <c r="C3" s="13"/>
      <c r="D3" s="13"/>
    </row>
    <row r="4" spans="1:4" ht="6" customHeight="1" x14ac:dyDescent="0.25">
      <c r="A4" s="15"/>
      <c r="B4" s="16"/>
      <c r="C4" s="16"/>
      <c r="D4" s="16"/>
    </row>
    <row r="5" spans="1:4" ht="13.5" customHeight="1" x14ac:dyDescent="0.25">
      <c r="A5" s="15"/>
    </row>
    <row r="6" spans="1:4" ht="30" customHeight="1" x14ac:dyDescent="0.25">
      <c r="A6" s="15"/>
      <c r="B6" s="87" t="s">
        <v>174</v>
      </c>
      <c r="C6" s="87"/>
      <c r="D6" s="87"/>
    </row>
    <row r="7" spans="1:4" ht="43.5" customHeight="1" x14ac:dyDescent="0.25">
      <c r="A7" s="15"/>
      <c r="B7" s="66" t="s">
        <v>175</v>
      </c>
      <c r="C7" s="67" t="s">
        <v>176</v>
      </c>
      <c r="D7" s="68" t="s">
        <v>177</v>
      </c>
    </row>
    <row r="8" spans="1:4" ht="43.5" customHeight="1" x14ac:dyDescent="0.25">
      <c r="A8" s="15"/>
      <c r="B8" s="69" t="s">
        <v>178</v>
      </c>
      <c r="C8" s="70" t="s">
        <v>179</v>
      </c>
      <c r="D8" s="71" t="s">
        <v>180</v>
      </c>
    </row>
    <row r="9" spans="1:4" ht="43.5" customHeight="1" x14ac:dyDescent="0.25">
      <c r="A9" s="15"/>
      <c r="B9" s="66" t="s">
        <v>181</v>
      </c>
      <c r="C9" s="67" t="s">
        <v>182</v>
      </c>
      <c r="D9" s="68" t="s">
        <v>183</v>
      </c>
    </row>
    <row r="10" spans="1:4" ht="43.5" customHeight="1" x14ac:dyDescent="0.25">
      <c r="A10" s="15"/>
      <c r="B10" s="69" t="s">
        <v>184</v>
      </c>
      <c r="C10" s="70" t="s">
        <v>185</v>
      </c>
      <c r="D10" s="71" t="s">
        <v>186</v>
      </c>
    </row>
    <row r="11" spans="1:4" ht="19.5" customHeight="1" x14ac:dyDescent="0.25">
      <c r="A11" s="15"/>
    </row>
    <row r="12" spans="1:4" ht="30" customHeight="1" x14ac:dyDescent="0.25">
      <c r="A12" s="15"/>
      <c r="B12" s="87" t="s">
        <v>187</v>
      </c>
      <c r="C12" s="87"/>
      <c r="D12" s="87"/>
    </row>
    <row r="13" spans="1:4" ht="30" customHeight="1" x14ac:dyDescent="0.25">
      <c r="A13" s="15"/>
      <c r="C13" s="72" t="s">
        <v>188</v>
      </c>
      <c r="D13" s="68" t="s">
        <v>189</v>
      </c>
    </row>
    <row r="14" spans="1:4" ht="30" customHeight="1" x14ac:dyDescent="0.25">
      <c r="A14" s="15"/>
      <c r="C14" s="73" t="s">
        <v>190</v>
      </c>
      <c r="D14" s="71" t="s">
        <v>191</v>
      </c>
    </row>
    <row r="15" spans="1:4" ht="30" customHeight="1" x14ac:dyDescent="0.25">
      <c r="A15" s="15"/>
      <c r="C15" s="74" t="s">
        <v>192</v>
      </c>
      <c r="D15" s="68" t="s">
        <v>193</v>
      </c>
    </row>
    <row r="16" spans="1:4" ht="30" customHeight="1" x14ac:dyDescent="0.25">
      <c r="A16" s="15"/>
      <c r="C16" s="75" t="s">
        <v>40</v>
      </c>
      <c r="D16" s="71" t="s">
        <v>194</v>
      </c>
    </row>
    <row r="17" spans="1:4" ht="30" customHeight="1" x14ac:dyDescent="0.25">
      <c r="A17" s="15"/>
      <c r="C17" s="76" t="s">
        <v>195</v>
      </c>
      <c r="D17" s="68" t="s">
        <v>196</v>
      </c>
    </row>
    <row r="18" spans="1:4" x14ac:dyDescent="0.25">
      <c r="A18" s="15"/>
    </row>
    <row r="19" spans="1:4" ht="19.5" customHeight="1" x14ac:dyDescent="0.25">
      <c r="A19" s="15"/>
    </row>
    <row r="20" spans="1:4" ht="30" customHeight="1" x14ac:dyDescent="0.25">
      <c r="A20" s="15"/>
      <c r="B20" s="87" t="s">
        <v>197</v>
      </c>
      <c r="C20" s="87"/>
      <c r="D20" s="87"/>
    </row>
    <row r="21" spans="1:4" ht="43.5" customHeight="1" x14ac:dyDescent="0.25">
      <c r="A21" s="15"/>
      <c r="B21" s="66" t="s">
        <v>198</v>
      </c>
      <c r="C21" s="77" t="s">
        <v>199</v>
      </c>
      <c r="D21" s="68" t="s">
        <v>200</v>
      </c>
    </row>
    <row r="22" spans="1:4" ht="43.5" customHeight="1" x14ac:dyDescent="0.25">
      <c r="A22" s="15"/>
      <c r="B22" s="69" t="s">
        <v>198</v>
      </c>
      <c r="C22" s="78" t="s">
        <v>201</v>
      </c>
      <c r="D22" s="71" t="s">
        <v>202</v>
      </c>
    </row>
    <row r="23" spans="1:4" ht="43.5" customHeight="1" x14ac:dyDescent="0.25">
      <c r="A23" s="15"/>
      <c r="B23" s="66" t="s">
        <v>198</v>
      </c>
      <c r="C23" s="77" t="s">
        <v>203</v>
      </c>
      <c r="D23" s="68" t="s">
        <v>204</v>
      </c>
    </row>
    <row r="24" spans="1:4" ht="43.5" customHeight="1" x14ac:dyDescent="0.25">
      <c r="A24" s="15"/>
      <c r="B24" s="69" t="s">
        <v>198</v>
      </c>
      <c r="C24" s="78" t="s">
        <v>205</v>
      </c>
      <c r="D24" s="71" t="s">
        <v>206</v>
      </c>
    </row>
    <row r="25" spans="1:4" ht="43.5" customHeight="1" x14ac:dyDescent="0.25">
      <c r="A25" s="15"/>
      <c r="B25" s="66" t="s">
        <v>198</v>
      </c>
      <c r="C25" s="77" t="s">
        <v>207</v>
      </c>
      <c r="D25" s="68" t="s">
        <v>208</v>
      </c>
    </row>
    <row r="26" spans="1:4" x14ac:dyDescent="0.25">
      <c r="A26" s="15"/>
    </row>
    <row r="27" spans="1:4" x14ac:dyDescent="0.25">
      <c r="A27" s="15"/>
    </row>
    <row r="28" spans="1:4" ht="21.75" customHeight="1" x14ac:dyDescent="0.25">
      <c r="A28" s="15"/>
      <c r="B28" s="81" t="s">
        <v>209</v>
      </c>
      <c r="C28" s="81"/>
      <c r="D28" s="81"/>
    </row>
    <row r="29" spans="1:4" x14ac:dyDescent="0.25">
      <c r="A29" s="15"/>
    </row>
    <row r="30" spans="1:4" x14ac:dyDescent="0.25">
      <c r="A30" s="15"/>
    </row>
    <row r="31" spans="1:4" x14ac:dyDescent="0.25">
      <c r="A31" s="15"/>
    </row>
    <row r="32" spans="1:4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  <row r="47" spans="1:1" x14ac:dyDescent="0.25">
      <c r="A47" s="15"/>
    </row>
    <row r="48" spans="1:1" x14ac:dyDescent="0.25">
      <c r="A48" s="15"/>
    </row>
    <row r="49" spans="1:1" x14ac:dyDescent="0.25">
      <c r="A49" s="15"/>
    </row>
    <row r="50" spans="1:1" x14ac:dyDescent="0.25">
      <c r="A50" s="15"/>
    </row>
    <row r="51" spans="1:1" x14ac:dyDescent="0.25">
      <c r="A51" s="15"/>
    </row>
    <row r="52" spans="1:1" x14ac:dyDescent="0.25">
      <c r="A52" s="15"/>
    </row>
    <row r="53" spans="1:1" x14ac:dyDescent="0.25">
      <c r="A53" s="15"/>
    </row>
    <row r="54" spans="1:1" x14ac:dyDescent="0.25">
      <c r="A54" s="15"/>
    </row>
    <row r="55" spans="1:1" x14ac:dyDescent="0.25">
      <c r="A55" s="15"/>
    </row>
    <row r="56" spans="1:1" x14ac:dyDescent="0.25">
      <c r="A56" s="15"/>
    </row>
    <row r="57" spans="1:1" x14ac:dyDescent="0.25">
      <c r="A57" s="15"/>
    </row>
    <row r="58" spans="1:1" x14ac:dyDescent="0.25">
      <c r="A58" s="15"/>
    </row>
    <row r="59" spans="1:1" x14ac:dyDescent="0.25">
      <c r="A59" s="15"/>
    </row>
  </sheetData>
  <mergeCells count="6">
    <mergeCell ref="B28:D28"/>
    <mergeCell ref="B2:D2"/>
    <mergeCell ref="B3:D3"/>
    <mergeCell ref="B6:D6"/>
    <mergeCell ref="B12:D12"/>
    <mergeCell ref="B20:D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Dashboard</vt:lpstr>
      <vt:lpstr>Werkzeugliste</vt:lpstr>
      <vt:lpstr>Listen</vt:lpstr>
      <vt:lpstr>Hinweise</vt:lpstr>
      <vt:lpstr>Kategorien</vt:lpstr>
      <vt:lpstr>Standorte</vt:lpstr>
      <vt:lpstr>StatusWerte</vt:lpstr>
      <vt:lpstr>Zustand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2026-07-13T11:40:53Z</dcterms:created>
  <dcterms:modified xsi:type="dcterms:W3CDTF">2026-07-15T16:51:29Z</dcterms:modified>
  <dc:language>en-US</dc:language>
</cp:coreProperties>
</file>