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2DB028B2-02E2-41E6-8842-5AAB8FA627F3}" xr6:coauthVersionLast="47" xr6:coauthVersionMax="47" xr10:uidLastSave="{00000000-0000-0000-0000-000000000000}"/>
  <bookViews>
    <workbookView xWindow="-26130" yWindow="1485" windowWidth="25500" windowHeight="13500" tabRatio="500" activeTab="1" xr2:uid="{00000000-000D-0000-FFFF-FFFF00000000}"/>
  </bookViews>
  <sheets>
    <sheet name="Anleitung" sheetId="1" r:id="rId1"/>
    <sheet name="Dashboard" sheetId="2" r:id="rId2"/>
    <sheet name="Mitarbeiter" sheetId="3" r:id="rId3"/>
    <sheet name="Kunden" sheetId="4" r:id="rId4"/>
    <sheet name="Auftragsplaner" sheetId="5" r:id="rId5"/>
    <sheet name="Kapazitätsplanung" sheetId="6" r:id="rId6"/>
  </sheets>
  <definedNames>
    <definedName name="_xlnm.Print_Area" localSheetId="0">Anleitung!$A$1:$F$200</definedName>
    <definedName name="_xlnm.Print_Area" localSheetId="4">Auftragsplaner!$A$1:$R$200</definedName>
    <definedName name="_xlnm.Print_Area" localSheetId="1">Dashboard!$A$1:$J$200</definedName>
    <definedName name="_xlnm.Print_Area" localSheetId="5">Kapazitätsplanung!$A$1:$G$200</definedName>
    <definedName name="_xlnm.Print_Area" localSheetId="3">Kunden!$A$1:$I$200</definedName>
    <definedName name="_xlnm.Print_Area" localSheetId="2">Mitarbeiter!$A$1:$H$200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8" i="6" l="1"/>
  <c r="D38" i="6"/>
  <c r="F38" i="6" s="1"/>
  <c r="B38" i="6"/>
  <c r="E37" i="6"/>
  <c r="D37" i="6"/>
  <c r="F37" i="6" s="1"/>
  <c r="G37" i="6" s="1"/>
  <c r="B37" i="6"/>
  <c r="E36" i="6"/>
  <c r="D36" i="6"/>
  <c r="F36" i="6" s="1"/>
  <c r="G36" i="6" s="1"/>
  <c r="B36" i="6"/>
  <c r="E35" i="6"/>
  <c r="B35" i="6"/>
  <c r="E34" i="6"/>
  <c r="D34" i="6"/>
  <c r="F34" i="6" s="1"/>
  <c r="G34" i="6" s="1"/>
  <c r="B34" i="6"/>
  <c r="E33" i="6"/>
  <c r="D33" i="6"/>
  <c r="F33" i="6" s="1"/>
  <c r="G33" i="6" s="1"/>
  <c r="B33" i="6"/>
  <c r="E32" i="6"/>
  <c r="D32" i="6"/>
  <c r="F32" i="6" s="1"/>
  <c r="G32" i="6" s="1"/>
  <c r="B32" i="6"/>
  <c r="E31" i="6"/>
  <c r="D31" i="6"/>
  <c r="F31" i="6" s="1"/>
  <c r="B31" i="6"/>
  <c r="E30" i="6"/>
  <c r="D30" i="6"/>
  <c r="F30" i="6" s="1"/>
  <c r="G30" i="6" s="1"/>
  <c r="B30" i="6"/>
  <c r="E29" i="6"/>
  <c r="D29" i="6"/>
  <c r="F29" i="6" s="1"/>
  <c r="G29" i="6" s="1"/>
  <c r="B29" i="6"/>
  <c r="E28" i="6"/>
  <c r="B28" i="6"/>
  <c r="E27" i="6"/>
  <c r="D27" i="6"/>
  <c r="F27" i="6" s="1"/>
  <c r="G27" i="6" s="1"/>
  <c r="B27" i="6"/>
  <c r="E26" i="6"/>
  <c r="D26" i="6"/>
  <c r="F26" i="6" s="1"/>
  <c r="G26" i="6" s="1"/>
  <c r="B26" i="6"/>
  <c r="E25" i="6"/>
  <c r="D25" i="6"/>
  <c r="F25" i="6" s="1"/>
  <c r="G25" i="6" s="1"/>
  <c r="B25" i="6"/>
  <c r="E24" i="6"/>
  <c r="B24" i="6"/>
  <c r="E23" i="6"/>
  <c r="B23" i="6"/>
  <c r="E22" i="6"/>
  <c r="B22" i="6"/>
  <c r="E21" i="6"/>
  <c r="B21" i="6"/>
  <c r="E20" i="6"/>
  <c r="B20" i="6"/>
  <c r="E19" i="6"/>
  <c r="B19" i="6"/>
  <c r="E18" i="6"/>
  <c r="B18" i="6"/>
  <c r="E17" i="6"/>
  <c r="D17" i="6"/>
  <c r="F17" i="6" s="1"/>
  <c r="B17" i="6"/>
  <c r="E16" i="6"/>
  <c r="D16" i="6"/>
  <c r="F16" i="6" s="1"/>
  <c r="G16" i="6" s="1"/>
  <c r="B16" i="6"/>
  <c r="E15" i="6"/>
  <c r="B15" i="6"/>
  <c r="E14" i="6"/>
  <c r="D14" i="6"/>
  <c r="F14" i="6" s="1"/>
  <c r="G14" i="6" s="1"/>
  <c r="B14" i="6"/>
  <c r="E13" i="6"/>
  <c r="D13" i="6"/>
  <c r="F13" i="6" s="1"/>
  <c r="G13" i="6" s="1"/>
  <c r="B13" i="6"/>
  <c r="E12" i="6"/>
  <c r="B12" i="6"/>
  <c r="E11" i="6"/>
  <c r="B11" i="6"/>
  <c r="E10" i="6"/>
  <c r="B10" i="6"/>
  <c r="E9" i="6"/>
  <c r="D9" i="6"/>
  <c r="F9" i="6" s="1"/>
  <c r="G9" i="6" s="1"/>
  <c r="B9" i="6"/>
  <c r="E8" i="6"/>
  <c r="B8" i="6"/>
  <c r="E7" i="6"/>
  <c r="B7" i="6"/>
  <c r="E6" i="6"/>
  <c r="B6" i="6"/>
  <c r="E5" i="6"/>
  <c r="D5" i="6"/>
  <c r="F5" i="6" s="1"/>
  <c r="G5" i="6" s="1"/>
  <c r="B5" i="6"/>
  <c r="E4" i="6"/>
  <c r="B4" i="6"/>
  <c r="T34" i="5"/>
  <c r="S34" i="5"/>
  <c r="Q34" i="5"/>
  <c r="K34" i="5"/>
  <c r="H34" i="5"/>
  <c r="D34" i="5"/>
  <c r="T33" i="5"/>
  <c r="S33" i="5"/>
  <c r="Q33" i="5"/>
  <c r="H33" i="5"/>
  <c r="K33" i="5" s="1"/>
  <c r="D33" i="5"/>
  <c r="T32" i="5"/>
  <c r="S32" i="5"/>
  <c r="Q32" i="5"/>
  <c r="H32" i="5"/>
  <c r="K32" i="5" s="1"/>
  <c r="D32" i="5"/>
  <c r="T31" i="5"/>
  <c r="S31" i="5"/>
  <c r="Q31" i="5"/>
  <c r="H31" i="5"/>
  <c r="K31" i="5" s="1"/>
  <c r="D31" i="5"/>
  <c r="T30" i="5"/>
  <c r="S30" i="5"/>
  <c r="Q30" i="5"/>
  <c r="H30" i="5"/>
  <c r="K30" i="5" s="1"/>
  <c r="D30" i="5"/>
  <c r="T29" i="5"/>
  <c r="S29" i="5"/>
  <c r="Q29" i="5"/>
  <c r="K29" i="5"/>
  <c r="H29" i="5"/>
  <c r="D29" i="5"/>
  <c r="T28" i="5"/>
  <c r="S28" i="5"/>
  <c r="Q28" i="5"/>
  <c r="H28" i="5"/>
  <c r="K28" i="5" s="1"/>
  <c r="D28" i="5"/>
  <c r="T27" i="5"/>
  <c r="S27" i="5"/>
  <c r="Q27" i="5"/>
  <c r="H27" i="5"/>
  <c r="K27" i="5" s="1"/>
  <c r="D27" i="5"/>
  <c r="T26" i="5"/>
  <c r="S26" i="5"/>
  <c r="Q26" i="5"/>
  <c r="K26" i="5"/>
  <c r="H26" i="5"/>
  <c r="D26" i="5"/>
  <c r="T25" i="5"/>
  <c r="S25" i="5"/>
  <c r="Q25" i="5"/>
  <c r="H25" i="5"/>
  <c r="K25" i="5" s="1"/>
  <c r="D25" i="5"/>
  <c r="T24" i="5"/>
  <c r="S24" i="5"/>
  <c r="Q24" i="5"/>
  <c r="H24" i="5"/>
  <c r="K24" i="5" s="1"/>
  <c r="D24" i="5"/>
  <c r="T23" i="5"/>
  <c r="S23" i="5"/>
  <c r="Q23" i="5"/>
  <c r="H23" i="5"/>
  <c r="K23" i="5" s="1"/>
  <c r="D23" i="5"/>
  <c r="T22" i="5"/>
  <c r="S22" i="5"/>
  <c r="D10" i="6" s="1"/>
  <c r="F10" i="6" s="1"/>
  <c r="Q22" i="5"/>
  <c r="K22" i="5"/>
  <c r="H22" i="5"/>
  <c r="D22" i="5"/>
  <c r="T21" i="5"/>
  <c r="S21" i="5"/>
  <c r="Q21" i="5"/>
  <c r="K21" i="5"/>
  <c r="H21" i="5"/>
  <c r="D21" i="5"/>
  <c r="T20" i="5"/>
  <c r="S20" i="5"/>
  <c r="Q20" i="5"/>
  <c r="H20" i="5"/>
  <c r="K20" i="5" s="1"/>
  <c r="D20" i="5"/>
  <c r="T19" i="5"/>
  <c r="S19" i="5"/>
  <c r="Q19" i="5"/>
  <c r="K19" i="5"/>
  <c r="H19" i="5"/>
  <c r="D19" i="5"/>
  <c r="T18" i="5"/>
  <c r="S18" i="5"/>
  <c r="Q18" i="5"/>
  <c r="K18" i="5"/>
  <c r="H18" i="5"/>
  <c r="D18" i="5"/>
  <c r="T17" i="5"/>
  <c r="S17" i="5"/>
  <c r="Q17" i="5"/>
  <c r="H17" i="5"/>
  <c r="K17" i="5" s="1"/>
  <c r="D17" i="5"/>
  <c r="T16" i="5"/>
  <c r="S16" i="5"/>
  <c r="Q16" i="5"/>
  <c r="K16" i="5"/>
  <c r="H16" i="5"/>
  <c r="D16" i="5"/>
  <c r="T15" i="5"/>
  <c r="D35" i="6" s="1"/>
  <c r="F35" i="6" s="1"/>
  <c r="G35" i="6" s="1"/>
  <c r="S15" i="5"/>
  <c r="Q15" i="5"/>
  <c r="H15" i="5"/>
  <c r="K15" i="5" s="1"/>
  <c r="D15" i="5"/>
  <c r="T14" i="5"/>
  <c r="S14" i="5"/>
  <c r="Q14" i="5"/>
  <c r="H14" i="5"/>
  <c r="K14" i="5" s="1"/>
  <c r="D14" i="5"/>
  <c r="T13" i="5"/>
  <c r="S13" i="5"/>
  <c r="D8" i="6" s="1"/>
  <c r="F8" i="6" s="1"/>
  <c r="G8" i="6" s="1"/>
  <c r="Q13" i="5"/>
  <c r="H13" i="5"/>
  <c r="K13" i="5" s="1"/>
  <c r="D13" i="5"/>
  <c r="T12" i="5"/>
  <c r="S12" i="5"/>
  <c r="D21" i="6" s="1"/>
  <c r="F21" i="6" s="1"/>
  <c r="G21" i="6" s="1"/>
  <c r="Q12" i="5"/>
  <c r="H12" i="5"/>
  <c r="K12" i="5" s="1"/>
  <c r="D12" i="5"/>
  <c r="T11" i="5"/>
  <c r="S11" i="5"/>
  <c r="D28" i="6" s="1"/>
  <c r="F28" i="6" s="1"/>
  <c r="G28" i="6" s="1"/>
  <c r="Q11" i="5"/>
  <c r="K11" i="5"/>
  <c r="H11" i="5"/>
  <c r="D11" i="5"/>
  <c r="T10" i="5"/>
  <c r="S10" i="5"/>
  <c r="Q10" i="5"/>
  <c r="H10" i="5"/>
  <c r="K10" i="5" s="1"/>
  <c r="D10" i="5"/>
  <c r="T9" i="5"/>
  <c r="S9" i="5"/>
  <c r="D12" i="6" s="1"/>
  <c r="F12" i="6" s="1"/>
  <c r="G12" i="6" s="1"/>
  <c r="Q9" i="5"/>
  <c r="K9" i="5"/>
  <c r="H9" i="5"/>
  <c r="D9" i="5"/>
  <c r="T8" i="5"/>
  <c r="S8" i="5"/>
  <c r="Q8" i="5"/>
  <c r="K8" i="5"/>
  <c r="H8" i="5"/>
  <c r="D8" i="5"/>
  <c r="T7" i="5"/>
  <c r="S7" i="5"/>
  <c r="D20" i="6" s="1"/>
  <c r="F20" i="6" s="1"/>
  <c r="G20" i="6" s="1"/>
  <c r="Q7" i="5"/>
  <c r="H7" i="5"/>
  <c r="K7" i="5" s="1"/>
  <c r="D7" i="5"/>
  <c r="T6" i="5"/>
  <c r="S6" i="5"/>
  <c r="Q6" i="5"/>
  <c r="K6" i="5"/>
  <c r="H6" i="5"/>
  <c r="D6" i="5"/>
  <c r="T5" i="5"/>
  <c r="S5" i="5"/>
  <c r="Q5" i="5"/>
  <c r="H5" i="5"/>
  <c r="K5" i="5" s="1"/>
  <c r="D5" i="5"/>
  <c r="T4" i="5"/>
  <c r="S4" i="5"/>
  <c r="Q4" i="5"/>
  <c r="H4" i="5"/>
  <c r="K4" i="5" s="1"/>
  <c r="D4" i="5"/>
  <c r="B26" i="2"/>
  <c r="B25" i="2"/>
  <c r="I24" i="2"/>
  <c r="B24" i="2"/>
  <c r="I23" i="2"/>
  <c r="B23" i="2"/>
  <c r="I22" i="2"/>
  <c r="B22" i="2"/>
  <c r="E17" i="2"/>
  <c r="D17" i="2"/>
  <c r="C17" i="2"/>
  <c r="E16" i="2"/>
  <c r="D16" i="2"/>
  <c r="C16" i="2"/>
  <c r="H10" i="2"/>
  <c r="B6" i="2"/>
  <c r="E6" i="2" l="1"/>
  <c r="G17" i="6"/>
  <c r="C23" i="2"/>
  <c r="G10" i="6"/>
  <c r="C22" i="2"/>
  <c r="H6" i="2"/>
  <c r="G31" i="6"/>
  <c r="C25" i="2"/>
  <c r="G38" i="6"/>
  <c r="C26" i="2"/>
  <c r="D7" i="6"/>
  <c r="F7" i="6" s="1"/>
  <c r="G7" i="6" s="1"/>
  <c r="D15" i="6"/>
  <c r="F15" i="6" s="1"/>
  <c r="G15" i="6" s="1"/>
  <c r="D19" i="6"/>
  <c r="F19" i="6" s="1"/>
  <c r="G19" i="6" s="1"/>
  <c r="D6" i="6"/>
  <c r="F6" i="6" s="1"/>
  <c r="G6" i="6" s="1"/>
  <c r="D18" i="6"/>
  <c r="F18" i="6" s="1"/>
  <c r="G18" i="6" s="1"/>
  <c r="D22" i="6"/>
  <c r="F22" i="6" s="1"/>
  <c r="G22" i="6" s="1"/>
  <c r="D11" i="6"/>
  <c r="F11" i="6" s="1"/>
  <c r="G11" i="6" s="1"/>
  <c r="D23" i="6"/>
  <c r="F23" i="6" s="1"/>
  <c r="G23" i="6" s="1"/>
  <c r="D4" i="6"/>
  <c r="F4" i="6" s="1"/>
  <c r="G4" i="6" s="1"/>
  <c r="D24" i="6"/>
  <c r="F24" i="6" s="1"/>
  <c r="C24" i="2" l="1"/>
  <c r="G24" i="6"/>
  <c r="B10" i="2"/>
  <c r="E10" i="2"/>
</calcChain>
</file>

<file path=xl/sharedStrings.xml><?xml version="1.0" encoding="utf-8"?>
<sst xmlns="http://schemas.openxmlformats.org/spreadsheetml/2006/main" count="516" uniqueCount="253">
  <si>
    <t>Werkstattplaner – Excel-Vorlage 2026</t>
  </si>
  <si>
    <t>Digitale Auftrags-, Kapazitäts- und Terminplanung für Werkstattbetriebe</t>
  </si>
  <si>
    <t>Aufbau der Arbeitsmappe</t>
  </si>
  <si>
    <t>Dashboard</t>
  </si>
  <si>
    <t>Kennzahlen-Übersicht: offene und überfällige Aufträge, Werkstattauslastung, Umsatz sowie Auftragsstatus auf einen Blick.</t>
  </si>
  <si>
    <t>Mitarbeiter</t>
  </si>
  <si>
    <t>Techniker-Stammdaten mit Rolle, Stundensatz und wöchentlicher Kapazität (verfügbare Stunden).</t>
  </si>
  <si>
    <t>Kunden</t>
  </si>
  <si>
    <t>Kundenstammdaten mit Kontaktinformationen zur Verknüpfung mit Aufträgen.</t>
  </si>
  <si>
    <t>Auftragsplaner</t>
  </si>
  <si>
    <t>Zentrales Auftragsboard: Kunde, Fahrzeug/Gerät, Status, Priorität, Techniker, Termine, Fortschritt und automatische Kostenberechnung.</t>
  </si>
  <si>
    <t>Kapazitätsplanung</t>
  </si>
  <si>
    <t>Vergleicht je Techniker und Monat die geplanten Stunden mit der verfügbaren Kapazität und berechnet die Auslastung automatisch.</t>
  </si>
  <si>
    <t>Farblegende</t>
  </si>
  <si>
    <t>Blaue Schrift</t>
  </si>
  <si>
    <t>Manuelle Eingabefelder – hier tragen Sie Ihre eigenen Daten ein.</t>
  </si>
  <si>
    <t>Schwarze Schrift</t>
  </si>
  <si>
    <t>Automatisch berechnete Formelfelder – bitte nicht überschreiben.</t>
  </si>
  <si>
    <t>Rote Markierung</t>
  </si>
  <si>
    <t>Auftrag überfällig oder Auslastung kritisch (&gt;100%).</t>
  </si>
  <si>
    <t>Orange Markierung</t>
  </si>
  <si>
    <t>Priorität hoch bzw. Auslastung angespannt (85–100%).</t>
  </si>
  <si>
    <t>Grüne Markierung</t>
  </si>
  <si>
    <t>Termin eingehalten bzw. Auslastung im grünen Bereich.</t>
  </si>
  <si>
    <t>Erste Schritte</t>
  </si>
  <si>
    <t>1. Tragen Sie Ihre Techniker im Tabellenblatt 'Mitarbeiter' inkl. Stundensatz und Wochenkapazität ein.</t>
  </si>
  <si>
    <t>2. Pflegen Sie Ihre Kunden im Tabellenblatt 'Kunden'.</t>
  </si>
  <si>
    <t>3. Erfassen Sie jeden neuen Auftrag im 'Auftragsplaner' mit Status, Priorität, Techniker und Terminen.</t>
  </si>
  <si>
    <t>4. Gesamtkosten je Auftrag werden automatisch aus Stunden, Stundensatz und Ersatzteilkosten berechnet.</t>
  </si>
  <si>
    <t>5. Die 'Kapazitätsplanung' und das 'Dashboard' aktualisieren sich automatisch aus den Auftragsdaten.</t>
  </si>
  <si>
    <t>Werkstattplaner-Dashboard 2026</t>
  </si>
  <si>
    <t>Brandner Kfz- &amp; Maschinentechnik GmbH  ·  Stand: aktuell (automatische Aktualisierung)</t>
  </si>
  <si>
    <t>OFFENE AUFTRÄGE</t>
  </si>
  <si>
    <t>ÜBERFÄLLIGE AUFTRÄGE</t>
  </si>
  <si>
    <t>UMSATZ BEZAHLT (2026)</t>
  </si>
  <si>
    <t>TECHNIKER ÜBERLASTET (JULI)</t>
  </si>
  <si>
    <t>Ø AUSLASTUNG WERKSTATT (JULI)</t>
  </si>
  <si>
    <t>AUFTRÄGE GESAMT (2026)</t>
  </si>
  <si>
    <t>Überfällige Aufträge</t>
  </si>
  <si>
    <t>Auftrags-Nr.</t>
  </si>
  <si>
    <t>Kunde</t>
  </si>
  <si>
    <t>Fällig</t>
  </si>
  <si>
    <t>Techniker</t>
  </si>
  <si>
    <t>A-2026-018</t>
  </si>
  <si>
    <t>A-2026-019</t>
  </si>
  <si>
    <t>Auslastung je Techniker (Juli 2026)</t>
  </si>
  <si>
    <t>Auftragsstatus-Verteilung</t>
  </si>
  <si>
    <t>Auslastung</t>
  </si>
  <si>
    <t>Status</t>
  </si>
  <si>
    <t>Anzahl</t>
  </si>
  <si>
    <t>Offen (aktiv)</t>
  </si>
  <si>
    <t>Fertig / Abgerechnet</t>
  </si>
  <si>
    <t>Storniert</t>
  </si>
  <si>
    <t>Mitarbeiter- / Technikerstamm</t>
  </si>
  <si>
    <t>Kürzel</t>
  </si>
  <si>
    <t>Name</t>
  </si>
  <si>
    <t>Rolle</t>
  </si>
  <si>
    <t>Stundensatz</t>
  </si>
  <si>
    <t>Wochenkapazität (Std.)</t>
  </si>
  <si>
    <t>Eintrittsdatum</t>
  </si>
  <si>
    <t>Telefon</t>
  </si>
  <si>
    <t>T-01</t>
  </si>
  <si>
    <t>Jonas Brandner</t>
  </si>
  <si>
    <t>Werkstattleiter</t>
  </si>
  <si>
    <t>+49 251 6677001</t>
  </si>
  <si>
    <t>Aktiv</t>
  </si>
  <si>
    <t>T-02</t>
  </si>
  <si>
    <t>Miriam Kessler</t>
  </si>
  <si>
    <t>Kfz-Mechatronikerin</t>
  </si>
  <si>
    <t>+49 251 6677002</t>
  </si>
  <si>
    <t>T-03</t>
  </si>
  <si>
    <t>Ali Demirtas</t>
  </si>
  <si>
    <t>Kfz-Mechatroniker</t>
  </si>
  <si>
    <t>+49 251 6677003</t>
  </si>
  <si>
    <t>T-04</t>
  </si>
  <si>
    <t>Sven Ostendorf</t>
  </si>
  <si>
    <t>Elektriker</t>
  </si>
  <si>
    <t>+49 251 6677004</t>
  </si>
  <si>
    <t>T-05</t>
  </si>
  <si>
    <t>Lea Waldmann</t>
  </si>
  <si>
    <t>Auszubildende</t>
  </si>
  <si>
    <t>+49 251 6677005</t>
  </si>
  <si>
    <t>Kundenstamm</t>
  </si>
  <si>
    <t>Kunden-Nr.</t>
  </si>
  <si>
    <t>Name / Firma</t>
  </si>
  <si>
    <t>Ansprechpartner</t>
  </si>
  <si>
    <t>Straße</t>
  </si>
  <si>
    <t>PLZ</t>
  </si>
  <si>
    <t>Ort</t>
  </si>
  <si>
    <t>E-Mail</t>
  </si>
  <si>
    <t>Kundentyp</t>
  </si>
  <si>
    <t>K-001</t>
  </si>
  <si>
    <t>Hoffmann Spedition GmbH</t>
  </si>
  <si>
    <t>Rüdiger Hoffmann</t>
  </si>
  <si>
    <t>Speditionsweg 4</t>
  </si>
  <si>
    <t>48155</t>
  </si>
  <si>
    <t>Münster</t>
  </si>
  <si>
    <t>+49 251 771234</t>
  </si>
  <si>
    <t>info@hoffmann-spedition.de</t>
  </si>
  <si>
    <t>Gewerbe</t>
  </si>
  <si>
    <t>K-002</t>
  </si>
  <si>
    <t>Petra Ahlers</t>
  </si>
  <si>
    <t>Kirchplatz 9</t>
  </si>
  <si>
    <t>48143</t>
  </si>
  <si>
    <t>+49 251 445566</t>
  </si>
  <si>
    <t>p.ahlers@web.de</t>
  </si>
  <si>
    <t>Privat</t>
  </si>
  <si>
    <t>K-003</t>
  </si>
  <si>
    <t>Stadtwerke Greven AöR</t>
  </si>
  <si>
    <t>Kerstin Bolte</t>
  </si>
  <si>
    <t>Rathausstraße 1</t>
  </si>
  <si>
    <t>48268</t>
  </si>
  <si>
    <t>Greven</t>
  </si>
  <si>
    <t>+49 2571 990011</t>
  </si>
  <si>
    <t>fuhrpark@stadtwerke-greven.de</t>
  </si>
  <si>
    <t>K-004</t>
  </si>
  <si>
    <t>Tobias Reimann</t>
  </si>
  <si>
    <t>Am Kanal 22</t>
  </si>
  <si>
    <t>48157</t>
  </si>
  <si>
    <t>+49 251 883322</t>
  </si>
  <si>
    <t>t.reimann@gmx.de</t>
  </si>
  <si>
    <t>K-005</t>
  </si>
  <si>
    <t>Bäckerei Krohn OHG</t>
  </si>
  <si>
    <t>Frank Krohn</t>
  </si>
  <si>
    <t>Marktstraße 15</t>
  </si>
  <si>
    <t>48249</t>
  </si>
  <si>
    <t>Dülmen</t>
  </si>
  <si>
    <t>+49 2594 55678</t>
  </si>
  <si>
    <t>info@baeckerei-krohn.de</t>
  </si>
  <si>
    <t>K-006</t>
  </si>
  <si>
    <t>Sabine Ostmann</t>
  </si>
  <si>
    <t>Wiesenweg 3</t>
  </si>
  <si>
    <t>48231</t>
  </si>
  <si>
    <t>Warendorf</t>
  </si>
  <si>
    <t>+49 2581 123456</t>
  </si>
  <si>
    <t>s.ostmann@gmx.de</t>
  </si>
  <si>
    <t>K-007</t>
  </si>
  <si>
    <t>Grünflächen Service Nord GmbH</t>
  </si>
  <si>
    <t>Peter Lindemann</t>
  </si>
  <si>
    <t>Industriering 8</t>
  </si>
  <si>
    <t>+49 2581 998877</t>
  </si>
  <si>
    <t>kontakt@gfs-nord.de</t>
  </si>
  <si>
    <t>K-008</t>
  </si>
  <si>
    <t>Michael Terhaag</t>
  </si>
  <si>
    <t>Bahnhofstraße 12</t>
  </si>
  <si>
    <t>48291</t>
  </si>
  <si>
    <t>Telgte</t>
  </si>
  <si>
    <t>+49 2504 665544</t>
  </si>
  <si>
    <t>m.terhaag@t-online.de</t>
  </si>
  <si>
    <t>Auftragsplaner 2026</t>
  </si>
  <si>
    <t>Eingang</t>
  </si>
  <si>
    <t>Fahrzeug / Gerät</t>
  </si>
  <si>
    <t>Beschreibung</t>
  </si>
  <si>
    <t>Geplante Std.</t>
  </si>
  <si>
    <t>Ersatzteile</t>
  </si>
  <si>
    <t>Gesamtkosten</t>
  </si>
  <si>
    <t>Start</t>
  </si>
  <si>
    <t>Fortschritt</t>
  </si>
  <si>
    <t>Priorität</t>
  </si>
  <si>
    <t>Terminstatus</t>
  </si>
  <si>
    <t>Rechnung</t>
  </si>
  <si>
    <t>Monat (Hilfsspalte)</t>
  </si>
  <si>
    <t>Jahr (Hilfsspalte)</t>
  </si>
  <si>
    <t>A-2026-001</t>
  </si>
  <si>
    <t>Skoda Octavia</t>
  </si>
  <si>
    <t>Inspektion und Ölwechsel</t>
  </si>
  <si>
    <t>Abgerechnet</t>
  </si>
  <si>
    <t>Niedrig</t>
  </si>
  <si>
    <t>Bezahlt</t>
  </si>
  <si>
    <t>A-2026-002</t>
  </si>
  <si>
    <t>Mercedes Sprinter</t>
  </si>
  <si>
    <t>Bremsanlage prüfen und Beläge tauschen</t>
  </si>
  <si>
    <t>Mittel</t>
  </si>
  <si>
    <t>A-2026-003</t>
  </si>
  <si>
    <t>Ford Focus</t>
  </si>
  <si>
    <t>Fehlerdiagnose Elektrik</t>
  </si>
  <si>
    <t>Fertig</t>
  </si>
  <si>
    <t>Gestellt</t>
  </si>
  <si>
    <t>A-2026-004</t>
  </si>
  <si>
    <t>VW Transporter T6</t>
  </si>
  <si>
    <t>Reifenwechsel und Auswuchten</t>
  </si>
  <si>
    <t>A-2026-005</t>
  </si>
  <si>
    <t>Anhänger Böckmann</t>
  </si>
  <si>
    <t>Anhängerkupplung nachrüsten</t>
  </si>
  <si>
    <t>A-2026-006</t>
  </si>
  <si>
    <t>BMW 320d</t>
  </si>
  <si>
    <t>Kupplung erneuern</t>
  </si>
  <si>
    <t>Hoch</t>
  </si>
  <si>
    <t>A-2026-007</t>
  </si>
  <si>
    <t>Rasentraktor Husqvarna</t>
  </si>
  <si>
    <t>Wartung und Ölwechsel</t>
  </si>
  <si>
    <t>A-2026-008</t>
  </si>
  <si>
    <t>Audi A4</t>
  </si>
  <si>
    <t>Klimaanlage Service</t>
  </si>
  <si>
    <t>A-2026-009</t>
  </si>
  <si>
    <t>Achsvermessung</t>
  </si>
  <si>
    <t>A-2026-010</t>
  </si>
  <si>
    <t>Unfallschaden Stoßfänger instand setzen</t>
  </si>
  <si>
    <t>A-2026-011</t>
  </si>
  <si>
    <t>Standheizung einbauen</t>
  </si>
  <si>
    <t>A-2026-012</t>
  </si>
  <si>
    <t>Batteriewechsel</t>
  </si>
  <si>
    <t>A-2026-013</t>
  </si>
  <si>
    <t>Getriebeölwechsel</t>
  </si>
  <si>
    <t>Offen</t>
  </si>
  <si>
    <t>A-2026-014</t>
  </si>
  <si>
    <t>Auspuffanlage reparieren</t>
  </si>
  <si>
    <t>A-2026-015</t>
  </si>
  <si>
    <t>Schnittwerk schärfen und Ölwechsel</t>
  </si>
  <si>
    <t>A-2026-016</t>
  </si>
  <si>
    <t>Fensterheber reparieren</t>
  </si>
  <si>
    <t>A-2026-017</t>
  </si>
  <si>
    <t>Klimaservice und Pollenfilter</t>
  </si>
  <si>
    <t>Rostschutzbehandlung</t>
  </si>
  <si>
    <t>In Arbeit</t>
  </si>
  <si>
    <t>Wartet auf Ersatzteile</t>
  </si>
  <si>
    <t>A-2026-020</t>
  </si>
  <si>
    <t>Motorkontrollleuchte - Fehlerdiagnose</t>
  </si>
  <si>
    <t>A-2026-021</t>
  </si>
  <si>
    <t>TÜV-Vorbereitung und Mängelbeseitigung</t>
  </si>
  <si>
    <t>A-2026-022</t>
  </si>
  <si>
    <t>Kupplung erneuern (Angebot)</t>
  </si>
  <si>
    <t>Angebot gesendet</t>
  </si>
  <si>
    <t>A-2026-023</t>
  </si>
  <si>
    <t>Anfrage: Motor läuft unrund</t>
  </si>
  <si>
    <t>Anfrage</t>
  </si>
  <si>
    <t>A-2026-024</t>
  </si>
  <si>
    <t>Motorüberholung nach Motorschaden</t>
  </si>
  <si>
    <t>A-2026-025</t>
  </si>
  <si>
    <t>Flottenwartung – Motorinstandsetzung</t>
  </si>
  <si>
    <t>A-2026-026</t>
  </si>
  <si>
    <t>Getriebeaustausch komplett</t>
  </si>
  <si>
    <t>Beauftragt</t>
  </si>
  <si>
    <t>A-2026-027</t>
  </si>
  <si>
    <t>Karosserie- und Lackierarbeiten nach Unfall</t>
  </si>
  <si>
    <t>A-2026-028</t>
  </si>
  <si>
    <t>Motor- und Kupplungsinstandsetzung</t>
  </si>
  <si>
    <t>A-2026-029</t>
  </si>
  <si>
    <t>Nutzfahrzeug-Hauptinstandsetzung</t>
  </si>
  <si>
    <t>A-2026-030</t>
  </si>
  <si>
    <t>Flottenfahrzeug Komplettüberholung</t>
  </si>
  <si>
    <t>A-2026-031</t>
  </si>
  <si>
    <t>Gartengeräte-Flotte Wartung</t>
  </si>
  <si>
    <t>Kapazitätsplanung 2026</t>
  </si>
  <si>
    <t>Monat</t>
  </si>
  <si>
    <t>Verfügbare Std.</t>
  </si>
  <si>
    <t>Januar 2026</t>
  </si>
  <si>
    <t>Februar 2026</t>
  </si>
  <si>
    <t>März 2026</t>
  </si>
  <si>
    <t>April 2026</t>
  </si>
  <si>
    <t>Mai 2026</t>
  </si>
  <si>
    <t>Juni 2026</t>
  </si>
  <si>
    <t>Juli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</si>
</sst>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dd\.mm\.yyyy"/>
    <numFmt numFmtId="166" formatCode="#,##0.0"/>
  </numFmts>
  <fonts count="22" x14ac:knownFonts="1">
    <font>
      <sz val="11"/>
      <color theme="1"/>
      <name val="Calibri"/>
      <family val="2"/>
      <charset val="1"/>
    </font>
    <font>
      <b/>
      <sz val="20"/>
      <color rgb="FF2B2D2E"/>
      <name val="Calibri"/>
      <charset val="1"/>
    </font>
    <font>
      <i/>
      <sz val="12"/>
      <color rgb="FF6B6B6B"/>
      <name val="Calibri"/>
      <charset val="1"/>
    </font>
    <font>
      <b/>
      <sz val="13"/>
      <color rgb="FF2B2D2E"/>
      <name val="Calibri"/>
      <charset val="1"/>
    </font>
    <font>
      <b/>
      <sz val="11"/>
      <color rgb="FFAE4B1D"/>
      <name val="Calibri"/>
      <charset val="1"/>
    </font>
    <font>
      <sz val="10.5"/>
      <color rgb="FF222222"/>
      <name val="Calibri"/>
      <charset val="1"/>
    </font>
    <font>
      <b/>
      <sz val="10.5"/>
      <color rgb="FF222222"/>
      <name val="Calibri"/>
      <charset val="1"/>
    </font>
    <font>
      <b/>
      <sz val="20"/>
      <color rgb="FFFFFFFF"/>
      <name val="Calibri"/>
      <charset val="1"/>
    </font>
    <font>
      <i/>
      <sz val="10.5"/>
      <color rgb="FFF3C7A6"/>
      <name val="Calibri"/>
      <charset val="1"/>
    </font>
    <font>
      <b/>
      <sz val="10"/>
      <color rgb="FF6B6B6B"/>
      <name val="Calibri"/>
      <charset val="1"/>
    </font>
    <font>
      <b/>
      <sz val="22"/>
      <color rgb="FF2B2D2E"/>
      <name val="Calibri"/>
      <charset val="1"/>
    </font>
    <font>
      <b/>
      <sz val="22"/>
      <color rgb="FFB23A2E"/>
      <name val="Calibri"/>
      <charset val="1"/>
    </font>
    <font>
      <b/>
      <sz val="22"/>
      <color rgb="FFAE4B1D"/>
      <name val="Calibri"/>
      <charset val="1"/>
    </font>
    <font>
      <b/>
      <sz val="22"/>
      <color rgb="FF9C5A17"/>
      <name val="Calibri"/>
      <charset val="1"/>
    </font>
    <font>
      <b/>
      <sz val="10"/>
      <color rgb="FFFFFFFF"/>
      <name val="Calibri"/>
      <charset val="1"/>
    </font>
    <font>
      <b/>
      <sz val="10.5"/>
      <color rgb="FFB23A2E"/>
      <name val="Calibri"/>
      <charset val="1"/>
    </font>
    <font>
      <sz val="10"/>
      <color rgb="FF222222"/>
      <name val="Calibri"/>
      <charset val="1"/>
    </font>
    <font>
      <b/>
      <sz val="16"/>
      <color rgb="FF2B2D2E"/>
      <name val="Calibri"/>
      <charset val="1"/>
    </font>
    <font>
      <b/>
      <sz val="10.5"/>
      <color rgb="FFFFFFFF"/>
      <name val="Calibri"/>
      <charset val="1"/>
    </font>
    <font>
      <sz val="10.5"/>
      <color rgb="FF1F5CA8"/>
      <name val="Calibri"/>
      <charset val="1"/>
    </font>
    <font>
      <sz val="9.5"/>
      <color rgb="FF1F5CA8"/>
      <name val="Calibri"/>
      <charset val="1"/>
    </font>
    <font>
      <sz val="9.5"/>
      <color rgb="FF222222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D9622B"/>
        <bgColor rgb="FFAE4B1D"/>
      </patternFill>
    </fill>
    <fill>
      <patternFill patternType="solid">
        <fgColor rgb="FF1F5CA8"/>
        <bgColor rgb="FF008080"/>
      </patternFill>
    </fill>
    <fill>
      <patternFill patternType="solid">
        <fgColor rgb="FF222222"/>
        <bgColor rgb="FF2B2D2E"/>
      </patternFill>
    </fill>
    <fill>
      <patternFill patternType="solid">
        <fgColor rgb="FFF6D9D4"/>
        <bgColor rgb="FFFBE6CF"/>
      </patternFill>
    </fill>
    <fill>
      <patternFill patternType="solid">
        <fgColor rgb="FFFBE6CF"/>
        <bgColor rgb="FFF6D9D4"/>
      </patternFill>
    </fill>
    <fill>
      <patternFill patternType="solid">
        <fgColor rgb="FFDCEBDA"/>
        <bgColor rgb="FFE4E4E2"/>
      </patternFill>
    </fill>
    <fill>
      <patternFill patternType="solid">
        <fgColor rgb="FF2B2D2E"/>
        <bgColor rgb="FF222222"/>
      </patternFill>
    </fill>
    <fill>
      <patternFill patternType="solid">
        <fgColor rgb="FF3F4346"/>
        <bgColor rgb="FF2B2D2E"/>
      </patternFill>
    </fill>
    <fill>
      <patternFill patternType="solid">
        <fgColor rgb="FFEEF0F1"/>
        <bgColor rgb="FFF9F9F9"/>
      </patternFill>
    </fill>
  </fills>
  <borders count="3">
    <border>
      <left/>
      <right/>
      <top/>
      <bottom/>
      <diagonal/>
    </border>
    <border>
      <left style="thin">
        <color rgb="FFD6D8D8"/>
      </left>
      <right style="thin">
        <color rgb="FFD6D8D8"/>
      </right>
      <top style="thin">
        <color rgb="FFD6D8D8"/>
      </top>
      <bottom style="thin">
        <color rgb="FFD6D8D8"/>
      </bottom>
      <diagonal/>
    </border>
    <border>
      <left style="medium">
        <color rgb="FFD9622B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7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0" fontId="2" fillId="0" borderId="0" xfId="0" applyFont="1"/>
    <xf numFmtId="0" fontId="1" fillId="0" borderId="0" xfId="0" applyFont="1"/>
    <xf numFmtId="0" fontId="3" fillId="0" borderId="0" xfId="0" applyFont="1"/>
    <xf numFmtId="9" fontId="13" fillId="10" borderId="2" xfId="0" applyNumberFormat="1" applyFont="1" applyFill="1" applyBorder="1" applyAlignment="1">
      <alignment horizontal="left" vertical="center" indent="1"/>
    </xf>
    <xf numFmtId="164" fontId="12" fillId="10" borderId="2" xfId="0" applyNumberFormat="1" applyFont="1" applyFill="1" applyBorder="1" applyAlignment="1">
      <alignment horizontal="left" vertical="center" indent="1"/>
    </xf>
    <xf numFmtId="3" fontId="11" fillId="10" borderId="2" xfId="0" applyNumberFormat="1" applyFont="1" applyFill="1" applyBorder="1" applyAlignment="1">
      <alignment horizontal="left" vertical="center" indent="1"/>
    </xf>
    <xf numFmtId="3" fontId="10" fillId="10" borderId="2" xfId="0" applyNumberFormat="1" applyFont="1" applyFill="1" applyBorder="1" applyAlignment="1">
      <alignment horizontal="left" vertical="center" indent="1"/>
    </xf>
    <xf numFmtId="0" fontId="9" fillId="10" borderId="2" xfId="0" applyFont="1" applyFill="1" applyBorder="1" applyAlignment="1">
      <alignment horizontal="left" indent="1"/>
    </xf>
    <xf numFmtId="0" fontId="8" fillId="9" borderId="0" xfId="0" applyFont="1" applyFill="1" applyAlignment="1">
      <alignment horizontal="left" vertical="center" indent="1"/>
    </xf>
    <xf numFmtId="0" fontId="7" fillId="8" borderId="0" xfId="0" applyFont="1" applyFill="1" applyAlignment="1">
      <alignment horizontal="left" vertical="center" indent="1"/>
    </xf>
    <xf numFmtId="0" fontId="0" fillId="2" borderId="0" xfId="0" applyFill="1"/>
    <xf numFmtId="0" fontId="4" fillId="0" borderId="0" xfId="0" applyFont="1"/>
    <xf numFmtId="0" fontId="0" fillId="3" borderId="1" xfId="0" applyFill="1" applyBorder="1"/>
    <xf numFmtId="0" fontId="6" fillId="0" borderId="0" xfId="0" applyFont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0" xfId="0" applyFill="1"/>
    <xf numFmtId="0" fontId="0" fillId="9" borderId="0" xfId="0" applyFill="1"/>
    <xf numFmtId="0" fontId="14" fillId="8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5" fontId="15" fillId="0" borderId="1" xfId="0" applyNumberFormat="1" applyFont="1" applyBorder="1" applyAlignment="1">
      <alignment horizontal="center"/>
    </xf>
    <xf numFmtId="0" fontId="16" fillId="0" borderId="1" xfId="0" applyFont="1" applyBorder="1"/>
    <xf numFmtId="9" fontId="0" fillId="0" borderId="1" xfId="0" applyNumberFormat="1" applyBorder="1"/>
    <xf numFmtId="3" fontId="0" fillId="0" borderId="1" xfId="0" applyNumberFormat="1" applyBorder="1"/>
    <xf numFmtId="0" fontId="18" fillId="8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164" fontId="19" fillId="0" borderId="1" xfId="0" applyNumberFormat="1" applyFont="1" applyBorder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5" fontId="20" fillId="0" borderId="1" xfId="0" applyNumberFormat="1" applyFont="1" applyBorder="1"/>
    <xf numFmtId="0" fontId="21" fillId="0" borderId="1" xfId="0" applyFont="1" applyBorder="1"/>
    <xf numFmtId="0" fontId="20" fillId="0" borderId="1" xfId="0" applyFont="1" applyBorder="1"/>
    <xf numFmtId="164" fontId="21" fillId="0" borderId="1" xfId="0" applyNumberFormat="1" applyFont="1" applyBorder="1"/>
    <xf numFmtId="166" fontId="20" fillId="0" borderId="1" xfId="0" applyNumberFormat="1" applyFont="1" applyBorder="1" applyAlignment="1">
      <alignment horizontal="center"/>
    </xf>
    <xf numFmtId="164" fontId="20" fillId="0" borderId="1" xfId="0" applyNumberFormat="1" applyFont="1" applyBorder="1"/>
    <xf numFmtId="9" fontId="20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6" fontId="16" fillId="0" borderId="1" xfId="0" applyNumberFormat="1" applyFont="1" applyBorder="1" applyAlignment="1">
      <alignment horizontal="center"/>
    </xf>
    <xf numFmtId="9" fontId="16" fillId="0" borderId="1" xfId="0" applyNumberFormat="1" applyFont="1" applyBorder="1" applyAlignment="1">
      <alignment horizontal="center"/>
    </xf>
  </cellXfs>
  <cellStyles count="1">
    <cellStyle name="Standard" xfId="0" builtinId="0"/>
  </cellStyles>
  <dxfs count="9">
    <dxf>
      <font>
        <b/>
        <color rgb="FF2E7D4F"/>
      </font>
      <fill>
        <patternFill>
          <bgColor rgb="FFDCEBDA"/>
        </patternFill>
      </fill>
    </dxf>
    <dxf>
      <font>
        <b/>
        <color rgb="FF9C5A17"/>
      </font>
      <fill>
        <patternFill>
          <bgColor rgb="FFFBE6CF"/>
        </patternFill>
      </fill>
    </dxf>
    <dxf>
      <font>
        <b/>
        <color rgb="FFB23A2E"/>
      </font>
      <fill>
        <patternFill>
          <bgColor rgb="FFF6D9D4"/>
        </patternFill>
      </fill>
    </dxf>
    <dxf>
      <font>
        <color rgb="FF6B6B6B"/>
      </font>
      <fill>
        <patternFill>
          <bgColor rgb="FFE4E4E2"/>
        </patternFill>
      </fill>
    </dxf>
    <dxf>
      <font>
        <b/>
        <color rgb="FF2E7D4F"/>
      </font>
      <fill>
        <patternFill>
          <bgColor rgb="FFDCEBDA"/>
        </patternFill>
      </fill>
    </dxf>
    <dxf>
      <font>
        <b/>
        <color rgb="FFB23A2E"/>
      </font>
      <fill>
        <patternFill>
          <bgColor rgb="FFF6D9D4"/>
        </patternFill>
      </fill>
    </dxf>
    <dxf>
      <font>
        <color rgb="FF6B6B6B"/>
      </font>
      <fill>
        <patternFill>
          <bgColor rgb="FFE4E4E2"/>
        </patternFill>
      </fill>
    </dxf>
    <dxf>
      <font>
        <b/>
        <color rgb="FF9C5A17"/>
      </font>
      <fill>
        <patternFill>
          <bgColor rgb="FFFBE6CF"/>
        </patternFill>
      </fill>
    </dxf>
    <dxf>
      <font>
        <b/>
        <color rgb="FFB23A2E"/>
      </font>
      <fill>
        <patternFill>
          <bgColor rgb="FFF6D9D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5A17"/>
      <rgbColor rgb="FF800080"/>
      <rgbColor rgb="FF008080"/>
      <rgbColor rgb="FFD9D9D9"/>
      <rgbColor rgb="FF878787"/>
      <rgbColor rgb="FF9999FF"/>
      <rgbColor rgb="FFAE4B1D"/>
      <rgbColor rgb="FFF9F9F9"/>
      <rgbColor rgb="FFEEF0F1"/>
      <rgbColor rgb="FF660066"/>
      <rgbColor rgb="FFFF8080"/>
      <rgbColor rgb="FF1F5CA8"/>
      <rgbColor rgb="FFD6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4E4E2"/>
      <rgbColor rgb="FFDCEBDA"/>
      <rgbColor rgb="FFFBE6CF"/>
      <rgbColor rgb="FF99CCFF"/>
      <rgbColor rgb="FFF6D9D4"/>
      <rgbColor rgb="FFCC99FF"/>
      <rgbColor rgb="FFF3C7A6"/>
      <rgbColor rgb="FF4F81BD"/>
      <rgbColor rgb="FF33CCCC"/>
      <rgbColor rgb="FF99CC00"/>
      <rgbColor rgb="FFFFCC00"/>
      <rgbColor rgb="FFFF9900"/>
      <rgbColor rgb="FFD9622B"/>
      <rgbColor rgb="FF6B6B6B"/>
      <rgbColor rgb="FF969696"/>
      <rgbColor rgb="FF003366"/>
      <rgbColor rgb="FF2E7D4F"/>
      <rgbColor rgb="FF003300"/>
      <rgbColor rgb="FF222222"/>
      <rgbColor rgb="FFB23A2E"/>
      <rgbColor rgb="FF993366"/>
      <rgbColor rgb="FF3F4346"/>
      <rgbColor rgb="FF2B2D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Auslastung je Techniker – Juli 2026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Dashboard!$C$21</c:f>
              <c:strCache>
                <c:ptCount val="1"/>
                <c:pt idx="0">
                  <c:v>Auslastung</c:v>
                </c:pt>
              </c:strCache>
            </c:strRef>
          </c:tx>
          <c:spPr>
            <a:solidFill>
              <a:srgbClr val="D9622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Dashboard!$B$22:$B$26</c:f>
              <c:strCache>
                <c:ptCount val="5"/>
                <c:pt idx="0">
                  <c:v>Jonas Brandner</c:v>
                </c:pt>
                <c:pt idx="1">
                  <c:v>Miriam Kessler</c:v>
                </c:pt>
                <c:pt idx="2">
                  <c:v>Ali Demirtas</c:v>
                </c:pt>
                <c:pt idx="3">
                  <c:v>Sven Ostendorf</c:v>
                </c:pt>
                <c:pt idx="4">
                  <c:v>Lea Waldmann</c:v>
                </c:pt>
              </c:strCache>
            </c:strRef>
          </c:cat>
          <c:val>
            <c:numRef>
              <c:f>Dashboard!$C$22:$C$26</c:f>
              <c:numCache>
                <c:formatCode>0%</c:formatCode>
                <c:ptCount val="5"/>
                <c:pt idx="0">
                  <c:v>0.59863862890482555</c:v>
                </c:pt>
                <c:pt idx="1">
                  <c:v>1.0514160690409626</c:v>
                </c:pt>
                <c:pt idx="2">
                  <c:v>0.49532028686033791</c:v>
                </c:pt>
                <c:pt idx="3">
                  <c:v>0.89684372594303308</c:v>
                </c:pt>
                <c:pt idx="4">
                  <c:v>0.19448158502491797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0-4E8C-8C86-1AFE2746C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53293"/>
        <c:axId val="91873906"/>
      </c:barChart>
      <c:catAx>
        <c:axId val="9585329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91873906"/>
        <c:crosses val="autoZero"/>
        <c:auto val="1"/>
        <c:lblAlgn val="ctr"/>
        <c:lblOffset val="100"/>
        <c:noMultiLvlLbl val="0"/>
      </c:catAx>
      <c:valAx>
        <c:axId val="9187390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Auslastung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9585329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Auftragsstatus gesamt (2026)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Dashboard!$I$21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D9622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94A4-41A4-8CE1-68799254CCDB}"/>
              </c:ext>
            </c:extLst>
          </c:dPt>
          <c:dPt>
            <c:idx val="1"/>
            <c:bubble3D val="0"/>
            <c:spPr>
              <a:solidFill>
                <a:srgbClr val="2E7D4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94A4-41A4-8CE1-68799254CCDB}"/>
              </c:ext>
            </c:extLst>
          </c:dPt>
          <c:dPt>
            <c:idx val="2"/>
            <c:bubble3D val="0"/>
            <c:spPr>
              <a:solidFill>
                <a:srgbClr val="6B6B6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94A4-41A4-8CE1-68799254CCDB}"/>
              </c:ext>
            </c:extLst>
          </c:dPt>
          <c:dLbls>
            <c:dLbl>
              <c:idx val="0"/>
              <c:layout>
                <c:manualLayout>
                  <c:x val="-6.6005958704225987E-2"/>
                  <c:y val="0.3245977420215129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A4-41A4-8CE1-68799254CCDB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94A4-41A4-8CE1-68799254CCDB}"/>
                </c:ext>
              </c:extLst>
            </c:dLbl>
            <c:dLbl>
              <c:idx val="2"/>
              <c:layout>
                <c:manualLayout>
                  <c:x val="0.20800639828076731"/>
                  <c:y val="0.1365506563546389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A4-41A4-8CE1-68799254C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Dashboard!$H$22:$H$24</c:f>
              <c:strCache>
                <c:ptCount val="3"/>
                <c:pt idx="0">
                  <c:v>Offen (aktiv)</c:v>
                </c:pt>
                <c:pt idx="1">
                  <c:v>Fertig / Abgerechnet</c:v>
                </c:pt>
                <c:pt idx="2">
                  <c:v>Storniert</c:v>
                </c:pt>
              </c:strCache>
            </c:strRef>
          </c:cat>
          <c:val>
            <c:numRef>
              <c:f>Dashboard!$I$22:$I$24</c:f>
              <c:numCache>
                <c:formatCode>#,##0</c:formatCode>
                <c:ptCount val="3"/>
                <c:pt idx="0">
                  <c:v>13</c:v>
                </c:pt>
                <c:pt idx="1">
                  <c:v>18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A4-41A4-8CE1-68799254C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48960</xdr:rowOff>
    </xdr:from>
    <xdr:to>
      <xdr:col>5</xdr:col>
      <xdr:colOff>385380</xdr:colOff>
      <xdr:row>41</xdr:row>
      <xdr:rowOff>81720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27</xdr:row>
      <xdr:rowOff>48960</xdr:rowOff>
    </xdr:from>
    <xdr:to>
      <xdr:col>12</xdr:col>
      <xdr:colOff>237225</xdr:colOff>
      <xdr:row>41</xdr:row>
      <xdr:rowOff>81720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blMitarbeiter" displayName="TblMitarbeiter" ref="A3:H8" totalsRowShown="0">
  <autoFilter ref="A3:H8" xr:uid="{00000000-0009-0000-0100-000004000000}"/>
  <tableColumns count="8">
    <tableColumn id="1" xr3:uid="{00000000-0010-0000-0000-000001000000}" name="Kürzel"/>
    <tableColumn id="2" xr3:uid="{00000000-0010-0000-0000-000002000000}" name="Name"/>
    <tableColumn id="3" xr3:uid="{00000000-0010-0000-0000-000003000000}" name="Rolle"/>
    <tableColumn id="4" xr3:uid="{00000000-0010-0000-0000-000004000000}" name="Stundensatz"/>
    <tableColumn id="5" xr3:uid="{00000000-0010-0000-0000-000005000000}" name="Wochenkapazität (Std.)"/>
    <tableColumn id="6" xr3:uid="{00000000-0010-0000-0000-000006000000}" name="Eintrittsdatum"/>
    <tableColumn id="7" xr3:uid="{00000000-0010-0000-0000-000007000000}" name="Telefon"/>
    <tableColumn id="8" xr3:uid="{00000000-0010-0000-0000-000008000000}" name="Statu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blKunden" displayName="TblKunden" ref="A3:I11" totalsRowShown="0">
  <autoFilter ref="A3:I11" xr:uid="{00000000-0009-0000-0100-000003000000}"/>
  <tableColumns count="9">
    <tableColumn id="1" xr3:uid="{00000000-0010-0000-0100-000001000000}" name="Kunden-Nr."/>
    <tableColumn id="2" xr3:uid="{00000000-0010-0000-0100-000002000000}" name="Name / Firma"/>
    <tableColumn id="3" xr3:uid="{00000000-0010-0000-0100-000003000000}" name="Ansprechpartner"/>
    <tableColumn id="4" xr3:uid="{00000000-0010-0000-0100-000004000000}" name="Straße"/>
    <tableColumn id="5" xr3:uid="{00000000-0010-0000-0100-000005000000}" name="PLZ"/>
    <tableColumn id="6" xr3:uid="{00000000-0010-0000-0100-000006000000}" name="Ort"/>
    <tableColumn id="7" xr3:uid="{00000000-0010-0000-0100-000007000000}" name="Telefon"/>
    <tableColumn id="8" xr3:uid="{00000000-0010-0000-0100-000008000000}" name="E-Mail"/>
    <tableColumn id="9" xr3:uid="{00000000-0010-0000-0100-000009000000}" name="Kundentyp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blAuftraege" displayName="TblAuftraege" ref="A3:T34" totalsRowShown="0">
  <autoFilter ref="A3:T34" xr:uid="{00000000-0009-0000-0100-000001000000}"/>
  <tableColumns count="20">
    <tableColumn id="1" xr3:uid="{00000000-0010-0000-0200-000001000000}" name="Auftrags-Nr."/>
    <tableColumn id="2" xr3:uid="{00000000-0010-0000-0200-000002000000}" name="Eingang"/>
    <tableColumn id="3" xr3:uid="{00000000-0010-0000-0200-000003000000}" name="Kunden-Nr."/>
    <tableColumn id="4" xr3:uid="{00000000-0010-0000-0200-000004000000}" name="Kunde"/>
    <tableColumn id="5" xr3:uid="{00000000-0010-0000-0200-000005000000}" name="Fahrzeug / Gerät"/>
    <tableColumn id="6" xr3:uid="{00000000-0010-0000-0200-000006000000}" name="Beschreibung"/>
    <tableColumn id="7" xr3:uid="{00000000-0010-0000-0200-000007000000}" name="Techniker"/>
    <tableColumn id="8" xr3:uid="{00000000-0010-0000-0200-000008000000}" name="Stundensatz"/>
    <tableColumn id="9" xr3:uid="{00000000-0010-0000-0200-000009000000}" name="Geplante Std."/>
    <tableColumn id="10" xr3:uid="{00000000-0010-0000-0200-00000A000000}" name="Ersatzteile"/>
    <tableColumn id="11" xr3:uid="{00000000-0010-0000-0200-00000B000000}" name="Gesamtkosten"/>
    <tableColumn id="12" xr3:uid="{00000000-0010-0000-0200-00000C000000}" name="Start"/>
    <tableColumn id="13" xr3:uid="{00000000-0010-0000-0200-00000D000000}" name="Fällig"/>
    <tableColumn id="14" xr3:uid="{00000000-0010-0000-0200-00000E000000}" name="Fortschritt"/>
    <tableColumn id="15" xr3:uid="{00000000-0010-0000-0200-00000F000000}" name="Status"/>
    <tableColumn id="16" xr3:uid="{00000000-0010-0000-0200-000010000000}" name="Priorität"/>
    <tableColumn id="17" xr3:uid="{00000000-0010-0000-0200-000011000000}" name="Terminstatus"/>
    <tableColumn id="18" xr3:uid="{00000000-0010-0000-0200-000012000000}" name="Rechnung"/>
    <tableColumn id="19" xr3:uid="{00000000-0010-0000-0200-000013000000}" name="Monat (Hilfsspalte)"/>
    <tableColumn id="20" xr3:uid="{00000000-0010-0000-0200-000014000000}" name="Jahr (Hilfsspalte)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blKapazitaet" displayName="TblKapazitaet" ref="A3:G38" totalsRowShown="0">
  <autoFilter ref="A3:G38" xr:uid="{00000000-0009-0000-0100-000002000000}"/>
  <tableColumns count="7">
    <tableColumn id="1" xr3:uid="{00000000-0010-0000-0300-000001000000}" name="Techniker"/>
    <tableColumn id="2" xr3:uid="{00000000-0010-0000-0300-000002000000}" name="Name"/>
    <tableColumn id="3" xr3:uid="{00000000-0010-0000-0300-000003000000}" name="Monat"/>
    <tableColumn id="4" xr3:uid="{00000000-0010-0000-0300-000004000000}" name="Geplante Std."/>
    <tableColumn id="5" xr3:uid="{00000000-0010-0000-0300-000005000000}" name="Verfügbare Std."/>
    <tableColumn id="6" xr3:uid="{00000000-0010-0000-0300-000006000000}" name="Auslastung"/>
    <tableColumn id="7" xr3:uid="{00000000-0010-0000-0300-000007000000}" name="Statu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B2D2E"/>
    <pageSetUpPr fitToPage="1"/>
  </sheetPr>
  <dimension ref="A1:F33"/>
  <sheetViews>
    <sheetView showGridLines="0" zoomScaleNormal="100" workbookViewId="0"/>
  </sheetViews>
  <sheetFormatPr baseColWidth="10" defaultColWidth="8.7109375" defaultRowHeight="15" x14ac:dyDescent="0.25"/>
  <cols>
    <col min="1" max="1" width="1.140625" customWidth="1"/>
    <col min="2" max="2" width="30" customWidth="1"/>
    <col min="3" max="3" width="62" customWidth="1"/>
    <col min="4" max="7" width="16" customWidth="1"/>
  </cols>
  <sheetData>
    <row r="1" spans="1:6" x14ac:dyDescent="0.25">
      <c r="A1" s="14"/>
    </row>
    <row r="2" spans="1:6" ht="26.25" x14ac:dyDescent="0.4">
      <c r="A2" s="14"/>
      <c r="B2" s="5" t="s">
        <v>0</v>
      </c>
      <c r="C2" s="5"/>
      <c r="D2" s="5"/>
      <c r="E2" s="5"/>
      <c r="F2" s="5"/>
    </row>
    <row r="3" spans="1:6" ht="15.75" x14ac:dyDescent="0.25">
      <c r="A3" s="14"/>
      <c r="B3" s="4" t="s">
        <v>1</v>
      </c>
      <c r="C3" s="4"/>
      <c r="D3" s="4"/>
      <c r="E3" s="4"/>
      <c r="F3" s="4"/>
    </row>
    <row r="4" spans="1:6" x14ac:dyDescent="0.25">
      <c r="A4" s="14"/>
    </row>
    <row r="5" spans="1:6" ht="17.25" x14ac:dyDescent="0.3">
      <c r="A5" s="14"/>
      <c r="B5" s="6" t="s">
        <v>2</v>
      </c>
      <c r="C5" s="6"/>
      <c r="D5" s="6"/>
      <c r="E5" s="6"/>
      <c r="F5" s="6"/>
    </row>
    <row r="6" spans="1:6" x14ac:dyDescent="0.25">
      <c r="A6" s="14"/>
    </row>
    <row r="7" spans="1:6" ht="31.5" customHeight="1" x14ac:dyDescent="0.25">
      <c r="A7" s="14"/>
      <c r="B7" s="15" t="s">
        <v>3</v>
      </c>
      <c r="C7" s="3" t="s">
        <v>4</v>
      </c>
      <c r="D7" s="3"/>
      <c r="E7" s="3"/>
      <c r="F7" s="3"/>
    </row>
    <row r="8" spans="1:6" x14ac:dyDescent="0.25">
      <c r="A8" s="14"/>
    </row>
    <row r="9" spans="1:6" ht="31.5" customHeight="1" x14ac:dyDescent="0.25">
      <c r="A9" s="14"/>
      <c r="B9" s="15" t="s">
        <v>5</v>
      </c>
      <c r="C9" s="3" t="s">
        <v>6</v>
      </c>
      <c r="D9" s="3"/>
      <c r="E9" s="3"/>
      <c r="F9" s="3"/>
    </row>
    <row r="10" spans="1:6" x14ac:dyDescent="0.25">
      <c r="A10" s="14"/>
    </row>
    <row r="11" spans="1:6" ht="31.5" customHeight="1" x14ac:dyDescent="0.25">
      <c r="A11" s="14"/>
      <c r="B11" s="15" t="s">
        <v>7</v>
      </c>
      <c r="C11" s="3" t="s">
        <v>8</v>
      </c>
      <c r="D11" s="3"/>
      <c r="E11" s="3"/>
      <c r="F11" s="3"/>
    </row>
    <row r="12" spans="1:6" x14ac:dyDescent="0.25">
      <c r="A12" s="14"/>
    </row>
    <row r="13" spans="1:6" ht="31.5" customHeight="1" x14ac:dyDescent="0.25">
      <c r="A13" s="14"/>
      <c r="B13" s="15" t="s">
        <v>9</v>
      </c>
      <c r="C13" s="3" t="s">
        <v>10</v>
      </c>
      <c r="D13" s="3"/>
      <c r="E13" s="3"/>
      <c r="F13" s="3"/>
    </row>
    <row r="14" spans="1:6" x14ac:dyDescent="0.25">
      <c r="A14" s="14"/>
    </row>
    <row r="15" spans="1:6" ht="31.5" customHeight="1" x14ac:dyDescent="0.25">
      <c r="A15" s="14"/>
      <c r="B15" s="15" t="s">
        <v>11</v>
      </c>
      <c r="C15" s="3" t="s">
        <v>12</v>
      </c>
      <c r="D15" s="3"/>
      <c r="E15" s="3"/>
      <c r="F15" s="3"/>
    </row>
    <row r="16" spans="1:6" x14ac:dyDescent="0.25">
      <c r="A16" s="14"/>
    </row>
    <row r="17" spans="1:6" x14ac:dyDescent="0.25">
      <c r="A17" s="14"/>
    </row>
    <row r="18" spans="1:6" ht="17.25" x14ac:dyDescent="0.3">
      <c r="A18" s="14"/>
      <c r="B18" s="6" t="s">
        <v>13</v>
      </c>
      <c r="C18" s="6"/>
      <c r="D18" s="6"/>
      <c r="E18" s="6"/>
      <c r="F18" s="6"/>
    </row>
    <row r="19" spans="1:6" x14ac:dyDescent="0.25">
      <c r="A19" s="14"/>
    </row>
    <row r="20" spans="1:6" x14ac:dyDescent="0.25">
      <c r="A20" s="14"/>
      <c r="B20" s="16"/>
      <c r="C20" s="17" t="s">
        <v>14</v>
      </c>
      <c r="D20" s="2" t="s">
        <v>15</v>
      </c>
      <c r="E20" s="2"/>
      <c r="F20" s="2"/>
    </row>
    <row r="21" spans="1:6" x14ac:dyDescent="0.25">
      <c r="A21" s="14"/>
      <c r="B21" s="18"/>
      <c r="C21" s="17" t="s">
        <v>16</v>
      </c>
      <c r="D21" s="2" t="s">
        <v>17</v>
      </c>
      <c r="E21" s="2"/>
      <c r="F21" s="2"/>
    </row>
    <row r="22" spans="1:6" x14ac:dyDescent="0.25">
      <c r="A22" s="14"/>
      <c r="B22" s="19"/>
      <c r="C22" s="17" t="s">
        <v>18</v>
      </c>
      <c r="D22" s="2" t="s">
        <v>19</v>
      </c>
      <c r="E22" s="2"/>
      <c r="F22" s="2"/>
    </row>
    <row r="23" spans="1:6" x14ac:dyDescent="0.25">
      <c r="A23" s="14"/>
      <c r="B23" s="20"/>
      <c r="C23" s="17" t="s">
        <v>20</v>
      </c>
      <c r="D23" s="2" t="s">
        <v>21</v>
      </c>
      <c r="E23" s="2"/>
      <c r="F23" s="2"/>
    </row>
    <row r="24" spans="1:6" x14ac:dyDescent="0.25">
      <c r="A24" s="14"/>
      <c r="B24" s="21"/>
      <c r="C24" s="17" t="s">
        <v>22</v>
      </c>
      <c r="D24" s="2" t="s">
        <v>23</v>
      </c>
      <c r="E24" s="2"/>
      <c r="F24" s="2"/>
    </row>
    <row r="25" spans="1:6" x14ac:dyDescent="0.25">
      <c r="A25" s="14"/>
    </row>
    <row r="26" spans="1:6" x14ac:dyDescent="0.25">
      <c r="A26" s="14"/>
    </row>
    <row r="27" spans="1:6" ht="17.25" x14ac:dyDescent="0.3">
      <c r="A27" s="14"/>
      <c r="B27" s="6" t="s">
        <v>24</v>
      </c>
      <c r="C27" s="6"/>
      <c r="D27" s="6"/>
      <c r="E27" s="6"/>
      <c r="F27" s="6"/>
    </row>
    <row r="28" spans="1:6" x14ac:dyDescent="0.25">
      <c r="A28" s="14"/>
    </row>
    <row r="29" spans="1:6" x14ac:dyDescent="0.25">
      <c r="A29" s="14"/>
      <c r="B29" s="2" t="s">
        <v>25</v>
      </c>
      <c r="C29" s="2"/>
      <c r="D29" s="2"/>
      <c r="E29" s="2"/>
      <c r="F29" s="2"/>
    </row>
    <row r="30" spans="1:6" x14ac:dyDescent="0.25">
      <c r="A30" s="14"/>
      <c r="B30" s="2" t="s">
        <v>26</v>
      </c>
      <c r="C30" s="2"/>
      <c r="D30" s="2"/>
      <c r="E30" s="2"/>
      <c r="F30" s="2"/>
    </row>
    <row r="31" spans="1:6" x14ac:dyDescent="0.25">
      <c r="A31" s="14"/>
      <c r="B31" s="2" t="s">
        <v>27</v>
      </c>
      <c r="C31" s="2"/>
      <c r="D31" s="2"/>
      <c r="E31" s="2"/>
      <c r="F31" s="2"/>
    </row>
    <row r="32" spans="1:6" x14ac:dyDescent="0.25">
      <c r="A32" s="14"/>
      <c r="B32" s="2" t="s">
        <v>28</v>
      </c>
      <c r="C32" s="2"/>
      <c r="D32" s="2"/>
      <c r="E32" s="2"/>
      <c r="F32" s="2"/>
    </row>
    <row r="33" spans="1:6" x14ac:dyDescent="0.25">
      <c r="A33" s="14"/>
      <c r="B33" s="2" t="s">
        <v>29</v>
      </c>
      <c r="C33" s="2"/>
      <c r="D33" s="2"/>
      <c r="E33" s="2"/>
      <c r="F33" s="2"/>
    </row>
  </sheetData>
  <mergeCells count="20">
    <mergeCell ref="B29:F29"/>
    <mergeCell ref="B30:F30"/>
    <mergeCell ref="B31:F31"/>
    <mergeCell ref="B32:F32"/>
    <mergeCell ref="B33:F33"/>
    <mergeCell ref="D21:F21"/>
    <mergeCell ref="D22:F22"/>
    <mergeCell ref="D23:F23"/>
    <mergeCell ref="D24:F24"/>
    <mergeCell ref="B27:F27"/>
    <mergeCell ref="C11:F11"/>
    <mergeCell ref="C13:F13"/>
    <mergeCell ref="C15:F15"/>
    <mergeCell ref="B18:F18"/>
    <mergeCell ref="D20:F20"/>
    <mergeCell ref="B2:F2"/>
    <mergeCell ref="B3:F3"/>
    <mergeCell ref="B5:F5"/>
    <mergeCell ref="C7:F7"/>
    <mergeCell ref="C9:F9"/>
  </mergeCells>
  <pageMargins left="0.4" right="0.4" top="0.5" bottom="0.5" header="0.511811023622047" footer="0.511811023622047"/>
  <pageSetup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9622B"/>
    <pageSetUpPr fitToPage="1"/>
  </sheetPr>
  <dimension ref="A2:J26"/>
  <sheetViews>
    <sheetView showGridLines="0" tabSelected="1" zoomScaleNormal="100" workbookViewId="0">
      <selection activeCell="P33" sqref="P33"/>
    </sheetView>
  </sheetViews>
  <sheetFormatPr baseColWidth="10" defaultColWidth="8.7109375" defaultRowHeight="15" x14ac:dyDescent="0.25"/>
  <cols>
    <col min="1" max="1" width="3" customWidth="1"/>
    <col min="2" max="2" width="16.28515625" customWidth="1"/>
    <col min="3" max="3" width="20.42578125" bestFit="1" customWidth="1"/>
    <col min="4" max="4" width="10.140625" bestFit="1" customWidth="1"/>
    <col min="5" max="5" width="24" customWidth="1"/>
    <col min="6" max="6" width="15.7109375" customWidth="1"/>
    <col min="7" max="7" width="6.85546875" customWidth="1"/>
    <col min="8" max="8" width="24" customWidth="1"/>
    <col min="9" max="9" width="13.42578125" customWidth="1"/>
    <col min="10" max="10" width="3" customWidth="1"/>
  </cols>
  <sheetData>
    <row r="2" spans="1:10" ht="39.75" customHeight="1" x14ac:dyDescent="0.25">
      <c r="A2" s="22"/>
      <c r="B2" s="13" t="s">
        <v>30</v>
      </c>
      <c r="C2" s="13"/>
      <c r="D2" s="13"/>
      <c r="E2" s="13"/>
      <c r="F2" s="13"/>
      <c r="G2" s="13"/>
      <c r="H2" s="13"/>
      <c r="I2" s="13"/>
      <c r="J2" s="22"/>
    </row>
    <row r="3" spans="1:10" ht="21.75" customHeight="1" x14ac:dyDescent="0.25">
      <c r="A3" s="23"/>
      <c r="B3" s="12" t="s">
        <v>31</v>
      </c>
      <c r="C3" s="12"/>
      <c r="D3" s="12"/>
      <c r="E3" s="12"/>
      <c r="F3" s="12"/>
      <c r="G3" s="12"/>
      <c r="H3" s="12"/>
      <c r="I3" s="12"/>
      <c r="J3" s="23"/>
    </row>
    <row r="5" spans="1:10" ht="18" customHeight="1" x14ac:dyDescent="0.25">
      <c r="B5" s="11" t="s">
        <v>32</v>
      </c>
      <c r="C5" s="11"/>
      <c r="E5" s="11" t="s">
        <v>33</v>
      </c>
      <c r="F5" s="11"/>
      <c r="H5" s="11" t="s">
        <v>34</v>
      </c>
      <c r="I5" s="11"/>
    </row>
    <row r="6" spans="1:10" ht="19.5" customHeight="1" x14ac:dyDescent="0.25">
      <c r="B6" s="10">
        <f>COUNTIFS(Auftragsplaner!O4:O34,"&lt;&gt;Fertig",Auftragsplaner!O4:O34,"&lt;&gt;Abgerechnet",Auftragsplaner!O4:O34,"&lt;&gt;Storniert")</f>
        <v>13</v>
      </c>
      <c r="C6" s="10"/>
      <c r="E6" s="9">
        <f ca="1">COUNTIF(Auftragsplaner!Q4:Q34,"Überfällig")</f>
        <v>2</v>
      </c>
      <c r="F6" s="9"/>
      <c r="H6" s="8">
        <f>SUMIFS(Auftragsplaner!K4:K34,Auftragsplaner!R4:R34,"Bezahlt")</f>
        <v>2574</v>
      </c>
      <c r="I6" s="8"/>
    </row>
    <row r="7" spans="1:10" ht="19.5" customHeight="1" x14ac:dyDescent="0.25">
      <c r="B7" s="10"/>
      <c r="C7" s="10"/>
      <c r="E7" s="9"/>
      <c r="F7" s="9"/>
      <c r="H7" s="8"/>
      <c r="I7" s="8"/>
    </row>
    <row r="9" spans="1:10" ht="18" customHeight="1" x14ac:dyDescent="0.25">
      <c r="B9" s="11" t="s">
        <v>35</v>
      </c>
      <c r="C9" s="11"/>
      <c r="E9" s="11" t="s">
        <v>36</v>
      </c>
      <c r="F9" s="11"/>
      <c r="H9" s="11" t="s">
        <v>37</v>
      </c>
      <c r="I9" s="11"/>
    </row>
    <row r="10" spans="1:10" ht="19.5" customHeight="1" x14ac:dyDescent="0.25">
      <c r="B10" s="9">
        <f>COUNTIFS(Kapazitätsplanung!C4:C38,"Juli 2026",Kapazitätsplanung!G4:G38,"Überlastet")</f>
        <v>1</v>
      </c>
      <c r="C10" s="9"/>
      <c r="E10" s="7">
        <f>AVERAGEIF(Kapazitätsplanung!C4:C38,"Juli 2026",Kapazitätsplanung!F4:F38)</f>
        <v>0.64734005915481541</v>
      </c>
      <c r="F10" s="7"/>
      <c r="H10" s="10">
        <f>COUNTA(Auftragsplaner!A4:A34)</f>
        <v>31</v>
      </c>
      <c r="I10" s="10"/>
    </row>
    <row r="11" spans="1:10" ht="19.5" customHeight="1" x14ac:dyDescent="0.25">
      <c r="B11" s="9"/>
      <c r="C11" s="9"/>
      <c r="E11" s="7"/>
      <c r="F11" s="7"/>
      <c r="H11" s="10"/>
      <c r="I11" s="10"/>
    </row>
    <row r="14" spans="1:10" ht="17.25" x14ac:dyDescent="0.3">
      <c r="B14" s="6" t="s">
        <v>38</v>
      </c>
      <c r="C14" s="6"/>
      <c r="D14" s="6"/>
      <c r="E14" s="6"/>
    </row>
    <row r="15" spans="1:10" ht="25.5" x14ac:dyDescent="0.25">
      <c r="B15" s="24" t="s">
        <v>39</v>
      </c>
      <c r="C15" s="24" t="s">
        <v>40</v>
      </c>
      <c r="D15" s="24" t="s">
        <v>41</v>
      </c>
      <c r="E15" s="24" t="s">
        <v>42</v>
      </c>
    </row>
    <row r="16" spans="1:10" x14ac:dyDescent="0.25">
      <c r="B16" s="25" t="s">
        <v>43</v>
      </c>
      <c r="C16" s="26" t="str">
        <f>INDEX(Auftragsplaner!$D$4:$D$34,MATCH($B16,Auftragsplaner!$A$4:$A$34,0))</f>
        <v>Stadtwerke Greven AöR</v>
      </c>
      <c r="D16" s="27">
        <f>INDEX(Auftragsplaner!$M$4:$M$34,MATCH($B16,Auftragsplaner!$A$4:$A$34,0))</f>
        <v>46211</v>
      </c>
      <c r="E16" s="25" t="str">
        <f>INDEX(Auftragsplaner!$G$4:$G$34,MATCH($B16,Auftragsplaner!$A$4:$A$34,0))</f>
        <v>T-03</v>
      </c>
    </row>
    <row r="17" spans="2:9" x14ac:dyDescent="0.25">
      <c r="B17" s="25" t="s">
        <v>44</v>
      </c>
      <c r="C17" s="26" t="str">
        <f>INDEX(Auftragsplaner!$D$4:$D$34,MATCH($B17,Auftragsplaner!$A$4:$A$34,0))</f>
        <v>Bäckerei Krohn OHG</v>
      </c>
      <c r="D17" s="27">
        <f>INDEX(Auftragsplaner!$M$4:$M$34,MATCH($B17,Auftragsplaner!$A$4:$A$34,0))</f>
        <v>46215</v>
      </c>
      <c r="E17" s="25" t="str">
        <f>INDEX(Auftragsplaner!$G$4:$G$34,MATCH($B17,Auftragsplaner!$A$4:$A$34,0))</f>
        <v>T-01</v>
      </c>
    </row>
    <row r="20" spans="2:9" ht="17.25" x14ac:dyDescent="0.3">
      <c r="B20" s="6" t="s">
        <v>45</v>
      </c>
      <c r="C20" s="6"/>
      <c r="D20" s="6"/>
      <c r="E20" s="6"/>
      <c r="H20" s="6" t="s">
        <v>46</v>
      </c>
      <c r="I20" s="6"/>
    </row>
    <row r="21" spans="2:9" x14ac:dyDescent="0.25">
      <c r="B21" s="24" t="s">
        <v>42</v>
      </c>
      <c r="C21" s="24" t="s">
        <v>47</v>
      </c>
      <c r="H21" s="24" t="s">
        <v>48</v>
      </c>
      <c r="I21" s="24" t="s">
        <v>49</v>
      </c>
    </row>
    <row r="22" spans="2:9" x14ac:dyDescent="0.25">
      <c r="B22" s="28" t="str">
        <f>Mitarbeiter!B4</f>
        <v>Jonas Brandner</v>
      </c>
      <c r="C22" s="29">
        <f>SUMIFS(Kapazitätsplanung!$F$4:$F$38,Kapazitätsplanung!$A$4:$A$38,"T-01",Kapazitätsplanung!$C$4:$C$38,"Juli 2026")</f>
        <v>0.59863862890482555</v>
      </c>
      <c r="H22" s="28" t="s">
        <v>50</v>
      </c>
      <c r="I22" s="30">
        <f>COUNTIFS(Auftragsplaner!O4:O34,"&lt;&gt;Fertig",Auftragsplaner!O4:O34,"&lt;&gt;Abgerechnet",Auftragsplaner!O4:O34,"&lt;&gt;Storniert")</f>
        <v>13</v>
      </c>
    </row>
    <row r="23" spans="2:9" x14ac:dyDescent="0.25">
      <c r="B23" s="28" t="str">
        <f>Mitarbeiter!B5</f>
        <v>Miriam Kessler</v>
      </c>
      <c r="C23" s="29">
        <f>SUMIFS(Kapazitätsplanung!$F$4:$F$38,Kapazitätsplanung!$A$4:$A$38,"T-02",Kapazitätsplanung!$C$4:$C$38,"Juli 2026")</f>
        <v>1.0514160690409626</v>
      </c>
      <c r="H23" s="28" t="s">
        <v>51</v>
      </c>
      <c r="I23" s="30">
        <f>COUNTIF(Auftragsplaner!O4:O34,"Fertig")+COUNTIF(Auftragsplaner!O4:O34,"Abgerechnet")</f>
        <v>18</v>
      </c>
    </row>
    <row r="24" spans="2:9" x14ac:dyDescent="0.25">
      <c r="B24" s="28" t="str">
        <f>Mitarbeiter!B6</f>
        <v>Ali Demirtas</v>
      </c>
      <c r="C24" s="29">
        <f>SUMIFS(Kapazitätsplanung!$F$4:$F$38,Kapazitätsplanung!$A$4:$A$38,"T-03",Kapazitätsplanung!$C$4:$C$38,"Juli 2026")</f>
        <v>0.49532028686033791</v>
      </c>
      <c r="H24" s="28" t="s">
        <v>52</v>
      </c>
      <c r="I24" s="30">
        <f>COUNTIF(Auftragsplaner!O4:O34,"Storniert")</f>
        <v>0</v>
      </c>
    </row>
    <row r="25" spans="2:9" x14ac:dyDescent="0.25">
      <c r="B25" s="28" t="str">
        <f>Mitarbeiter!B7</f>
        <v>Sven Ostendorf</v>
      </c>
      <c r="C25" s="29">
        <f>SUMIFS(Kapazitätsplanung!$F$4:$F$38,Kapazitätsplanung!$A$4:$A$38,"T-04",Kapazitätsplanung!$C$4:$C$38,"Juli 2026")</f>
        <v>0.89684372594303308</v>
      </c>
    </row>
    <row r="26" spans="2:9" x14ac:dyDescent="0.25">
      <c r="B26" s="28" t="str">
        <f>Mitarbeiter!B8</f>
        <v>Lea Waldmann</v>
      </c>
      <c r="C26" s="29">
        <f>SUMIFS(Kapazitätsplanung!$F$4:$F$38,Kapazitätsplanung!$A$4:$A$38,"T-05",Kapazitätsplanung!$C$4:$C$38,"Juli 2026")</f>
        <v>0.19448158502491797</v>
      </c>
    </row>
  </sheetData>
  <mergeCells count="17">
    <mergeCell ref="B10:C11"/>
    <mergeCell ref="E10:F11"/>
    <mergeCell ref="H10:I11"/>
    <mergeCell ref="B14:E14"/>
    <mergeCell ref="B20:E20"/>
    <mergeCell ref="H20:I20"/>
    <mergeCell ref="B6:C7"/>
    <mergeCell ref="E6:F7"/>
    <mergeCell ref="H6:I7"/>
    <mergeCell ref="B9:C9"/>
    <mergeCell ref="E9:F9"/>
    <mergeCell ref="H9:I9"/>
    <mergeCell ref="B2:I2"/>
    <mergeCell ref="B3:I3"/>
    <mergeCell ref="B5:C5"/>
    <mergeCell ref="E5:F5"/>
    <mergeCell ref="H5:I5"/>
  </mergeCells>
  <pageMargins left="0.4" right="0.4" top="0.5" bottom="0.5" header="0.511811023622047" footer="0.511811023622047"/>
  <pageSetup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9622B"/>
    <pageSetUpPr fitToPage="1"/>
  </sheetPr>
  <dimension ref="A1:H8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9" customWidth="1"/>
    <col min="2" max="3" width="22" customWidth="1"/>
    <col min="4" max="4" width="14" customWidth="1"/>
    <col min="5" max="5" width="20" customWidth="1"/>
    <col min="6" max="6" width="15" customWidth="1"/>
    <col min="7" max="7" width="16" customWidth="1"/>
    <col min="8" max="8" width="10" customWidth="1"/>
  </cols>
  <sheetData>
    <row r="1" spans="1:8" ht="25.5" customHeight="1" x14ac:dyDescent="0.35">
      <c r="A1" s="1" t="s">
        <v>53</v>
      </c>
      <c r="B1" s="1"/>
      <c r="C1" s="1"/>
      <c r="D1" s="1"/>
      <c r="E1" s="1"/>
      <c r="F1" s="1"/>
      <c r="G1" s="1"/>
      <c r="H1" s="1"/>
    </row>
    <row r="3" spans="1:8" ht="31.5" customHeight="1" x14ac:dyDescent="0.25">
      <c r="A3" s="31" t="s">
        <v>54</v>
      </c>
      <c r="B3" s="31" t="s">
        <v>55</v>
      </c>
      <c r="C3" s="31" t="s">
        <v>56</v>
      </c>
      <c r="D3" s="31" t="s">
        <v>57</v>
      </c>
      <c r="E3" s="31" t="s">
        <v>58</v>
      </c>
      <c r="F3" s="31" t="s">
        <v>59</v>
      </c>
      <c r="G3" s="31" t="s">
        <v>60</v>
      </c>
      <c r="H3" s="31" t="s">
        <v>48</v>
      </c>
    </row>
    <row r="4" spans="1:8" x14ac:dyDescent="0.25">
      <c r="A4" s="32" t="s">
        <v>61</v>
      </c>
      <c r="B4" s="33" t="s">
        <v>62</v>
      </c>
      <c r="C4" s="33" t="s">
        <v>63</v>
      </c>
      <c r="D4" s="34">
        <v>42</v>
      </c>
      <c r="E4" s="35">
        <v>38</v>
      </c>
      <c r="F4" s="36">
        <v>43160</v>
      </c>
      <c r="G4" s="33" t="s">
        <v>64</v>
      </c>
      <c r="H4" s="32" t="s">
        <v>65</v>
      </c>
    </row>
    <row r="5" spans="1:8" x14ac:dyDescent="0.25">
      <c r="A5" s="32" t="s">
        <v>66</v>
      </c>
      <c r="B5" s="33" t="s">
        <v>67</v>
      </c>
      <c r="C5" s="33" t="s">
        <v>68</v>
      </c>
      <c r="D5" s="34">
        <v>34</v>
      </c>
      <c r="E5" s="35">
        <v>38</v>
      </c>
      <c r="F5" s="36">
        <v>43723</v>
      </c>
      <c r="G5" s="33" t="s">
        <v>69</v>
      </c>
      <c r="H5" s="32" t="s">
        <v>65</v>
      </c>
    </row>
    <row r="6" spans="1:8" x14ac:dyDescent="0.25">
      <c r="A6" s="32" t="s">
        <v>70</v>
      </c>
      <c r="B6" s="33" t="s">
        <v>71</v>
      </c>
      <c r="C6" s="33" t="s">
        <v>72</v>
      </c>
      <c r="D6" s="34">
        <v>34</v>
      </c>
      <c r="E6" s="35">
        <v>38</v>
      </c>
      <c r="F6" s="36">
        <v>43983</v>
      </c>
      <c r="G6" s="33" t="s">
        <v>73</v>
      </c>
      <c r="H6" s="32" t="s">
        <v>65</v>
      </c>
    </row>
    <row r="7" spans="1:8" x14ac:dyDescent="0.25">
      <c r="A7" s="32" t="s">
        <v>74</v>
      </c>
      <c r="B7" s="33" t="s">
        <v>75</v>
      </c>
      <c r="C7" s="33" t="s">
        <v>76</v>
      </c>
      <c r="D7" s="34">
        <v>36</v>
      </c>
      <c r="E7" s="35">
        <v>30</v>
      </c>
      <c r="F7" s="36">
        <v>44237</v>
      </c>
      <c r="G7" s="33" t="s">
        <v>77</v>
      </c>
      <c r="H7" s="32" t="s">
        <v>65</v>
      </c>
    </row>
    <row r="8" spans="1:8" x14ac:dyDescent="0.25">
      <c r="A8" s="32" t="s">
        <v>78</v>
      </c>
      <c r="B8" s="33" t="s">
        <v>79</v>
      </c>
      <c r="C8" s="33" t="s">
        <v>80</v>
      </c>
      <c r="D8" s="34">
        <v>21</v>
      </c>
      <c r="E8" s="35">
        <v>38</v>
      </c>
      <c r="F8" s="36">
        <v>45870</v>
      </c>
      <c r="G8" s="33" t="s">
        <v>81</v>
      </c>
      <c r="H8" s="32" t="s">
        <v>65</v>
      </c>
    </row>
  </sheetData>
  <mergeCells count="1">
    <mergeCell ref="A1:H1"/>
  </mergeCells>
  <dataValidations count="1">
    <dataValidation type="list" allowBlank="1" sqref="H4:H38" xr:uid="{00000000-0002-0000-0200-000000000000}">
      <formula1>"Aktiv,Krank,Urlaub,Ausgeschieden"</formula1>
      <formula2>0</formula2>
    </dataValidation>
  </dataValidations>
  <pageMargins left="0.4" right="0.4" top="0.5" bottom="0.5" header="0.511811023622047" footer="0.511811023622047"/>
  <pageSetup fitToHeight="0" orientation="landscape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EF0F1"/>
    <pageSetUpPr fitToPage="1"/>
  </sheetPr>
  <dimension ref="A1:I11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11" customWidth="1"/>
    <col min="2" max="2" width="28" customWidth="1"/>
    <col min="3" max="3" width="20" customWidth="1"/>
    <col min="4" max="4" width="22" customWidth="1"/>
    <col min="5" max="5" width="8" customWidth="1"/>
    <col min="6" max="7" width="16" customWidth="1"/>
    <col min="8" max="8" width="26" customWidth="1"/>
    <col min="9" max="9" width="12" customWidth="1"/>
  </cols>
  <sheetData>
    <row r="1" spans="1:9" ht="25.5" customHeight="1" x14ac:dyDescent="0.35">
      <c r="A1" s="1" t="s">
        <v>82</v>
      </c>
      <c r="B1" s="1"/>
      <c r="C1" s="1"/>
      <c r="D1" s="1"/>
      <c r="E1" s="1"/>
      <c r="F1" s="1"/>
      <c r="G1" s="1"/>
      <c r="H1" s="1"/>
      <c r="I1" s="1"/>
    </row>
    <row r="3" spans="1:9" ht="30" customHeight="1" x14ac:dyDescent="0.25">
      <c r="A3" s="31" t="s">
        <v>83</v>
      </c>
      <c r="B3" s="31" t="s">
        <v>84</v>
      </c>
      <c r="C3" s="31" t="s">
        <v>85</v>
      </c>
      <c r="D3" s="31" t="s">
        <v>86</v>
      </c>
      <c r="E3" s="31" t="s">
        <v>87</v>
      </c>
      <c r="F3" s="31" t="s">
        <v>88</v>
      </c>
      <c r="G3" s="31" t="s">
        <v>60</v>
      </c>
      <c r="H3" s="31" t="s">
        <v>89</v>
      </c>
      <c r="I3" s="31" t="s">
        <v>90</v>
      </c>
    </row>
    <row r="4" spans="1:9" x14ac:dyDescent="0.25">
      <c r="A4" s="32" t="s">
        <v>91</v>
      </c>
      <c r="B4" s="33" t="s">
        <v>92</v>
      </c>
      <c r="C4" s="33" t="s">
        <v>93</v>
      </c>
      <c r="D4" s="33" t="s">
        <v>94</v>
      </c>
      <c r="E4" s="32" t="s">
        <v>95</v>
      </c>
      <c r="F4" s="33" t="s">
        <v>96</v>
      </c>
      <c r="G4" s="33" t="s">
        <v>97</v>
      </c>
      <c r="H4" s="33" t="s">
        <v>98</v>
      </c>
      <c r="I4" s="32" t="s">
        <v>99</v>
      </c>
    </row>
    <row r="5" spans="1:9" x14ac:dyDescent="0.25">
      <c r="A5" s="32" t="s">
        <v>100</v>
      </c>
      <c r="B5" s="33" t="s">
        <v>101</v>
      </c>
      <c r="C5" s="33" t="s">
        <v>101</v>
      </c>
      <c r="D5" s="33" t="s">
        <v>102</v>
      </c>
      <c r="E5" s="32" t="s">
        <v>103</v>
      </c>
      <c r="F5" s="33" t="s">
        <v>96</v>
      </c>
      <c r="G5" s="33" t="s">
        <v>104</v>
      </c>
      <c r="H5" s="33" t="s">
        <v>105</v>
      </c>
      <c r="I5" s="32" t="s">
        <v>106</v>
      </c>
    </row>
    <row r="6" spans="1:9" x14ac:dyDescent="0.25">
      <c r="A6" s="32" t="s">
        <v>107</v>
      </c>
      <c r="B6" s="33" t="s">
        <v>108</v>
      </c>
      <c r="C6" s="33" t="s">
        <v>109</v>
      </c>
      <c r="D6" s="33" t="s">
        <v>110</v>
      </c>
      <c r="E6" s="32" t="s">
        <v>111</v>
      </c>
      <c r="F6" s="33" t="s">
        <v>112</v>
      </c>
      <c r="G6" s="33" t="s">
        <v>113</v>
      </c>
      <c r="H6" s="33" t="s">
        <v>114</v>
      </c>
      <c r="I6" s="32" t="s">
        <v>99</v>
      </c>
    </row>
    <row r="7" spans="1:9" x14ac:dyDescent="0.25">
      <c r="A7" s="32" t="s">
        <v>115</v>
      </c>
      <c r="B7" s="33" t="s">
        <v>116</v>
      </c>
      <c r="C7" s="33" t="s">
        <v>116</v>
      </c>
      <c r="D7" s="33" t="s">
        <v>117</v>
      </c>
      <c r="E7" s="32" t="s">
        <v>118</v>
      </c>
      <c r="F7" s="33" t="s">
        <v>96</v>
      </c>
      <c r="G7" s="33" t="s">
        <v>119</v>
      </c>
      <c r="H7" s="33" t="s">
        <v>120</v>
      </c>
      <c r="I7" s="32" t="s">
        <v>106</v>
      </c>
    </row>
    <row r="8" spans="1:9" x14ac:dyDescent="0.25">
      <c r="A8" s="32" t="s">
        <v>121</v>
      </c>
      <c r="B8" s="33" t="s">
        <v>122</v>
      </c>
      <c r="C8" s="33" t="s">
        <v>123</v>
      </c>
      <c r="D8" s="33" t="s">
        <v>124</v>
      </c>
      <c r="E8" s="32" t="s">
        <v>125</v>
      </c>
      <c r="F8" s="33" t="s">
        <v>126</v>
      </c>
      <c r="G8" s="33" t="s">
        <v>127</v>
      </c>
      <c r="H8" s="33" t="s">
        <v>128</v>
      </c>
      <c r="I8" s="32" t="s">
        <v>99</v>
      </c>
    </row>
    <row r="9" spans="1:9" x14ac:dyDescent="0.25">
      <c r="A9" s="32" t="s">
        <v>129</v>
      </c>
      <c r="B9" s="33" t="s">
        <v>130</v>
      </c>
      <c r="C9" s="33" t="s">
        <v>130</v>
      </c>
      <c r="D9" s="33" t="s">
        <v>131</v>
      </c>
      <c r="E9" s="32" t="s">
        <v>132</v>
      </c>
      <c r="F9" s="33" t="s">
        <v>133</v>
      </c>
      <c r="G9" s="33" t="s">
        <v>134</v>
      </c>
      <c r="H9" s="33" t="s">
        <v>135</v>
      </c>
      <c r="I9" s="32" t="s">
        <v>106</v>
      </c>
    </row>
    <row r="10" spans="1:9" x14ac:dyDescent="0.25">
      <c r="A10" s="32" t="s">
        <v>136</v>
      </c>
      <c r="B10" s="33" t="s">
        <v>137</v>
      </c>
      <c r="C10" s="33" t="s">
        <v>138</v>
      </c>
      <c r="D10" s="33" t="s">
        <v>139</v>
      </c>
      <c r="E10" s="32" t="s">
        <v>132</v>
      </c>
      <c r="F10" s="33" t="s">
        <v>133</v>
      </c>
      <c r="G10" s="33" t="s">
        <v>140</v>
      </c>
      <c r="H10" s="33" t="s">
        <v>141</v>
      </c>
      <c r="I10" s="32" t="s">
        <v>99</v>
      </c>
    </row>
    <row r="11" spans="1:9" x14ac:dyDescent="0.25">
      <c r="A11" s="32" t="s">
        <v>142</v>
      </c>
      <c r="B11" s="33" t="s">
        <v>143</v>
      </c>
      <c r="C11" s="33" t="s">
        <v>143</v>
      </c>
      <c r="D11" s="33" t="s">
        <v>144</v>
      </c>
      <c r="E11" s="32" t="s">
        <v>145</v>
      </c>
      <c r="F11" s="33" t="s">
        <v>146</v>
      </c>
      <c r="G11" s="33" t="s">
        <v>147</v>
      </c>
      <c r="H11" s="33" t="s">
        <v>148</v>
      </c>
      <c r="I11" s="32" t="s">
        <v>106</v>
      </c>
    </row>
  </sheetData>
  <mergeCells count="1">
    <mergeCell ref="A1:I1"/>
  </mergeCells>
  <dataValidations count="1">
    <dataValidation type="list" allowBlank="1" sqref="I4:I41" xr:uid="{00000000-0002-0000-0300-000000000000}">
      <formula1>"Privat,Gewerbe"</formula1>
      <formula2>0</formula2>
    </dataValidation>
  </dataValidations>
  <pageMargins left="0.4" right="0.4" top="0.5" bottom="0.5" header="0.511811023622047" footer="0.511811023622047"/>
  <pageSetup fitToHeight="0" orientation="landscape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2B2D2E"/>
    <pageSetUpPr fitToPage="1"/>
  </sheetPr>
  <dimension ref="A1:T34"/>
  <sheetViews>
    <sheetView showGridLines="0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baseColWidth="10" defaultColWidth="8.7109375" defaultRowHeight="15" x14ac:dyDescent="0.25"/>
  <cols>
    <col min="1" max="1" width="12" customWidth="1"/>
    <col min="2" max="2" width="11" customWidth="1"/>
    <col min="3" max="3" width="10" customWidth="1"/>
    <col min="4" max="4" width="26" customWidth="1"/>
    <col min="5" max="5" width="20" customWidth="1"/>
    <col min="6" max="6" width="30" customWidth="1"/>
    <col min="7" max="7" width="10" customWidth="1"/>
    <col min="8" max="8" width="11" customWidth="1"/>
    <col min="9" max="9" width="10" customWidth="1"/>
    <col min="10" max="10" width="11" customWidth="1"/>
    <col min="11" max="11" width="13" customWidth="1"/>
    <col min="12" max="14" width="11" customWidth="1"/>
    <col min="15" max="15" width="18" customWidth="1"/>
    <col min="16" max="16" width="10" customWidth="1"/>
    <col min="17" max="17" width="13" customWidth="1"/>
    <col min="18" max="18" width="12" customWidth="1"/>
    <col min="19" max="20" width="13" hidden="1" customWidth="1"/>
  </cols>
  <sheetData>
    <row r="1" spans="1:20" ht="25.5" customHeight="1" x14ac:dyDescent="0.35">
      <c r="A1" s="1" t="s">
        <v>149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20" ht="33.75" customHeight="1" x14ac:dyDescent="0.25">
      <c r="A3" s="31" t="s">
        <v>39</v>
      </c>
      <c r="B3" s="31" t="s">
        <v>150</v>
      </c>
      <c r="C3" s="31" t="s">
        <v>83</v>
      </c>
      <c r="D3" s="31" t="s">
        <v>40</v>
      </c>
      <c r="E3" s="31" t="s">
        <v>151</v>
      </c>
      <c r="F3" s="31" t="s">
        <v>152</v>
      </c>
      <c r="G3" s="31" t="s">
        <v>42</v>
      </c>
      <c r="H3" s="31" t="s">
        <v>57</v>
      </c>
      <c r="I3" s="31" t="s">
        <v>153</v>
      </c>
      <c r="J3" s="31" t="s">
        <v>154</v>
      </c>
      <c r="K3" s="31" t="s">
        <v>155</v>
      </c>
      <c r="L3" s="31" t="s">
        <v>156</v>
      </c>
      <c r="M3" s="31" t="s">
        <v>41</v>
      </c>
      <c r="N3" s="31" t="s">
        <v>157</v>
      </c>
      <c r="O3" s="31" t="s">
        <v>48</v>
      </c>
      <c r="P3" s="31" t="s">
        <v>158</v>
      </c>
      <c r="Q3" s="31" t="s">
        <v>159</v>
      </c>
      <c r="R3" s="31" t="s">
        <v>160</v>
      </c>
      <c r="S3" t="s">
        <v>161</v>
      </c>
      <c r="T3" t="s">
        <v>162</v>
      </c>
    </row>
    <row r="4" spans="1:20" x14ac:dyDescent="0.25">
      <c r="A4" s="37" t="s">
        <v>163</v>
      </c>
      <c r="B4" s="38">
        <v>46027</v>
      </c>
      <c r="C4" s="37" t="s">
        <v>100</v>
      </c>
      <c r="D4" s="39" t="str">
        <f>IFERROR(INDEX(Kunden!$B$4:$B$11,MATCH(C4,Kunden!$A$4:$A$11,0)),"")</f>
        <v>Petra Ahlers</v>
      </c>
      <c r="E4" s="40" t="s">
        <v>164</v>
      </c>
      <c r="F4" s="40" t="s">
        <v>165</v>
      </c>
      <c r="G4" s="37" t="s">
        <v>66</v>
      </c>
      <c r="H4" s="41">
        <f>IFERROR(INDEX(Mitarbeiter!$D$4:$D$8,MATCH(G4,Mitarbeiter!$A$4:$A$8,0)),"")</f>
        <v>34</v>
      </c>
      <c r="I4" s="42">
        <v>2.5</v>
      </c>
      <c r="J4" s="43">
        <v>45</v>
      </c>
      <c r="K4" s="41">
        <f t="shared" ref="K4:K34" si="0">IFERROR(H4*I4,0)+J4</f>
        <v>130</v>
      </c>
      <c r="L4" s="38">
        <v>46028</v>
      </c>
      <c r="M4" s="38">
        <v>46028</v>
      </c>
      <c r="N4" s="44">
        <v>1</v>
      </c>
      <c r="O4" s="37" t="s">
        <v>166</v>
      </c>
      <c r="P4" s="37" t="s">
        <v>167</v>
      </c>
      <c r="Q4" s="45" t="str">
        <f t="shared" ref="Q4:Q34" ca="1" si="1">IF(OR(O4="Fertig",O4="Abgerechnet",O4="Storniert"),"Erledigt",IF(M4="","Offen",IF(M4&lt;TODAY(),"Überfällig","Im Zeitplan")))</f>
        <v>Erledigt</v>
      </c>
      <c r="R4" s="37" t="s">
        <v>168</v>
      </c>
      <c r="S4">
        <f t="shared" ref="S4:S34" si="2">MONTH(B4)</f>
        <v>1</v>
      </c>
      <c r="T4">
        <f t="shared" ref="T4:T34" si="3">YEAR(B4)</f>
        <v>2026</v>
      </c>
    </row>
    <row r="5" spans="1:20" x14ac:dyDescent="0.25">
      <c r="A5" s="37" t="s">
        <v>169</v>
      </c>
      <c r="B5" s="38">
        <v>46034</v>
      </c>
      <c r="C5" s="37" t="s">
        <v>91</v>
      </c>
      <c r="D5" s="39" t="str">
        <f>IFERROR(INDEX(Kunden!$B$4:$B$11,MATCH(C5,Kunden!$A$4:$A$11,0)),"")</f>
        <v>Hoffmann Spedition GmbH</v>
      </c>
      <c r="E5" s="40" t="s">
        <v>170</v>
      </c>
      <c r="F5" s="40" t="s">
        <v>171</v>
      </c>
      <c r="G5" s="37" t="s">
        <v>61</v>
      </c>
      <c r="H5" s="41">
        <f>IFERROR(INDEX(Mitarbeiter!$D$4:$D$8,MATCH(G5,Mitarbeiter!$A$4:$A$8,0)),"")</f>
        <v>42</v>
      </c>
      <c r="I5" s="42">
        <v>3</v>
      </c>
      <c r="J5" s="43">
        <v>180</v>
      </c>
      <c r="K5" s="41">
        <f t="shared" si="0"/>
        <v>306</v>
      </c>
      <c r="L5" s="38">
        <v>46035</v>
      </c>
      <c r="M5" s="38">
        <v>46036</v>
      </c>
      <c r="N5" s="44">
        <v>1</v>
      </c>
      <c r="O5" s="37" t="s">
        <v>166</v>
      </c>
      <c r="P5" s="37" t="s">
        <v>172</v>
      </c>
      <c r="Q5" s="45" t="str">
        <f t="shared" ca="1" si="1"/>
        <v>Erledigt</v>
      </c>
      <c r="R5" s="37" t="s">
        <v>168</v>
      </c>
      <c r="S5">
        <f t="shared" si="2"/>
        <v>1</v>
      </c>
      <c r="T5">
        <f t="shared" si="3"/>
        <v>2026</v>
      </c>
    </row>
    <row r="6" spans="1:20" x14ac:dyDescent="0.25">
      <c r="A6" s="37" t="s">
        <v>173</v>
      </c>
      <c r="B6" s="38">
        <v>46042</v>
      </c>
      <c r="C6" s="37" t="s">
        <v>115</v>
      </c>
      <c r="D6" s="39" t="str">
        <f>IFERROR(INDEX(Kunden!$B$4:$B$11,MATCH(C6,Kunden!$A$4:$A$11,0)),"")</f>
        <v>Tobias Reimann</v>
      </c>
      <c r="E6" s="40" t="s">
        <v>174</v>
      </c>
      <c r="F6" s="40" t="s">
        <v>175</v>
      </c>
      <c r="G6" s="37" t="s">
        <v>74</v>
      </c>
      <c r="H6" s="41">
        <f>IFERROR(INDEX(Mitarbeiter!$D$4:$D$8,MATCH(G6,Mitarbeiter!$A$4:$A$8,0)),"")</f>
        <v>36</v>
      </c>
      <c r="I6" s="42">
        <v>1.5</v>
      </c>
      <c r="J6" s="43">
        <v>0</v>
      </c>
      <c r="K6" s="41">
        <f t="shared" si="0"/>
        <v>54</v>
      </c>
      <c r="L6" s="38">
        <v>46043</v>
      </c>
      <c r="M6" s="38">
        <v>46044</v>
      </c>
      <c r="N6" s="44">
        <v>1</v>
      </c>
      <c r="O6" s="37" t="s">
        <v>176</v>
      </c>
      <c r="P6" s="37" t="s">
        <v>172</v>
      </c>
      <c r="Q6" s="45" t="str">
        <f t="shared" ca="1" si="1"/>
        <v>Erledigt</v>
      </c>
      <c r="R6" s="37" t="s">
        <v>177</v>
      </c>
      <c r="S6">
        <f t="shared" si="2"/>
        <v>1</v>
      </c>
      <c r="T6">
        <f t="shared" si="3"/>
        <v>2026</v>
      </c>
    </row>
    <row r="7" spans="1:20" x14ac:dyDescent="0.25">
      <c r="A7" s="37" t="s">
        <v>178</v>
      </c>
      <c r="B7" s="38">
        <v>46055</v>
      </c>
      <c r="C7" s="37" t="s">
        <v>107</v>
      </c>
      <c r="D7" s="39" t="str">
        <f>IFERROR(INDEX(Kunden!$B$4:$B$11,MATCH(C7,Kunden!$A$4:$A$11,0)),"")</f>
        <v>Stadtwerke Greven AöR</v>
      </c>
      <c r="E7" s="40" t="s">
        <v>179</v>
      </c>
      <c r="F7" s="40" t="s">
        <v>180</v>
      </c>
      <c r="G7" s="37" t="s">
        <v>70</v>
      </c>
      <c r="H7" s="41">
        <f>IFERROR(INDEX(Mitarbeiter!$D$4:$D$8,MATCH(G7,Mitarbeiter!$A$4:$A$8,0)),"")</f>
        <v>34</v>
      </c>
      <c r="I7" s="42">
        <v>1</v>
      </c>
      <c r="J7" s="43">
        <v>220</v>
      </c>
      <c r="K7" s="41">
        <f t="shared" si="0"/>
        <v>254</v>
      </c>
      <c r="L7" s="38">
        <v>46056</v>
      </c>
      <c r="M7" s="38">
        <v>46056</v>
      </c>
      <c r="N7" s="44">
        <v>1</v>
      </c>
      <c r="O7" s="37" t="s">
        <v>166</v>
      </c>
      <c r="P7" s="37" t="s">
        <v>167</v>
      </c>
      <c r="Q7" s="45" t="str">
        <f t="shared" ca="1" si="1"/>
        <v>Erledigt</v>
      </c>
      <c r="R7" s="37" t="s">
        <v>168</v>
      </c>
      <c r="S7">
        <f t="shared" si="2"/>
        <v>2</v>
      </c>
      <c r="T7">
        <f t="shared" si="3"/>
        <v>2026</v>
      </c>
    </row>
    <row r="8" spans="1:20" x14ac:dyDescent="0.25">
      <c r="A8" s="37" t="s">
        <v>181</v>
      </c>
      <c r="B8" s="38">
        <v>46063</v>
      </c>
      <c r="C8" s="37" t="s">
        <v>121</v>
      </c>
      <c r="D8" s="39" t="str">
        <f>IFERROR(INDEX(Kunden!$B$4:$B$11,MATCH(C8,Kunden!$A$4:$A$11,0)),"")</f>
        <v>Bäckerei Krohn OHG</v>
      </c>
      <c r="E8" s="40" t="s">
        <v>182</v>
      </c>
      <c r="F8" s="40" t="s">
        <v>183</v>
      </c>
      <c r="G8" s="37" t="s">
        <v>61</v>
      </c>
      <c r="H8" s="41">
        <f>IFERROR(INDEX(Mitarbeiter!$D$4:$D$8,MATCH(G8,Mitarbeiter!$A$4:$A$8,0)),"")</f>
        <v>42</v>
      </c>
      <c r="I8" s="42">
        <v>4</v>
      </c>
      <c r="J8" s="43">
        <v>95</v>
      </c>
      <c r="K8" s="41">
        <f t="shared" si="0"/>
        <v>263</v>
      </c>
      <c r="L8" s="38">
        <v>46065</v>
      </c>
      <c r="M8" s="38">
        <v>46067</v>
      </c>
      <c r="N8" s="44">
        <v>1</v>
      </c>
      <c r="O8" s="37" t="s">
        <v>176</v>
      </c>
      <c r="P8" s="37" t="s">
        <v>172</v>
      </c>
      <c r="Q8" s="45" t="str">
        <f t="shared" ca="1" si="1"/>
        <v>Erledigt</v>
      </c>
      <c r="R8" s="37" t="s">
        <v>177</v>
      </c>
      <c r="S8">
        <f t="shared" si="2"/>
        <v>2</v>
      </c>
      <c r="T8">
        <f t="shared" si="3"/>
        <v>2026</v>
      </c>
    </row>
    <row r="9" spans="1:20" x14ac:dyDescent="0.25">
      <c r="A9" s="37" t="s">
        <v>184</v>
      </c>
      <c r="B9" s="38">
        <v>46071</v>
      </c>
      <c r="C9" s="37" t="s">
        <v>129</v>
      </c>
      <c r="D9" s="39" t="str">
        <f>IFERROR(INDEX(Kunden!$B$4:$B$11,MATCH(C9,Kunden!$A$4:$A$11,0)),"")</f>
        <v>Sabine Ostmann</v>
      </c>
      <c r="E9" s="40" t="s">
        <v>185</v>
      </c>
      <c r="F9" s="40" t="s">
        <v>186</v>
      </c>
      <c r="G9" s="37" t="s">
        <v>66</v>
      </c>
      <c r="H9" s="41">
        <f>IFERROR(INDEX(Mitarbeiter!$D$4:$D$8,MATCH(G9,Mitarbeiter!$A$4:$A$8,0)),"")</f>
        <v>34</v>
      </c>
      <c r="I9" s="42">
        <v>6.5</v>
      </c>
      <c r="J9" s="43">
        <v>480</v>
      </c>
      <c r="K9" s="41">
        <f t="shared" si="0"/>
        <v>701</v>
      </c>
      <c r="L9" s="38">
        <v>46073</v>
      </c>
      <c r="M9" s="38">
        <v>46078</v>
      </c>
      <c r="N9" s="44">
        <v>1</v>
      </c>
      <c r="O9" s="37" t="s">
        <v>166</v>
      </c>
      <c r="P9" s="37" t="s">
        <v>187</v>
      </c>
      <c r="Q9" s="45" t="str">
        <f t="shared" ca="1" si="1"/>
        <v>Erledigt</v>
      </c>
      <c r="R9" s="37" t="s">
        <v>168</v>
      </c>
      <c r="S9">
        <f t="shared" si="2"/>
        <v>2</v>
      </c>
      <c r="T9">
        <f t="shared" si="3"/>
        <v>2026</v>
      </c>
    </row>
    <row r="10" spans="1:20" x14ac:dyDescent="0.25">
      <c r="A10" s="37" t="s">
        <v>188</v>
      </c>
      <c r="B10" s="38">
        <v>46082</v>
      </c>
      <c r="C10" s="37" t="s">
        <v>136</v>
      </c>
      <c r="D10" s="39" t="str">
        <f>IFERROR(INDEX(Kunden!$B$4:$B$11,MATCH(C10,Kunden!$A$4:$A$11,0)),"")</f>
        <v>Grünflächen Service Nord GmbH</v>
      </c>
      <c r="E10" s="40" t="s">
        <v>189</v>
      </c>
      <c r="F10" s="40" t="s">
        <v>190</v>
      </c>
      <c r="G10" s="37" t="s">
        <v>78</v>
      </c>
      <c r="H10" s="41">
        <f>IFERROR(INDEX(Mitarbeiter!$D$4:$D$8,MATCH(G10,Mitarbeiter!$A$4:$A$8,0)),"")</f>
        <v>21</v>
      </c>
      <c r="I10" s="42">
        <v>1.5</v>
      </c>
      <c r="J10" s="43">
        <v>30</v>
      </c>
      <c r="K10" s="41">
        <f t="shared" si="0"/>
        <v>61.5</v>
      </c>
      <c r="L10" s="38">
        <v>46083</v>
      </c>
      <c r="M10" s="38">
        <v>46083</v>
      </c>
      <c r="N10" s="44">
        <v>1</v>
      </c>
      <c r="O10" s="37" t="s">
        <v>166</v>
      </c>
      <c r="P10" s="37" t="s">
        <v>167</v>
      </c>
      <c r="Q10" s="45" t="str">
        <f t="shared" ca="1" si="1"/>
        <v>Erledigt</v>
      </c>
      <c r="R10" s="37" t="s">
        <v>168</v>
      </c>
      <c r="S10">
        <f t="shared" si="2"/>
        <v>3</v>
      </c>
      <c r="T10">
        <f t="shared" si="3"/>
        <v>2026</v>
      </c>
    </row>
    <row r="11" spans="1:20" x14ac:dyDescent="0.25">
      <c r="A11" s="37" t="s">
        <v>191</v>
      </c>
      <c r="B11" s="38">
        <v>46090</v>
      </c>
      <c r="C11" s="37" t="s">
        <v>142</v>
      </c>
      <c r="D11" s="39" t="str">
        <f>IFERROR(INDEX(Kunden!$B$4:$B$11,MATCH(C11,Kunden!$A$4:$A$11,0)),"")</f>
        <v>Michael Terhaag</v>
      </c>
      <c r="E11" s="40" t="s">
        <v>192</v>
      </c>
      <c r="F11" s="40" t="s">
        <v>193</v>
      </c>
      <c r="G11" s="37" t="s">
        <v>74</v>
      </c>
      <c r="H11" s="41">
        <f>IFERROR(INDEX(Mitarbeiter!$D$4:$D$8,MATCH(G11,Mitarbeiter!$A$4:$A$8,0)),"")</f>
        <v>36</v>
      </c>
      <c r="I11" s="42">
        <v>1</v>
      </c>
      <c r="J11" s="43">
        <v>60</v>
      </c>
      <c r="K11" s="41">
        <f t="shared" si="0"/>
        <v>96</v>
      </c>
      <c r="L11" s="38">
        <v>46091</v>
      </c>
      <c r="M11" s="38">
        <v>46091</v>
      </c>
      <c r="N11" s="44">
        <v>1</v>
      </c>
      <c r="O11" s="37" t="s">
        <v>176</v>
      </c>
      <c r="P11" s="37" t="s">
        <v>172</v>
      </c>
      <c r="Q11" s="45" t="str">
        <f t="shared" ca="1" si="1"/>
        <v>Erledigt</v>
      </c>
      <c r="R11" s="37" t="s">
        <v>177</v>
      </c>
      <c r="S11">
        <f t="shared" si="2"/>
        <v>3</v>
      </c>
      <c r="T11">
        <f t="shared" si="3"/>
        <v>2026</v>
      </c>
    </row>
    <row r="12" spans="1:20" x14ac:dyDescent="0.25">
      <c r="A12" s="37" t="s">
        <v>194</v>
      </c>
      <c r="B12" s="38">
        <v>46103</v>
      </c>
      <c r="C12" s="37" t="s">
        <v>100</v>
      </c>
      <c r="D12" s="39" t="str">
        <f>IFERROR(INDEX(Kunden!$B$4:$B$11,MATCH(C12,Kunden!$A$4:$A$11,0)),"")</f>
        <v>Petra Ahlers</v>
      </c>
      <c r="E12" s="40" t="s">
        <v>164</v>
      </c>
      <c r="F12" s="40" t="s">
        <v>195</v>
      </c>
      <c r="G12" s="37" t="s">
        <v>70</v>
      </c>
      <c r="H12" s="41">
        <f>IFERROR(INDEX(Mitarbeiter!$D$4:$D$8,MATCH(G12,Mitarbeiter!$A$4:$A$8,0)),"")</f>
        <v>34</v>
      </c>
      <c r="I12" s="42">
        <v>1</v>
      </c>
      <c r="J12" s="43">
        <v>0</v>
      </c>
      <c r="K12" s="41">
        <f t="shared" si="0"/>
        <v>34</v>
      </c>
      <c r="L12" s="38">
        <v>46104</v>
      </c>
      <c r="M12" s="38">
        <v>46104</v>
      </c>
      <c r="N12" s="44">
        <v>1</v>
      </c>
      <c r="O12" s="37" t="s">
        <v>166</v>
      </c>
      <c r="P12" s="37" t="s">
        <v>167</v>
      </c>
      <c r="Q12" s="45" t="str">
        <f t="shared" ca="1" si="1"/>
        <v>Erledigt</v>
      </c>
      <c r="R12" s="37" t="s">
        <v>168</v>
      </c>
      <c r="S12">
        <f t="shared" si="2"/>
        <v>3</v>
      </c>
      <c r="T12">
        <f t="shared" si="3"/>
        <v>2026</v>
      </c>
    </row>
    <row r="13" spans="1:20" x14ac:dyDescent="0.25">
      <c r="A13" s="37" t="s">
        <v>196</v>
      </c>
      <c r="B13" s="38">
        <v>46117</v>
      </c>
      <c r="C13" s="37" t="s">
        <v>91</v>
      </c>
      <c r="D13" s="39" t="str">
        <f>IFERROR(INDEX(Kunden!$B$4:$B$11,MATCH(C13,Kunden!$A$4:$A$11,0)),"")</f>
        <v>Hoffmann Spedition GmbH</v>
      </c>
      <c r="E13" s="40" t="s">
        <v>170</v>
      </c>
      <c r="F13" s="40" t="s">
        <v>197</v>
      </c>
      <c r="G13" s="37" t="s">
        <v>61</v>
      </c>
      <c r="H13" s="41">
        <f>IFERROR(INDEX(Mitarbeiter!$D$4:$D$8,MATCH(G13,Mitarbeiter!$A$4:$A$8,0)),"")</f>
        <v>42</v>
      </c>
      <c r="I13" s="42">
        <v>8</v>
      </c>
      <c r="J13" s="43">
        <v>340</v>
      </c>
      <c r="K13" s="41">
        <f t="shared" si="0"/>
        <v>676</v>
      </c>
      <c r="L13" s="38">
        <v>46119</v>
      </c>
      <c r="M13" s="38">
        <v>46123</v>
      </c>
      <c r="N13" s="44">
        <v>1</v>
      </c>
      <c r="O13" s="37" t="s">
        <v>166</v>
      </c>
      <c r="P13" s="37" t="s">
        <v>187</v>
      </c>
      <c r="Q13" s="45" t="str">
        <f t="shared" ca="1" si="1"/>
        <v>Erledigt</v>
      </c>
      <c r="R13" s="37" t="s">
        <v>168</v>
      </c>
      <c r="S13">
        <f t="shared" si="2"/>
        <v>4</v>
      </c>
      <c r="T13">
        <f t="shared" si="3"/>
        <v>2026</v>
      </c>
    </row>
    <row r="14" spans="1:20" x14ac:dyDescent="0.25">
      <c r="A14" s="37" t="s">
        <v>198</v>
      </c>
      <c r="B14" s="38">
        <v>46126</v>
      </c>
      <c r="C14" s="37" t="s">
        <v>107</v>
      </c>
      <c r="D14" s="39" t="str">
        <f>IFERROR(INDEX(Kunden!$B$4:$B$11,MATCH(C14,Kunden!$A$4:$A$11,0)),"")</f>
        <v>Stadtwerke Greven AöR</v>
      </c>
      <c r="E14" s="40" t="s">
        <v>179</v>
      </c>
      <c r="F14" s="40" t="s">
        <v>199</v>
      </c>
      <c r="G14" s="37" t="s">
        <v>74</v>
      </c>
      <c r="H14" s="41">
        <f>IFERROR(INDEX(Mitarbeiter!$D$4:$D$8,MATCH(G14,Mitarbeiter!$A$4:$A$8,0)),"")</f>
        <v>36</v>
      </c>
      <c r="I14" s="42">
        <v>5</v>
      </c>
      <c r="J14" s="43">
        <v>410</v>
      </c>
      <c r="K14" s="41">
        <f t="shared" si="0"/>
        <v>590</v>
      </c>
      <c r="L14" s="38">
        <v>46128</v>
      </c>
      <c r="M14" s="38">
        <v>46132</v>
      </c>
      <c r="N14" s="44">
        <v>1</v>
      </c>
      <c r="O14" s="37" t="s">
        <v>176</v>
      </c>
      <c r="P14" s="37" t="s">
        <v>172</v>
      </c>
      <c r="Q14" s="45" t="str">
        <f t="shared" ca="1" si="1"/>
        <v>Erledigt</v>
      </c>
      <c r="R14" s="37" t="s">
        <v>177</v>
      </c>
      <c r="S14">
        <f t="shared" si="2"/>
        <v>4</v>
      </c>
      <c r="T14">
        <f t="shared" si="3"/>
        <v>2026</v>
      </c>
    </row>
    <row r="15" spans="1:20" x14ac:dyDescent="0.25">
      <c r="A15" s="37" t="s">
        <v>200</v>
      </c>
      <c r="B15" s="38">
        <v>46140</v>
      </c>
      <c r="C15" s="37" t="s">
        <v>115</v>
      </c>
      <c r="D15" s="39" t="str">
        <f>IFERROR(INDEX(Kunden!$B$4:$B$11,MATCH(C15,Kunden!$A$4:$A$11,0)),"")</f>
        <v>Tobias Reimann</v>
      </c>
      <c r="E15" s="40" t="s">
        <v>174</v>
      </c>
      <c r="F15" s="40" t="s">
        <v>201</v>
      </c>
      <c r="G15" s="37" t="s">
        <v>78</v>
      </c>
      <c r="H15" s="41">
        <f>IFERROR(INDEX(Mitarbeiter!$D$4:$D$8,MATCH(G15,Mitarbeiter!$A$4:$A$8,0)),"")</f>
        <v>21</v>
      </c>
      <c r="I15" s="42">
        <v>0.5</v>
      </c>
      <c r="J15" s="43">
        <v>140</v>
      </c>
      <c r="K15" s="41">
        <f t="shared" si="0"/>
        <v>150.5</v>
      </c>
      <c r="L15" s="38">
        <v>46141</v>
      </c>
      <c r="M15" s="38">
        <v>46141</v>
      </c>
      <c r="N15" s="44">
        <v>1</v>
      </c>
      <c r="O15" s="37" t="s">
        <v>166</v>
      </c>
      <c r="P15" s="37" t="s">
        <v>167</v>
      </c>
      <c r="Q15" s="45" t="str">
        <f t="shared" ca="1" si="1"/>
        <v>Erledigt</v>
      </c>
      <c r="R15" s="37" t="s">
        <v>168</v>
      </c>
      <c r="S15">
        <f t="shared" si="2"/>
        <v>4</v>
      </c>
      <c r="T15">
        <f t="shared" si="3"/>
        <v>2026</v>
      </c>
    </row>
    <row r="16" spans="1:20" x14ac:dyDescent="0.25">
      <c r="A16" s="37" t="s">
        <v>202</v>
      </c>
      <c r="B16" s="38">
        <v>46148</v>
      </c>
      <c r="C16" s="37" t="s">
        <v>129</v>
      </c>
      <c r="D16" s="39" t="str">
        <f>IFERROR(INDEX(Kunden!$B$4:$B$11,MATCH(C16,Kunden!$A$4:$A$11,0)),"")</f>
        <v>Sabine Ostmann</v>
      </c>
      <c r="E16" s="40" t="s">
        <v>185</v>
      </c>
      <c r="F16" s="40" t="s">
        <v>203</v>
      </c>
      <c r="G16" s="37" t="s">
        <v>66</v>
      </c>
      <c r="H16" s="41">
        <f>IFERROR(INDEX(Mitarbeiter!$D$4:$D$8,MATCH(G16,Mitarbeiter!$A$4:$A$8,0)),"")</f>
        <v>34</v>
      </c>
      <c r="I16" s="42">
        <v>2</v>
      </c>
      <c r="J16" s="43">
        <v>55</v>
      </c>
      <c r="K16" s="41">
        <f t="shared" si="0"/>
        <v>123</v>
      </c>
      <c r="L16" s="38">
        <v>46150</v>
      </c>
      <c r="M16" s="38">
        <v>46150</v>
      </c>
      <c r="N16" s="44">
        <v>1</v>
      </c>
      <c r="O16" s="37" t="s">
        <v>176</v>
      </c>
      <c r="P16" s="37" t="s">
        <v>172</v>
      </c>
      <c r="Q16" s="45" t="str">
        <f t="shared" ca="1" si="1"/>
        <v>Erledigt</v>
      </c>
      <c r="R16" s="37" t="s">
        <v>204</v>
      </c>
      <c r="S16">
        <f t="shared" si="2"/>
        <v>5</v>
      </c>
      <c r="T16">
        <f t="shared" si="3"/>
        <v>2026</v>
      </c>
    </row>
    <row r="17" spans="1:20" x14ac:dyDescent="0.25">
      <c r="A17" s="37" t="s">
        <v>205</v>
      </c>
      <c r="B17" s="38">
        <v>46157</v>
      </c>
      <c r="C17" s="37" t="s">
        <v>121</v>
      </c>
      <c r="D17" s="39" t="str">
        <f>IFERROR(INDEX(Kunden!$B$4:$B$11,MATCH(C17,Kunden!$A$4:$A$11,0)),"")</f>
        <v>Bäckerei Krohn OHG</v>
      </c>
      <c r="E17" s="40" t="s">
        <v>182</v>
      </c>
      <c r="F17" s="40" t="s">
        <v>206</v>
      </c>
      <c r="G17" s="37" t="s">
        <v>70</v>
      </c>
      <c r="H17" s="41">
        <f>IFERROR(INDEX(Mitarbeiter!$D$4:$D$8,MATCH(G17,Mitarbeiter!$A$4:$A$8,0)),"")</f>
        <v>34</v>
      </c>
      <c r="I17" s="42">
        <v>2.5</v>
      </c>
      <c r="J17" s="43">
        <v>130</v>
      </c>
      <c r="K17" s="41">
        <f t="shared" si="0"/>
        <v>215</v>
      </c>
      <c r="L17" s="38">
        <v>46160</v>
      </c>
      <c r="M17" s="38">
        <v>46161</v>
      </c>
      <c r="N17" s="44">
        <v>1</v>
      </c>
      <c r="O17" s="37" t="s">
        <v>166</v>
      </c>
      <c r="P17" s="37" t="s">
        <v>172</v>
      </c>
      <c r="Q17" s="45" t="str">
        <f t="shared" ca="1" si="1"/>
        <v>Erledigt</v>
      </c>
      <c r="R17" s="37" t="s">
        <v>168</v>
      </c>
      <c r="S17">
        <f t="shared" si="2"/>
        <v>5</v>
      </c>
      <c r="T17">
        <f t="shared" si="3"/>
        <v>2026</v>
      </c>
    </row>
    <row r="18" spans="1:20" x14ac:dyDescent="0.25">
      <c r="A18" s="37" t="s">
        <v>207</v>
      </c>
      <c r="B18" s="38">
        <v>46176</v>
      </c>
      <c r="C18" s="37" t="s">
        <v>136</v>
      </c>
      <c r="D18" s="39" t="str">
        <f>IFERROR(INDEX(Kunden!$B$4:$B$11,MATCH(C18,Kunden!$A$4:$A$11,0)),"")</f>
        <v>Grünflächen Service Nord GmbH</v>
      </c>
      <c r="E18" s="40" t="s">
        <v>189</v>
      </c>
      <c r="F18" s="40" t="s">
        <v>208</v>
      </c>
      <c r="G18" s="37" t="s">
        <v>78</v>
      </c>
      <c r="H18" s="41">
        <f>IFERROR(INDEX(Mitarbeiter!$D$4:$D$8,MATCH(G18,Mitarbeiter!$A$4:$A$8,0)),"")</f>
        <v>21</v>
      </c>
      <c r="I18" s="42">
        <v>1</v>
      </c>
      <c r="J18" s="43">
        <v>25</v>
      </c>
      <c r="K18" s="41">
        <f t="shared" si="0"/>
        <v>46</v>
      </c>
      <c r="L18" s="38">
        <v>46177</v>
      </c>
      <c r="M18" s="38">
        <v>46177</v>
      </c>
      <c r="N18" s="44">
        <v>1</v>
      </c>
      <c r="O18" s="37" t="s">
        <v>166</v>
      </c>
      <c r="P18" s="37" t="s">
        <v>167</v>
      </c>
      <c r="Q18" s="45" t="str">
        <f t="shared" ca="1" si="1"/>
        <v>Erledigt</v>
      </c>
      <c r="R18" s="37" t="s">
        <v>168</v>
      </c>
      <c r="S18">
        <f t="shared" si="2"/>
        <v>6</v>
      </c>
      <c r="T18">
        <f t="shared" si="3"/>
        <v>2026</v>
      </c>
    </row>
    <row r="19" spans="1:20" x14ac:dyDescent="0.25">
      <c r="A19" s="37" t="s">
        <v>209</v>
      </c>
      <c r="B19" s="38">
        <v>46190</v>
      </c>
      <c r="C19" s="37" t="s">
        <v>142</v>
      </c>
      <c r="D19" s="39" t="str">
        <f>IFERROR(INDEX(Kunden!$B$4:$B$11,MATCH(C19,Kunden!$A$4:$A$11,0)),"")</f>
        <v>Michael Terhaag</v>
      </c>
      <c r="E19" s="40" t="s">
        <v>192</v>
      </c>
      <c r="F19" s="40" t="s">
        <v>210</v>
      </c>
      <c r="G19" s="37" t="s">
        <v>74</v>
      </c>
      <c r="H19" s="41">
        <f>IFERROR(INDEX(Mitarbeiter!$D$4:$D$8,MATCH(G19,Mitarbeiter!$A$4:$A$8,0)),"")</f>
        <v>36</v>
      </c>
      <c r="I19" s="42">
        <v>2</v>
      </c>
      <c r="J19" s="43">
        <v>85</v>
      </c>
      <c r="K19" s="41">
        <f t="shared" si="0"/>
        <v>157</v>
      </c>
      <c r="L19" s="38">
        <v>46192</v>
      </c>
      <c r="M19" s="38">
        <v>46196</v>
      </c>
      <c r="N19" s="44">
        <v>1</v>
      </c>
      <c r="O19" s="37" t="s">
        <v>176</v>
      </c>
      <c r="P19" s="37" t="s">
        <v>172</v>
      </c>
      <c r="Q19" s="45" t="str">
        <f t="shared" ca="1" si="1"/>
        <v>Erledigt</v>
      </c>
      <c r="R19" s="37" t="s">
        <v>204</v>
      </c>
      <c r="S19">
        <f t="shared" si="2"/>
        <v>6</v>
      </c>
      <c r="T19">
        <f t="shared" si="3"/>
        <v>2026</v>
      </c>
    </row>
    <row r="20" spans="1:20" x14ac:dyDescent="0.25">
      <c r="A20" s="37" t="s">
        <v>211</v>
      </c>
      <c r="B20" s="38">
        <v>46198</v>
      </c>
      <c r="C20" s="37" t="s">
        <v>91</v>
      </c>
      <c r="D20" s="39" t="str">
        <f>IFERROR(INDEX(Kunden!$B$4:$B$11,MATCH(C20,Kunden!$A$4:$A$11,0)),"")</f>
        <v>Hoffmann Spedition GmbH</v>
      </c>
      <c r="E20" s="40" t="s">
        <v>170</v>
      </c>
      <c r="F20" s="40" t="s">
        <v>212</v>
      </c>
      <c r="G20" s="37" t="s">
        <v>66</v>
      </c>
      <c r="H20" s="41">
        <f>IFERROR(INDEX(Mitarbeiter!$D$4:$D$8,MATCH(G20,Mitarbeiter!$A$4:$A$8,0)),"")</f>
        <v>34</v>
      </c>
      <c r="I20" s="42">
        <v>1.5</v>
      </c>
      <c r="J20" s="43">
        <v>40</v>
      </c>
      <c r="K20" s="41">
        <f t="shared" si="0"/>
        <v>91</v>
      </c>
      <c r="L20" s="38">
        <v>46199</v>
      </c>
      <c r="M20" s="38">
        <v>46199</v>
      </c>
      <c r="N20" s="44">
        <v>1</v>
      </c>
      <c r="O20" s="37" t="s">
        <v>176</v>
      </c>
      <c r="P20" s="37" t="s">
        <v>167</v>
      </c>
      <c r="Q20" s="45" t="str">
        <f t="shared" ca="1" si="1"/>
        <v>Erledigt</v>
      </c>
      <c r="R20" s="37" t="s">
        <v>204</v>
      </c>
      <c r="S20">
        <f t="shared" si="2"/>
        <v>6</v>
      </c>
      <c r="T20">
        <f t="shared" si="3"/>
        <v>2026</v>
      </c>
    </row>
    <row r="21" spans="1:20" x14ac:dyDescent="0.25">
      <c r="A21" s="37" t="s">
        <v>43</v>
      </c>
      <c r="B21" s="38">
        <v>46204</v>
      </c>
      <c r="C21" s="37" t="s">
        <v>107</v>
      </c>
      <c r="D21" s="39" t="str">
        <f>IFERROR(INDEX(Kunden!$B$4:$B$11,MATCH(C21,Kunden!$A$4:$A$11,0)),"")</f>
        <v>Stadtwerke Greven AöR</v>
      </c>
      <c r="E21" s="40" t="s">
        <v>179</v>
      </c>
      <c r="F21" s="40" t="s">
        <v>213</v>
      </c>
      <c r="G21" s="37" t="s">
        <v>70</v>
      </c>
      <c r="H21" s="41">
        <f>IFERROR(INDEX(Mitarbeiter!$D$4:$D$8,MATCH(G21,Mitarbeiter!$A$4:$A$8,0)),"")</f>
        <v>34</v>
      </c>
      <c r="I21" s="42">
        <v>4</v>
      </c>
      <c r="J21" s="43">
        <v>150</v>
      </c>
      <c r="K21" s="41">
        <f t="shared" si="0"/>
        <v>286</v>
      </c>
      <c r="L21" s="38">
        <v>46206</v>
      </c>
      <c r="M21" s="38">
        <v>46211</v>
      </c>
      <c r="N21" s="44">
        <v>0.7</v>
      </c>
      <c r="O21" s="37" t="s">
        <v>214</v>
      </c>
      <c r="P21" s="37" t="s">
        <v>172</v>
      </c>
      <c r="Q21" s="45" t="str">
        <f t="shared" ca="1" si="1"/>
        <v>Überfällig</v>
      </c>
      <c r="R21" s="37" t="s">
        <v>204</v>
      </c>
      <c r="S21">
        <f t="shared" si="2"/>
        <v>7</v>
      </c>
      <c r="T21">
        <f t="shared" si="3"/>
        <v>2026</v>
      </c>
    </row>
    <row r="22" spans="1:20" x14ac:dyDescent="0.25">
      <c r="A22" s="37" t="s">
        <v>44</v>
      </c>
      <c r="B22" s="38">
        <v>46210</v>
      </c>
      <c r="C22" s="37" t="s">
        <v>121</v>
      </c>
      <c r="D22" s="39" t="str">
        <f>IFERROR(INDEX(Kunden!$B$4:$B$11,MATCH(C22,Kunden!$A$4:$A$11,0)),"")</f>
        <v>Bäckerei Krohn OHG</v>
      </c>
      <c r="E22" s="40" t="s">
        <v>182</v>
      </c>
      <c r="F22" s="40" t="s">
        <v>171</v>
      </c>
      <c r="G22" s="37" t="s">
        <v>61</v>
      </c>
      <c r="H22" s="41">
        <f>IFERROR(INDEX(Mitarbeiter!$D$4:$D$8,MATCH(G22,Mitarbeiter!$A$4:$A$8,0)),"")</f>
        <v>42</v>
      </c>
      <c r="I22" s="42">
        <v>3.5</v>
      </c>
      <c r="J22" s="43">
        <v>210</v>
      </c>
      <c r="K22" s="41">
        <f t="shared" si="0"/>
        <v>357</v>
      </c>
      <c r="L22" s="38">
        <v>46212</v>
      </c>
      <c r="M22" s="38">
        <v>46215</v>
      </c>
      <c r="N22" s="44">
        <v>0.4</v>
      </c>
      <c r="O22" s="37" t="s">
        <v>215</v>
      </c>
      <c r="P22" s="37" t="s">
        <v>187</v>
      </c>
      <c r="Q22" s="45" t="str">
        <f t="shared" ca="1" si="1"/>
        <v>Überfällig</v>
      </c>
      <c r="R22" s="37" t="s">
        <v>204</v>
      </c>
      <c r="S22">
        <f t="shared" si="2"/>
        <v>7</v>
      </c>
      <c r="T22">
        <f t="shared" si="3"/>
        <v>2026</v>
      </c>
    </row>
    <row r="23" spans="1:20" x14ac:dyDescent="0.25">
      <c r="A23" s="37" t="s">
        <v>216</v>
      </c>
      <c r="B23" s="38">
        <v>46213</v>
      </c>
      <c r="C23" s="37" t="s">
        <v>129</v>
      </c>
      <c r="D23" s="39" t="str">
        <f>IFERROR(INDEX(Kunden!$B$4:$B$11,MATCH(C23,Kunden!$A$4:$A$11,0)),"")</f>
        <v>Sabine Ostmann</v>
      </c>
      <c r="E23" s="40" t="s">
        <v>185</v>
      </c>
      <c r="F23" s="40" t="s">
        <v>217</v>
      </c>
      <c r="G23" s="37" t="s">
        <v>74</v>
      </c>
      <c r="H23" s="41">
        <f>IFERROR(INDEX(Mitarbeiter!$D$4:$D$8,MATCH(G23,Mitarbeiter!$A$4:$A$8,0)),"")</f>
        <v>36</v>
      </c>
      <c r="I23" s="42">
        <v>1.5</v>
      </c>
      <c r="J23" s="43">
        <v>0</v>
      </c>
      <c r="K23" s="41">
        <f t="shared" si="0"/>
        <v>54</v>
      </c>
      <c r="L23" s="38">
        <v>46214</v>
      </c>
      <c r="M23" s="38">
        <v>46216</v>
      </c>
      <c r="N23" s="44">
        <v>1</v>
      </c>
      <c r="O23" s="37" t="s">
        <v>176</v>
      </c>
      <c r="P23" s="37" t="s">
        <v>172</v>
      </c>
      <c r="Q23" s="45" t="str">
        <f t="shared" ca="1" si="1"/>
        <v>Erledigt</v>
      </c>
      <c r="R23" s="37" t="s">
        <v>204</v>
      </c>
      <c r="S23">
        <f t="shared" si="2"/>
        <v>7</v>
      </c>
      <c r="T23">
        <f t="shared" si="3"/>
        <v>2026</v>
      </c>
    </row>
    <row r="24" spans="1:20" x14ac:dyDescent="0.25">
      <c r="A24" s="37" t="s">
        <v>218</v>
      </c>
      <c r="B24" s="38">
        <v>46215</v>
      </c>
      <c r="C24" s="37" t="s">
        <v>100</v>
      </c>
      <c r="D24" s="39" t="str">
        <f>IFERROR(INDEX(Kunden!$B$4:$B$11,MATCH(C24,Kunden!$A$4:$A$11,0)),"")</f>
        <v>Petra Ahlers</v>
      </c>
      <c r="E24" s="40" t="s">
        <v>164</v>
      </c>
      <c r="F24" s="40" t="s">
        <v>219</v>
      </c>
      <c r="G24" s="37" t="s">
        <v>70</v>
      </c>
      <c r="H24" s="41">
        <f>IFERROR(INDEX(Mitarbeiter!$D$4:$D$8,MATCH(G24,Mitarbeiter!$A$4:$A$8,0)),"")</f>
        <v>34</v>
      </c>
      <c r="I24" s="42">
        <v>2.5</v>
      </c>
      <c r="J24" s="43">
        <v>60</v>
      </c>
      <c r="K24" s="41">
        <f t="shared" si="0"/>
        <v>145</v>
      </c>
      <c r="L24" s="38">
        <v>46217</v>
      </c>
      <c r="M24" s="38">
        <v>46221</v>
      </c>
      <c r="N24" s="44">
        <v>0.2</v>
      </c>
      <c r="O24" s="37" t="s">
        <v>214</v>
      </c>
      <c r="P24" s="37" t="s">
        <v>187</v>
      </c>
      <c r="Q24" s="45" t="str">
        <f t="shared" ca="1" si="1"/>
        <v>Im Zeitplan</v>
      </c>
      <c r="R24" s="37" t="s">
        <v>204</v>
      </c>
      <c r="S24">
        <f t="shared" si="2"/>
        <v>7</v>
      </c>
      <c r="T24">
        <f t="shared" si="3"/>
        <v>2026</v>
      </c>
    </row>
    <row r="25" spans="1:20" x14ac:dyDescent="0.25">
      <c r="A25" s="37" t="s">
        <v>220</v>
      </c>
      <c r="B25" s="38">
        <v>46217</v>
      </c>
      <c r="C25" s="37" t="s">
        <v>115</v>
      </c>
      <c r="D25" s="39" t="str">
        <f>IFERROR(INDEX(Kunden!$B$4:$B$11,MATCH(C25,Kunden!$A$4:$A$11,0)),"")</f>
        <v>Tobias Reimann</v>
      </c>
      <c r="E25" s="40" t="s">
        <v>174</v>
      </c>
      <c r="F25" s="40" t="s">
        <v>221</v>
      </c>
      <c r="G25" s="37" t="s">
        <v>61</v>
      </c>
      <c r="H25" s="41">
        <f>IFERROR(INDEX(Mitarbeiter!$D$4:$D$8,MATCH(G25,Mitarbeiter!$A$4:$A$8,0)),"")</f>
        <v>42</v>
      </c>
      <c r="I25" s="42">
        <v>5</v>
      </c>
      <c r="J25" s="43">
        <v>0</v>
      </c>
      <c r="K25" s="41">
        <f t="shared" si="0"/>
        <v>210</v>
      </c>
      <c r="L25" s="38"/>
      <c r="M25" s="38">
        <v>46228</v>
      </c>
      <c r="N25" s="44">
        <v>0</v>
      </c>
      <c r="O25" s="37" t="s">
        <v>222</v>
      </c>
      <c r="P25" s="37" t="s">
        <v>172</v>
      </c>
      <c r="Q25" s="45" t="str">
        <f t="shared" ca="1" si="1"/>
        <v>Im Zeitplan</v>
      </c>
      <c r="R25" s="37" t="s">
        <v>204</v>
      </c>
      <c r="S25">
        <f t="shared" si="2"/>
        <v>7</v>
      </c>
      <c r="T25">
        <f t="shared" si="3"/>
        <v>2026</v>
      </c>
    </row>
    <row r="26" spans="1:20" x14ac:dyDescent="0.25">
      <c r="A26" s="37" t="s">
        <v>223</v>
      </c>
      <c r="B26" s="38">
        <v>46218</v>
      </c>
      <c r="C26" s="37" t="s">
        <v>136</v>
      </c>
      <c r="D26" s="39" t="str">
        <f>IFERROR(INDEX(Kunden!$B$4:$B$11,MATCH(C26,Kunden!$A$4:$A$11,0)),"")</f>
        <v>Grünflächen Service Nord GmbH</v>
      </c>
      <c r="E26" s="40" t="s">
        <v>189</v>
      </c>
      <c r="F26" s="40" t="s">
        <v>224</v>
      </c>
      <c r="G26" s="37"/>
      <c r="H26" s="41" t="str">
        <f>IFERROR(INDEX(Mitarbeiter!$D$4:$D$8,MATCH(G26,Mitarbeiter!$A$4:$A$8,0)),"")</f>
        <v/>
      </c>
      <c r="I26" s="42">
        <v>0</v>
      </c>
      <c r="J26" s="43">
        <v>0</v>
      </c>
      <c r="K26" s="41">
        <f t="shared" si="0"/>
        <v>0</v>
      </c>
      <c r="L26" s="38"/>
      <c r="M26" s="38"/>
      <c r="N26" s="44">
        <v>0</v>
      </c>
      <c r="O26" s="37" t="s">
        <v>225</v>
      </c>
      <c r="P26" s="37" t="s">
        <v>167</v>
      </c>
      <c r="Q26" s="45" t="str">
        <f t="shared" ca="1" si="1"/>
        <v>Offen</v>
      </c>
      <c r="R26" s="37" t="s">
        <v>204</v>
      </c>
      <c r="S26">
        <f t="shared" si="2"/>
        <v>7</v>
      </c>
      <c r="T26">
        <f t="shared" si="3"/>
        <v>2026</v>
      </c>
    </row>
    <row r="27" spans="1:20" x14ac:dyDescent="0.25">
      <c r="A27" s="37" t="s">
        <v>226</v>
      </c>
      <c r="B27" s="38">
        <v>46205</v>
      </c>
      <c r="C27" s="37" t="s">
        <v>129</v>
      </c>
      <c r="D27" s="39" t="str">
        <f>IFERROR(INDEX(Kunden!$B$4:$B$11,MATCH(C27,Kunden!$A$4:$A$11,0)),"")</f>
        <v>Sabine Ostmann</v>
      </c>
      <c r="E27" s="40" t="s">
        <v>185</v>
      </c>
      <c r="F27" s="40" t="s">
        <v>227</v>
      </c>
      <c r="G27" s="37" t="s">
        <v>66</v>
      </c>
      <c r="H27" s="41">
        <f>IFERROR(INDEX(Mitarbeiter!$D$4:$D$8,MATCH(G27,Mitarbeiter!$A$4:$A$8,0)),"")</f>
        <v>34</v>
      </c>
      <c r="I27" s="42">
        <v>60</v>
      </c>
      <c r="J27" s="43">
        <v>3200</v>
      </c>
      <c r="K27" s="41">
        <f t="shared" si="0"/>
        <v>5240</v>
      </c>
      <c r="L27" s="38">
        <v>46205</v>
      </c>
      <c r="M27" s="38">
        <v>46223</v>
      </c>
      <c r="N27" s="44">
        <v>0.5</v>
      </c>
      <c r="O27" s="37" t="s">
        <v>214</v>
      </c>
      <c r="P27" s="37" t="s">
        <v>187</v>
      </c>
      <c r="Q27" s="45" t="str">
        <f t="shared" ca="1" si="1"/>
        <v>Im Zeitplan</v>
      </c>
      <c r="R27" s="37" t="s">
        <v>204</v>
      </c>
      <c r="S27">
        <f t="shared" si="2"/>
        <v>7</v>
      </c>
      <c r="T27">
        <f t="shared" si="3"/>
        <v>2026</v>
      </c>
    </row>
    <row r="28" spans="1:20" x14ac:dyDescent="0.25">
      <c r="A28" s="37" t="s">
        <v>228</v>
      </c>
      <c r="B28" s="38">
        <v>46209</v>
      </c>
      <c r="C28" s="37" t="s">
        <v>91</v>
      </c>
      <c r="D28" s="39" t="str">
        <f>IFERROR(INDEX(Kunden!$B$4:$B$11,MATCH(C28,Kunden!$A$4:$A$11,0)),"")</f>
        <v>Hoffmann Spedition GmbH</v>
      </c>
      <c r="E28" s="40" t="s">
        <v>170</v>
      </c>
      <c r="F28" s="40" t="s">
        <v>229</v>
      </c>
      <c r="G28" s="37" t="s">
        <v>66</v>
      </c>
      <c r="H28" s="41">
        <f>IFERROR(INDEX(Mitarbeiter!$D$4:$D$8,MATCH(G28,Mitarbeiter!$A$4:$A$8,0)),"")</f>
        <v>34</v>
      </c>
      <c r="I28" s="42">
        <v>55</v>
      </c>
      <c r="J28" s="43">
        <v>2400</v>
      </c>
      <c r="K28" s="41">
        <f t="shared" si="0"/>
        <v>4270</v>
      </c>
      <c r="L28" s="38">
        <v>46209</v>
      </c>
      <c r="M28" s="38">
        <v>46227</v>
      </c>
      <c r="N28" s="44">
        <v>0.3</v>
      </c>
      <c r="O28" s="37" t="s">
        <v>214</v>
      </c>
      <c r="P28" s="37" t="s">
        <v>187</v>
      </c>
      <c r="Q28" s="45" t="str">
        <f t="shared" ca="1" si="1"/>
        <v>Im Zeitplan</v>
      </c>
      <c r="R28" s="37" t="s">
        <v>204</v>
      </c>
      <c r="S28">
        <f t="shared" si="2"/>
        <v>7</v>
      </c>
      <c r="T28">
        <f t="shared" si="3"/>
        <v>2026</v>
      </c>
    </row>
    <row r="29" spans="1:20" x14ac:dyDescent="0.25">
      <c r="A29" s="37" t="s">
        <v>230</v>
      </c>
      <c r="B29" s="38">
        <v>46213</v>
      </c>
      <c r="C29" s="37" t="s">
        <v>107</v>
      </c>
      <c r="D29" s="39" t="str">
        <f>IFERROR(INDEX(Kunden!$B$4:$B$11,MATCH(C29,Kunden!$A$4:$A$11,0)),"")</f>
        <v>Stadtwerke Greven AöR</v>
      </c>
      <c r="E29" s="40" t="s">
        <v>179</v>
      </c>
      <c r="F29" s="40" t="s">
        <v>231</v>
      </c>
      <c r="G29" s="37" t="s">
        <v>66</v>
      </c>
      <c r="H29" s="41">
        <f>IFERROR(INDEX(Mitarbeiter!$D$4:$D$8,MATCH(G29,Mitarbeiter!$A$4:$A$8,0)),"")</f>
        <v>34</v>
      </c>
      <c r="I29" s="42">
        <v>58</v>
      </c>
      <c r="J29" s="43">
        <v>2800</v>
      </c>
      <c r="K29" s="41">
        <f t="shared" si="0"/>
        <v>4772</v>
      </c>
      <c r="L29" s="38">
        <v>46213</v>
      </c>
      <c r="M29" s="38">
        <v>46233</v>
      </c>
      <c r="N29" s="44">
        <v>0.2</v>
      </c>
      <c r="O29" s="37" t="s">
        <v>232</v>
      </c>
      <c r="P29" s="37" t="s">
        <v>187</v>
      </c>
      <c r="Q29" s="45" t="str">
        <f t="shared" ca="1" si="1"/>
        <v>Im Zeitplan</v>
      </c>
      <c r="R29" s="37" t="s">
        <v>204</v>
      </c>
      <c r="S29">
        <f t="shared" si="2"/>
        <v>7</v>
      </c>
      <c r="T29">
        <f t="shared" si="3"/>
        <v>2026</v>
      </c>
    </row>
    <row r="30" spans="1:20" x14ac:dyDescent="0.25">
      <c r="A30" s="37" t="s">
        <v>233</v>
      </c>
      <c r="B30" s="38">
        <v>46205</v>
      </c>
      <c r="C30" s="37" t="s">
        <v>142</v>
      </c>
      <c r="D30" s="39" t="str">
        <f>IFERROR(INDEX(Kunden!$B$4:$B$11,MATCH(C30,Kunden!$A$4:$A$11,0)),"")</f>
        <v>Michael Terhaag</v>
      </c>
      <c r="E30" s="40" t="s">
        <v>192</v>
      </c>
      <c r="F30" s="40" t="s">
        <v>234</v>
      </c>
      <c r="G30" s="37" t="s">
        <v>74</v>
      </c>
      <c r="H30" s="41">
        <f>IFERROR(INDEX(Mitarbeiter!$D$4:$D$8,MATCH(G30,Mitarbeiter!$A$4:$A$8,0)),"")</f>
        <v>36</v>
      </c>
      <c r="I30" s="42">
        <v>55</v>
      </c>
      <c r="J30" s="43">
        <v>1800</v>
      </c>
      <c r="K30" s="41">
        <f t="shared" si="0"/>
        <v>3780</v>
      </c>
      <c r="L30" s="38">
        <v>46205</v>
      </c>
      <c r="M30" s="38">
        <v>46225</v>
      </c>
      <c r="N30" s="44">
        <v>0.4</v>
      </c>
      <c r="O30" s="37" t="s">
        <v>214</v>
      </c>
      <c r="P30" s="37" t="s">
        <v>187</v>
      </c>
      <c r="Q30" s="45" t="str">
        <f t="shared" ca="1" si="1"/>
        <v>Im Zeitplan</v>
      </c>
      <c r="R30" s="37" t="s">
        <v>204</v>
      </c>
      <c r="S30">
        <f t="shared" si="2"/>
        <v>7</v>
      </c>
      <c r="T30">
        <f t="shared" si="3"/>
        <v>2026</v>
      </c>
    </row>
    <row r="31" spans="1:20" x14ac:dyDescent="0.25">
      <c r="A31" s="37" t="s">
        <v>235</v>
      </c>
      <c r="B31" s="38">
        <v>46211</v>
      </c>
      <c r="C31" s="37" t="s">
        <v>115</v>
      </c>
      <c r="D31" s="39" t="str">
        <f>IFERROR(INDEX(Kunden!$B$4:$B$11,MATCH(C31,Kunden!$A$4:$A$11,0)),"")</f>
        <v>Tobias Reimann</v>
      </c>
      <c r="E31" s="40" t="s">
        <v>174</v>
      </c>
      <c r="F31" s="40" t="s">
        <v>236</v>
      </c>
      <c r="G31" s="37" t="s">
        <v>74</v>
      </c>
      <c r="H31" s="41">
        <f>IFERROR(INDEX(Mitarbeiter!$D$4:$D$8,MATCH(G31,Mitarbeiter!$A$4:$A$8,0)),"")</f>
        <v>36</v>
      </c>
      <c r="I31" s="42">
        <v>60</v>
      </c>
      <c r="J31" s="43">
        <v>1500</v>
      </c>
      <c r="K31" s="41">
        <f t="shared" si="0"/>
        <v>3660</v>
      </c>
      <c r="L31" s="38">
        <v>46211</v>
      </c>
      <c r="M31" s="38">
        <v>46231</v>
      </c>
      <c r="N31" s="44">
        <v>0.2</v>
      </c>
      <c r="O31" s="37" t="s">
        <v>232</v>
      </c>
      <c r="P31" s="37" t="s">
        <v>172</v>
      </c>
      <c r="Q31" s="45" t="str">
        <f t="shared" ca="1" si="1"/>
        <v>Im Zeitplan</v>
      </c>
      <c r="R31" s="37" t="s">
        <v>204</v>
      </c>
      <c r="S31">
        <f t="shared" si="2"/>
        <v>7</v>
      </c>
      <c r="T31">
        <f t="shared" si="3"/>
        <v>2026</v>
      </c>
    </row>
    <row r="32" spans="1:20" x14ac:dyDescent="0.25">
      <c r="A32" s="37" t="s">
        <v>237</v>
      </c>
      <c r="B32" s="38">
        <v>46208</v>
      </c>
      <c r="C32" s="37" t="s">
        <v>91</v>
      </c>
      <c r="D32" s="39" t="str">
        <f>IFERROR(INDEX(Kunden!$B$4:$B$11,MATCH(C32,Kunden!$A$4:$A$11,0)),"")</f>
        <v>Hoffmann Spedition GmbH</v>
      </c>
      <c r="E32" s="40" t="s">
        <v>170</v>
      </c>
      <c r="F32" s="40" t="s">
        <v>238</v>
      </c>
      <c r="G32" s="37" t="s">
        <v>61</v>
      </c>
      <c r="H32" s="41">
        <f>IFERROR(INDEX(Mitarbeiter!$D$4:$D$8,MATCH(G32,Mitarbeiter!$A$4:$A$8,0)),"")</f>
        <v>42</v>
      </c>
      <c r="I32" s="42">
        <v>90</v>
      </c>
      <c r="J32" s="43">
        <v>2600</v>
      </c>
      <c r="K32" s="41">
        <f t="shared" si="0"/>
        <v>6380</v>
      </c>
      <c r="L32" s="38">
        <v>46208</v>
      </c>
      <c r="M32" s="38">
        <v>46228</v>
      </c>
      <c r="N32" s="44">
        <v>0.3</v>
      </c>
      <c r="O32" s="37" t="s">
        <v>214</v>
      </c>
      <c r="P32" s="37" t="s">
        <v>187</v>
      </c>
      <c r="Q32" s="45" t="str">
        <f t="shared" ca="1" si="1"/>
        <v>Im Zeitplan</v>
      </c>
      <c r="R32" s="37" t="s">
        <v>204</v>
      </c>
      <c r="S32">
        <f t="shared" si="2"/>
        <v>7</v>
      </c>
      <c r="T32">
        <f t="shared" si="3"/>
        <v>2026</v>
      </c>
    </row>
    <row r="33" spans="1:20" x14ac:dyDescent="0.25">
      <c r="A33" s="37" t="s">
        <v>239</v>
      </c>
      <c r="B33" s="38">
        <v>46209</v>
      </c>
      <c r="C33" s="37" t="s">
        <v>107</v>
      </c>
      <c r="D33" s="39" t="str">
        <f>IFERROR(INDEX(Kunden!$B$4:$B$11,MATCH(C33,Kunden!$A$4:$A$11,0)),"")</f>
        <v>Stadtwerke Greven AöR</v>
      </c>
      <c r="E33" s="40" t="s">
        <v>179</v>
      </c>
      <c r="F33" s="40" t="s">
        <v>240</v>
      </c>
      <c r="G33" s="37" t="s">
        <v>70</v>
      </c>
      <c r="H33" s="41">
        <f>IFERROR(INDEX(Mitarbeiter!$D$4:$D$8,MATCH(G33,Mitarbeiter!$A$4:$A$8,0)),"")</f>
        <v>34</v>
      </c>
      <c r="I33" s="42">
        <v>75</v>
      </c>
      <c r="J33" s="43">
        <v>2100</v>
      </c>
      <c r="K33" s="41">
        <f t="shared" si="0"/>
        <v>4650</v>
      </c>
      <c r="L33" s="38">
        <v>46209</v>
      </c>
      <c r="M33" s="38">
        <v>46229</v>
      </c>
      <c r="N33" s="44">
        <v>0.35</v>
      </c>
      <c r="O33" s="37" t="s">
        <v>214</v>
      </c>
      <c r="P33" s="37" t="s">
        <v>172</v>
      </c>
      <c r="Q33" s="45" t="str">
        <f t="shared" ca="1" si="1"/>
        <v>Im Zeitplan</v>
      </c>
      <c r="R33" s="37" t="s">
        <v>204</v>
      </c>
      <c r="S33">
        <f t="shared" si="2"/>
        <v>7</v>
      </c>
      <c r="T33">
        <f t="shared" si="3"/>
        <v>2026</v>
      </c>
    </row>
    <row r="34" spans="1:20" x14ac:dyDescent="0.25">
      <c r="A34" s="37" t="s">
        <v>241</v>
      </c>
      <c r="B34" s="38">
        <v>46211</v>
      </c>
      <c r="C34" s="37" t="s">
        <v>136</v>
      </c>
      <c r="D34" s="39" t="str">
        <f>IFERROR(INDEX(Kunden!$B$4:$B$11,MATCH(C34,Kunden!$A$4:$A$11,0)),"")</f>
        <v>Grünflächen Service Nord GmbH</v>
      </c>
      <c r="E34" s="40" t="s">
        <v>189</v>
      </c>
      <c r="F34" s="40" t="s">
        <v>242</v>
      </c>
      <c r="G34" s="37" t="s">
        <v>78</v>
      </c>
      <c r="H34" s="41">
        <f>IFERROR(INDEX(Mitarbeiter!$D$4:$D$8,MATCH(G34,Mitarbeiter!$A$4:$A$8,0)),"")</f>
        <v>21</v>
      </c>
      <c r="I34" s="42">
        <v>32</v>
      </c>
      <c r="J34" s="43">
        <v>400</v>
      </c>
      <c r="K34" s="41">
        <f t="shared" si="0"/>
        <v>1072</v>
      </c>
      <c r="L34" s="38">
        <v>46211</v>
      </c>
      <c r="M34" s="38">
        <v>46221</v>
      </c>
      <c r="N34" s="44">
        <v>0.6</v>
      </c>
      <c r="O34" s="37" t="s">
        <v>214</v>
      </c>
      <c r="P34" s="37" t="s">
        <v>167</v>
      </c>
      <c r="Q34" s="45" t="str">
        <f t="shared" ca="1" si="1"/>
        <v>Im Zeitplan</v>
      </c>
      <c r="R34" s="37" t="s">
        <v>204</v>
      </c>
      <c r="S34">
        <f t="shared" si="2"/>
        <v>7</v>
      </c>
      <c r="T34">
        <f t="shared" si="3"/>
        <v>2026</v>
      </c>
    </row>
  </sheetData>
  <mergeCells count="1">
    <mergeCell ref="A1:R1"/>
  </mergeCells>
  <conditionalFormatting sqref="N4:N34">
    <cfRule type="colorScale" priority="8">
      <colorScale>
        <cfvo type="min"/>
        <cfvo type="percentile" val="50"/>
        <cfvo type="max"/>
        <color rgb="FFF6D9D4"/>
        <color rgb="FFFBE6CF"/>
        <color rgb="FFDCEBDA"/>
      </colorScale>
    </cfRule>
  </conditionalFormatting>
  <conditionalFormatting sqref="P4:P34">
    <cfRule type="cellIs" dxfId="8" priority="2" operator="equal">
      <formula>"Hoch"</formula>
    </cfRule>
    <cfRule type="cellIs" dxfId="7" priority="3" operator="equal">
      <formula>"Mittel"</formula>
    </cfRule>
    <cfRule type="cellIs" dxfId="6" priority="4" operator="equal">
      <formula>"Niedrig"</formula>
    </cfRule>
  </conditionalFormatting>
  <conditionalFormatting sqref="Q4:Q34">
    <cfRule type="cellIs" dxfId="5" priority="5" operator="equal">
      <formula>"Überfällig"</formula>
    </cfRule>
    <cfRule type="cellIs" dxfId="4" priority="6" operator="equal">
      <formula>"Im Zeitplan"</formula>
    </cfRule>
    <cfRule type="cellIs" dxfId="3" priority="7" operator="equal">
      <formula>"Erledigt"</formula>
    </cfRule>
  </conditionalFormatting>
  <dataValidations count="3">
    <dataValidation type="list" allowBlank="1" sqref="O4:O84" xr:uid="{00000000-0002-0000-0400-000002000000}">
      <formula1>"Anfrage,Angebot gesendet,Beauftragt,In Arbeit,Wartet auf Ersatzteile,Fertig,Abgerechnet,Storniert"</formula1>
      <formula2>0</formula2>
    </dataValidation>
    <dataValidation type="list" allowBlank="1" sqref="P4:P84" xr:uid="{00000000-0002-0000-0400-000003000000}">
      <formula1>"Hoch,Mittel,Niedrig"</formula1>
      <formula2>0</formula2>
    </dataValidation>
    <dataValidation type="list" allowBlank="1" sqref="R4:R84" xr:uid="{00000000-0002-0000-0400-000004000000}">
      <formula1>"Offen,Gestellt,Bezahlt"</formula1>
      <formula2>0</formula2>
    </dataValidation>
  </dataValidations>
  <pageMargins left="0.4" right="0.4" top="0.5" bottom="0.5" header="0.511811023622047" footer="0.511811023622047"/>
  <pageSetup fitToHeight="0" orientation="landscape" horizontalDpi="300" verticalDpi="30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400-000000000000}">
          <x14:formula1>
            <xm:f>Kunden!$A$4:$A$11</xm:f>
          </x14:formula1>
          <x14:formula2>
            <xm:f>0</xm:f>
          </x14:formula2>
          <xm:sqref>C4:C84</xm:sqref>
        </x14:dataValidation>
        <x14:dataValidation type="list" allowBlank="1" xr:uid="{00000000-0002-0000-0400-000001000000}">
          <x14:formula1>
            <xm:f>Mitarbeiter!$A$4:$A$8</xm:f>
          </x14:formula1>
          <x14:formula2>
            <xm:f>0</xm:f>
          </x14:formula2>
          <xm:sqref>G4:G84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9622B"/>
    <pageSetUpPr fitToPage="1"/>
  </sheetPr>
  <dimension ref="A1:G38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10" customWidth="1"/>
    <col min="2" max="2" width="20" customWidth="1"/>
    <col min="3" max="3" width="14" customWidth="1"/>
    <col min="4" max="4" width="13" customWidth="1"/>
    <col min="5" max="5" width="15" customWidth="1"/>
    <col min="6" max="6" width="12" customWidth="1"/>
    <col min="7" max="7" width="14" customWidth="1"/>
  </cols>
  <sheetData>
    <row r="1" spans="1:7" ht="25.5" customHeight="1" x14ac:dyDescent="0.35">
      <c r="A1" s="1" t="s">
        <v>243</v>
      </c>
      <c r="B1" s="1"/>
      <c r="C1" s="1"/>
      <c r="D1" s="1"/>
      <c r="E1" s="1"/>
      <c r="F1" s="1"/>
      <c r="G1" s="1"/>
    </row>
    <row r="3" spans="1:7" ht="30" customHeight="1" x14ac:dyDescent="0.25">
      <c r="A3" s="31" t="s">
        <v>42</v>
      </c>
      <c r="B3" s="31" t="s">
        <v>55</v>
      </c>
      <c r="C3" s="31" t="s">
        <v>244</v>
      </c>
      <c r="D3" s="31" t="s">
        <v>153</v>
      </c>
      <c r="E3" s="31" t="s">
        <v>245</v>
      </c>
      <c r="F3" s="31" t="s">
        <v>47</v>
      </c>
      <c r="G3" s="31" t="s">
        <v>48</v>
      </c>
    </row>
    <row r="4" spans="1:7" x14ac:dyDescent="0.25">
      <c r="A4" s="46" t="s">
        <v>61</v>
      </c>
      <c r="B4" s="28" t="str">
        <f>Mitarbeiter!B4</f>
        <v>Jonas Brandner</v>
      </c>
      <c r="C4" s="46" t="s">
        <v>246</v>
      </c>
      <c r="D4" s="47">
        <f>SUMIFS(Auftragsplaner!$I$4:$I$34,Auftragsplaner!$G$4:$G$34,$A4,Auftragsplaner!$S$4:$S$34,1,Auftragsplaner!$T$4:$T$34,2026)</f>
        <v>3</v>
      </c>
      <c r="E4" s="47">
        <f>Mitarbeiter!E4*4.33</f>
        <v>164.54</v>
      </c>
      <c r="F4" s="48">
        <f t="shared" ref="F4:F38" si="0">IFERROR(D4/E4,0)</f>
        <v>1.823264859608606E-2</v>
      </c>
      <c r="G4" s="46" t="str">
        <f t="shared" ref="G4:G38" si="1">IF(F4&gt;1,"Überlastet",IF(F4&gt;=0.85,"Ausgelastet","Frei"))</f>
        <v>Frei</v>
      </c>
    </row>
    <row r="5" spans="1:7" x14ac:dyDescent="0.25">
      <c r="A5" s="46" t="s">
        <v>61</v>
      </c>
      <c r="B5" s="28" t="str">
        <f>Mitarbeiter!B4</f>
        <v>Jonas Brandner</v>
      </c>
      <c r="C5" s="46" t="s">
        <v>247</v>
      </c>
      <c r="D5" s="47">
        <f>SUMIFS(Auftragsplaner!$I$4:$I$34,Auftragsplaner!$G$4:$G$34,$A5,Auftragsplaner!$S$4:$S$34,2,Auftragsplaner!$T$4:$T$34,2026)</f>
        <v>4</v>
      </c>
      <c r="E5" s="47">
        <f>Mitarbeiter!E4*4.33</f>
        <v>164.54</v>
      </c>
      <c r="F5" s="48">
        <f t="shared" si="0"/>
        <v>2.4310198128114746E-2</v>
      </c>
      <c r="G5" s="46" t="str">
        <f t="shared" si="1"/>
        <v>Frei</v>
      </c>
    </row>
    <row r="6" spans="1:7" x14ac:dyDescent="0.25">
      <c r="A6" s="46" t="s">
        <v>61</v>
      </c>
      <c r="B6" s="28" t="str">
        <f>Mitarbeiter!B4</f>
        <v>Jonas Brandner</v>
      </c>
      <c r="C6" s="46" t="s">
        <v>248</v>
      </c>
      <c r="D6" s="47">
        <f>SUMIFS(Auftragsplaner!$I$4:$I$34,Auftragsplaner!$G$4:$G$34,$A6,Auftragsplaner!$S$4:$S$34,3,Auftragsplaner!$T$4:$T$34,2026)</f>
        <v>0</v>
      </c>
      <c r="E6" s="47">
        <f>Mitarbeiter!E4*4.33</f>
        <v>164.54</v>
      </c>
      <c r="F6" s="48">
        <f t="shared" si="0"/>
        <v>0</v>
      </c>
      <c r="G6" s="46" t="str">
        <f t="shared" si="1"/>
        <v>Frei</v>
      </c>
    </row>
    <row r="7" spans="1:7" x14ac:dyDescent="0.25">
      <c r="A7" s="46" t="s">
        <v>61</v>
      </c>
      <c r="B7" s="28" t="str">
        <f>Mitarbeiter!B4</f>
        <v>Jonas Brandner</v>
      </c>
      <c r="C7" s="46" t="s">
        <v>249</v>
      </c>
      <c r="D7" s="47">
        <f>SUMIFS(Auftragsplaner!$I$4:$I$34,Auftragsplaner!$G$4:$G$34,$A7,Auftragsplaner!$S$4:$S$34,4,Auftragsplaner!$T$4:$T$34,2026)</f>
        <v>8</v>
      </c>
      <c r="E7" s="47">
        <f>Mitarbeiter!E4*4.33</f>
        <v>164.54</v>
      </c>
      <c r="F7" s="48">
        <f t="shared" si="0"/>
        <v>4.8620396256229492E-2</v>
      </c>
      <c r="G7" s="46" t="str">
        <f t="shared" si="1"/>
        <v>Frei</v>
      </c>
    </row>
    <row r="8" spans="1:7" x14ac:dyDescent="0.25">
      <c r="A8" s="46" t="s">
        <v>61</v>
      </c>
      <c r="B8" s="28" t="str">
        <f>Mitarbeiter!B4</f>
        <v>Jonas Brandner</v>
      </c>
      <c r="C8" s="46" t="s">
        <v>250</v>
      </c>
      <c r="D8" s="47">
        <f>SUMIFS(Auftragsplaner!$I$4:$I$34,Auftragsplaner!$G$4:$G$34,$A8,Auftragsplaner!$S$4:$S$34,5,Auftragsplaner!$T$4:$T$34,2026)</f>
        <v>0</v>
      </c>
      <c r="E8" s="47">
        <f>Mitarbeiter!E4*4.33</f>
        <v>164.54</v>
      </c>
      <c r="F8" s="48">
        <f t="shared" si="0"/>
        <v>0</v>
      </c>
      <c r="G8" s="46" t="str">
        <f t="shared" si="1"/>
        <v>Frei</v>
      </c>
    </row>
    <row r="9" spans="1:7" x14ac:dyDescent="0.25">
      <c r="A9" s="46" t="s">
        <v>61</v>
      </c>
      <c r="B9" s="28" t="str">
        <f>Mitarbeiter!B4</f>
        <v>Jonas Brandner</v>
      </c>
      <c r="C9" s="46" t="s">
        <v>251</v>
      </c>
      <c r="D9" s="47">
        <f>SUMIFS(Auftragsplaner!$I$4:$I$34,Auftragsplaner!$G$4:$G$34,$A9,Auftragsplaner!$S$4:$S$34,6,Auftragsplaner!$T$4:$T$34,2026)</f>
        <v>0</v>
      </c>
      <c r="E9" s="47">
        <f>Mitarbeiter!E4*4.33</f>
        <v>164.54</v>
      </c>
      <c r="F9" s="48">
        <f t="shared" si="0"/>
        <v>0</v>
      </c>
      <c r="G9" s="46" t="str">
        <f t="shared" si="1"/>
        <v>Frei</v>
      </c>
    </row>
    <row r="10" spans="1:7" x14ac:dyDescent="0.25">
      <c r="A10" s="46" t="s">
        <v>61</v>
      </c>
      <c r="B10" s="28" t="str">
        <f>Mitarbeiter!B4</f>
        <v>Jonas Brandner</v>
      </c>
      <c r="C10" s="46" t="s">
        <v>252</v>
      </c>
      <c r="D10" s="47">
        <f>SUMIFS(Auftragsplaner!$I$4:$I$34,Auftragsplaner!$G$4:$G$34,$A10,Auftragsplaner!$S$4:$S$34,7,Auftragsplaner!$T$4:$T$34,2026)</f>
        <v>98.5</v>
      </c>
      <c r="E10" s="47">
        <f>Mitarbeiter!E4*4.33</f>
        <v>164.54</v>
      </c>
      <c r="F10" s="48">
        <f t="shared" si="0"/>
        <v>0.59863862890482555</v>
      </c>
      <c r="G10" s="46" t="str">
        <f t="shared" si="1"/>
        <v>Frei</v>
      </c>
    </row>
    <row r="11" spans="1:7" x14ac:dyDescent="0.25">
      <c r="A11" s="46" t="s">
        <v>66</v>
      </c>
      <c r="B11" s="28" t="str">
        <f>Mitarbeiter!B5</f>
        <v>Miriam Kessler</v>
      </c>
      <c r="C11" s="46" t="s">
        <v>246</v>
      </c>
      <c r="D11" s="47">
        <f>SUMIFS(Auftragsplaner!$I$4:$I$34,Auftragsplaner!$G$4:$G$34,$A11,Auftragsplaner!$S$4:$S$34,1,Auftragsplaner!$T$4:$T$34,2026)</f>
        <v>2.5</v>
      </c>
      <c r="E11" s="47">
        <f>Mitarbeiter!E5*4.33</f>
        <v>164.54</v>
      </c>
      <c r="F11" s="48">
        <f t="shared" si="0"/>
        <v>1.5193873830071716E-2</v>
      </c>
      <c r="G11" s="46" t="str">
        <f t="shared" si="1"/>
        <v>Frei</v>
      </c>
    </row>
    <row r="12" spans="1:7" x14ac:dyDescent="0.25">
      <c r="A12" s="46" t="s">
        <v>66</v>
      </c>
      <c r="B12" s="28" t="str">
        <f>Mitarbeiter!B5</f>
        <v>Miriam Kessler</v>
      </c>
      <c r="C12" s="46" t="s">
        <v>247</v>
      </c>
      <c r="D12" s="47">
        <f>SUMIFS(Auftragsplaner!$I$4:$I$34,Auftragsplaner!$G$4:$G$34,$A12,Auftragsplaner!$S$4:$S$34,2,Auftragsplaner!$T$4:$T$34,2026)</f>
        <v>6.5</v>
      </c>
      <c r="E12" s="47">
        <f>Mitarbeiter!E5*4.33</f>
        <v>164.54</v>
      </c>
      <c r="F12" s="48">
        <f t="shared" si="0"/>
        <v>3.9504071958186462E-2</v>
      </c>
      <c r="G12" s="46" t="str">
        <f t="shared" si="1"/>
        <v>Frei</v>
      </c>
    </row>
    <row r="13" spans="1:7" x14ac:dyDescent="0.25">
      <c r="A13" s="46" t="s">
        <v>66</v>
      </c>
      <c r="B13" s="28" t="str">
        <f>Mitarbeiter!B5</f>
        <v>Miriam Kessler</v>
      </c>
      <c r="C13" s="46" t="s">
        <v>248</v>
      </c>
      <c r="D13" s="47">
        <f>SUMIFS(Auftragsplaner!$I$4:$I$34,Auftragsplaner!$G$4:$G$34,$A13,Auftragsplaner!$S$4:$S$34,3,Auftragsplaner!$T$4:$T$34,2026)</f>
        <v>0</v>
      </c>
      <c r="E13" s="47">
        <f>Mitarbeiter!E5*4.33</f>
        <v>164.54</v>
      </c>
      <c r="F13" s="48">
        <f t="shared" si="0"/>
        <v>0</v>
      </c>
      <c r="G13" s="46" t="str">
        <f t="shared" si="1"/>
        <v>Frei</v>
      </c>
    </row>
    <row r="14" spans="1:7" x14ac:dyDescent="0.25">
      <c r="A14" s="46" t="s">
        <v>66</v>
      </c>
      <c r="B14" s="28" t="str">
        <f>Mitarbeiter!B5</f>
        <v>Miriam Kessler</v>
      </c>
      <c r="C14" s="46" t="s">
        <v>249</v>
      </c>
      <c r="D14" s="47">
        <f>SUMIFS(Auftragsplaner!$I$4:$I$34,Auftragsplaner!$G$4:$G$34,$A14,Auftragsplaner!$S$4:$S$34,4,Auftragsplaner!$T$4:$T$34,2026)</f>
        <v>0</v>
      </c>
      <c r="E14" s="47">
        <f>Mitarbeiter!E5*4.33</f>
        <v>164.54</v>
      </c>
      <c r="F14" s="48">
        <f t="shared" si="0"/>
        <v>0</v>
      </c>
      <c r="G14" s="46" t="str">
        <f t="shared" si="1"/>
        <v>Frei</v>
      </c>
    </row>
    <row r="15" spans="1:7" x14ac:dyDescent="0.25">
      <c r="A15" s="46" t="s">
        <v>66</v>
      </c>
      <c r="B15" s="28" t="str">
        <f>Mitarbeiter!B5</f>
        <v>Miriam Kessler</v>
      </c>
      <c r="C15" s="46" t="s">
        <v>250</v>
      </c>
      <c r="D15" s="47">
        <f>SUMIFS(Auftragsplaner!$I$4:$I$34,Auftragsplaner!$G$4:$G$34,$A15,Auftragsplaner!$S$4:$S$34,5,Auftragsplaner!$T$4:$T$34,2026)</f>
        <v>2</v>
      </c>
      <c r="E15" s="47">
        <f>Mitarbeiter!E5*4.33</f>
        <v>164.54</v>
      </c>
      <c r="F15" s="48">
        <f t="shared" si="0"/>
        <v>1.2155099064057373E-2</v>
      </c>
      <c r="G15" s="46" t="str">
        <f t="shared" si="1"/>
        <v>Frei</v>
      </c>
    </row>
    <row r="16" spans="1:7" x14ac:dyDescent="0.25">
      <c r="A16" s="46" t="s">
        <v>66</v>
      </c>
      <c r="B16" s="28" t="str">
        <f>Mitarbeiter!B5</f>
        <v>Miriam Kessler</v>
      </c>
      <c r="C16" s="46" t="s">
        <v>251</v>
      </c>
      <c r="D16" s="47">
        <f>SUMIFS(Auftragsplaner!$I$4:$I$34,Auftragsplaner!$G$4:$G$34,$A16,Auftragsplaner!$S$4:$S$34,6,Auftragsplaner!$T$4:$T$34,2026)</f>
        <v>1.5</v>
      </c>
      <c r="E16" s="47">
        <f>Mitarbeiter!E5*4.33</f>
        <v>164.54</v>
      </c>
      <c r="F16" s="48">
        <f t="shared" si="0"/>
        <v>9.1163242980430298E-3</v>
      </c>
      <c r="G16" s="46" t="str">
        <f t="shared" si="1"/>
        <v>Frei</v>
      </c>
    </row>
    <row r="17" spans="1:7" x14ac:dyDescent="0.25">
      <c r="A17" s="46" t="s">
        <v>66</v>
      </c>
      <c r="B17" s="28" t="str">
        <f>Mitarbeiter!B5</f>
        <v>Miriam Kessler</v>
      </c>
      <c r="C17" s="46" t="s">
        <v>252</v>
      </c>
      <c r="D17" s="47">
        <f>SUMIFS(Auftragsplaner!$I$4:$I$34,Auftragsplaner!$G$4:$G$34,$A17,Auftragsplaner!$S$4:$S$34,7,Auftragsplaner!$T$4:$T$34,2026)</f>
        <v>173</v>
      </c>
      <c r="E17" s="47">
        <f>Mitarbeiter!E5*4.33</f>
        <v>164.54</v>
      </c>
      <c r="F17" s="48">
        <f t="shared" si="0"/>
        <v>1.0514160690409626</v>
      </c>
      <c r="G17" s="46" t="str">
        <f t="shared" si="1"/>
        <v>Überlastet</v>
      </c>
    </row>
    <row r="18" spans="1:7" x14ac:dyDescent="0.25">
      <c r="A18" s="46" t="s">
        <v>70</v>
      </c>
      <c r="B18" s="28" t="str">
        <f>Mitarbeiter!B6</f>
        <v>Ali Demirtas</v>
      </c>
      <c r="C18" s="46" t="s">
        <v>246</v>
      </c>
      <c r="D18" s="47">
        <f>SUMIFS(Auftragsplaner!$I$4:$I$34,Auftragsplaner!$G$4:$G$34,$A18,Auftragsplaner!$S$4:$S$34,1,Auftragsplaner!$T$4:$T$34,2026)</f>
        <v>0</v>
      </c>
      <c r="E18" s="47">
        <f>Mitarbeiter!E6*4.33</f>
        <v>164.54</v>
      </c>
      <c r="F18" s="48">
        <f t="shared" si="0"/>
        <v>0</v>
      </c>
      <c r="G18" s="46" t="str">
        <f t="shared" si="1"/>
        <v>Frei</v>
      </c>
    </row>
    <row r="19" spans="1:7" x14ac:dyDescent="0.25">
      <c r="A19" s="46" t="s">
        <v>70</v>
      </c>
      <c r="B19" s="28" t="str">
        <f>Mitarbeiter!B6</f>
        <v>Ali Demirtas</v>
      </c>
      <c r="C19" s="46" t="s">
        <v>247</v>
      </c>
      <c r="D19" s="47">
        <f>SUMIFS(Auftragsplaner!$I$4:$I$34,Auftragsplaner!$G$4:$G$34,$A19,Auftragsplaner!$S$4:$S$34,2,Auftragsplaner!$T$4:$T$34,2026)</f>
        <v>1</v>
      </c>
      <c r="E19" s="47">
        <f>Mitarbeiter!E6*4.33</f>
        <v>164.54</v>
      </c>
      <c r="F19" s="48">
        <f t="shared" si="0"/>
        <v>6.0775495320286865E-3</v>
      </c>
      <c r="G19" s="46" t="str">
        <f t="shared" si="1"/>
        <v>Frei</v>
      </c>
    </row>
    <row r="20" spans="1:7" x14ac:dyDescent="0.25">
      <c r="A20" s="46" t="s">
        <v>70</v>
      </c>
      <c r="B20" s="28" t="str">
        <f>Mitarbeiter!B6</f>
        <v>Ali Demirtas</v>
      </c>
      <c r="C20" s="46" t="s">
        <v>248</v>
      </c>
      <c r="D20" s="47">
        <f>SUMIFS(Auftragsplaner!$I$4:$I$34,Auftragsplaner!$G$4:$G$34,$A20,Auftragsplaner!$S$4:$S$34,3,Auftragsplaner!$T$4:$T$34,2026)</f>
        <v>1</v>
      </c>
      <c r="E20" s="47">
        <f>Mitarbeiter!E6*4.33</f>
        <v>164.54</v>
      </c>
      <c r="F20" s="48">
        <f t="shared" si="0"/>
        <v>6.0775495320286865E-3</v>
      </c>
      <c r="G20" s="46" t="str">
        <f t="shared" si="1"/>
        <v>Frei</v>
      </c>
    </row>
    <row r="21" spans="1:7" x14ac:dyDescent="0.25">
      <c r="A21" s="46" t="s">
        <v>70</v>
      </c>
      <c r="B21" s="28" t="str">
        <f>Mitarbeiter!B6</f>
        <v>Ali Demirtas</v>
      </c>
      <c r="C21" s="46" t="s">
        <v>249</v>
      </c>
      <c r="D21" s="47">
        <f>SUMIFS(Auftragsplaner!$I$4:$I$34,Auftragsplaner!$G$4:$G$34,$A21,Auftragsplaner!$S$4:$S$34,4,Auftragsplaner!$T$4:$T$34,2026)</f>
        <v>0</v>
      </c>
      <c r="E21" s="47">
        <f>Mitarbeiter!E6*4.33</f>
        <v>164.54</v>
      </c>
      <c r="F21" s="48">
        <f t="shared" si="0"/>
        <v>0</v>
      </c>
      <c r="G21" s="46" t="str">
        <f t="shared" si="1"/>
        <v>Frei</v>
      </c>
    </row>
    <row r="22" spans="1:7" x14ac:dyDescent="0.25">
      <c r="A22" s="46" t="s">
        <v>70</v>
      </c>
      <c r="B22" s="28" t="str">
        <f>Mitarbeiter!B6</f>
        <v>Ali Demirtas</v>
      </c>
      <c r="C22" s="46" t="s">
        <v>250</v>
      </c>
      <c r="D22" s="47">
        <f>SUMIFS(Auftragsplaner!$I$4:$I$34,Auftragsplaner!$G$4:$G$34,$A22,Auftragsplaner!$S$4:$S$34,5,Auftragsplaner!$T$4:$T$34,2026)</f>
        <v>2.5</v>
      </c>
      <c r="E22" s="47">
        <f>Mitarbeiter!E6*4.33</f>
        <v>164.54</v>
      </c>
      <c r="F22" s="48">
        <f t="shared" si="0"/>
        <v>1.5193873830071716E-2</v>
      </c>
      <c r="G22" s="46" t="str">
        <f t="shared" si="1"/>
        <v>Frei</v>
      </c>
    </row>
    <row r="23" spans="1:7" x14ac:dyDescent="0.25">
      <c r="A23" s="46" t="s">
        <v>70</v>
      </c>
      <c r="B23" s="28" t="str">
        <f>Mitarbeiter!B6</f>
        <v>Ali Demirtas</v>
      </c>
      <c r="C23" s="46" t="s">
        <v>251</v>
      </c>
      <c r="D23" s="47">
        <f>SUMIFS(Auftragsplaner!$I$4:$I$34,Auftragsplaner!$G$4:$G$34,$A23,Auftragsplaner!$S$4:$S$34,6,Auftragsplaner!$T$4:$T$34,2026)</f>
        <v>0</v>
      </c>
      <c r="E23" s="47">
        <f>Mitarbeiter!E6*4.33</f>
        <v>164.54</v>
      </c>
      <c r="F23" s="48">
        <f t="shared" si="0"/>
        <v>0</v>
      </c>
      <c r="G23" s="46" t="str">
        <f t="shared" si="1"/>
        <v>Frei</v>
      </c>
    </row>
    <row r="24" spans="1:7" x14ac:dyDescent="0.25">
      <c r="A24" s="46" t="s">
        <v>70</v>
      </c>
      <c r="B24" s="28" t="str">
        <f>Mitarbeiter!B6</f>
        <v>Ali Demirtas</v>
      </c>
      <c r="C24" s="46" t="s">
        <v>252</v>
      </c>
      <c r="D24" s="47">
        <f>SUMIFS(Auftragsplaner!$I$4:$I$34,Auftragsplaner!$G$4:$G$34,$A24,Auftragsplaner!$S$4:$S$34,7,Auftragsplaner!$T$4:$T$34,2026)</f>
        <v>81.5</v>
      </c>
      <c r="E24" s="47">
        <f>Mitarbeiter!E6*4.33</f>
        <v>164.54</v>
      </c>
      <c r="F24" s="48">
        <f t="shared" si="0"/>
        <v>0.49532028686033791</v>
      </c>
      <c r="G24" s="46" t="str">
        <f t="shared" si="1"/>
        <v>Frei</v>
      </c>
    </row>
    <row r="25" spans="1:7" x14ac:dyDescent="0.25">
      <c r="A25" s="46" t="s">
        <v>74</v>
      </c>
      <c r="B25" s="28" t="str">
        <f>Mitarbeiter!B7</f>
        <v>Sven Ostendorf</v>
      </c>
      <c r="C25" s="46" t="s">
        <v>246</v>
      </c>
      <c r="D25" s="47">
        <f>SUMIFS(Auftragsplaner!$I$4:$I$34,Auftragsplaner!$G$4:$G$34,$A25,Auftragsplaner!$S$4:$S$34,1,Auftragsplaner!$T$4:$T$34,2026)</f>
        <v>1.5</v>
      </c>
      <c r="E25" s="47">
        <f>Mitarbeiter!E7*4.33</f>
        <v>129.9</v>
      </c>
      <c r="F25" s="48">
        <f t="shared" si="0"/>
        <v>1.1547344110854504E-2</v>
      </c>
      <c r="G25" s="46" t="str">
        <f t="shared" si="1"/>
        <v>Frei</v>
      </c>
    </row>
    <row r="26" spans="1:7" x14ac:dyDescent="0.25">
      <c r="A26" s="46" t="s">
        <v>74</v>
      </c>
      <c r="B26" s="28" t="str">
        <f>Mitarbeiter!B7</f>
        <v>Sven Ostendorf</v>
      </c>
      <c r="C26" s="46" t="s">
        <v>247</v>
      </c>
      <c r="D26" s="47">
        <f>SUMIFS(Auftragsplaner!$I$4:$I$34,Auftragsplaner!$G$4:$G$34,$A26,Auftragsplaner!$S$4:$S$34,2,Auftragsplaner!$T$4:$T$34,2026)</f>
        <v>0</v>
      </c>
      <c r="E26" s="47">
        <f>Mitarbeiter!E7*4.33</f>
        <v>129.9</v>
      </c>
      <c r="F26" s="48">
        <f t="shared" si="0"/>
        <v>0</v>
      </c>
      <c r="G26" s="46" t="str">
        <f t="shared" si="1"/>
        <v>Frei</v>
      </c>
    </row>
    <row r="27" spans="1:7" x14ac:dyDescent="0.25">
      <c r="A27" s="46" t="s">
        <v>74</v>
      </c>
      <c r="B27" s="28" t="str">
        <f>Mitarbeiter!B7</f>
        <v>Sven Ostendorf</v>
      </c>
      <c r="C27" s="46" t="s">
        <v>248</v>
      </c>
      <c r="D27" s="47">
        <f>SUMIFS(Auftragsplaner!$I$4:$I$34,Auftragsplaner!$G$4:$G$34,$A27,Auftragsplaner!$S$4:$S$34,3,Auftragsplaner!$T$4:$T$34,2026)</f>
        <v>1</v>
      </c>
      <c r="E27" s="47">
        <f>Mitarbeiter!E7*4.33</f>
        <v>129.9</v>
      </c>
      <c r="F27" s="48">
        <f t="shared" si="0"/>
        <v>7.6982294072363349E-3</v>
      </c>
      <c r="G27" s="46" t="str">
        <f t="shared" si="1"/>
        <v>Frei</v>
      </c>
    </row>
    <row r="28" spans="1:7" x14ac:dyDescent="0.25">
      <c r="A28" s="46" t="s">
        <v>74</v>
      </c>
      <c r="B28" s="28" t="str">
        <f>Mitarbeiter!B7</f>
        <v>Sven Ostendorf</v>
      </c>
      <c r="C28" s="46" t="s">
        <v>249</v>
      </c>
      <c r="D28" s="47">
        <f>SUMIFS(Auftragsplaner!$I$4:$I$34,Auftragsplaner!$G$4:$G$34,$A28,Auftragsplaner!$S$4:$S$34,4,Auftragsplaner!$T$4:$T$34,2026)</f>
        <v>5</v>
      </c>
      <c r="E28" s="47">
        <f>Mitarbeiter!E7*4.33</f>
        <v>129.9</v>
      </c>
      <c r="F28" s="48">
        <f t="shared" si="0"/>
        <v>3.8491147036181679E-2</v>
      </c>
      <c r="G28" s="46" t="str">
        <f t="shared" si="1"/>
        <v>Frei</v>
      </c>
    </row>
    <row r="29" spans="1:7" x14ac:dyDescent="0.25">
      <c r="A29" s="46" t="s">
        <v>74</v>
      </c>
      <c r="B29" s="28" t="str">
        <f>Mitarbeiter!B7</f>
        <v>Sven Ostendorf</v>
      </c>
      <c r="C29" s="46" t="s">
        <v>250</v>
      </c>
      <c r="D29" s="47">
        <f>SUMIFS(Auftragsplaner!$I$4:$I$34,Auftragsplaner!$G$4:$G$34,$A29,Auftragsplaner!$S$4:$S$34,5,Auftragsplaner!$T$4:$T$34,2026)</f>
        <v>0</v>
      </c>
      <c r="E29" s="47">
        <f>Mitarbeiter!E7*4.33</f>
        <v>129.9</v>
      </c>
      <c r="F29" s="48">
        <f t="shared" si="0"/>
        <v>0</v>
      </c>
      <c r="G29" s="46" t="str">
        <f t="shared" si="1"/>
        <v>Frei</v>
      </c>
    </row>
    <row r="30" spans="1:7" x14ac:dyDescent="0.25">
      <c r="A30" s="46" t="s">
        <v>74</v>
      </c>
      <c r="B30" s="28" t="str">
        <f>Mitarbeiter!B7</f>
        <v>Sven Ostendorf</v>
      </c>
      <c r="C30" s="46" t="s">
        <v>251</v>
      </c>
      <c r="D30" s="47">
        <f>SUMIFS(Auftragsplaner!$I$4:$I$34,Auftragsplaner!$G$4:$G$34,$A30,Auftragsplaner!$S$4:$S$34,6,Auftragsplaner!$T$4:$T$34,2026)</f>
        <v>2</v>
      </c>
      <c r="E30" s="47">
        <f>Mitarbeiter!E7*4.33</f>
        <v>129.9</v>
      </c>
      <c r="F30" s="48">
        <f t="shared" si="0"/>
        <v>1.539645881447267E-2</v>
      </c>
      <c r="G30" s="46" t="str">
        <f t="shared" si="1"/>
        <v>Frei</v>
      </c>
    </row>
    <row r="31" spans="1:7" x14ac:dyDescent="0.25">
      <c r="A31" s="46" t="s">
        <v>74</v>
      </c>
      <c r="B31" s="28" t="str">
        <f>Mitarbeiter!B7</f>
        <v>Sven Ostendorf</v>
      </c>
      <c r="C31" s="46" t="s">
        <v>252</v>
      </c>
      <c r="D31" s="47">
        <f>SUMIFS(Auftragsplaner!$I$4:$I$34,Auftragsplaner!$G$4:$G$34,$A31,Auftragsplaner!$S$4:$S$34,7,Auftragsplaner!$T$4:$T$34,2026)</f>
        <v>116.5</v>
      </c>
      <c r="E31" s="47">
        <f>Mitarbeiter!E7*4.33</f>
        <v>129.9</v>
      </c>
      <c r="F31" s="48">
        <f t="shared" si="0"/>
        <v>0.89684372594303308</v>
      </c>
      <c r="G31" s="46" t="str">
        <f t="shared" si="1"/>
        <v>Ausgelastet</v>
      </c>
    </row>
    <row r="32" spans="1:7" x14ac:dyDescent="0.25">
      <c r="A32" s="46" t="s">
        <v>78</v>
      </c>
      <c r="B32" s="28" t="str">
        <f>Mitarbeiter!B8</f>
        <v>Lea Waldmann</v>
      </c>
      <c r="C32" s="46" t="s">
        <v>246</v>
      </c>
      <c r="D32" s="47">
        <f>SUMIFS(Auftragsplaner!$I$4:$I$34,Auftragsplaner!$G$4:$G$34,$A32,Auftragsplaner!$S$4:$S$34,1,Auftragsplaner!$T$4:$T$34,2026)</f>
        <v>0</v>
      </c>
      <c r="E32" s="47">
        <f>Mitarbeiter!E8*4.33</f>
        <v>164.54</v>
      </c>
      <c r="F32" s="48">
        <f t="shared" si="0"/>
        <v>0</v>
      </c>
      <c r="G32" s="46" t="str">
        <f t="shared" si="1"/>
        <v>Frei</v>
      </c>
    </row>
    <row r="33" spans="1:7" x14ac:dyDescent="0.25">
      <c r="A33" s="46" t="s">
        <v>78</v>
      </c>
      <c r="B33" s="28" t="str">
        <f>Mitarbeiter!B8</f>
        <v>Lea Waldmann</v>
      </c>
      <c r="C33" s="46" t="s">
        <v>247</v>
      </c>
      <c r="D33" s="47">
        <f>SUMIFS(Auftragsplaner!$I$4:$I$34,Auftragsplaner!$G$4:$G$34,$A33,Auftragsplaner!$S$4:$S$34,2,Auftragsplaner!$T$4:$T$34,2026)</f>
        <v>0</v>
      </c>
      <c r="E33" s="47">
        <f>Mitarbeiter!E8*4.33</f>
        <v>164.54</v>
      </c>
      <c r="F33" s="48">
        <f t="shared" si="0"/>
        <v>0</v>
      </c>
      <c r="G33" s="46" t="str">
        <f t="shared" si="1"/>
        <v>Frei</v>
      </c>
    </row>
    <row r="34" spans="1:7" x14ac:dyDescent="0.25">
      <c r="A34" s="46" t="s">
        <v>78</v>
      </c>
      <c r="B34" s="28" t="str">
        <f>Mitarbeiter!B8</f>
        <v>Lea Waldmann</v>
      </c>
      <c r="C34" s="46" t="s">
        <v>248</v>
      </c>
      <c r="D34" s="47">
        <f>SUMIFS(Auftragsplaner!$I$4:$I$34,Auftragsplaner!$G$4:$G$34,$A34,Auftragsplaner!$S$4:$S$34,3,Auftragsplaner!$T$4:$T$34,2026)</f>
        <v>1.5</v>
      </c>
      <c r="E34" s="47">
        <f>Mitarbeiter!E8*4.33</f>
        <v>164.54</v>
      </c>
      <c r="F34" s="48">
        <f t="shared" si="0"/>
        <v>9.1163242980430298E-3</v>
      </c>
      <c r="G34" s="46" t="str">
        <f t="shared" si="1"/>
        <v>Frei</v>
      </c>
    </row>
    <row r="35" spans="1:7" x14ac:dyDescent="0.25">
      <c r="A35" s="46" t="s">
        <v>78</v>
      </c>
      <c r="B35" s="28" t="str">
        <f>Mitarbeiter!B8</f>
        <v>Lea Waldmann</v>
      </c>
      <c r="C35" s="46" t="s">
        <v>249</v>
      </c>
      <c r="D35" s="47">
        <f>SUMIFS(Auftragsplaner!$I$4:$I$34,Auftragsplaner!$G$4:$G$34,$A35,Auftragsplaner!$S$4:$S$34,4,Auftragsplaner!$T$4:$T$34,2026)</f>
        <v>0.5</v>
      </c>
      <c r="E35" s="47">
        <f>Mitarbeiter!E8*4.33</f>
        <v>164.54</v>
      </c>
      <c r="F35" s="48">
        <f t="shared" si="0"/>
        <v>3.0387747660143433E-3</v>
      </c>
      <c r="G35" s="46" t="str">
        <f t="shared" si="1"/>
        <v>Frei</v>
      </c>
    </row>
    <row r="36" spans="1:7" x14ac:dyDescent="0.25">
      <c r="A36" s="46" t="s">
        <v>78</v>
      </c>
      <c r="B36" s="28" t="str">
        <f>Mitarbeiter!B8</f>
        <v>Lea Waldmann</v>
      </c>
      <c r="C36" s="46" t="s">
        <v>250</v>
      </c>
      <c r="D36" s="47">
        <f>SUMIFS(Auftragsplaner!$I$4:$I$34,Auftragsplaner!$G$4:$G$34,$A36,Auftragsplaner!$S$4:$S$34,5,Auftragsplaner!$T$4:$T$34,2026)</f>
        <v>0</v>
      </c>
      <c r="E36" s="47">
        <f>Mitarbeiter!E8*4.33</f>
        <v>164.54</v>
      </c>
      <c r="F36" s="48">
        <f t="shared" si="0"/>
        <v>0</v>
      </c>
      <c r="G36" s="46" t="str">
        <f t="shared" si="1"/>
        <v>Frei</v>
      </c>
    </row>
    <row r="37" spans="1:7" x14ac:dyDescent="0.25">
      <c r="A37" s="46" t="s">
        <v>78</v>
      </c>
      <c r="B37" s="28" t="str">
        <f>Mitarbeiter!B8</f>
        <v>Lea Waldmann</v>
      </c>
      <c r="C37" s="46" t="s">
        <v>251</v>
      </c>
      <c r="D37" s="47">
        <f>SUMIFS(Auftragsplaner!$I$4:$I$34,Auftragsplaner!$G$4:$G$34,$A37,Auftragsplaner!$S$4:$S$34,6,Auftragsplaner!$T$4:$T$34,2026)</f>
        <v>1</v>
      </c>
      <c r="E37" s="47">
        <f>Mitarbeiter!E8*4.33</f>
        <v>164.54</v>
      </c>
      <c r="F37" s="48">
        <f t="shared" si="0"/>
        <v>6.0775495320286865E-3</v>
      </c>
      <c r="G37" s="46" t="str">
        <f t="shared" si="1"/>
        <v>Frei</v>
      </c>
    </row>
    <row r="38" spans="1:7" x14ac:dyDescent="0.25">
      <c r="A38" s="46" t="s">
        <v>78</v>
      </c>
      <c r="B38" s="28" t="str">
        <f>Mitarbeiter!B8</f>
        <v>Lea Waldmann</v>
      </c>
      <c r="C38" s="46" t="s">
        <v>252</v>
      </c>
      <c r="D38" s="47">
        <f>SUMIFS(Auftragsplaner!$I$4:$I$34,Auftragsplaner!$G$4:$G$34,$A38,Auftragsplaner!$S$4:$S$34,7,Auftragsplaner!$T$4:$T$34,2026)</f>
        <v>32</v>
      </c>
      <c r="E38" s="47">
        <f>Mitarbeiter!E8*4.33</f>
        <v>164.54</v>
      </c>
      <c r="F38" s="48">
        <f t="shared" si="0"/>
        <v>0.19448158502491797</v>
      </c>
      <c r="G38" s="46" t="str">
        <f t="shared" si="1"/>
        <v>Frei</v>
      </c>
    </row>
  </sheetData>
  <mergeCells count="1">
    <mergeCell ref="A1:G1"/>
  </mergeCells>
  <conditionalFormatting sqref="G4:G38">
    <cfRule type="cellIs" dxfId="2" priority="2" operator="equal">
      <formula>"Überlastet"</formula>
    </cfRule>
    <cfRule type="cellIs" dxfId="1" priority="3" operator="equal">
      <formula>"Ausgelastet"</formula>
    </cfRule>
    <cfRule type="cellIs" dxfId="0" priority="4" operator="equal">
      <formula>"Frei"</formula>
    </cfRule>
  </conditionalFormatting>
  <pageMargins left="0.4" right="0.4" top="0.5" bottom="0.5" header="0.511811023622047" footer="0.511811023622047"/>
  <pageSetup fitToHeight="0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Anleitung</vt:lpstr>
      <vt:lpstr>Dashboard</vt:lpstr>
      <vt:lpstr>Mitarbeiter</vt:lpstr>
      <vt:lpstr>Kunden</vt:lpstr>
      <vt:lpstr>Auftragsplaner</vt:lpstr>
      <vt:lpstr>Kapazitätsplanung</vt:lpstr>
      <vt:lpstr>Anleitung!Druckbereich</vt:lpstr>
      <vt:lpstr>Auftragsplaner!Druckbereich</vt:lpstr>
      <vt:lpstr>Dashboard!Druckbereich</vt:lpstr>
      <vt:lpstr>Kapazitätsplanung!Druckbereich</vt:lpstr>
      <vt:lpstr>Kunden!Druckbereich</vt:lpstr>
      <vt:lpstr>Mitarbeiter!Druckbereich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2026-07-15T11:17:45Z</dcterms:created>
  <dcterms:modified xsi:type="dcterms:W3CDTF">2026-07-15T13:29:41Z</dcterms:modified>
  <dc:language>en-US</dc:language>
</cp:coreProperties>
</file>