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9A57F71F-2599-408D-B760-E106D1EC0A9F}" xr6:coauthVersionLast="47" xr6:coauthVersionMax="47" xr10:uidLastSave="{00000000-0000-0000-0000-000000000000}"/>
  <bookViews>
    <workbookView xWindow="1035" yWindow="1035" windowWidth="25500" windowHeight="13500" tabRatio="500" xr2:uid="{00000000-000D-0000-FFFF-FFFF00000000}"/>
  </bookViews>
  <sheets>
    <sheet name="Übersicht" sheetId="1" r:id="rId1"/>
    <sheet name="Einheiten" sheetId="2" r:id="rId2"/>
    <sheet name="Gesamtabrechnung" sheetId="3" r:id="rId3"/>
    <sheet name="Einzelabrechnung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47" i="4" l="1"/>
  <c r="K47" i="4"/>
  <c r="J47" i="4"/>
  <c r="I47" i="4"/>
  <c r="H47" i="4"/>
  <c r="G47" i="4"/>
  <c r="F47" i="4"/>
  <c r="E47" i="4"/>
  <c r="F41" i="4"/>
  <c r="E41" i="4"/>
  <c r="D39" i="4"/>
  <c r="L36" i="4"/>
  <c r="K36" i="4"/>
  <c r="J36" i="4"/>
  <c r="I36" i="4"/>
  <c r="H36" i="4"/>
  <c r="G36" i="4"/>
  <c r="F36" i="4"/>
  <c r="E36" i="4"/>
  <c r="D35" i="4"/>
  <c r="D34" i="4"/>
  <c r="D33" i="4"/>
  <c r="D36" i="4" s="1"/>
  <c r="H29" i="4"/>
  <c r="G29" i="4"/>
  <c r="F29" i="4"/>
  <c r="E29" i="4"/>
  <c r="D29" i="4"/>
  <c r="C29" i="4"/>
  <c r="B29" i="4"/>
  <c r="L28" i="4"/>
  <c r="K28" i="4"/>
  <c r="J28" i="4"/>
  <c r="D28" i="4"/>
  <c r="I28" i="4" s="1"/>
  <c r="C28" i="4"/>
  <c r="B28" i="4"/>
  <c r="D27" i="4"/>
  <c r="C27" i="4"/>
  <c r="B27" i="4"/>
  <c r="D26" i="4"/>
  <c r="C26" i="4"/>
  <c r="B26" i="4"/>
  <c r="D25" i="4"/>
  <c r="I25" i="4" s="1"/>
  <c r="C25" i="4"/>
  <c r="B25" i="4"/>
  <c r="D24" i="4"/>
  <c r="C24" i="4"/>
  <c r="B24" i="4"/>
  <c r="L23" i="4"/>
  <c r="K23" i="4"/>
  <c r="J23" i="4"/>
  <c r="E23" i="4"/>
  <c r="D23" i="4"/>
  <c r="C23" i="4"/>
  <c r="B23" i="4"/>
  <c r="D22" i="4"/>
  <c r="C22" i="4"/>
  <c r="H22" i="4" s="1"/>
  <c r="B22" i="4"/>
  <c r="D21" i="4"/>
  <c r="C21" i="4"/>
  <c r="B21" i="4"/>
  <c r="I20" i="4"/>
  <c r="G20" i="4"/>
  <c r="F20" i="4"/>
  <c r="E20" i="4"/>
  <c r="D20" i="4"/>
  <c r="C20" i="4"/>
  <c r="H20" i="4" s="1"/>
  <c r="B20" i="4"/>
  <c r="D19" i="4"/>
  <c r="C19" i="4"/>
  <c r="B19" i="4"/>
  <c r="D18" i="4"/>
  <c r="C18" i="4"/>
  <c r="B18" i="4"/>
  <c r="D17" i="4"/>
  <c r="C17" i="4"/>
  <c r="B17" i="4"/>
  <c r="D16" i="4"/>
  <c r="C16" i="4"/>
  <c r="B16" i="4"/>
  <c r="D15" i="4"/>
  <c r="C15" i="4"/>
  <c r="B15" i="4"/>
  <c r="D14" i="4"/>
  <c r="C14" i="4"/>
  <c r="B14" i="4"/>
  <c r="D13" i="4"/>
  <c r="C13" i="4"/>
  <c r="B13" i="4"/>
  <c r="D12" i="4"/>
  <c r="C12" i="4"/>
  <c r="B12" i="4"/>
  <c r="D11" i="4"/>
  <c r="C11" i="4"/>
  <c r="B11" i="4"/>
  <c r="D10" i="4"/>
  <c r="C10" i="4"/>
  <c r="B10" i="4"/>
  <c r="L9" i="4"/>
  <c r="K9" i="4"/>
  <c r="J9" i="4"/>
  <c r="D9" i="4"/>
  <c r="C9" i="4"/>
  <c r="B9" i="4"/>
  <c r="L8" i="4"/>
  <c r="K8" i="4"/>
  <c r="J8" i="4"/>
  <c r="I8" i="4"/>
  <c r="H8" i="4"/>
  <c r="G8" i="4"/>
  <c r="F8" i="4"/>
  <c r="E8" i="4"/>
  <c r="L7" i="4"/>
  <c r="K7" i="4"/>
  <c r="J7" i="4"/>
  <c r="I7" i="4"/>
  <c r="H7" i="4"/>
  <c r="G7" i="4"/>
  <c r="F7" i="4"/>
  <c r="E7" i="4"/>
  <c r="F57" i="3"/>
  <c r="H52" i="3"/>
  <c r="F49" i="3"/>
  <c r="F52" i="3" s="1"/>
  <c r="F42" i="3"/>
  <c r="F40" i="3"/>
  <c r="H37" i="3"/>
  <c r="F36" i="3"/>
  <c r="F41" i="3" s="1"/>
  <c r="H35" i="3"/>
  <c r="G35" i="3"/>
  <c r="F35" i="3"/>
  <c r="I34" i="3"/>
  <c r="J34" i="3" s="1"/>
  <c r="I33" i="3"/>
  <c r="J33" i="3" s="1"/>
  <c r="I32" i="3"/>
  <c r="J32" i="3" s="1"/>
  <c r="I31" i="3"/>
  <c r="J31" i="3" s="1"/>
  <c r="I30" i="3"/>
  <c r="J30" i="3" s="1"/>
  <c r="I29" i="3"/>
  <c r="J29" i="3" s="1"/>
  <c r="I28" i="3"/>
  <c r="J28" i="3" s="1"/>
  <c r="I27" i="3"/>
  <c r="J27" i="3" s="1"/>
  <c r="J26" i="3"/>
  <c r="I26" i="3"/>
  <c r="J25" i="3"/>
  <c r="I25" i="3"/>
  <c r="I24" i="3"/>
  <c r="J24" i="3" s="1"/>
  <c r="I23" i="3"/>
  <c r="J23" i="3" s="1"/>
  <c r="I22" i="3"/>
  <c r="J22" i="3" s="1"/>
  <c r="I21" i="3"/>
  <c r="J21" i="3" s="1"/>
  <c r="I20" i="3"/>
  <c r="J20" i="3" s="1"/>
  <c r="I19" i="3"/>
  <c r="J19" i="3" s="1"/>
  <c r="I18" i="3"/>
  <c r="J18" i="3" s="1"/>
  <c r="J17" i="3"/>
  <c r="I17" i="3"/>
  <c r="I16" i="3"/>
  <c r="J16" i="3" s="1"/>
  <c r="I15" i="3"/>
  <c r="J15" i="3" s="1"/>
  <c r="I14" i="3"/>
  <c r="H10" i="3"/>
  <c r="I9" i="3"/>
  <c r="J9" i="3" s="1"/>
  <c r="I8" i="3"/>
  <c r="J8" i="3" s="1"/>
  <c r="B34" i="2"/>
  <c r="J33" i="2"/>
  <c r="C33" i="2"/>
  <c r="B33" i="2"/>
  <c r="B32" i="2"/>
  <c r="J31" i="2"/>
  <c r="C31" i="2"/>
  <c r="B31" i="2"/>
  <c r="B30" i="2"/>
  <c r="B29" i="2"/>
  <c r="J28" i="2"/>
  <c r="I28" i="2"/>
  <c r="H28" i="2"/>
  <c r="G28" i="2"/>
  <c r="F28" i="2"/>
  <c r="E28" i="2"/>
  <c r="D28" i="2"/>
  <c r="C28" i="2"/>
  <c r="J25" i="2"/>
  <c r="I25" i="2"/>
  <c r="H25" i="2"/>
  <c r="G25" i="2"/>
  <c r="F25" i="2"/>
  <c r="E25" i="2"/>
  <c r="D25" i="2"/>
  <c r="C25" i="2"/>
  <c r="J24" i="2"/>
  <c r="I24" i="2"/>
  <c r="H24" i="2"/>
  <c r="G24" i="2"/>
  <c r="F24" i="2"/>
  <c r="E24" i="2"/>
  <c r="D24" i="2"/>
  <c r="C24" i="2"/>
  <c r="K24" i="2" s="1"/>
  <c r="J23" i="2"/>
  <c r="I23" i="2"/>
  <c r="H23" i="2"/>
  <c r="G23" i="2"/>
  <c r="F23" i="2"/>
  <c r="E23" i="2"/>
  <c r="D23" i="2"/>
  <c r="C23" i="2"/>
  <c r="J22" i="2"/>
  <c r="I22" i="2"/>
  <c r="H22" i="2"/>
  <c r="G22" i="2"/>
  <c r="F22" i="2"/>
  <c r="E22" i="2"/>
  <c r="D22" i="2"/>
  <c r="C22" i="2"/>
  <c r="K22" i="2" s="1"/>
  <c r="L25" i="4" s="1"/>
  <c r="J21" i="2"/>
  <c r="I21" i="2"/>
  <c r="H21" i="2"/>
  <c r="G21" i="2"/>
  <c r="F21" i="2"/>
  <c r="E21" i="2"/>
  <c r="D21" i="2"/>
  <c r="C21" i="2"/>
  <c r="J20" i="2"/>
  <c r="I20" i="2"/>
  <c r="H20" i="2"/>
  <c r="G20" i="2"/>
  <c r="F20" i="2"/>
  <c r="E20" i="2"/>
  <c r="D20" i="2"/>
  <c r="C20" i="2"/>
  <c r="J19" i="2"/>
  <c r="I19" i="2"/>
  <c r="H19" i="2"/>
  <c r="G19" i="2"/>
  <c r="F19" i="2"/>
  <c r="E19" i="2"/>
  <c r="D19" i="2"/>
  <c r="C19" i="2"/>
  <c r="M15" i="2"/>
  <c r="K15" i="2"/>
  <c r="J15" i="2"/>
  <c r="I15" i="2"/>
  <c r="H15" i="2"/>
  <c r="G15" i="2"/>
  <c r="F15" i="2"/>
  <c r="F6" i="1" s="1"/>
  <c r="E15" i="2"/>
  <c r="F7" i="1" s="1"/>
  <c r="L14" i="2"/>
  <c r="L41" i="4" s="1"/>
  <c r="L13" i="2"/>
  <c r="N13" i="2" s="1"/>
  <c r="K48" i="4" s="1"/>
  <c r="L12" i="2"/>
  <c r="N12" i="2" s="1"/>
  <c r="J48" i="4" s="1"/>
  <c r="L11" i="2"/>
  <c r="N10" i="2"/>
  <c r="H48" i="4" s="1"/>
  <c r="L10" i="2"/>
  <c r="H41" i="4" s="1"/>
  <c r="L9" i="2"/>
  <c r="G41" i="4" s="1"/>
  <c r="L8" i="2"/>
  <c r="N8" i="2" s="1"/>
  <c r="F48" i="4" s="1"/>
  <c r="L7" i="2"/>
  <c r="B68" i="1"/>
  <c r="B67" i="1"/>
  <c r="B66" i="1"/>
  <c r="B65" i="1"/>
  <c r="B64" i="1"/>
  <c r="B63" i="1"/>
  <c r="B62" i="1"/>
  <c r="B61" i="1"/>
  <c r="F21" i="1"/>
  <c r="F19" i="1"/>
  <c r="F14" i="1"/>
  <c r="C10" i="1"/>
  <c r="L16" i="4" l="1"/>
  <c r="K23" i="2"/>
  <c r="H32" i="2" s="1"/>
  <c r="H13" i="4"/>
  <c r="F32" i="2"/>
  <c r="G32" i="2"/>
  <c r="K25" i="2"/>
  <c r="J10" i="4" s="1"/>
  <c r="L27" i="4"/>
  <c r="I41" i="4"/>
  <c r="N11" i="2"/>
  <c r="I48" i="4" s="1"/>
  <c r="F60" i="3"/>
  <c r="L14" i="1"/>
  <c r="I32" i="2"/>
  <c r="J32" i="2"/>
  <c r="I16" i="4"/>
  <c r="H16" i="4"/>
  <c r="I35" i="3"/>
  <c r="I37" i="3" s="1"/>
  <c r="J14" i="3"/>
  <c r="D30" i="2"/>
  <c r="K21" i="2"/>
  <c r="K16" i="4" s="1"/>
  <c r="D47" i="4"/>
  <c r="F7" i="3"/>
  <c r="E30" i="2"/>
  <c r="L15" i="2"/>
  <c r="D33" i="2"/>
  <c r="K33" i="2" s="1"/>
  <c r="I36" i="3"/>
  <c r="F37" i="3"/>
  <c r="N9" i="2"/>
  <c r="G48" i="4" s="1"/>
  <c r="F43" i="3"/>
  <c r="L20" i="1" s="1"/>
  <c r="M20" i="1" s="1"/>
  <c r="E33" i="2"/>
  <c r="F33" i="2"/>
  <c r="D14" i="1"/>
  <c r="G31" i="2"/>
  <c r="D45" i="4"/>
  <c r="D30" i="4"/>
  <c r="D38" i="4" s="1"/>
  <c r="D40" i="4" s="1"/>
  <c r="D46" i="4"/>
  <c r="E11" i="4"/>
  <c r="N14" i="2"/>
  <c r="L48" i="4" s="1"/>
  <c r="H31" i="2"/>
  <c r="E9" i="4"/>
  <c r="F11" i="4"/>
  <c r="J20" i="4"/>
  <c r="I31" i="2"/>
  <c r="F9" i="4"/>
  <c r="G11" i="4"/>
  <c r="E16" i="4"/>
  <c r="F23" i="4"/>
  <c r="J25" i="4"/>
  <c r="G9" i="4"/>
  <c r="H11" i="4"/>
  <c r="F16" i="4"/>
  <c r="G23" i="4"/>
  <c r="K25" i="4"/>
  <c r="H9" i="4"/>
  <c r="I11" i="4"/>
  <c r="G16" i="4"/>
  <c r="H23" i="4"/>
  <c r="I9" i="4"/>
  <c r="J11" i="4"/>
  <c r="I23" i="4"/>
  <c r="L29" i="4"/>
  <c r="J17" i="4"/>
  <c r="G17" i="4"/>
  <c r="I17" i="4"/>
  <c r="H17" i="4"/>
  <c r="F17" i="4"/>
  <c r="E17" i="4"/>
  <c r="E27" i="4"/>
  <c r="J41" i="4"/>
  <c r="K17" i="4"/>
  <c r="L22" i="4"/>
  <c r="K22" i="4"/>
  <c r="J22" i="4"/>
  <c r="I22" i="4"/>
  <c r="F27" i="4"/>
  <c r="I29" i="4"/>
  <c r="K41" i="4"/>
  <c r="L17" i="4"/>
  <c r="E22" i="4"/>
  <c r="G27" i="4"/>
  <c r="J29" i="4"/>
  <c r="L20" i="4"/>
  <c r="K20" i="4"/>
  <c r="F22" i="4"/>
  <c r="H27" i="4"/>
  <c r="K29" i="4"/>
  <c r="G22" i="4"/>
  <c r="I27" i="4"/>
  <c r="D31" i="2"/>
  <c r="G33" i="2"/>
  <c r="E25" i="4"/>
  <c r="J27" i="4"/>
  <c r="E31" i="2"/>
  <c r="K31" i="2" s="1"/>
  <c r="H33" i="2"/>
  <c r="K13" i="4"/>
  <c r="L13" i="4"/>
  <c r="J13" i="4"/>
  <c r="I13" i="4"/>
  <c r="F25" i="4"/>
  <c r="K27" i="4"/>
  <c r="K20" i="2"/>
  <c r="E29" i="2" s="1"/>
  <c r="F31" i="2"/>
  <c r="I33" i="2"/>
  <c r="L11" i="4"/>
  <c r="K11" i="4"/>
  <c r="G25" i="4"/>
  <c r="H25" i="4"/>
  <c r="E28" i="4"/>
  <c r="F28" i="4"/>
  <c r="N7" i="2"/>
  <c r="G28" i="4"/>
  <c r="F10" i="4"/>
  <c r="H28" i="4"/>
  <c r="E19" i="4"/>
  <c r="I15" i="4" l="1"/>
  <c r="G19" i="4"/>
  <c r="F15" i="4"/>
  <c r="E24" i="4"/>
  <c r="E10" i="4"/>
  <c r="E45" i="4" s="1"/>
  <c r="J34" i="2"/>
  <c r="E48" i="4"/>
  <c r="N15" i="2"/>
  <c r="F29" i="2"/>
  <c r="D41" i="4"/>
  <c r="H14" i="1"/>
  <c r="I26" i="4"/>
  <c r="F45" i="4"/>
  <c r="F30" i="4"/>
  <c r="F38" i="4" s="1"/>
  <c r="F40" i="4" s="1"/>
  <c r="F42" i="4" s="1"/>
  <c r="E12" i="4"/>
  <c r="G24" i="4"/>
  <c r="E15" i="4"/>
  <c r="I29" i="2"/>
  <c r="E13" i="4"/>
  <c r="J24" i="4"/>
  <c r="K24" i="4"/>
  <c r="H15" i="4"/>
  <c r="J39" i="4"/>
  <c r="I39" i="4"/>
  <c r="H39" i="4"/>
  <c r="G39" i="4"/>
  <c r="F39" i="4"/>
  <c r="E39" i="4"/>
  <c r="L12" i="4"/>
  <c r="K12" i="4"/>
  <c r="J12" i="4"/>
  <c r="J45" i="4" s="1"/>
  <c r="L19" i="4"/>
  <c r="I12" i="4"/>
  <c r="I46" i="4" s="1"/>
  <c r="K19" i="4"/>
  <c r="J14" i="4"/>
  <c r="H21" i="4"/>
  <c r="L18" i="4"/>
  <c r="K18" i="4"/>
  <c r="J18" i="4"/>
  <c r="I18" i="4"/>
  <c r="H18" i="4"/>
  <c r="G18" i="4"/>
  <c r="J29" i="2"/>
  <c r="I21" i="4"/>
  <c r="F14" i="4"/>
  <c r="K21" i="4"/>
  <c r="G12" i="4"/>
  <c r="F12" i="4"/>
  <c r="F46" i="4" s="1"/>
  <c r="J21" i="4"/>
  <c r="E14" i="4"/>
  <c r="L21" i="4"/>
  <c r="J19" i="4"/>
  <c r="I14" i="4"/>
  <c r="I19" i="4"/>
  <c r="H14" i="4"/>
  <c r="G14" i="4"/>
  <c r="F18" i="4"/>
  <c r="E21" i="4"/>
  <c r="F26" i="4"/>
  <c r="E18" i="4"/>
  <c r="H10" i="4"/>
  <c r="D34" i="2"/>
  <c r="G34" i="2"/>
  <c r="F34" i="2"/>
  <c r="E34" i="2"/>
  <c r="C34" i="2"/>
  <c r="I10" i="4"/>
  <c r="G29" i="2"/>
  <c r="L39" i="4"/>
  <c r="L10" i="4"/>
  <c r="L14" i="4"/>
  <c r="K10" i="4"/>
  <c r="I24" i="4"/>
  <c r="H34" i="2"/>
  <c r="G15" i="4"/>
  <c r="F10" i="3"/>
  <c r="I7" i="3"/>
  <c r="F56" i="3"/>
  <c r="J15" i="4"/>
  <c r="H12" i="4"/>
  <c r="L15" i="4"/>
  <c r="L26" i="4"/>
  <c r="D52" i="4"/>
  <c r="L19" i="1" s="1"/>
  <c r="M19" i="1" s="1"/>
  <c r="D42" i="4"/>
  <c r="G26" i="4"/>
  <c r="G30" i="4" s="1"/>
  <c r="G38" i="4" s="1"/>
  <c r="G40" i="4" s="1"/>
  <c r="G42" i="4" s="1"/>
  <c r="H26" i="4"/>
  <c r="D29" i="2"/>
  <c r="F19" i="4"/>
  <c r="J26" i="4"/>
  <c r="E26" i="4"/>
  <c r="K26" i="4"/>
  <c r="G21" i="4"/>
  <c r="B14" i="1"/>
  <c r="F58" i="3"/>
  <c r="E32" i="2"/>
  <c r="D32" i="2"/>
  <c r="C32" i="2"/>
  <c r="K32" i="2" s="1"/>
  <c r="G13" i="4"/>
  <c r="F13" i="4"/>
  <c r="K39" i="4"/>
  <c r="K14" i="4"/>
  <c r="H24" i="4"/>
  <c r="H46" i="4" s="1"/>
  <c r="I34" i="2"/>
  <c r="F21" i="4"/>
  <c r="F24" i="4"/>
  <c r="H19" i="4"/>
  <c r="C29" i="2"/>
  <c r="L24" i="4"/>
  <c r="K15" i="4"/>
  <c r="G10" i="4"/>
  <c r="H29" i="2"/>
  <c r="C30" i="2"/>
  <c r="J16" i="4"/>
  <c r="J30" i="2"/>
  <c r="I30" i="2"/>
  <c r="H30" i="2"/>
  <c r="G30" i="2"/>
  <c r="F30" i="2"/>
  <c r="G49" i="4" l="1"/>
  <c r="C63" i="1"/>
  <c r="I45" i="4"/>
  <c r="H45" i="4"/>
  <c r="D48" i="4"/>
  <c r="F61" i="3"/>
  <c r="F20" i="1"/>
  <c r="K30" i="2"/>
  <c r="J7" i="3"/>
  <c r="I10" i="3"/>
  <c r="K30" i="4"/>
  <c r="K38" i="4" s="1"/>
  <c r="K40" i="4" s="1"/>
  <c r="K42" i="4" s="1"/>
  <c r="K46" i="4"/>
  <c r="K45" i="4"/>
  <c r="I30" i="4"/>
  <c r="I38" i="4" s="1"/>
  <c r="I40" i="4" s="1"/>
  <c r="I42" i="4" s="1"/>
  <c r="K34" i="2"/>
  <c r="H30" i="4"/>
  <c r="H38" i="4" s="1"/>
  <c r="H40" i="4" s="1"/>
  <c r="H42" i="4" s="1"/>
  <c r="E46" i="4"/>
  <c r="J46" i="4"/>
  <c r="D49" i="4"/>
  <c r="J14" i="1"/>
  <c r="L46" i="4"/>
  <c r="L30" i="4"/>
  <c r="L38" i="4" s="1"/>
  <c r="L40" i="4" s="1"/>
  <c r="L42" i="4" s="1"/>
  <c r="L45" i="4"/>
  <c r="G45" i="4"/>
  <c r="F59" i="3"/>
  <c r="E30" i="4"/>
  <c r="E38" i="4" s="1"/>
  <c r="E40" i="4" s="1"/>
  <c r="J30" i="4"/>
  <c r="J38" i="4" s="1"/>
  <c r="J40" i="4" s="1"/>
  <c r="J42" i="4" s="1"/>
  <c r="F49" i="4"/>
  <c r="C62" i="1"/>
  <c r="G46" i="4"/>
  <c r="K29" i="2"/>
  <c r="I49" i="4" l="1"/>
  <c r="C65" i="1"/>
  <c r="L21" i="1"/>
  <c r="M21" i="1" s="1"/>
  <c r="K49" i="4"/>
  <c r="C67" i="1"/>
  <c r="L49" i="4"/>
  <c r="C68" i="1"/>
  <c r="H49" i="4"/>
  <c r="C64" i="1"/>
  <c r="J49" i="4"/>
  <c r="C66" i="1"/>
  <c r="E42" i="4"/>
  <c r="D51" i="4"/>
  <c r="L18" i="1" s="1"/>
  <c r="M18" i="1" s="1"/>
  <c r="F18" i="1"/>
  <c r="F63" i="3"/>
  <c r="F22" i="1" s="1"/>
  <c r="E49" i="4" l="1"/>
  <c r="C61" i="1"/>
</calcChain>
</file>

<file path=xl/sharedStrings.xml><?xml version="1.0" encoding="utf-8"?>
<sst xmlns="http://schemas.openxmlformats.org/spreadsheetml/2006/main" count="268" uniqueCount="215">
  <si>
    <t>WEG-ABRECHNUNG 2026  ·  JAHRESABRECHNUNG NACH § 28 ABS. 2 WEG</t>
  </si>
  <si>
    <t>Übersicht, Vermögensbericht und Kontrollen · Musterdaten – zum Überschreiben mit den eigenen Objektwerten</t>
  </si>
  <si>
    <t>OBJEKT- UND ABRECHNUNGSDATEN</t>
  </si>
  <si>
    <t>Wohnungseigentümergemeinschaft</t>
  </si>
  <si>
    <t>WEG Lindenpark 14–18</t>
  </si>
  <si>
    <t>Wohnfläche gesamt</t>
  </si>
  <si>
    <t>Objektanschrift</t>
  </si>
  <si>
    <t>Lindenpark 14–18, 30159 Musterstadt</t>
  </si>
  <si>
    <t>Miteigentumsanteile gesamt</t>
  </si>
  <si>
    <t>Verwaltung</t>
  </si>
  <si>
    <t>Musterverwaltung Nord GmbH</t>
  </si>
  <si>
    <t>Abrechnungsprinzip</t>
  </si>
  <si>
    <t>Zufluss-/Abflussprinzip (Ist-Abrechnung)</t>
  </si>
  <si>
    <t>Abrechnungszeitraum</t>
  </si>
  <si>
    <t>01.01.2026 – 31.12.2026</t>
  </si>
  <si>
    <t>Erstellt am</t>
  </si>
  <si>
    <t>18.07.2026</t>
  </si>
  <si>
    <t>Anzahl Einheiten</t>
  </si>
  <si>
    <t>Beschlussfassung Eigentümerversammlung</t>
  </si>
  <si>
    <t>voraussichtlich 24.09.2026</t>
  </si>
  <si>
    <t>KENNZAHLEN DES ABRECHNUNGSJAHRES</t>
  </si>
  <si>
    <t>Gesamtausgaben</t>
  </si>
  <si>
    <t>davon umlagefähig</t>
  </si>
  <si>
    <t>Zuführung Rücklage</t>
  </si>
  <si>
    <t>Vorschüsse Soll</t>
  </si>
  <si>
    <t>Abrechnungsspitze gesamt</t>
  </si>
  <si>
    <t>Rücklage 31.12.2026</t>
  </si>
  <si>
    <t>VERMÖGENSÜBERSICHT ZUM 31.12.2026</t>
  </si>
  <si>
    <t>PLAUSIBILITÄTSKONTROLLEN</t>
  </si>
  <si>
    <t>Girokonto der Gemeinschaft</t>
  </si>
  <si>
    <t>Summe Einzelabrechnungen = Gesamtabrechnung</t>
  </si>
  <si>
    <t>Erhaltungsrücklage (Rücklagenkonto)</t>
  </si>
  <si>
    <t>Gesamtbelastung = Ausgaben + Rücklagenzuführung</t>
  </si>
  <si>
    <t>Forderungen aus Hausgeldrückständen</t>
  </si>
  <si>
    <t>Aufteilung umlagefähig / nicht umlagefähig</t>
  </si>
  <si>
    <t>Verbindlichkeiten aus offenen Rechnungen</t>
  </si>
  <si>
    <t>Anteile je Verteilungsschlüssel = 100 %</t>
  </si>
  <si>
    <t>Gesamtvermögen der Gemeinschaft</t>
  </si>
  <si>
    <t>GRAFISCHE AUSWERTUNG</t>
  </si>
  <si>
    <t>SO ARBEITEN SIE MIT DER VORLAGE</t>
  </si>
  <si>
    <t>1</t>
  </si>
  <si>
    <t>Blatt „Einheiten“</t>
  </si>
  <si>
    <t>Einheiten, Eigentümer, Miteigentumsanteile, Wohnfläche, Personenzahl, Verbrauchswerte und das monatliche Hausgeld erfassen. Die Basiswerte der sechs Verteilungsschlüssel werden daraus automatisch gebildet.</t>
  </si>
  <si>
    <t>2</t>
  </si>
  <si>
    <t>Blatt „Gesamtabrechnung“</t>
  </si>
  <si>
    <t>Einnahmen und alle Ausgaben des Wirtschaftsjahres eintragen. Je Kostenposition den Verteilungsschlüssel wählen und kennzeichnen, ob die Position umlagefähig ist.</t>
  </si>
  <si>
    <t>3</t>
  </si>
  <si>
    <t>Lohnanteil § 35a EStG</t>
  </si>
  <si>
    <t>Bei Dienst- und Handwerkerleistungen den enthaltenen Lohnanteil eintragen – er wird je Einheit anteilig ausgewiesen und dient der Steuerbescheinigung.</t>
  </si>
  <si>
    <t>4</t>
  </si>
  <si>
    <t>Blatt „Einzelabrechnung“</t>
  </si>
  <si>
    <t>Die Verteilung erfolgt automatisch. Nur direkt zuzuordnende Einzelkosten werden dort manuell je Einheit eingetragen.</t>
  </si>
  <si>
    <t>5</t>
  </si>
  <si>
    <t>Erhaltungsrücklage</t>
  </si>
  <si>
    <t>Zuführung, Zinsen und Entnahmen in der Gesamtabrechnung erfassen. Aus der Rücklage bezahlte Erhaltungsmaßnahmen gehören nicht in die Kostenverteilung.</t>
  </si>
  <si>
    <t>6</t>
  </si>
  <si>
    <t>Kontrolle und Beschluss</t>
  </si>
  <si>
    <t>Alle Plausibilitätskontrollen müssen „OK“ zeigen. Beschlussgegenstand ist ausschließlich die Abrechnungsspitze je Einheit.</t>
  </si>
  <si>
    <t>FARBLEGENDE UND HINWEISE</t>
  </si>
  <si>
    <t>Eingabefeld – hier tragen Sie Ihre eigenen Werte ein</t>
  </si>
  <si>
    <t>Berechnetes Feld – Formel nicht überschreiben</t>
  </si>
  <si>
    <t>Zwischen- und Kennzahlensumme</t>
  </si>
  <si>
    <t>Ergebniszeile / Abrechnungsspitze</t>
  </si>
  <si>
    <t>Alle Angaben sind fiktive Musterwerte. Die Vorlage ersetzt keine rechtliche oder steuerliche Beratung; maßgeblich sind die Teilungserklärung und die Beschlüsse der Gemeinschaft.</t>
  </si>
  <si>
    <t>Hilfstabelle Diagramme</t>
  </si>
  <si>
    <t>EINHEITEN &amp; VERTEILUNGSSCHLÜSSEL</t>
  </si>
  <si>
    <t>Stammdaten der Wohnungseigentümergemeinschaft · Wirtschaftsjahr 01.01.2026 – 31.12.2026 · alle beigen Felder sind Eingabefelder</t>
  </si>
  <si>
    <t>1  |  STAMMDATEN DER WOHNUNGSEIGENTUMSEINHEITEN</t>
  </si>
  <si>
    <t>Einheit</t>
  </si>
  <si>
    <t>Eigentümer/in</t>
  </si>
  <si>
    <t>Lage / Geschoss</t>
  </si>
  <si>
    <t>MEA
(von 1.000)</t>
  </si>
  <si>
    <t>Wohnfläche
(m²)</t>
  </si>
  <si>
    <t>Anzahl
Einheiten</t>
  </si>
  <si>
    <t>Personen</t>
  </si>
  <si>
    <t>Verbrauch
Heizung (kWh)</t>
  </si>
  <si>
    <t>Verbrauch
Wasser (m³)</t>
  </si>
  <si>
    <t>Hausgeld
(€/Monat)</t>
  </si>
  <si>
    <t>Vorschüsse Soll
(€/Jahr)</t>
  </si>
  <si>
    <t>Vorschüsse Ist
(€/Jahr)</t>
  </si>
  <si>
    <t>Rückstand
(€)</t>
  </si>
  <si>
    <t>WE 01</t>
  </si>
  <si>
    <t>M. Ahrend</t>
  </si>
  <si>
    <t>EG links</t>
  </si>
  <si>
    <t>WE 02</t>
  </si>
  <si>
    <t>T. Bergmann</t>
  </si>
  <si>
    <t>EG rechts</t>
  </si>
  <si>
    <t>WE 03</t>
  </si>
  <si>
    <t>S. Cordes</t>
  </si>
  <si>
    <t>1. OG links</t>
  </si>
  <si>
    <t>WE 04</t>
  </si>
  <si>
    <t>R. Delling</t>
  </si>
  <si>
    <t>1. OG rechts</t>
  </si>
  <si>
    <t>WE 05</t>
  </si>
  <si>
    <t>K. Eichhorn</t>
  </si>
  <si>
    <t>2. OG links</t>
  </si>
  <si>
    <t>WE 06</t>
  </si>
  <si>
    <t>J. Freytag</t>
  </si>
  <si>
    <t>2. OG rechts</t>
  </si>
  <si>
    <t>WE 07</t>
  </si>
  <si>
    <t>H. Gronau</t>
  </si>
  <si>
    <t>DG links</t>
  </si>
  <si>
    <t>WE 08</t>
  </si>
  <si>
    <t>P. Hillmann</t>
  </si>
  <si>
    <t>DG rechts</t>
  </si>
  <si>
    <t>SUMME</t>
  </si>
  <si>
    <t>2  |  BASISWERTE DER VERTEILUNGSSCHLÜSSEL  (Grundlage der Einzelabrechnung)</t>
  </si>
  <si>
    <t>Spaltenindex →</t>
  </si>
  <si>
    <t>Verteilungsschlüssel</t>
  </si>
  <si>
    <t>Summe</t>
  </si>
  <si>
    <t>Miteigentumsanteile (MEA)</t>
  </si>
  <si>
    <t>Wohnfläche (m²)</t>
  </si>
  <si>
    <t>Verbrauch Heizung (kWh)</t>
  </si>
  <si>
    <t>Verbrauch Wasser (m³)</t>
  </si>
  <si>
    <t>3  |  ANTEILE JE EINHEIT IN %  (Kontrolle: jede Zeile ergibt 100,00 %)</t>
  </si>
  <si>
    <t>Hinweis: Die Zeilenbezeichnungen in Block 2 steuern die automatische Kostenverteilung. Sie müssen exakt mit den in der Gesamtabrechnung gewählten Schlüsseln übereinstimmen.</t>
  </si>
  <si>
    <t>GESAMTABRECHNUNG 2026</t>
  </si>
  <si>
    <t>Jahresabrechnung nach § 28 Abs. 2 WEG · Ist-Abrechnung nach dem Zufluss-/Abflussprinzip · Wirtschaftsjahr 01.01.2026 – 31.12.2026</t>
  </si>
  <si>
    <t>1  |  EINNAHMEN (ZUFLUSSPRINZIP)</t>
  </si>
  <si>
    <t>Nr.</t>
  </si>
  <si>
    <t>Einnahmeposition</t>
  </si>
  <si>
    <t>Herkunft / Hinweis</t>
  </si>
  <si>
    <t>Ist 2026</t>
  </si>
  <si>
    <t>Ist 2025</t>
  </si>
  <si>
    <t>Abweichung €</t>
  </si>
  <si>
    <t>Abw. %</t>
  </si>
  <si>
    <t>Hausgeldvorschüsse der Eigentümer (Ist-Eingänge)</t>
  </si>
  <si>
    <t>aus Blatt „Einheiten“</t>
  </si>
  <si>
    <t>Zinserträge Rücklagenkonto</t>
  </si>
  <si>
    <t>Bankgutschrift</t>
  </si>
  <si>
    <t>Sonstige Einnahmen (Erstattungen, Mahngebühren)</t>
  </si>
  <si>
    <t>Eingabe</t>
  </si>
  <si>
    <t>SUMME EINNAHMEN</t>
  </si>
  <si>
    <t>2  |  AUSGABEN – BEWIRTSCHAFTUNGSKOSTEN (ABFLUSSPRINZIP)</t>
  </si>
  <si>
    <t>Kostenposition</t>
  </si>
  <si>
    <t>umlage-
fähig</t>
  </si>
  <si>
    <t>davon Lohnanteil
§ 35a EStG</t>
  </si>
  <si>
    <t>Heizung und Warmwasser (Fernwärme)</t>
  </si>
  <si>
    <t>Ja</t>
  </si>
  <si>
    <t>Wasserversorgung und Entwässerung</t>
  </si>
  <si>
    <t>Heizkostenverteilung / Messdienst</t>
  </si>
  <si>
    <t>Allgemeinstrom (Flur, Keller, Außenanlage)</t>
  </si>
  <si>
    <t>Müllentsorgung und Straßenreinigung</t>
  </si>
  <si>
    <t>Gebäudeversicherung (verbundene Wohngeb.)</t>
  </si>
  <si>
    <t>Haus- und Grundbesitzerhaftpflicht</t>
  </si>
  <si>
    <t>Treppenhaus- und Gebäudereinigung</t>
  </si>
  <si>
    <t>Winterdienst</t>
  </si>
  <si>
    <t>Gartenpflege und Außenanlagen</t>
  </si>
  <si>
    <t>Hausmeisterservice</t>
  </si>
  <si>
    <t>Aufzugswartung und Notrufaufschaltung</t>
  </si>
  <si>
    <t>Schornsteinfeger / Immissionsmessung</t>
  </si>
  <si>
    <t>Wartung Rauchwarnmelder</t>
  </si>
  <si>
    <t>Verwaltervergütung</t>
  </si>
  <si>
    <t>Nein</t>
  </si>
  <si>
    <t>Laufende Instandhaltung / Kleinreparaturen</t>
  </si>
  <si>
    <t>Kontoführung und Bankgebühren</t>
  </si>
  <si>
    <t>Rechts- und Beratungskosten</t>
  </si>
  <si>
    <t>Zwischensumme Bewirtschaftungskosten</t>
  </si>
  <si>
    <t>Direkt zugeordnete Einzelkosten (Nachweis: Blatt „Einzelabrechnung“)</t>
  </si>
  <si>
    <t>Direktzuordnung</t>
  </si>
  <si>
    <t>GESAMTAUSGABEN 2026</t>
  </si>
  <si>
    <t>3  |  AUFTEILUNG DER AUSGABEN (KENNZAHLEN FÜR VERMIETER UND STEUERERKLÄRUNG)</t>
  </si>
  <si>
    <t>davon umlagefähige Betriebskosten (§ 2 BetrKV – auf Mieter umlegbar)</t>
  </si>
  <si>
    <t>davon nicht umlagefähige Kosten (vom Eigentümer zu tragen)</t>
  </si>
  <si>
    <t>davon Lohn-/Handwerkeranteil § 35a EStG (haushaltsnahe Dienst- und Handwerkerleistungen)</t>
  </si>
  <si>
    <t>Kontrolle: Summe der Aufteilung ./. Gesamtausgaben</t>
  </si>
  <si>
    <t>4  |  ENTWICKLUNG DER ERHALTUNGSRÜCKLAGE (§ 19 ABS. 2 NR. 4 WEG)</t>
  </si>
  <si>
    <t>Bewegung</t>
  </si>
  <si>
    <t>Hinweis</t>
  </si>
  <si>
    <t>Betrag 2026</t>
  </si>
  <si>
    <t>Betrag 2025</t>
  </si>
  <si>
    <t>Bestand am 01.01.2026</t>
  </si>
  <si>
    <t>Vortrag Vorjahr</t>
  </si>
  <si>
    <t>+ Zuführung lt. Wirtschaftsplan 2026</t>
  </si>
  <si>
    <t>nach Miteigentumsanteilen</t>
  </si>
  <si>
    <t>+ Zinserträge Rücklagenkonto</t>
  </si>
  <si>
    <t>Übernahme aus Block 1</t>
  </si>
  <si>
    <t>./. Entnahme: Instandsetzung Balkonanlage</t>
  </si>
  <si>
    <t>beschlossen in der Versammlung</t>
  </si>
  <si>
    <t>./. Entnahme: weitere Erhaltungsmaßnahme</t>
  </si>
  <si>
    <t>BESTAND ERHALTUNGSRÜCKLAGE AM 31.12.2026</t>
  </si>
  <si>
    <t>5  |  KONTENENTWICKLUNG UND VERMÖGENSÜBERSICHT (VERMÖGENSBERICHT § 28 ABS. 4 WEG)</t>
  </si>
  <si>
    <t>Girokonto der Gemeinschaft – Bestand am 01.01.2026</t>
  </si>
  <si>
    <t>+ Hausgeldvorschüsse und sonstige Einnahmen (Ist)</t>
  </si>
  <si>
    <t>./. Zuführung an das Rücklagenkonto</t>
  </si>
  <si>
    <t>./. Gesamtausgaben Bewirtschaftung</t>
  </si>
  <si>
    <t>= Girokonto – Bestand am 31.12.2026</t>
  </si>
  <si>
    <t>Rücklagenkonto – Bestand am 31.12.2026</t>
  </si>
  <si>
    <t>+ Forderungen aus rückständigen Hausgeldern</t>
  </si>
  <si>
    <t>./. Verbindlichkeiten aus offenen Rechnungen</t>
  </si>
  <si>
    <t>= GESAMTVERMÖGEN DER GEMEINSCHAFT AM 31.12.2026</t>
  </si>
  <si>
    <t>EINZELABRECHNUNGEN 2026</t>
  </si>
  <si>
    <t>Verteilung der Gesamtkosten auf die Wohnungseigentumseinheiten · Beschlussgegenstand ist ausschließlich die Abrechnungsspitze (§ 28 Abs. 2 WEG)</t>
  </si>
  <si>
    <t>KOSTENVERTEILUNG NACH DEN BESCHLOSSENEN VERTEILUNGSSCHLÜSSELN</t>
  </si>
  <si>
    <t>Gesamt 2026</t>
  </si>
  <si>
    <t>Summe Bewirtschaftungskosten</t>
  </si>
  <si>
    <t>DIREKT ZUGEORDNETE EINZELKOSTEN  (Beträge je Einheit direkt eintragen)</t>
  </si>
  <si>
    <t>Zwischenablesung bei Eigentümerwechsel</t>
  </si>
  <si>
    <t>Rechtsverfolgung / Mahnkosten Einzeleinheit</t>
  </si>
  <si>
    <t>Sonstige Einzelzuordnung (frei belegbar)</t>
  </si>
  <si>
    <t>Summe direkt zugeordnete Kosten</t>
  </si>
  <si>
    <t>Zwischensumme Kosten je Einheit</t>
  </si>
  <si>
    <t>+ Zuführung Erhaltungsrücklage (nach MEA)</t>
  </si>
  <si>
    <t>= Gesamtbelastung 2026 (Hausgeld-Ist)</t>
  </si>
  <si>
    <t>./. Vorschüsse lt. Wirtschaftsplan (Soll)</t>
  </si>
  <si>
    <t>= ABRECHNUNGSSPITZE  (+ Nachschuss / − Guthaben)</t>
  </si>
  <si>
    <t>NACHWEISE UND ZAHLUNGSSTATUS JE EINHEIT</t>
  </si>
  <si>
    <t>davon umlagefähige Betriebskosten (§ 2 BetrKV – für die Mieterabrechnung)</t>
  </si>
  <si>
    <t>davon Lohn-/Handwerkeranteil § 35a EStG (Steuerbescheinigung)</t>
  </si>
  <si>
    <t>Vorschüsse tatsächlich gezahlt (Ist)</t>
  </si>
  <si>
    <t>Zahlungsrückstand zum 31.12.2026</t>
  </si>
  <si>
    <t>= ZAHLBETRAG / ERSTATTUNG INSGESAMT</t>
  </si>
  <si>
    <t>Kontrolle: Summe aller Einzelabrechnungen ./. Gesamtabrechnung (muss 0,00 € ergeben)</t>
  </si>
  <si>
    <t>Kontrolle: Gesamtbelastung ./. (Gesamtausgaben + Zuführung Rücklage)</t>
  </si>
  <si>
    <t>Beige Felder = Eingabe · übrige Werte werden automatisch berechnet · Beschlossen wird nach § 28 Abs. 2 WEG ausschließlich die Abrechnungsspitze, nicht die gesamte Abrechnung.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</si>
</sst>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0&quot; m²&quot;"/>
    <numFmt numFmtId="165" formatCode="#,##0;\-#,##0;\–"/>
    <numFmt numFmtId="166" formatCode="#,##0&quot; €&quot;;\-#,##0&quot; €&quot;;\–"/>
    <numFmt numFmtId="167" formatCode="#,##0.00&quot; €&quot;;\-#,##0.00&quot; €&quot;;\–"/>
    <numFmt numFmtId="168" formatCode="0.00;\-0.00;&quot;0,00&quot;"/>
    <numFmt numFmtId="169" formatCode="#,##0&quot; kWh&quot;"/>
    <numFmt numFmtId="170" formatCode="#,##0&quot; m³&quot;"/>
    <numFmt numFmtId="171" formatCode="0.00%;\-0.00%;\–"/>
    <numFmt numFmtId="172" formatCode="\+#,##0.00&quot; €&quot;;\-#,##0.00&quot; €&quot;;&quot;0,00 €&quot;"/>
    <numFmt numFmtId="173" formatCode="0.0%;\-0.0%;\–"/>
  </numFmts>
  <fonts count="27" x14ac:knownFonts="1">
    <font>
      <sz val="11"/>
      <color theme="1"/>
      <name val="Calibri"/>
      <family val="2"/>
      <charset val="1"/>
    </font>
    <font>
      <b/>
      <sz val="16"/>
      <color rgb="FFFFFFFF"/>
      <name val="Calibri"/>
      <charset val="1"/>
    </font>
    <font>
      <sz val="9"/>
      <color rgb="FF3E4630"/>
      <name val="Calibri"/>
      <charset val="1"/>
    </font>
    <font>
      <b/>
      <sz val="11"/>
      <color rgb="FFFFFFFF"/>
      <name val="Calibri"/>
      <charset val="1"/>
    </font>
    <font>
      <sz val="9"/>
      <color rgb="FF8A8A80"/>
      <name val="Calibri"/>
      <charset val="1"/>
    </font>
    <font>
      <b/>
      <sz val="10"/>
      <color rgb="FF1F3864"/>
      <name val="Calibri"/>
      <charset val="1"/>
    </font>
    <font>
      <b/>
      <sz val="10"/>
      <color rgb="FF3E4630"/>
      <name val="Calibri"/>
      <charset val="1"/>
    </font>
    <font>
      <b/>
      <sz val="9"/>
      <color rgb="FFFFFFFF"/>
      <name val="Calibri"/>
      <charset val="1"/>
    </font>
    <font>
      <b/>
      <sz val="14"/>
      <color rgb="FF3E4630"/>
      <name val="Calibri"/>
      <charset val="1"/>
    </font>
    <font>
      <sz val="10"/>
      <color rgb="FF2B2B26"/>
      <name val="Calibri"/>
      <charset val="1"/>
    </font>
    <font>
      <sz val="10"/>
      <color rgb="FF3E4630"/>
      <name val="Calibri"/>
      <charset val="1"/>
    </font>
    <font>
      <sz val="9"/>
      <color rgb="FF2B2B26"/>
      <name val="Calibri"/>
      <charset val="1"/>
    </font>
    <font>
      <b/>
      <sz val="9"/>
      <color rgb="FF3E4630"/>
      <name val="Calibri"/>
      <charset val="1"/>
    </font>
    <font>
      <b/>
      <sz val="11"/>
      <color rgb="FF3E4630"/>
      <name val="Calibri"/>
      <charset val="1"/>
    </font>
    <font>
      <b/>
      <sz val="10"/>
      <color rgb="FFFFFFFF"/>
      <name val="Calibri"/>
      <charset val="1"/>
    </font>
    <font>
      <sz val="8"/>
      <color rgb="FF8A8A80"/>
      <name val="Calibri"/>
      <charset val="1"/>
    </font>
    <font>
      <i/>
      <sz val="8"/>
      <color rgb="FF8A8A80"/>
      <name val="Calibri"/>
      <charset val="1"/>
    </font>
    <font>
      <sz val="10"/>
      <color rgb="FF1F3864"/>
      <name val="Calibri"/>
      <charset val="1"/>
    </font>
    <font>
      <b/>
      <sz val="10"/>
      <color rgb="FF2B2B26"/>
      <name val="Calibri"/>
      <charset val="1"/>
    </font>
    <font>
      <sz val="8"/>
      <color rgb="FF2B2B26"/>
      <name val="Calibri"/>
      <charset val="1"/>
    </font>
    <font>
      <i/>
      <sz val="9"/>
      <color rgb="FF8A8A80"/>
      <name val="Calibri"/>
      <charset val="1"/>
    </font>
    <font>
      <b/>
      <sz val="10"/>
      <color rgb="FF3F7A47"/>
      <name val="Calibri"/>
      <charset val="1"/>
    </font>
    <font>
      <sz val="9"/>
      <color rgb="FF1F3864"/>
      <name val="Calibri"/>
      <charset val="1"/>
    </font>
    <font>
      <b/>
      <sz val="10"/>
      <color rgb="FFA2513A"/>
      <name val="Calibri"/>
      <charset val="1"/>
    </font>
    <font>
      <b/>
      <sz val="10"/>
      <color rgb="FF8A8A80"/>
      <name val="Calibri"/>
      <charset val="1"/>
    </font>
    <font>
      <sz val="10"/>
      <color rgb="FF3F7A47"/>
      <name val="Calibri"/>
      <charset val="1"/>
    </font>
    <font>
      <sz val="8"/>
      <color rgb="FFE8D8B4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3E4630"/>
        <bgColor rgb="FF2B2B26"/>
      </patternFill>
    </fill>
    <fill>
      <patternFill patternType="solid">
        <fgColor rgb="FFE8D8B4"/>
        <bgColor rgb="FFD5D8CB"/>
      </patternFill>
    </fill>
    <fill>
      <patternFill patternType="solid">
        <fgColor rgb="FFF6EFDD"/>
        <bgColor rgb="FFF2F3EE"/>
      </patternFill>
    </fill>
    <fill>
      <patternFill patternType="solid">
        <fgColor rgb="FF5C6B45"/>
        <bgColor rgb="FF3F7A47"/>
      </patternFill>
    </fill>
    <fill>
      <patternFill patternType="solid">
        <fgColor rgb="FFFAF8F2"/>
        <bgColor rgb="FFF2F3EE"/>
      </patternFill>
    </fill>
    <fill>
      <patternFill patternType="solid">
        <fgColor rgb="FFC8963E"/>
        <bgColor rgb="FFFF8080"/>
      </patternFill>
    </fill>
    <fill>
      <patternFill patternType="solid">
        <fgColor rgb="FFF2F3EE"/>
        <bgColor rgb="FFFAF8F2"/>
      </patternFill>
    </fill>
    <fill>
      <patternFill patternType="solid">
        <fgColor rgb="FF3F7A47"/>
        <bgColor rgb="FF5C6B45"/>
      </patternFill>
    </fill>
    <fill>
      <patternFill patternType="solid">
        <fgColor rgb="FFFFFFFF"/>
        <bgColor rgb="FFFAF8F2"/>
      </patternFill>
    </fill>
  </fills>
  <borders count="16">
    <border>
      <left/>
      <right/>
      <top/>
      <bottom/>
      <diagonal/>
    </border>
    <border>
      <left style="thin">
        <color rgb="FFD5D8CB"/>
      </left>
      <right style="thin">
        <color rgb="FFD5D8CB"/>
      </right>
      <top style="thin">
        <color rgb="FFD5D8CB"/>
      </top>
      <bottom style="thin">
        <color rgb="FFD5D8CB"/>
      </bottom>
      <diagonal/>
    </border>
    <border>
      <left/>
      <right/>
      <top/>
      <bottom style="thin">
        <color rgb="FFD5D8CB"/>
      </bottom>
      <diagonal/>
    </border>
    <border>
      <left/>
      <right/>
      <top style="hair">
        <color rgb="FFD5D8CB"/>
      </top>
      <bottom style="hair">
        <color rgb="FFD5D8CB"/>
      </bottom>
      <diagonal/>
    </border>
    <border>
      <left/>
      <right/>
      <top style="medium">
        <color rgb="FFC8963E"/>
      </top>
      <bottom style="hair">
        <color rgb="FFD5D8CB"/>
      </bottom>
      <diagonal/>
    </border>
    <border>
      <left/>
      <right/>
      <top/>
      <bottom style="hair">
        <color rgb="FFD5D8CB"/>
      </bottom>
      <diagonal/>
    </border>
    <border>
      <left style="hair">
        <color rgb="FFD5D8CB"/>
      </left>
      <right style="hair">
        <color rgb="FFD5D8CB"/>
      </right>
      <top style="thin">
        <color rgb="FFD5D8CB"/>
      </top>
      <bottom style="thin">
        <color rgb="FF3E4630"/>
      </bottom>
      <diagonal/>
    </border>
    <border>
      <left style="hair">
        <color rgb="FFD5D8CB"/>
      </left>
      <right style="hair">
        <color rgb="FFD5D8CB"/>
      </right>
      <top style="hair">
        <color rgb="FFD5D8CB"/>
      </top>
      <bottom style="hair">
        <color rgb="FFD5D8CB"/>
      </bottom>
      <diagonal/>
    </border>
    <border>
      <left/>
      <right/>
      <top style="medium">
        <color rgb="FFC8963E"/>
      </top>
      <bottom/>
      <diagonal/>
    </border>
    <border>
      <left/>
      <right/>
      <top style="thin">
        <color rgb="FFD5D8CB"/>
      </top>
      <bottom/>
      <diagonal/>
    </border>
    <border>
      <left/>
      <right/>
      <top/>
      <bottom style="medium">
        <color rgb="FFC8963E"/>
      </bottom>
      <diagonal/>
    </border>
    <border>
      <left/>
      <right/>
      <top style="thin">
        <color rgb="FFD5D8CB"/>
      </top>
      <bottom style="thin">
        <color rgb="FFD5D8CB"/>
      </bottom>
      <diagonal/>
    </border>
    <border>
      <left style="hair">
        <color rgb="FFD5D8CB"/>
      </left>
      <right style="hair">
        <color rgb="FFD5D8CB"/>
      </right>
      <top/>
      <bottom/>
      <diagonal/>
    </border>
    <border>
      <left style="hair">
        <color rgb="FFD5D8CB"/>
      </left>
      <right style="hair">
        <color rgb="FFD5D8CB"/>
      </right>
      <top style="medium">
        <color rgb="FFC8963E"/>
      </top>
      <bottom/>
      <diagonal/>
    </border>
    <border>
      <left/>
      <right/>
      <top style="thin">
        <color rgb="FFC8963E"/>
      </top>
      <bottom/>
      <diagonal/>
    </border>
    <border>
      <left style="hair">
        <color rgb="FFD5D8CB"/>
      </left>
      <right style="hair">
        <color rgb="FFD5D8CB"/>
      </right>
      <top style="thin">
        <color rgb="FFC8963E"/>
      </top>
      <bottom/>
      <diagonal/>
    </border>
  </borders>
  <cellStyleXfs count="1">
    <xf numFmtId="0" fontId="0" fillId="0" borderId="0"/>
  </cellStyleXfs>
  <cellXfs count="132">
    <xf numFmtId="0" fontId="0" fillId="0" borderId="0" xfId="0"/>
    <xf numFmtId="0" fontId="11" fillId="0" borderId="5" xfId="0" applyFont="1" applyBorder="1" applyAlignment="1">
      <alignment vertical="center" wrapText="1" indent="1"/>
    </xf>
    <xf numFmtId="167" fontId="13" fillId="3" borderId="4" xfId="0" applyNumberFormat="1" applyFont="1" applyFill="1" applyBorder="1" applyAlignment="1">
      <alignment horizontal="right" indent="1"/>
    </xf>
    <xf numFmtId="0" fontId="6" fillId="3" borderId="4" xfId="0" applyFont="1" applyFill="1" applyBorder="1" applyAlignment="1">
      <alignment indent="1"/>
    </xf>
    <xf numFmtId="167" fontId="10" fillId="10" borderId="3" xfId="0" applyNumberFormat="1" applyFont="1" applyFill="1" applyBorder="1" applyAlignment="1">
      <alignment horizontal="right" indent="1"/>
    </xf>
    <xf numFmtId="0" fontId="9" fillId="10" borderId="3" xfId="0" applyFont="1" applyFill="1" applyBorder="1" applyAlignment="1">
      <alignment indent="1"/>
    </xf>
    <xf numFmtId="0" fontId="11" fillId="0" borderId="3" xfId="0" applyFont="1" applyBorder="1" applyAlignment="1">
      <alignment indent="1"/>
    </xf>
    <xf numFmtId="167" fontId="10" fillId="8" borderId="3" xfId="0" applyNumberFormat="1" applyFont="1" applyFill="1" applyBorder="1" applyAlignment="1">
      <alignment horizontal="right" indent="1"/>
    </xf>
    <xf numFmtId="0" fontId="9" fillId="8" borderId="3" xfId="0" applyFont="1" applyFill="1" applyBorder="1" applyAlignment="1">
      <alignment indent="1"/>
    </xf>
    <xf numFmtId="0" fontId="3" fillId="5" borderId="0" xfId="0" applyFont="1" applyFill="1" applyAlignment="1">
      <alignment horizontal="left" vertical="center" indent="1"/>
    </xf>
    <xf numFmtId="166" fontId="8" fillId="6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1" fillId="2" borderId="0" xfId="0" applyFont="1" applyFill="1" applyAlignment="1">
      <alignment horizontal="left" vertical="center" indent="1"/>
    </xf>
    <xf numFmtId="0" fontId="4" fillId="0" borderId="0" xfId="0" applyFont="1"/>
    <xf numFmtId="0" fontId="5" fillId="4" borderId="1" xfId="0" applyFont="1" applyFill="1" applyBorder="1" applyAlignment="1">
      <alignment horizontal="left" indent="1"/>
    </xf>
    <xf numFmtId="164" fontId="6" fillId="0" borderId="0" xfId="0" applyNumberFormat="1" applyFont="1" applyAlignment="1">
      <alignment horizontal="left" indent="1"/>
    </xf>
    <xf numFmtId="165" fontId="6" fillId="0" borderId="0" xfId="0" applyNumberFormat="1" applyFont="1" applyAlignment="1">
      <alignment horizontal="left" indent="1"/>
    </xf>
    <xf numFmtId="0" fontId="0" fillId="7" borderId="2" xfId="0" applyFill="1" applyBorder="1"/>
    <xf numFmtId="0" fontId="0" fillId="7" borderId="0" xfId="0" applyFill="1"/>
    <xf numFmtId="168" fontId="12" fillId="0" borderId="3" xfId="0" applyNumberFormat="1" applyFont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 vertical="center"/>
    </xf>
    <xf numFmtId="0" fontId="6" fillId="0" borderId="5" xfId="0" applyFont="1" applyBorder="1" applyAlignment="1">
      <alignment vertical="center" indent="1"/>
    </xf>
    <xf numFmtId="0" fontId="0" fillId="4" borderId="1" xfId="0" applyFill="1" applyBorder="1"/>
    <xf numFmtId="0" fontId="0" fillId="10" borderId="1" xfId="0" applyFill="1" applyBorder="1"/>
    <xf numFmtId="0" fontId="0" fillId="3" borderId="1" xfId="0" applyFill="1" applyBorder="1"/>
    <xf numFmtId="0" fontId="0" fillId="2" borderId="1" xfId="0" applyFill="1" applyBorder="1"/>
    <xf numFmtId="0" fontId="15" fillId="0" borderId="0" xfId="0" applyFont="1"/>
    <xf numFmtId="167" fontId="15" fillId="0" borderId="0" xfId="0" applyNumberFormat="1" applyFont="1"/>
    <xf numFmtId="0" fontId="7" fillId="5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/>
    </xf>
    <xf numFmtId="0" fontId="17" fillId="4" borderId="1" xfId="0" applyFont="1" applyFill="1" applyBorder="1"/>
    <xf numFmtId="165" fontId="17" fillId="4" borderId="1" xfId="0" applyNumberFormat="1" applyFont="1" applyFill="1" applyBorder="1"/>
    <xf numFmtId="164" fontId="17" fillId="4" borderId="1" xfId="0" applyNumberFormat="1" applyFont="1" applyFill="1" applyBorder="1"/>
    <xf numFmtId="169" fontId="17" fillId="4" borderId="1" xfId="0" applyNumberFormat="1" applyFont="1" applyFill="1" applyBorder="1"/>
    <xf numFmtId="170" fontId="17" fillId="4" borderId="1" xfId="0" applyNumberFormat="1" applyFont="1" applyFill="1" applyBorder="1"/>
    <xf numFmtId="167" fontId="17" fillId="4" borderId="1" xfId="0" applyNumberFormat="1" applyFont="1" applyFill="1" applyBorder="1"/>
    <xf numFmtId="167" fontId="9" fillId="0" borderId="7" xfId="0" applyNumberFormat="1" applyFont="1" applyBorder="1"/>
    <xf numFmtId="167" fontId="18" fillId="0" borderId="7" xfId="0" applyNumberFormat="1" applyFont="1" applyBorder="1"/>
    <xf numFmtId="0" fontId="14" fillId="2" borderId="8" xfId="0" applyFont="1" applyFill="1" applyBorder="1"/>
    <xf numFmtId="165" fontId="14" fillId="2" borderId="8" xfId="0" applyNumberFormat="1" applyFont="1" applyFill="1" applyBorder="1"/>
    <xf numFmtId="164" fontId="14" fillId="2" borderId="8" xfId="0" applyNumberFormat="1" applyFont="1" applyFill="1" applyBorder="1"/>
    <xf numFmtId="169" fontId="14" fillId="2" borderId="8" xfId="0" applyNumberFormat="1" applyFont="1" applyFill="1" applyBorder="1"/>
    <xf numFmtId="170" fontId="14" fillId="2" borderId="8" xfId="0" applyNumberFormat="1" applyFont="1" applyFill="1" applyBorder="1"/>
    <xf numFmtId="167" fontId="14" fillId="2" borderId="8" xfId="0" applyNumberFormat="1" applyFont="1" applyFill="1" applyBorder="1"/>
    <xf numFmtId="0" fontId="15" fillId="0" borderId="0" xfId="0" applyFont="1" applyAlignment="1">
      <alignment horizontal="center"/>
    </xf>
    <xf numFmtId="0" fontId="19" fillId="0" borderId="0" xfId="0" applyFont="1"/>
    <xf numFmtId="0" fontId="6" fillId="8" borderId="7" xfId="0" applyFont="1" applyFill="1" applyBorder="1"/>
    <xf numFmtId="165" fontId="9" fillId="8" borderId="7" xfId="0" applyNumberFormat="1" applyFont="1" applyFill="1" applyBorder="1"/>
    <xf numFmtId="165" fontId="6" fillId="3" borderId="7" xfId="0" applyNumberFormat="1" applyFont="1" applyFill="1" applyBorder="1"/>
    <xf numFmtId="0" fontId="6" fillId="10" borderId="7" xfId="0" applyFont="1" applyFill="1" applyBorder="1"/>
    <xf numFmtId="164" fontId="9" fillId="10" borderId="7" xfId="0" applyNumberFormat="1" applyFont="1" applyFill="1" applyBorder="1"/>
    <xf numFmtId="164" fontId="6" fillId="3" borderId="7" xfId="0" applyNumberFormat="1" applyFont="1" applyFill="1" applyBorder="1"/>
    <xf numFmtId="165" fontId="9" fillId="10" borderId="7" xfId="0" applyNumberFormat="1" applyFont="1" applyFill="1" applyBorder="1"/>
    <xf numFmtId="169" fontId="9" fillId="8" borderId="7" xfId="0" applyNumberFormat="1" applyFont="1" applyFill="1" applyBorder="1"/>
    <xf numFmtId="169" fontId="6" fillId="3" borderId="7" xfId="0" applyNumberFormat="1" applyFont="1" applyFill="1" applyBorder="1"/>
    <xf numFmtId="170" fontId="9" fillId="10" borderId="7" xfId="0" applyNumberFormat="1" applyFont="1" applyFill="1" applyBorder="1"/>
    <xf numFmtId="170" fontId="6" fillId="3" borderId="7" xfId="0" applyNumberFormat="1" applyFont="1" applyFill="1" applyBorder="1"/>
    <xf numFmtId="0" fontId="10" fillId="8" borderId="7" xfId="0" applyFont="1" applyFill="1" applyBorder="1"/>
    <xf numFmtId="171" fontId="9" fillId="8" borderId="7" xfId="0" applyNumberFormat="1" applyFont="1" applyFill="1" applyBorder="1"/>
    <xf numFmtId="171" fontId="6" fillId="3" borderId="7" xfId="0" applyNumberFormat="1" applyFont="1" applyFill="1" applyBorder="1"/>
    <xf numFmtId="0" fontId="10" fillId="10" borderId="7" xfId="0" applyFont="1" applyFill="1" applyBorder="1"/>
    <xf numFmtId="171" fontId="9" fillId="10" borderId="7" xfId="0" applyNumberFormat="1" applyFont="1" applyFill="1" applyBorder="1"/>
    <xf numFmtId="0" fontId="4" fillId="8" borderId="0" xfId="0" applyFont="1" applyFill="1" applyAlignment="1">
      <alignment horizontal="center"/>
    </xf>
    <xf numFmtId="0" fontId="9" fillId="8" borderId="7" xfId="0" applyFont="1" applyFill="1" applyBorder="1"/>
    <xf numFmtId="0" fontId="4" fillId="8" borderId="0" xfId="0" applyFont="1" applyFill="1"/>
    <xf numFmtId="0" fontId="0" fillId="8" borderId="0" xfId="0" applyFill="1"/>
    <xf numFmtId="167" fontId="21" fillId="8" borderId="7" xfId="0" applyNumberFormat="1" applyFont="1" applyFill="1" applyBorder="1"/>
    <xf numFmtId="172" fontId="9" fillId="8" borderId="7" xfId="0" applyNumberFormat="1" applyFont="1" applyFill="1" applyBorder="1"/>
    <xf numFmtId="173" fontId="9" fillId="8" borderId="7" xfId="0" applyNumberFormat="1" applyFont="1" applyFill="1" applyBorder="1"/>
    <xf numFmtId="0" fontId="4" fillId="10" borderId="0" xfId="0" applyFont="1" applyFill="1" applyAlignment="1">
      <alignment horizontal="center"/>
    </xf>
    <xf numFmtId="0" fontId="9" fillId="10" borderId="7" xfId="0" applyFont="1" applyFill="1" applyBorder="1"/>
    <xf numFmtId="0" fontId="4" fillId="10" borderId="0" xfId="0" applyFont="1" applyFill="1"/>
    <xf numFmtId="0" fontId="0" fillId="10" borderId="0" xfId="0" applyFill="1"/>
    <xf numFmtId="172" fontId="9" fillId="10" borderId="7" xfId="0" applyNumberFormat="1" applyFont="1" applyFill="1" applyBorder="1"/>
    <xf numFmtId="173" fontId="9" fillId="10" borderId="7" xfId="0" applyNumberFormat="1" applyFont="1" applyFill="1" applyBorder="1"/>
    <xf numFmtId="0" fontId="14" fillId="5" borderId="0" xfId="0" applyFont="1" applyFill="1"/>
    <xf numFmtId="167" fontId="14" fillId="5" borderId="0" xfId="0" applyNumberFormat="1" applyFont="1" applyFill="1"/>
    <xf numFmtId="172" fontId="14" fillId="5" borderId="0" xfId="0" applyNumberFormat="1" applyFont="1" applyFill="1"/>
    <xf numFmtId="0" fontId="4" fillId="0" borderId="0" xfId="0" applyFont="1" applyAlignment="1">
      <alignment horizontal="center"/>
    </xf>
    <xf numFmtId="0" fontId="17" fillId="4" borderId="1" xfId="0" applyFont="1" applyFill="1" applyBorder="1" applyAlignment="1">
      <alignment indent="1"/>
    </xf>
    <xf numFmtId="0" fontId="22" fillId="4" borderId="1" xfId="0" applyFont="1" applyFill="1" applyBorder="1"/>
    <xf numFmtId="0" fontId="17" fillId="4" borderId="1" xfId="0" applyFont="1" applyFill="1" applyBorder="1" applyAlignment="1">
      <alignment horizontal="center"/>
    </xf>
    <xf numFmtId="172" fontId="9" fillId="0" borderId="7" xfId="0" applyNumberFormat="1" applyFont="1" applyBorder="1"/>
    <xf numFmtId="173" fontId="9" fillId="0" borderId="7" xfId="0" applyNumberFormat="1" applyFont="1" applyBorder="1"/>
    <xf numFmtId="0" fontId="6" fillId="3" borderId="9" xfId="0" applyFont="1" applyFill="1" applyBorder="1"/>
    <xf numFmtId="167" fontId="6" fillId="3" borderId="9" xfId="0" applyNumberFormat="1" applyFont="1" applyFill="1" applyBorder="1"/>
    <xf numFmtId="172" fontId="6" fillId="3" borderId="9" xfId="0" applyNumberFormat="1" applyFont="1" applyFill="1" applyBorder="1"/>
    <xf numFmtId="0" fontId="9" fillId="0" borderId="0" xfId="0" applyFont="1"/>
    <xf numFmtId="0" fontId="23" fillId="0" borderId="0" xfId="0" applyFont="1" applyAlignment="1">
      <alignment horizontal="center"/>
    </xf>
    <xf numFmtId="167" fontId="21" fillId="0" borderId="7" xfId="0" applyNumberFormat="1" applyFont="1" applyBorder="1"/>
    <xf numFmtId="0" fontId="3" fillId="2" borderId="8" xfId="0" applyFont="1" applyFill="1" applyBorder="1"/>
    <xf numFmtId="167" fontId="3" fillId="2" borderId="8" xfId="0" applyNumberFormat="1" applyFont="1" applyFill="1" applyBorder="1"/>
    <xf numFmtId="172" fontId="3" fillId="2" borderId="8" xfId="0" applyNumberFormat="1" applyFont="1" applyFill="1" applyBorder="1"/>
    <xf numFmtId="0" fontId="10" fillId="0" borderId="0" xfId="0" applyFont="1" applyAlignment="1">
      <alignment indent="1"/>
    </xf>
    <xf numFmtId="167" fontId="13" fillId="3" borderId="1" xfId="0" applyNumberFormat="1" applyFont="1" applyFill="1" applyBorder="1"/>
    <xf numFmtId="0" fontId="24" fillId="0" borderId="0" xfId="0" applyFont="1" applyAlignment="1">
      <alignment indent="1"/>
    </xf>
    <xf numFmtId="167" fontId="21" fillId="10" borderId="1" xfId="0" applyNumberFormat="1" applyFont="1" applyFill="1" applyBorder="1"/>
    <xf numFmtId="0" fontId="9" fillId="8" borderId="7" xfId="0" applyFont="1" applyFill="1" applyBorder="1" applyAlignment="1">
      <alignment indent="1"/>
    </xf>
    <xf numFmtId="0" fontId="9" fillId="10" borderId="7" xfId="0" applyFont="1" applyFill="1" applyBorder="1" applyAlignment="1">
      <alignment indent="1"/>
    </xf>
    <xf numFmtId="167" fontId="25" fillId="0" borderId="7" xfId="0" applyNumberFormat="1" applyFont="1" applyBorder="1"/>
    <xf numFmtId="0" fontId="9" fillId="8" borderId="0" xfId="0" applyFont="1" applyFill="1" applyAlignment="1">
      <alignment indent="1"/>
    </xf>
    <xf numFmtId="0" fontId="9" fillId="10" borderId="0" xfId="0" applyFont="1" applyFill="1" applyAlignment="1">
      <alignment indent="1"/>
    </xf>
    <xf numFmtId="0" fontId="6" fillId="8" borderId="0" xfId="0" applyFont="1" applyFill="1" applyAlignment="1">
      <alignment indent="1"/>
    </xf>
    <xf numFmtId="167" fontId="6" fillId="0" borderId="7" xfId="0" applyNumberFormat="1" applyFont="1" applyBorder="1"/>
    <xf numFmtId="0" fontId="6" fillId="10" borderId="0" xfId="0" applyFont="1" applyFill="1" applyAlignment="1">
      <alignment indent="1"/>
    </xf>
    <xf numFmtId="0" fontId="3" fillId="2" borderId="8" xfId="0" applyFont="1" applyFill="1" applyBorder="1" applyAlignment="1">
      <alignment indent="1"/>
    </xf>
    <xf numFmtId="0" fontId="14" fillId="5" borderId="0" xfId="0" applyFont="1" applyFill="1" applyAlignment="1">
      <alignment horizontal="center" vertical="center"/>
    </xf>
    <xf numFmtId="0" fontId="26" fillId="5" borderId="10" xfId="0" applyFont="1" applyFill="1" applyBorder="1" applyAlignment="1">
      <alignment horizontal="center" vertical="center"/>
    </xf>
    <xf numFmtId="167" fontId="6" fillId="8" borderId="0" xfId="0" applyNumberFormat="1" applyFont="1" applyFill="1"/>
    <xf numFmtId="167" fontId="9" fillId="8" borderId="7" xfId="0" applyNumberFormat="1" applyFont="1" applyFill="1" applyBorder="1"/>
    <xf numFmtId="0" fontId="9" fillId="0" borderId="0" xfId="0" applyFont="1" applyAlignment="1">
      <alignment indent="1"/>
    </xf>
    <xf numFmtId="167" fontId="6" fillId="0" borderId="0" xfId="0" applyNumberFormat="1" applyFont="1"/>
    <xf numFmtId="0" fontId="6" fillId="3" borderId="11" xfId="0" applyFont="1" applyFill="1" applyBorder="1"/>
    <xf numFmtId="167" fontId="6" fillId="3" borderId="11" xfId="0" applyNumberFormat="1" applyFont="1" applyFill="1" applyBorder="1"/>
    <xf numFmtId="167" fontId="9" fillId="0" borderId="12" xfId="0" applyNumberFormat="1" applyFont="1" applyBorder="1"/>
    <xf numFmtId="0" fontId="6" fillId="3" borderId="0" xfId="0" applyFont="1" applyFill="1" applyAlignment="1">
      <alignment indent="1"/>
    </xf>
    <xf numFmtId="0" fontId="6" fillId="3" borderId="0" xfId="0" applyFont="1" applyFill="1"/>
    <xf numFmtId="167" fontId="6" fillId="3" borderId="12" xfId="0" applyNumberFormat="1" applyFont="1" applyFill="1" applyBorder="1"/>
    <xf numFmtId="172" fontId="3" fillId="2" borderId="13" xfId="0" applyNumberFormat="1" applyFont="1" applyFill="1" applyBorder="1"/>
    <xf numFmtId="167" fontId="9" fillId="8" borderId="12" xfId="0" applyNumberFormat="1" applyFont="1" applyFill="1" applyBorder="1"/>
    <xf numFmtId="0" fontId="14" fillId="5" borderId="14" xfId="0" applyFont="1" applyFill="1" applyBorder="1" applyAlignment="1">
      <alignment indent="1"/>
    </xf>
    <xf numFmtId="0" fontId="14" fillId="5" borderId="14" xfId="0" applyFont="1" applyFill="1" applyBorder="1"/>
    <xf numFmtId="172" fontId="14" fillId="5" borderId="15" xfId="0" applyNumberFormat="1" applyFont="1" applyFill="1" applyBorder="1"/>
    <xf numFmtId="167" fontId="21" fillId="4" borderId="1" xfId="0" applyNumberFormat="1" applyFont="1" applyFill="1" applyBorder="1"/>
    <xf numFmtId="0" fontId="15" fillId="0" borderId="0" xfId="0" applyFont="1" applyAlignment="1">
      <alignment vertical="center" wrapText="1" indent="1"/>
    </xf>
    <xf numFmtId="0" fontId="16" fillId="0" borderId="0" xfId="0" applyFont="1"/>
    <xf numFmtId="0" fontId="20" fillId="0" borderId="0" xfId="0" applyFont="1"/>
    <xf numFmtId="0" fontId="7" fillId="5" borderId="10" xfId="0" applyFont="1" applyFill="1" applyBorder="1" applyAlignment="1">
      <alignment horizontal="center" vertical="center" wrapText="1"/>
    </xf>
    <xf numFmtId="0" fontId="6" fillId="0" borderId="0" xfId="0" applyFont="1" applyAlignment="1">
      <alignment indent="1"/>
    </xf>
  </cellXfs>
  <cellStyles count="1">
    <cellStyle name="Standard" xfId="0" builtinId="0"/>
  </cellStyles>
  <dxfs count="10">
    <dxf>
      <font>
        <b/>
        <sz val="11"/>
        <color rgb="FFA8D8B0"/>
        <name val="Calibri"/>
        <charset val="1"/>
      </font>
    </dxf>
    <dxf>
      <font>
        <b/>
        <sz val="11"/>
        <color rgb="FFF0C36A"/>
        <name val="Calibri"/>
        <charset val="1"/>
      </font>
    </dxf>
    <dxf>
      <font>
        <b/>
        <sz val="10"/>
        <color rgb="FFFFFFFF"/>
        <name val="Calibri"/>
        <charset val="1"/>
      </font>
      <fill>
        <patternFill>
          <bgColor rgb="FFA2513A"/>
        </patternFill>
      </fill>
    </dxf>
    <dxf>
      <font>
        <b/>
        <sz val="10"/>
        <color rgb="FF3F7A47"/>
        <name val="Calibri"/>
        <charset val="1"/>
      </font>
    </dxf>
    <dxf>
      <font>
        <b/>
        <sz val="10"/>
        <color rgb="FFA2513A"/>
        <name val="Calibri"/>
        <charset val="1"/>
      </font>
    </dxf>
    <dxf>
      <font>
        <b/>
        <sz val="10"/>
        <color rgb="FFFFFFFF"/>
        <name val="Calibri"/>
        <charset val="1"/>
      </font>
      <fill>
        <patternFill>
          <bgColor rgb="FFA2513A"/>
        </patternFill>
      </fill>
    </dxf>
    <dxf>
      <font>
        <b/>
        <sz val="10"/>
        <color rgb="FFA2513A"/>
        <name val="Calibri"/>
        <charset val="1"/>
      </font>
    </dxf>
    <dxf>
      <font>
        <b/>
        <sz val="10"/>
        <color rgb="FF3F7A47"/>
        <name val="Calibri"/>
        <charset val="1"/>
      </font>
    </dxf>
    <dxf>
      <font>
        <b/>
        <sz val="10"/>
        <color rgb="FFA2513A"/>
        <name val="Calibri"/>
        <charset val="1"/>
      </font>
      <fill>
        <patternFill>
          <bgColor rgb="FFF7E3DC"/>
        </patternFill>
      </fill>
    </dxf>
    <dxf>
      <font>
        <b/>
        <sz val="9"/>
        <color rgb="FFFFFFFF"/>
        <name val="Calibri"/>
        <charset val="1"/>
      </font>
      <fill>
        <patternFill>
          <bgColor rgb="FFA2513A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C6B45"/>
      <rgbColor rgb="FF800080"/>
      <rgbColor rgb="FF008080"/>
      <rgbColor rgb="FFD5D8CB"/>
      <rgbColor rgb="FF878787"/>
      <rgbColor rgb="FF9999FF"/>
      <rgbColor rgb="FFA2513A"/>
      <rgbColor rgb="FFFAF8F2"/>
      <rgbColor rgb="FFF2F3EE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7E3DC"/>
      <rgbColor rgb="FFF6EFDD"/>
      <rgbColor rgb="FFA8D8B0"/>
      <rgbColor rgb="FFFF99CC"/>
      <rgbColor rgb="FFCC99FF"/>
      <rgbColor rgb="FFE8D8B4"/>
      <rgbColor rgb="FF3366FF"/>
      <rgbColor rgb="FF33CCCC"/>
      <rgbColor rgb="FF99CC00"/>
      <rgbColor rgb="FFF0C36A"/>
      <rgbColor rgb="FFC8963E"/>
      <rgbColor rgb="FFFF6600"/>
      <rgbColor rgb="FF4F81BD"/>
      <rgbColor rgb="FF8A8A80"/>
      <rgbColor rgb="FF1F3864"/>
      <rgbColor rgb="FF3F7A47"/>
      <rgbColor rgb="FF003300"/>
      <rgbColor rgb="FF3E4630"/>
      <rgbColor rgb="FF993300"/>
      <rgbColor rgb="FF993366"/>
      <rgbColor rgb="FF333399"/>
      <rgbColor rgb="FF2B2B2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Bewirtschaftungskosten 2026 nach Kostenposition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Gesamtabrechnung!$F$13</c:f>
              <c:strCache>
                <c:ptCount val="1"/>
                <c:pt idx="0">
                  <c:v>Ist 2026</c:v>
                </c:pt>
              </c:strCache>
            </c:strRef>
          </c:tx>
          <c:spPr>
            <a:solidFill>
              <a:srgbClr val="5C6B45"/>
            </a:solidFill>
            <a:ln w="0">
              <a:solidFill>
                <a:srgbClr val="3E463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Gesamtabrechnung!$C$14:$C$31</c:f>
              <c:strCache>
                <c:ptCount val="18"/>
                <c:pt idx="0">
                  <c:v>Heizung und Warmwasser (Fernwärme)</c:v>
                </c:pt>
                <c:pt idx="1">
                  <c:v>Wasserversorgung und Entwässerung</c:v>
                </c:pt>
                <c:pt idx="2">
                  <c:v>Heizkostenverteilung / Messdienst</c:v>
                </c:pt>
                <c:pt idx="3">
                  <c:v>Allgemeinstrom (Flur, Keller, Außenanlage)</c:v>
                </c:pt>
                <c:pt idx="4">
                  <c:v>Müllentsorgung und Straßenreinigung</c:v>
                </c:pt>
                <c:pt idx="5">
                  <c:v>Gebäudeversicherung (verbundene Wohngeb.)</c:v>
                </c:pt>
                <c:pt idx="6">
                  <c:v>Haus- und Grundbesitzerhaftpflicht</c:v>
                </c:pt>
                <c:pt idx="7">
                  <c:v>Treppenhaus- und Gebäudereinigung</c:v>
                </c:pt>
                <c:pt idx="8">
                  <c:v>Winterdienst</c:v>
                </c:pt>
                <c:pt idx="9">
                  <c:v>Gartenpflege und Außenanlagen</c:v>
                </c:pt>
                <c:pt idx="10">
                  <c:v>Hausmeisterservice</c:v>
                </c:pt>
                <c:pt idx="11">
                  <c:v>Aufzugswartung und Notrufaufschaltung</c:v>
                </c:pt>
                <c:pt idx="12">
                  <c:v>Schornsteinfeger / Immissionsmessung</c:v>
                </c:pt>
                <c:pt idx="13">
                  <c:v>Wartung Rauchwarnmelder</c:v>
                </c:pt>
                <c:pt idx="14">
                  <c:v>Verwaltervergütung</c:v>
                </c:pt>
                <c:pt idx="15">
                  <c:v>Laufende Instandhaltung / Kleinreparaturen</c:v>
                </c:pt>
                <c:pt idx="16">
                  <c:v>Kontoführung und Bankgebühren</c:v>
                </c:pt>
                <c:pt idx="17">
                  <c:v>Rechts- und Beratungskosten</c:v>
                </c:pt>
              </c:strCache>
            </c:strRef>
          </c:cat>
          <c:val>
            <c:numRef>
              <c:f>Gesamtabrechnung!$F$14:$F$31</c:f>
              <c:numCache>
                <c:formatCode>#,##0.00" €";\-#,##0.00" €";\–</c:formatCode>
                <c:ptCount val="18"/>
                <c:pt idx="0">
                  <c:v>12640</c:v>
                </c:pt>
                <c:pt idx="1">
                  <c:v>4820</c:v>
                </c:pt>
                <c:pt idx="2">
                  <c:v>690</c:v>
                </c:pt>
                <c:pt idx="3">
                  <c:v>1180</c:v>
                </c:pt>
                <c:pt idx="4">
                  <c:v>2340</c:v>
                </c:pt>
                <c:pt idx="5">
                  <c:v>3860</c:v>
                </c:pt>
                <c:pt idx="6">
                  <c:v>420</c:v>
                </c:pt>
                <c:pt idx="7">
                  <c:v>3120</c:v>
                </c:pt>
                <c:pt idx="8">
                  <c:v>980</c:v>
                </c:pt>
                <c:pt idx="9">
                  <c:v>2460</c:v>
                </c:pt>
                <c:pt idx="10">
                  <c:v>4680</c:v>
                </c:pt>
                <c:pt idx="11">
                  <c:v>2180</c:v>
                </c:pt>
                <c:pt idx="12">
                  <c:v>260</c:v>
                </c:pt>
                <c:pt idx="13">
                  <c:v>480</c:v>
                </c:pt>
                <c:pt idx="14">
                  <c:v>5760</c:v>
                </c:pt>
                <c:pt idx="15">
                  <c:v>3240</c:v>
                </c:pt>
                <c:pt idx="16">
                  <c:v>180</c:v>
                </c:pt>
                <c:pt idx="17">
                  <c:v>620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3-433B-8D11-B5A79DC6A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005984"/>
        <c:axId val="68763679"/>
      </c:barChart>
      <c:catAx>
        <c:axId val="400598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9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8763679"/>
        <c:crosses val="autoZero"/>
        <c:auto val="1"/>
        <c:lblAlgn val="ctr"/>
        <c:lblOffset val="100"/>
        <c:noMultiLvlLbl val="0"/>
      </c:catAx>
      <c:valAx>
        <c:axId val="68763679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numFmt formatCode="#,##0.00&quot; €&quot;;\-#,##0.00&quot; €&quot;;\–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8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4005984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Kostenstruktur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5C6B45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B9B0-41E8-86BC-E1B5AA867E8E}"/>
              </c:ext>
            </c:extLst>
          </c:dPt>
          <c:dPt>
            <c:idx val="1"/>
            <c:bubble3D val="0"/>
            <c:spPr>
              <a:solidFill>
                <a:srgbClr val="C8963E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9B0-41E8-86BC-E1B5AA867E8E}"/>
              </c:ext>
            </c:extLst>
          </c:dPt>
          <c:dLbls>
            <c:dLbl>
              <c:idx val="0"/>
              <c:layout>
                <c:manualLayout>
                  <c:x val="2.7230762821314002E-2"/>
                  <c:y val="-4.5345211581291761E-2"/>
                </c:manualLayout>
              </c:layout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B0-41E8-86BC-E1B5AA867E8E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Calibri"/>
                    </a:defRPr>
                  </a:pPr>
                  <a:endParaRPr lang="de-DE"/>
                </a:p>
              </c:txPr>
              <c:dLblPos val="bestFit"/>
              <c:showLegendKey val="1"/>
              <c:showVal val="1"/>
              <c:showCatName val="1"/>
              <c:showSerName val="1"/>
              <c:showPercent val="1"/>
              <c:showBubbleSize val="1"/>
              <c:extLst>
                <c:ext xmlns:c16="http://schemas.microsoft.com/office/drawing/2014/chart" uri="{C3380CC4-5D6E-409C-BE32-E72D297353CC}">
                  <c16:uniqueId val="{00000003-B9B0-41E8-86BC-E1B5AA867E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de-DE"/>
              </a:p>
            </c:txPr>
            <c:dLblPos val="bestFit"/>
            <c:showLegendKey val="1"/>
            <c:showVal val="1"/>
            <c:showCatName val="1"/>
            <c:showSerName val="1"/>
            <c:showPercent val="1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Gesamtabrechnung!$C$40:$C$41</c:f>
              <c:strCache>
                <c:ptCount val="2"/>
                <c:pt idx="0">
                  <c:v>davon umlagefähige Betriebskosten (§ 2 BetrKV – auf Mieter umlegbar)</c:v>
                </c:pt>
                <c:pt idx="1">
                  <c:v>davon nicht umlagefähige Kosten (vom Eigentümer zu tragen)</c:v>
                </c:pt>
              </c:strCache>
            </c:strRef>
          </c:cat>
          <c:val>
            <c:numRef>
              <c:f>Gesamtabrechnung!$F$40:$F$41</c:f>
              <c:numCache>
                <c:formatCode>#,##0.00" €";\-#,##0.00" €";\–</c:formatCode>
                <c:ptCount val="2"/>
                <c:pt idx="0">
                  <c:v>40110</c:v>
                </c:pt>
                <c:pt idx="1">
                  <c:v>10163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9B0-41E8-86BC-E1B5AA867E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24</xdr:row>
      <xdr:rowOff>0</xdr:rowOff>
    </xdr:from>
    <xdr:to>
      <xdr:col>5</xdr:col>
      <xdr:colOff>1066800</xdr:colOff>
      <xdr:row>46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5</xdr:col>
      <xdr:colOff>1190624</xdr:colOff>
      <xdr:row>24</xdr:row>
      <xdr:rowOff>28574</xdr:rowOff>
    </xdr:from>
    <xdr:to>
      <xdr:col>12</xdr:col>
      <xdr:colOff>200024</xdr:colOff>
      <xdr:row>46</xdr:row>
      <xdr:rowOff>114299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3E4630"/>
    <pageSetUpPr fitToPage="1"/>
  </sheetPr>
  <dimension ref="B2:M68"/>
  <sheetViews>
    <sheetView showGridLines="0" tabSelected="1" zoomScaleNormal="100" workbookViewId="0">
      <selection activeCell="G81" sqref="G81"/>
    </sheetView>
  </sheetViews>
  <sheetFormatPr baseColWidth="10" defaultColWidth="8.7109375" defaultRowHeight="15" x14ac:dyDescent="0.25"/>
  <cols>
    <col min="1" max="1" width="2" customWidth="1"/>
    <col min="2" max="2" width="22" customWidth="1"/>
    <col min="3" max="3" width="32.85546875" bestFit="1" customWidth="1"/>
    <col min="4" max="4" width="4" customWidth="1"/>
    <col min="5" max="5" width="22" customWidth="1"/>
    <col min="6" max="6" width="33.85546875" bestFit="1" customWidth="1"/>
    <col min="7" max="7" width="4" customWidth="1"/>
    <col min="8" max="8" width="22" customWidth="1"/>
    <col min="9" max="9" width="16" customWidth="1"/>
    <col min="10" max="10" width="4" customWidth="1"/>
    <col min="11" max="11" width="22" customWidth="1"/>
    <col min="12" max="12" width="12" customWidth="1"/>
    <col min="13" max="13" width="3.140625" bestFit="1" customWidth="1"/>
  </cols>
  <sheetData>
    <row r="2" spans="2:13" ht="33.75" customHeight="1" x14ac:dyDescent="0.25">
      <c r="B2" s="14" t="s">
        <v>0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2:13" ht="15.75" customHeight="1" x14ac:dyDescent="0.25">
      <c r="B3" s="13" t="s">
        <v>1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5" spans="2:13" ht="21.75" customHeight="1" x14ac:dyDescent="0.25">
      <c r="B5" s="12" t="s">
        <v>2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</row>
    <row r="6" spans="2:13" ht="16.5" customHeight="1" x14ac:dyDescent="0.25">
      <c r="B6" s="15" t="s">
        <v>3</v>
      </c>
      <c r="C6" s="16" t="s">
        <v>4</v>
      </c>
      <c r="E6" s="15" t="s">
        <v>5</v>
      </c>
      <c r="F6" s="17">
        <f>Einheiten!F15</f>
        <v>647</v>
      </c>
    </row>
    <row r="7" spans="2:13" ht="16.5" customHeight="1" x14ac:dyDescent="0.25">
      <c r="B7" s="15" t="s">
        <v>6</v>
      </c>
      <c r="C7" s="16" t="s">
        <v>7</v>
      </c>
      <c r="E7" s="15" t="s">
        <v>8</v>
      </c>
      <c r="F7" s="18">
        <f>Einheiten!E15</f>
        <v>1000</v>
      </c>
    </row>
    <row r="8" spans="2:13" ht="16.5" customHeight="1" x14ac:dyDescent="0.25">
      <c r="B8" s="15" t="s">
        <v>9</v>
      </c>
      <c r="C8" s="16" t="s">
        <v>10</v>
      </c>
      <c r="E8" s="15" t="s">
        <v>11</v>
      </c>
      <c r="F8" s="16" t="s">
        <v>12</v>
      </c>
    </row>
    <row r="9" spans="2:13" ht="16.5" customHeight="1" x14ac:dyDescent="0.25">
      <c r="B9" s="15" t="s">
        <v>13</v>
      </c>
      <c r="C9" s="16" t="s">
        <v>14</v>
      </c>
      <c r="E9" s="15" t="s">
        <v>15</v>
      </c>
      <c r="F9" s="16" t="s">
        <v>16</v>
      </c>
    </row>
    <row r="10" spans="2:13" ht="16.5" customHeight="1" x14ac:dyDescent="0.25">
      <c r="B10" s="15" t="s">
        <v>17</v>
      </c>
      <c r="C10" s="18">
        <f>Einheiten!G15</f>
        <v>8</v>
      </c>
      <c r="E10" s="15" t="s">
        <v>18</v>
      </c>
      <c r="F10" s="16" t="s">
        <v>19</v>
      </c>
    </row>
    <row r="12" spans="2:13" ht="21.75" customHeight="1" x14ac:dyDescent="0.25">
      <c r="B12" s="12" t="s">
        <v>20</v>
      </c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</row>
    <row r="13" spans="2:13" ht="18" customHeight="1" x14ac:dyDescent="0.25">
      <c r="B13" s="11" t="s">
        <v>21</v>
      </c>
      <c r="C13" s="11"/>
      <c r="D13" s="11" t="s">
        <v>22</v>
      </c>
      <c r="E13" s="11"/>
      <c r="F13" s="11" t="s">
        <v>23</v>
      </c>
      <c r="G13" s="11"/>
      <c r="H13" s="11" t="s">
        <v>24</v>
      </c>
      <c r="I13" s="11"/>
      <c r="J13" s="11" t="s">
        <v>25</v>
      </c>
      <c r="K13" s="11"/>
      <c r="L13" s="11" t="s">
        <v>26</v>
      </c>
      <c r="M13" s="11"/>
    </row>
    <row r="14" spans="2:13" ht="30" customHeight="1" x14ac:dyDescent="0.25">
      <c r="B14" s="10">
        <f>Gesamtabrechnung!F37</f>
        <v>50273</v>
      </c>
      <c r="C14" s="10"/>
      <c r="D14" s="10">
        <f>Gesamtabrechnung!F40</f>
        <v>40110</v>
      </c>
      <c r="E14" s="10"/>
      <c r="F14" s="10">
        <f>Gesamtabrechnung!F48</f>
        <v>12000</v>
      </c>
      <c r="G14" s="10"/>
      <c r="H14" s="10">
        <f>Einheiten!L15</f>
        <v>61200</v>
      </c>
      <c r="I14" s="10"/>
      <c r="J14" s="10">
        <f>Einzelabrechnung!D42</f>
        <v>1073</v>
      </c>
      <c r="K14" s="10"/>
      <c r="L14" s="10">
        <f>Gesamtabrechnung!F52</f>
        <v>35970</v>
      </c>
      <c r="M14" s="10"/>
    </row>
    <row r="15" spans="2:13" ht="3.75" customHeight="1" x14ac:dyDescent="0.25">
      <c r="B15" s="19"/>
      <c r="C15" s="20"/>
      <c r="D15" s="19"/>
      <c r="E15" s="20"/>
      <c r="F15" s="19"/>
      <c r="G15" s="20"/>
      <c r="H15" s="19"/>
      <c r="I15" s="20"/>
      <c r="J15" s="19"/>
      <c r="K15" s="20"/>
      <c r="L15" s="19"/>
      <c r="M15" s="20"/>
    </row>
    <row r="17" spans="2:13" ht="21.75" customHeight="1" x14ac:dyDescent="0.25">
      <c r="B17" s="12" t="s">
        <v>27</v>
      </c>
      <c r="C17" s="12"/>
      <c r="D17" s="12"/>
      <c r="E17" s="12"/>
      <c r="F17" s="12"/>
      <c r="G17" s="12"/>
      <c r="I17" s="9" t="s">
        <v>28</v>
      </c>
      <c r="J17" s="9"/>
      <c r="K17" s="9"/>
      <c r="L17" s="9"/>
      <c r="M17" s="9"/>
    </row>
    <row r="18" spans="2:13" ht="18" customHeight="1" x14ac:dyDescent="0.25">
      <c r="B18" s="8" t="s">
        <v>29</v>
      </c>
      <c r="C18" s="8"/>
      <c r="D18" s="8"/>
      <c r="E18" s="8"/>
      <c r="F18" s="7">
        <f>Gesamtabrechnung!F59</f>
        <v>4052</v>
      </c>
      <c r="G18" s="7"/>
      <c r="I18" s="6" t="s">
        <v>30</v>
      </c>
      <c r="J18" s="6"/>
      <c r="K18" s="6"/>
      <c r="L18" s="21">
        <f>Einzelabrechnung!D51</f>
        <v>0</v>
      </c>
      <c r="M18" s="22" t="str">
        <f>IF(ABS(L18)&lt;0.01,"OK","PRÜFEN")</f>
        <v>OK</v>
      </c>
    </row>
    <row r="19" spans="2:13" ht="18" customHeight="1" x14ac:dyDescent="0.25">
      <c r="B19" s="5" t="s">
        <v>31</v>
      </c>
      <c r="C19" s="5"/>
      <c r="D19" s="5"/>
      <c r="E19" s="5"/>
      <c r="F19" s="4">
        <f>Gesamtabrechnung!F52</f>
        <v>35970</v>
      </c>
      <c r="G19" s="4"/>
      <c r="I19" s="6" t="s">
        <v>32</v>
      </c>
      <c r="J19" s="6"/>
      <c r="K19" s="6"/>
      <c r="L19" s="21">
        <f>Einzelabrechnung!D52</f>
        <v>0</v>
      </c>
      <c r="M19" s="22" t="str">
        <f>IF(ABS(L19)&lt;0.01,"OK","PRÜFEN")</f>
        <v>OK</v>
      </c>
    </row>
    <row r="20" spans="2:13" ht="18" customHeight="1" x14ac:dyDescent="0.25">
      <c r="B20" s="8" t="s">
        <v>33</v>
      </c>
      <c r="C20" s="8"/>
      <c r="D20" s="8"/>
      <c r="E20" s="8"/>
      <c r="F20" s="7">
        <f>Einheiten!N15</f>
        <v>1300</v>
      </c>
      <c r="G20" s="7"/>
      <c r="I20" s="6" t="s">
        <v>34</v>
      </c>
      <c r="J20" s="6"/>
      <c r="K20" s="6"/>
      <c r="L20" s="21">
        <f>Gesamtabrechnung!F43</f>
        <v>0</v>
      </c>
      <c r="M20" s="22" t="str">
        <f>IF(ABS(L20)&lt;0.01,"OK","PRÜFEN")</f>
        <v>OK</v>
      </c>
    </row>
    <row r="21" spans="2:13" ht="18" customHeight="1" x14ac:dyDescent="0.25">
      <c r="B21" s="5" t="s">
        <v>35</v>
      </c>
      <c r="C21" s="5"/>
      <c r="D21" s="5"/>
      <c r="E21" s="5"/>
      <c r="F21" s="4">
        <f>-Gesamtabrechnung!F62</f>
        <v>0</v>
      </c>
      <c r="G21" s="4"/>
      <c r="I21" s="6" t="s">
        <v>36</v>
      </c>
      <c r="J21" s="6"/>
      <c r="K21" s="6"/>
      <c r="L21" s="21">
        <f>SUM(Einheiten!K29:K34)-6</f>
        <v>0</v>
      </c>
      <c r="M21" s="22" t="str">
        <f>IF(ABS(L21)&lt;0.01,"OK","PRÜFEN")</f>
        <v>OK</v>
      </c>
    </row>
    <row r="22" spans="2:13" ht="18" customHeight="1" x14ac:dyDescent="0.25">
      <c r="B22" s="3" t="s">
        <v>37</v>
      </c>
      <c r="C22" s="3"/>
      <c r="D22" s="3"/>
      <c r="E22" s="3"/>
      <c r="F22" s="2">
        <f>Gesamtabrechnung!F63</f>
        <v>41322</v>
      </c>
      <c r="G22" s="2"/>
    </row>
    <row r="24" spans="2:13" ht="21.75" customHeight="1" x14ac:dyDescent="0.25">
      <c r="B24" s="12" t="s">
        <v>38</v>
      </c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</row>
    <row r="48" spans="2:13" ht="21.75" customHeight="1" x14ac:dyDescent="0.25">
      <c r="B48" s="12" t="s">
        <v>39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</row>
    <row r="49" spans="2:13" ht="27.75" customHeight="1" x14ac:dyDescent="0.25">
      <c r="B49" s="23" t="s">
        <v>40</v>
      </c>
      <c r="C49" s="24" t="s">
        <v>41</v>
      </c>
      <c r="D49" s="1" t="s">
        <v>42</v>
      </c>
      <c r="E49" s="1"/>
      <c r="F49" s="1"/>
      <c r="G49" s="1"/>
      <c r="H49" s="1"/>
      <c r="I49" s="1"/>
      <c r="J49" s="1"/>
      <c r="K49" s="1"/>
      <c r="L49" s="1"/>
      <c r="M49" s="1"/>
    </row>
    <row r="50" spans="2:13" ht="27.75" customHeight="1" x14ac:dyDescent="0.25">
      <c r="B50" s="23" t="s">
        <v>43</v>
      </c>
      <c r="C50" s="24" t="s">
        <v>44</v>
      </c>
      <c r="D50" s="1" t="s">
        <v>45</v>
      </c>
      <c r="E50" s="1"/>
      <c r="F50" s="1"/>
      <c r="G50" s="1"/>
      <c r="H50" s="1"/>
      <c r="I50" s="1"/>
      <c r="J50" s="1"/>
      <c r="K50" s="1"/>
      <c r="L50" s="1"/>
      <c r="M50" s="1"/>
    </row>
    <row r="51" spans="2:13" ht="27.75" customHeight="1" x14ac:dyDescent="0.25">
      <c r="B51" s="23" t="s">
        <v>46</v>
      </c>
      <c r="C51" s="24" t="s">
        <v>47</v>
      </c>
      <c r="D51" s="1" t="s">
        <v>48</v>
      </c>
      <c r="E51" s="1"/>
      <c r="F51" s="1"/>
      <c r="G51" s="1"/>
      <c r="H51" s="1"/>
      <c r="I51" s="1"/>
      <c r="J51" s="1"/>
      <c r="K51" s="1"/>
      <c r="L51" s="1"/>
      <c r="M51" s="1"/>
    </row>
    <row r="52" spans="2:13" ht="27.75" customHeight="1" x14ac:dyDescent="0.25">
      <c r="B52" s="23" t="s">
        <v>49</v>
      </c>
      <c r="C52" s="24" t="s">
        <v>50</v>
      </c>
      <c r="D52" s="1" t="s">
        <v>51</v>
      </c>
      <c r="E52" s="1"/>
      <c r="F52" s="1"/>
      <c r="G52" s="1"/>
      <c r="H52" s="1"/>
      <c r="I52" s="1"/>
      <c r="J52" s="1"/>
      <c r="K52" s="1"/>
      <c r="L52" s="1"/>
      <c r="M52" s="1"/>
    </row>
    <row r="53" spans="2:13" ht="27.75" customHeight="1" x14ac:dyDescent="0.25">
      <c r="B53" s="23" t="s">
        <v>52</v>
      </c>
      <c r="C53" s="24" t="s">
        <v>53</v>
      </c>
      <c r="D53" s="1" t="s">
        <v>54</v>
      </c>
      <c r="E53" s="1"/>
      <c r="F53" s="1"/>
      <c r="G53" s="1"/>
      <c r="H53" s="1"/>
      <c r="I53" s="1"/>
      <c r="J53" s="1"/>
      <c r="K53" s="1"/>
      <c r="L53" s="1"/>
      <c r="M53" s="1"/>
    </row>
    <row r="54" spans="2:13" ht="27.75" customHeight="1" x14ac:dyDescent="0.25">
      <c r="B54" s="23" t="s">
        <v>55</v>
      </c>
      <c r="C54" s="24" t="s">
        <v>56</v>
      </c>
      <c r="D54" s="1" t="s">
        <v>57</v>
      </c>
      <c r="E54" s="1"/>
      <c r="F54" s="1"/>
      <c r="G54" s="1"/>
      <c r="H54" s="1"/>
      <c r="I54" s="1"/>
      <c r="J54" s="1"/>
      <c r="K54" s="1"/>
      <c r="L54" s="1"/>
      <c r="M54" s="1"/>
    </row>
    <row r="56" spans="2:13" ht="21.75" customHeight="1" x14ac:dyDescent="0.25">
      <c r="B56" s="9" t="s">
        <v>58</v>
      </c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2:13" ht="25.5" customHeight="1" x14ac:dyDescent="0.25">
      <c r="B57" s="25"/>
      <c r="C57" s="127" t="s">
        <v>59</v>
      </c>
      <c r="D57" s="127"/>
      <c r="E57" s="26"/>
      <c r="F57" s="127" t="s">
        <v>60</v>
      </c>
      <c r="G57" s="127"/>
      <c r="H57" s="27"/>
      <c r="I57" s="127" t="s">
        <v>61</v>
      </c>
      <c r="J57" s="127"/>
      <c r="K57" s="28"/>
      <c r="L57" s="127" t="s">
        <v>62</v>
      </c>
      <c r="M57" s="127"/>
    </row>
    <row r="58" spans="2:13" x14ac:dyDescent="0.25">
      <c r="B58" s="128" t="s">
        <v>63</v>
      </c>
      <c r="C58" s="128"/>
      <c r="D58" s="128"/>
      <c r="E58" s="128"/>
      <c r="F58" s="128"/>
      <c r="G58" s="128"/>
      <c r="H58" s="128"/>
      <c r="I58" s="128"/>
      <c r="J58" s="128"/>
      <c r="K58" s="128"/>
      <c r="L58" s="128"/>
      <c r="M58" s="128"/>
    </row>
    <row r="60" spans="2:13" hidden="1" x14ac:dyDescent="0.25">
      <c r="B60" s="29" t="s">
        <v>64</v>
      </c>
    </row>
    <row r="61" spans="2:13" hidden="1" x14ac:dyDescent="0.25">
      <c r="B61" s="29" t="str">
        <f>Einheiten!B7</f>
        <v>WE 01</v>
      </c>
      <c r="C61" s="30">
        <f>Einzelabrechnung!E42</f>
        <v>456.5145815014921</v>
      </c>
    </row>
    <row r="62" spans="2:13" hidden="1" x14ac:dyDescent="0.25">
      <c r="B62" s="29" t="str">
        <f>Einheiten!B8</f>
        <v>WE 02</v>
      </c>
      <c r="C62" s="30">
        <f>Einzelabrechnung!F42</f>
        <v>267.23008233827659</v>
      </c>
    </row>
    <row r="63" spans="2:13" hidden="1" x14ac:dyDescent="0.25">
      <c r="B63" s="29" t="str">
        <f>Einheiten!B9</f>
        <v>WE 03</v>
      </c>
      <c r="C63" s="30">
        <f>Einzelabrechnung!G42</f>
        <v>569.36663535355001</v>
      </c>
    </row>
    <row r="64" spans="2:13" hidden="1" x14ac:dyDescent="0.25">
      <c r="B64" s="29" t="str">
        <f>Einheiten!B10</f>
        <v>WE 04</v>
      </c>
      <c r="C64" s="30">
        <f>Einzelabrechnung!H42</f>
        <v>44.582298605378128</v>
      </c>
    </row>
    <row r="65" spans="2:3" hidden="1" x14ac:dyDescent="0.25">
      <c r="B65" s="29" t="str">
        <f>Einheiten!B11</f>
        <v>WE 05</v>
      </c>
      <c r="C65" s="30">
        <f>Einzelabrechnung!I42</f>
        <v>911.99563053710335</v>
      </c>
    </row>
    <row r="66" spans="2:3" hidden="1" x14ac:dyDescent="0.25">
      <c r="B66" s="29" t="str">
        <f>Einheiten!B12</f>
        <v>WE 06</v>
      </c>
      <c r="C66" s="30">
        <f>Einzelabrechnung!J42</f>
        <v>-101.09133534385728</v>
      </c>
    </row>
    <row r="67" spans="2:3" hidden="1" x14ac:dyDescent="0.25">
      <c r="B67" s="29" t="str">
        <f>Einheiten!B13</f>
        <v>WE 07</v>
      </c>
      <c r="C67" s="30">
        <f>Einzelabrechnung!K42</f>
        <v>-45.781275566059776</v>
      </c>
    </row>
    <row r="68" spans="2:3" hidden="1" x14ac:dyDescent="0.25">
      <c r="B68" s="29" t="str">
        <f>Einheiten!B14</f>
        <v>WE 08</v>
      </c>
      <c r="C68" s="30">
        <f>Einzelabrechnung!L42</f>
        <v>-1029.8166174258804</v>
      </c>
    </row>
  </sheetData>
  <mergeCells count="46">
    <mergeCell ref="B58:M58"/>
    <mergeCell ref="D52:M52"/>
    <mergeCell ref="D53:M53"/>
    <mergeCell ref="D54:M54"/>
    <mergeCell ref="B56:M56"/>
    <mergeCell ref="C57:D57"/>
    <mergeCell ref="F57:G57"/>
    <mergeCell ref="I57:J57"/>
    <mergeCell ref="L57:M57"/>
    <mergeCell ref="B24:M24"/>
    <mergeCell ref="B48:M48"/>
    <mergeCell ref="D49:M49"/>
    <mergeCell ref="D50:M50"/>
    <mergeCell ref="D51:M51"/>
    <mergeCell ref="B21:E21"/>
    <mergeCell ref="F21:G21"/>
    <mergeCell ref="I21:K21"/>
    <mergeCell ref="B22:E22"/>
    <mergeCell ref="F22:G22"/>
    <mergeCell ref="B19:E19"/>
    <mergeCell ref="F19:G19"/>
    <mergeCell ref="I19:K19"/>
    <mergeCell ref="B20:E20"/>
    <mergeCell ref="F20:G20"/>
    <mergeCell ref="I20:K20"/>
    <mergeCell ref="L14:M14"/>
    <mergeCell ref="B17:G17"/>
    <mergeCell ref="I17:M17"/>
    <mergeCell ref="B18:E18"/>
    <mergeCell ref="F18:G18"/>
    <mergeCell ref="I18:K18"/>
    <mergeCell ref="B14:C14"/>
    <mergeCell ref="D14:E14"/>
    <mergeCell ref="F14:G14"/>
    <mergeCell ref="H14:I14"/>
    <mergeCell ref="J14:K14"/>
    <mergeCell ref="B2:M2"/>
    <mergeCell ref="B3:M3"/>
    <mergeCell ref="B5:M5"/>
    <mergeCell ref="B12:M12"/>
    <mergeCell ref="B13:C13"/>
    <mergeCell ref="D13:E13"/>
    <mergeCell ref="F13:G13"/>
    <mergeCell ref="H13:I13"/>
    <mergeCell ref="J13:K13"/>
    <mergeCell ref="L13:M13"/>
  </mergeCells>
  <conditionalFormatting sqref="M18:M21">
    <cfRule type="cellIs" dxfId="9" priority="2" operator="equal">
      <formula>"PRÜFEN"</formula>
    </cfRule>
  </conditionalFormatting>
  <pageMargins left="0.75" right="0.75" top="1" bottom="1" header="0.511811023622047" footer="0.511811023622047"/>
  <pageSetup paperSize="9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E4630"/>
    <pageSetUpPr fitToPage="1"/>
  </sheetPr>
  <dimension ref="B2:N36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2" customWidth="1"/>
    <col min="2" max="2" width="9" customWidth="1"/>
    <col min="3" max="3" width="24" customWidth="1"/>
    <col min="4" max="4" width="17" customWidth="1"/>
    <col min="5" max="5" width="12" customWidth="1"/>
    <col min="6" max="6" width="13" customWidth="1"/>
    <col min="7" max="8" width="10" customWidth="1"/>
    <col min="9" max="9" width="13" customWidth="1"/>
    <col min="10" max="10" width="12" customWidth="1"/>
    <col min="11" max="11" width="14" customWidth="1"/>
    <col min="12" max="13" width="15" customWidth="1"/>
    <col min="14" max="14" width="14" customWidth="1"/>
  </cols>
  <sheetData>
    <row r="2" spans="2:14" ht="33.75" customHeight="1" x14ac:dyDescent="0.25">
      <c r="B2" s="14" t="s">
        <v>65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pans="2:14" ht="15.75" customHeight="1" x14ac:dyDescent="0.25">
      <c r="B3" s="13" t="s">
        <v>66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</row>
    <row r="5" spans="2:14" ht="21.75" customHeight="1" x14ac:dyDescent="0.25">
      <c r="B5" s="12" t="s">
        <v>67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</row>
    <row r="6" spans="2:14" ht="30" customHeight="1" x14ac:dyDescent="0.25">
      <c r="B6" s="31" t="s">
        <v>68</v>
      </c>
      <c r="C6" s="31" t="s">
        <v>69</v>
      </c>
      <c r="D6" s="31" t="s">
        <v>70</v>
      </c>
      <c r="E6" s="31" t="s">
        <v>71</v>
      </c>
      <c r="F6" s="31" t="s">
        <v>72</v>
      </c>
      <c r="G6" s="31" t="s">
        <v>73</v>
      </c>
      <c r="H6" s="31" t="s">
        <v>74</v>
      </c>
      <c r="I6" s="31" t="s">
        <v>75</v>
      </c>
      <c r="J6" s="31" t="s">
        <v>76</v>
      </c>
      <c r="K6" s="31" t="s">
        <v>77</v>
      </c>
      <c r="L6" s="31" t="s">
        <v>78</v>
      </c>
      <c r="M6" s="31" t="s">
        <v>79</v>
      </c>
      <c r="N6" s="31" t="s">
        <v>80</v>
      </c>
    </row>
    <row r="7" spans="2:14" ht="16.5" customHeight="1" x14ac:dyDescent="0.25">
      <c r="B7" s="32" t="s">
        <v>81</v>
      </c>
      <c r="C7" s="33" t="s">
        <v>82</v>
      </c>
      <c r="D7" s="33" t="s">
        <v>83</v>
      </c>
      <c r="E7" s="34">
        <v>96</v>
      </c>
      <c r="F7" s="35">
        <v>62.4</v>
      </c>
      <c r="G7" s="34">
        <v>1</v>
      </c>
      <c r="H7" s="34">
        <v>2</v>
      </c>
      <c r="I7" s="36">
        <v>4850</v>
      </c>
      <c r="J7" s="37">
        <v>68</v>
      </c>
      <c r="K7" s="38">
        <v>490</v>
      </c>
      <c r="L7" s="39">
        <f t="shared" ref="L7:L14" si="0">K7*12</f>
        <v>5880</v>
      </c>
      <c r="M7" s="38">
        <v>5880</v>
      </c>
      <c r="N7" s="40">
        <f t="shared" ref="N7:N14" si="1">L7-M7</f>
        <v>0</v>
      </c>
    </row>
    <row r="8" spans="2:14" ht="16.5" customHeight="1" x14ac:dyDescent="0.25">
      <c r="B8" s="32" t="s">
        <v>84</v>
      </c>
      <c r="C8" s="33" t="s">
        <v>85</v>
      </c>
      <c r="D8" s="33" t="s">
        <v>86</v>
      </c>
      <c r="E8" s="34">
        <v>90</v>
      </c>
      <c r="F8" s="35">
        <v>58.1</v>
      </c>
      <c r="G8" s="34">
        <v>1</v>
      </c>
      <c r="H8" s="34">
        <v>1</v>
      </c>
      <c r="I8" s="36">
        <v>4320</v>
      </c>
      <c r="J8" s="37">
        <v>41</v>
      </c>
      <c r="K8" s="38">
        <v>460</v>
      </c>
      <c r="L8" s="39">
        <f t="shared" si="0"/>
        <v>5520</v>
      </c>
      <c r="M8" s="38">
        <v>5520</v>
      </c>
      <c r="N8" s="40">
        <f t="shared" si="1"/>
        <v>0</v>
      </c>
    </row>
    <row r="9" spans="2:14" ht="16.5" customHeight="1" x14ac:dyDescent="0.25">
      <c r="B9" s="32" t="s">
        <v>87</v>
      </c>
      <c r="C9" s="33" t="s">
        <v>88</v>
      </c>
      <c r="D9" s="33" t="s">
        <v>89</v>
      </c>
      <c r="E9" s="34">
        <v>115</v>
      </c>
      <c r="F9" s="35">
        <v>74.5</v>
      </c>
      <c r="G9" s="34">
        <v>1</v>
      </c>
      <c r="H9" s="34">
        <v>3</v>
      </c>
      <c r="I9" s="36">
        <v>5980</v>
      </c>
      <c r="J9" s="37">
        <v>96</v>
      </c>
      <c r="K9" s="38">
        <v>585</v>
      </c>
      <c r="L9" s="39">
        <f t="shared" si="0"/>
        <v>7020</v>
      </c>
      <c r="M9" s="38">
        <v>7020</v>
      </c>
      <c r="N9" s="40">
        <f t="shared" si="1"/>
        <v>0</v>
      </c>
    </row>
    <row r="10" spans="2:14" ht="16.5" customHeight="1" x14ac:dyDescent="0.25">
      <c r="B10" s="32" t="s">
        <v>90</v>
      </c>
      <c r="C10" s="33" t="s">
        <v>91</v>
      </c>
      <c r="D10" s="33" t="s">
        <v>92</v>
      </c>
      <c r="E10" s="34">
        <v>115</v>
      </c>
      <c r="F10" s="35">
        <v>74.5</v>
      </c>
      <c r="G10" s="34">
        <v>1</v>
      </c>
      <c r="H10" s="34">
        <v>2</v>
      </c>
      <c r="I10" s="36">
        <v>5140</v>
      </c>
      <c r="J10" s="37">
        <v>72</v>
      </c>
      <c r="K10" s="38">
        <v>585</v>
      </c>
      <c r="L10" s="39">
        <f t="shared" si="0"/>
        <v>7020</v>
      </c>
      <c r="M10" s="38">
        <v>7020</v>
      </c>
      <c r="N10" s="40">
        <f t="shared" si="1"/>
        <v>0</v>
      </c>
    </row>
    <row r="11" spans="2:14" ht="16.5" customHeight="1" x14ac:dyDescent="0.25">
      <c r="B11" s="32" t="s">
        <v>93</v>
      </c>
      <c r="C11" s="33" t="s">
        <v>94</v>
      </c>
      <c r="D11" s="33" t="s">
        <v>95</v>
      </c>
      <c r="E11" s="34">
        <v>127</v>
      </c>
      <c r="F11" s="35">
        <v>82.3</v>
      </c>
      <c r="G11" s="34">
        <v>1</v>
      </c>
      <c r="H11" s="34">
        <v>4</v>
      </c>
      <c r="I11" s="36">
        <v>6720</v>
      </c>
      <c r="J11" s="37">
        <v>118</v>
      </c>
      <c r="K11" s="38">
        <v>650</v>
      </c>
      <c r="L11" s="39">
        <f t="shared" si="0"/>
        <v>7800</v>
      </c>
      <c r="M11" s="38">
        <v>6500</v>
      </c>
      <c r="N11" s="40">
        <f t="shared" si="1"/>
        <v>1300</v>
      </c>
    </row>
    <row r="12" spans="2:14" ht="16.5" customHeight="1" x14ac:dyDescent="0.25">
      <c r="B12" s="32" t="s">
        <v>96</v>
      </c>
      <c r="C12" s="33" t="s">
        <v>97</v>
      </c>
      <c r="D12" s="33" t="s">
        <v>98</v>
      </c>
      <c r="E12" s="34">
        <v>127</v>
      </c>
      <c r="F12" s="35">
        <v>82.3</v>
      </c>
      <c r="G12" s="34">
        <v>1</v>
      </c>
      <c r="H12" s="34">
        <v>2</v>
      </c>
      <c r="I12" s="36">
        <v>6010</v>
      </c>
      <c r="J12" s="37">
        <v>74</v>
      </c>
      <c r="K12" s="38">
        <v>650</v>
      </c>
      <c r="L12" s="39">
        <f t="shared" si="0"/>
        <v>7800</v>
      </c>
      <c r="M12" s="38">
        <v>7800</v>
      </c>
      <c r="N12" s="40">
        <f t="shared" si="1"/>
        <v>0</v>
      </c>
    </row>
    <row r="13" spans="2:14" ht="16.5" customHeight="1" x14ac:dyDescent="0.25">
      <c r="B13" s="32" t="s">
        <v>99</v>
      </c>
      <c r="C13" s="33" t="s">
        <v>100</v>
      </c>
      <c r="D13" s="33" t="s">
        <v>101</v>
      </c>
      <c r="E13" s="34">
        <v>150</v>
      </c>
      <c r="F13" s="35">
        <v>96.8</v>
      </c>
      <c r="G13" s="34">
        <v>1</v>
      </c>
      <c r="H13" s="34">
        <v>3</v>
      </c>
      <c r="I13" s="36">
        <v>7640</v>
      </c>
      <c r="J13" s="37">
        <v>92</v>
      </c>
      <c r="K13" s="38">
        <v>765</v>
      </c>
      <c r="L13" s="39">
        <f t="shared" si="0"/>
        <v>9180</v>
      </c>
      <c r="M13" s="38">
        <v>9180</v>
      </c>
      <c r="N13" s="40">
        <f t="shared" si="1"/>
        <v>0</v>
      </c>
    </row>
    <row r="14" spans="2:14" ht="16.5" customHeight="1" x14ac:dyDescent="0.25">
      <c r="B14" s="32" t="s">
        <v>102</v>
      </c>
      <c r="C14" s="33" t="s">
        <v>103</v>
      </c>
      <c r="D14" s="33" t="s">
        <v>104</v>
      </c>
      <c r="E14" s="34">
        <v>180</v>
      </c>
      <c r="F14" s="35">
        <v>116.1</v>
      </c>
      <c r="G14" s="34">
        <v>1</v>
      </c>
      <c r="H14" s="34">
        <v>2</v>
      </c>
      <c r="I14" s="36">
        <v>8240</v>
      </c>
      <c r="J14" s="37">
        <v>66</v>
      </c>
      <c r="K14" s="38">
        <v>915</v>
      </c>
      <c r="L14" s="39">
        <f t="shared" si="0"/>
        <v>10980</v>
      </c>
      <c r="M14" s="38">
        <v>10980</v>
      </c>
      <c r="N14" s="40">
        <f t="shared" si="1"/>
        <v>0</v>
      </c>
    </row>
    <row r="15" spans="2:14" ht="19.5" customHeight="1" x14ac:dyDescent="0.25">
      <c r="B15" s="41" t="s">
        <v>105</v>
      </c>
      <c r="C15" s="41"/>
      <c r="D15" s="41"/>
      <c r="E15" s="42">
        <f t="shared" ref="E15:N15" si="2">SUM(E7:E14)</f>
        <v>1000</v>
      </c>
      <c r="F15" s="43">
        <f t="shared" si="2"/>
        <v>647</v>
      </c>
      <c r="G15" s="42">
        <f t="shared" si="2"/>
        <v>8</v>
      </c>
      <c r="H15" s="42">
        <f t="shared" si="2"/>
        <v>19</v>
      </c>
      <c r="I15" s="44">
        <f t="shared" si="2"/>
        <v>48900</v>
      </c>
      <c r="J15" s="45">
        <f t="shared" si="2"/>
        <v>627</v>
      </c>
      <c r="K15" s="46">
        <f t="shared" si="2"/>
        <v>5100</v>
      </c>
      <c r="L15" s="46">
        <f t="shared" si="2"/>
        <v>61200</v>
      </c>
      <c r="M15" s="46">
        <f t="shared" si="2"/>
        <v>59900</v>
      </c>
      <c r="N15" s="46">
        <f t="shared" si="2"/>
        <v>1300</v>
      </c>
    </row>
    <row r="17" spans="2:11" ht="21.75" customHeight="1" x14ac:dyDescent="0.25">
      <c r="B17" s="12" t="s">
        <v>106</v>
      </c>
      <c r="C17" s="12"/>
      <c r="D17" s="12"/>
      <c r="E17" s="12"/>
      <c r="F17" s="12"/>
      <c r="G17" s="12"/>
      <c r="H17" s="12"/>
      <c r="I17" s="12"/>
      <c r="J17" s="12"/>
      <c r="K17" s="12"/>
    </row>
    <row r="18" spans="2:11" x14ac:dyDescent="0.25">
      <c r="B18" s="29" t="s">
        <v>107</v>
      </c>
      <c r="C18" s="47">
        <v>1</v>
      </c>
      <c r="D18" s="47">
        <v>2</v>
      </c>
      <c r="E18" s="47">
        <v>3</v>
      </c>
      <c r="F18" s="47">
        <v>4</v>
      </c>
      <c r="G18" s="47">
        <v>5</v>
      </c>
      <c r="H18" s="47">
        <v>6</v>
      </c>
      <c r="I18" s="47">
        <v>7</v>
      </c>
      <c r="J18" s="47">
        <v>8</v>
      </c>
      <c r="K18" s="48"/>
    </row>
    <row r="19" spans="2:11" ht="18" customHeight="1" x14ac:dyDescent="0.25">
      <c r="B19" s="31" t="s">
        <v>108</v>
      </c>
      <c r="C19" s="31" t="str">
        <f>B7</f>
        <v>WE 01</v>
      </c>
      <c r="D19" s="31" t="str">
        <f>B8</f>
        <v>WE 02</v>
      </c>
      <c r="E19" s="31" t="str">
        <f>B9</f>
        <v>WE 03</v>
      </c>
      <c r="F19" s="31" t="str">
        <f>B10</f>
        <v>WE 04</v>
      </c>
      <c r="G19" s="31" t="str">
        <f>B11</f>
        <v>WE 05</v>
      </c>
      <c r="H19" s="31" t="str">
        <f>B12</f>
        <v>WE 06</v>
      </c>
      <c r="I19" s="31" t="str">
        <f>B13</f>
        <v>WE 07</v>
      </c>
      <c r="J19" s="31" t="str">
        <f>B14</f>
        <v>WE 08</v>
      </c>
      <c r="K19" s="31" t="s">
        <v>109</v>
      </c>
    </row>
    <row r="20" spans="2:11" x14ac:dyDescent="0.25">
      <c r="B20" s="49" t="s">
        <v>110</v>
      </c>
      <c r="C20" s="50">
        <f>E7</f>
        <v>96</v>
      </c>
      <c r="D20" s="50">
        <f>E8</f>
        <v>90</v>
      </c>
      <c r="E20" s="50">
        <f>E9</f>
        <v>115</v>
      </c>
      <c r="F20" s="50">
        <f>E10</f>
        <v>115</v>
      </c>
      <c r="G20" s="50">
        <f>E11</f>
        <v>127</v>
      </c>
      <c r="H20" s="50">
        <f>E12</f>
        <v>127</v>
      </c>
      <c r="I20" s="50">
        <f>E13</f>
        <v>150</v>
      </c>
      <c r="J20" s="50">
        <f>E14</f>
        <v>180</v>
      </c>
      <c r="K20" s="51">
        <f t="shared" ref="K20:K25" si="3">SUM(C20:J20)</f>
        <v>1000</v>
      </c>
    </row>
    <row r="21" spans="2:11" x14ac:dyDescent="0.25">
      <c r="B21" s="52" t="s">
        <v>111</v>
      </c>
      <c r="C21" s="53">
        <f>F7</f>
        <v>62.4</v>
      </c>
      <c r="D21" s="53">
        <f>F8</f>
        <v>58.1</v>
      </c>
      <c r="E21" s="53">
        <f>F9</f>
        <v>74.5</v>
      </c>
      <c r="F21" s="53">
        <f>F10</f>
        <v>74.5</v>
      </c>
      <c r="G21" s="53">
        <f>F11</f>
        <v>82.3</v>
      </c>
      <c r="H21" s="53">
        <f>F12</f>
        <v>82.3</v>
      </c>
      <c r="I21" s="53">
        <f>F13</f>
        <v>96.8</v>
      </c>
      <c r="J21" s="53">
        <f>F14</f>
        <v>116.1</v>
      </c>
      <c r="K21" s="54">
        <f t="shared" si="3"/>
        <v>647</v>
      </c>
    </row>
    <row r="22" spans="2:11" x14ac:dyDescent="0.25">
      <c r="B22" s="49" t="s">
        <v>17</v>
      </c>
      <c r="C22" s="50">
        <f>G7</f>
        <v>1</v>
      </c>
      <c r="D22" s="50">
        <f>G8</f>
        <v>1</v>
      </c>
      <c r="E22" s="50">
        <f>G9</f>
        <v>1</v>
      </c>
      <c r="F22" s="50">
        <f>G10</f>
        <v>1</v>
      </c>
      <c r="G22" s="50">
        <f>G11</f>
        <v>1</v>
      </c>
      <c r="H22" s="50">
        <f>G12</f>
        <v>1</v>
      </c>
      <c r="I22" s="50">
        <f>G13</f>
        <v>1</v>
      </c>
      <c r="J22" s="50">
        <f>G14</f>
        <v>1</v>
      </c>
      <c r="K22" s="51">
        <f t="shared" si="3"/>
        <v>8</v>
      </c>
    </row>
    <row r="23" spans="2:11" x14ac:dyDescent="0.25">
      <c r="B23" s="52" t="s">
        <v>74</v>
      </c>
      <c r="C23" s="55">
        <f>H7</f>
        <v>2</v>
      </c>
      <c r="D23" s="55">
        <f>H8</f>
        <v>1</v>
      </c>
      <c r="E23" s="55">
        <f>H9</f>
        <v>3</v>
      </c>
      <c r="F23" s="55">
        <f>H10</f>
        <v>2</v>
      </c>
      <c r="G23" s="55">
        <f>H11</f>
        <v>4</v>
      </c>
      <c r="H23" s="55">
        <f>H12</f>
        <v>2</v>
      </c>
      <c r="I23" s="55">
        <f>H13</f>
        <v>3</v>
      </c>
      <c r="J23" s="55">
        <f>H14</f>
        <v>2</v>
      </c>
      <c r="K23" s="51">
        <f t="shared" si="3"/>
        <v>19</v>
      </c>
    </row>
    <row r="24" spans="2:11" x14ac:dyDescent="0.25">
      <c r="B24" s="49" t="s">
        <v>112</v>
      </c>
      <c r="C24" s="56">
        <f>I7</f>
        <v>4850</v>
      </c>
      <c r="D24" s="56">
        <f>I8</f>
        <v>4320</v>
      </c>
      <c r="E24" s="56">
        <f>I9</f>
        <v>5980</v>
      </c>
      <c r="F24" s="56">
        <f>I10</f>
        <v>5140</v>
      </c>
      <c r="G24" s="56">
        <f>I11</f>
        <v>6720</v>
      </c>
      <c r="H24" s="56">
        <f>I12</f>
        <v>6010</v>
      </c>
      <c r="I24" s="56">
        <f>I13</f>
        <v>7640</v>
      </c>
      <c r="J24" s="56">
        <f>I14</f>
        <v>8240</v>
      </c>
      <c r="K24" s="57">
        <f t="shared" si="3"/>
        <v>48900</v>
      </c>
    </row>
    <row r="25" spans="2:11" x14ac:dyDescent="0.25">
      <c r="B25" s="52" t="s">
        <v>113</v>
      </c>
      <c r="C25" s="58">
        <f>J7</f>
        <v>68</v>
      </c>
      <c r="D25" s="58">
        <f>J8</f>
        <v>41</v>
      </c>
      <c r="E25" s="58">
        <f>J9</f>
        <v>96</v>
      </c>
      <c r="F25" s="58">
        <f>J10</f>
        <v>72</v>
      </c>
      <c r="G25" s="58">
        <f>J11</f>
        <v>118</v>
      </c>
      <c r="H25" s="58">
        <f>J12</f>
        <v>74</v>
      </c>
      <c r="I25" s="58">
        <f>J13</f>
        <v>92</v>
      </c>
      <c r="J25" s="58">
        <f>J14</f>
        <v>66</v>
      </c>
      <c r="K25" s="59">
        <f t="shared" si="3"/>
        <v>627</v>
      </c>
    </row>
    <row r="27" spans="2:11" ht="21.75" customHeight="1" x14ac:dyDescent="0.25">
      <c r="B27" s="12" t="s">
        <v>114</v>
      </c>
      <c r="C27" s="12"/>
      <c r="D27" s="12"/>
      <c r="E27" s="12"/>
      <c r="F27" s="12"/>
      <c r="G27" s="12"/>
      <c r="H27" s="12"/>
      <c r="I27" s="12"/>
      <c r="J27" s="12"/>
      <c r="K27" s="12"/>
    </row>
    <row r="28" spans="2:11" ht="18" customHeight="1" x14ac:dyDescent="0.25">
      <c r="B28" s="31" t="s">
        <v>108</v>
      </c>
      <c r="C28" s="31" t="str">
        <f>B7</f>
        <v>WE 01</v>
      </c>
      <c r="D28" s="31" t="str">
        <f>B8</f>
        <v>WE 02</v>
      </c>
      <c r="E28" s="31" t="str">
        <f>B9</f>
        <v>WE 03</v>
      </c>
      <c r="F28" s="31" t="str">
        <f>B10</f>
        <v>WE 04</v>
      </c>
      <c r="G28" s="31" t="str">
        <f>B11</f>
        <v>WE 05</v>
      </c>
      <c r="H28" s="31" t="str">
        <f>B12</f>
        <v>WE 06</v>
      </c>
      <c r="I28" s="31" t="str">
        <f>B13</f>
        <v>WE 07</v>
      </c>
      <c r="J28" s="31" t="str">
        <f>B14</f>
        <v>WE 08</v>
      </c>
      <c r="K28" s="31" t="s">
        <v>109</v>
      </c>
    </row>
    <row r="29" spans="2:11" x14ac:dyDescent="0.25">
      <c r="B29" s="60" t="str">
        <f t="shared" ref="B29:B34" si="4">B20</f>
        <v>Miteigentumsanteile (MEA)</v>
      </c>
      <c r="C29" s="61">
        <f t="shared" ref="C29:J29" si="5">IFERROR(C20/$K$20,0)</f>
        <v>9.6000000000000002E-2</v>
      </c>
      <c r="D29" s="61">
        <f t="shared" si="5"/>
        <v>0.09</v>
      </c>
      <c r="E29" s="61">
        <f t="shared" si="5"/>
        <v>0.115</v>
      </c>
      <c r="F29" s="61">
        <f t="shared" si="5"/>
        <v>0.115</v>
      </c>
      <c r="G29" s="61">
        <f t="shared" si="5"/>
        <v>0.127</v>
      </c>
      <c r="H29" s="61">
        <f t="shared" si="5"/>
        <v>0.127</v>
      </c>
      <c r="I29" s="61">
        <f t="shared" si="5"/>
        <v>0.15</v>
      </c>
      <c r="J29" s="61">
        <f t="shared" si="5"/>
        <v>0.18</v>
      </c>
      <c r="K29" s="62">
        <f t="shared" ref="K29:K34" si="6">SUM(C29:J29)</f>
        <v>1</v>
      </c>
    </row>
    <row r="30" spans="2:11" x14ac:dyDescent="0.25">
      <c r="B30" s="63" t="str">
        <f t="shared" si="4"/>
        <v>Wohnfläche (m²)</v>
      </c>
      <c r="C30" s="64">
        <f t="shared" ref="C30:J30" si="7">IFERROR(C21/$K$21,0)</f>
        <v>9.6445131375579599E-2</v>
      </c>
      <c r="D30" s="64">
        <f t="shared" si="7"/>
        <v>8.9799072642967548E-2</v>
      </c>
      <c r="E30" s="64">
        <f t="shared" si="7"/>
        <v>0.1151468315301391</v>
      </c>
      <c r="F30" s="64">
        <f t="shared" si="7"/>
        <v>0.1151468315301391</v>
      </c>
      <c r="G30" s="64">
        <f t="shared" si="7"/>
        <v>0.12720247295208656</v>
      </c>
      <c r="H30" s="64">
        <f t="shared" si="7"/>
        <v>0.12720247295208656</v>
      </c>
      <c r="I30" s="64">
        <f t="shared" si="7"/>
        <v>0.14961360123647605</v>
      </c>
      <c r="J30" s="64">
        <f t="shared" si="7"/>
        <v>0.17944358578052549</v>
      </c>
      <c r="K30" s="62">
        <f t="shared" si="6"/>
        <v>1</v>
      </c>
    </row>
    <row r="31" spans="2:11" x14ac:dyDescent="0.25">
      <c r="B31" s="60" t="str">
        <f t="shared" si="4"/>
        <v>Anzahl Einheiten</v>
      </c>
      <c r="C31" s="61">
        <f t="shared" ref="C31:J31" si="8">IFERROR(C22/$K$22,0)</f>
        <v>0.125</v>
      </c>
      <c r="D31" s="61">
        <f t="shared" si="8"/>
        <v>0.125</v>
      </c>
      <c r="E31" s="61">
        <f t="shared" si="8"/>
        <v>0.125</v>
      </c>
      <c r="F31" s="61">
        <f t="shared" si="8"/>
        <v>0.125</v>
      </c>
      <c r="G31" s="61">
        <f t="shared" si="8"/>
        <v>0.125</v>
      </c>
      <c r="H31" s="61">
        <f t="shared" si="8"/>
        <v>0.125</v>
      </c>
      <c r="I31" s="61">
        <f t="shared" si="8"/>
        <v>0.125</v>
      </c>
      <c r="J31" s="61">
        <f t="shared" si="8"/>
        <v>0.125</v>
      </c>
      <c r="K31" s="62">
        <f t="shared" si="6"/>
        <v>1</v>
      </c>
    </row>
    <row r="32" spans="2:11" x14ac:dyDescent="0.25">
      <c r="B32" s="63" t="str">
        <f t="shared" si="4"/>
        <v>Personen</v>
      </c>
      <c r="C32" s="64">
        <f t="shared" ref="C32:J32" si="9">IFERROR(C23/$K$23,0)</f>
        <v>0.10526315789473684</v>
      </c>
      <c r="D32" s="64">
        <f t="shared" si="9"/>
        <v>5.2631578947368418E-2</v>
      </c>
      <c r="E32" s="64">
        <f t="shared" si="9"/>
        <v>0.15789473684210525</v>
      </c>
      <c r="F32" s="64">
        <f t="shared" si="9"/>
        <v>0.10526315789473684</v>
      </c>
      <c r="G32" s="64">
        <f t="shared" si="9"/>
        <v>0.21052631578947367</v>
      </c>
      <c r="H32" s="64">
        <f t="shared" si="9"/>
        <v>0.10526315789473684</v>
      </c>
      <c r="I32" s="64">
        <f t="shared" si="9"/>
        <v>0.15789473684210525</v>
      </c>
      <c r="J32" s="64">
        <f t="shared" si="9"/>
        <v>0.10526315789473684</v>
      </c>
      <c r="K32" s="62">
        <f t="shared" si="6"/>
        <v>0.99999999999999989</v>
      </c>
    </row>
    <row r="33" spans="2:11" x14ac:dyDescent="0.25">
      <c r="B33" s="60" t="str">
        <f t="shared" si="4"/>
        <v>Verbrauch Heizung (kWh)</v>
      </c>
      <c r="C33" s="61">
        <f t="shared" ref="C33:J33" si="10">IFERROR(C24/$K$24,0)</f>
        <v>9.9182004089979556E-2</v>
      </c>
      <c r="D33" s="61">
        <f t="shared" si="10"/>
        <v>8.8343558282208592E-2</v>
      </c>
      <c r="E33" s="61">
        <f t="shared" si="10"/>
        <v>0.12229038854805727</v>
      </c>
      <c r="F33" s="61">
        <f t="shared" si="10"/>
        <v>0.10511247443762781</v>
      </c>
      <c r="G33" s="61">
        <f t="shared" si="10"/>
        <v>0.13742331288343559</v>
      </c>
      <c r="H33" s="61">
        <f t="shared" si="10"/>
        <v>0.1229038854805726</v>
      </c>
      <c r="I33" s="61">
        <f t="shared" si="10"/>
        <v>0.15623721881390593</v>
      </c>
      <c r="J33" s="61">
        <f t="shared" si="10"/>
        <v>0.16850715746421269</v>
      </c>
      <c r="K33" s="62">
        <f t="shared" si="6"/>
        <v>1</v>
      </c>
    </row>
    <row r="34" spans="2:11" x14ac:dyDescent="0.25">
      <c r="B34" s="63" t="str">
        <f t="shared" si="4"/>
        <v>Verbrauch Wasser (m³)</v>
      </c>
      <c r="C34" s="64">
        <f t="shared" ref="C34:J34" si="11">IFERROR(C25/$K$25,0)</f>
        <v>0.10845295055821372</v>
      </c>
      <c r="D34" s="64">
        <f t="shared" si="11"/>
        <v>6.5390749601275916E-2</v>
      </c>
      <c r="E34" s="64">
        <f t="shared" si="11"/>
        <v>0.15311004784688995</v>
      </c>
      <c r="F34" s="64">
        <f t="shared" si="11"/>
        <v>0.11483253588516747</v>
      </c>
      <c r="G34" s="64">
        <f t="shared" si="11"/>
        <v>0.18819776714513556</v>
      </c>
      <c r="H34" s="64">
        <f t="shared" si="11"/>
        <v>0.11802232854864433</v>
      </c>
      <c r="I34" s="64">
        <f t="shared" si="11"/>
        <v>0.14673046251993621</v>
      </c>
      <c r="J34" s="64">
        <f t="shared" si="11"/>
        <v>0.10526315789473684</v>
      </c>
      <c r="K34" s="62">
        <f t="shared" si="6"/>
        <v>0.99999999999999989</v>
      </c>
    </row>
    <row r="36" spans="2:11" x14ac:dyDescent="0.25">
      <c r="B36" s="129" t="s">
        <v>115</v>
      </c>
      <c r="C36" s="129"/>
      <c r="D36" s="129"/>
      <c r="E36" s="129"/>
      <c r="F36" s="129"/>
      <c r="G36" s="129"/>
      <c r="H36" s="129"/>
      <c r="I36" s="129"/>
      <c r="J36" s="129"/>
      <c r="K36" s="129"/>
    </row>
  </sheetData>
  <mergeCells count="6">
    <mergeCell ref="B36:K36"/>
    <mergeCell ref="B2:N2"/>
    <mergeCell ref="B3:N3"/>
    <mergeCell ref="B5:N5"/>
    <mergeCell ref="B17:K17"/>
    <mergeCell ref="B27:K27"/>
  </mergeCells>
  <conditionalFormatting sqref="N7:N14">
    <cfRule type="cellIs" dxfId="8" priority="2" operator="greaterThan">
      <formula>0.004</formula>
    </cfRule>
  </conditionalFormatting>
  <pageMargins left="0.75" right="0.75" top="1" bottom="1" header="0.511811023622047" footer="0.511811023622047"/>
  <pageSetup paperSize="9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E4630"/>
    <pageSetUpPr fitToPage="1"/>
  </sheetPr>
  <dimension ref="B2:J63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2" customWidth="1"/>
    <col min="2" max="2" width="6" customWidth="1"/>
    <col min="3" max="3" width="42" customWidth="1"/>
    <col min="4" max="4" width="24" customWidth="1"/>
    <col min="5" max="5" width="12" customWidth="1"/>
    <col min="6" max="6" width="15" customWidth="1"/>
    <col min="7" max="7" width="16" customWidth="1"/>
    <col min="8" max="8" width="15" customWidth="1"/>
    <col min="9" max="9" width="14" customWidth="1"/>
    <col min="10" max="10" width="11" customWidth="1"/>
  </cols>
  <sheetData>
    <row r="2" spans="2:10" ht="33.75" customHeight="1" x14ac:dyDescent="0.25">
      <c r="B2" s="14" t="s">
        <v>116</v>
      </c>
      <c r="C2" s="14"/>
      <c r="D2" s="14"/>
      <c r="E2" s="14"/>
      <c r="F2" s="14"/>
      <c r="G2" s="14"/>
      <c r="H2" s="14"/>
      <c r="I2" s="14"/>
      <c r="J2" s="14"/>
    </row>
    <row r="3" spans="2:10" ht="15.75" customHeight="1" x14ac:dyDescent="0.25">
      <c r="B3" s="13" t="s">
        <v>117</v>
      </c>
      <c r="C3" s="13"/>
      <c r="D3" s="13"/>
      <c r="E3" s="13"/>
      <c r="F3" s="13"/>
      <c r="G3" s="13"/>
      <c r="H3" s="13"/>
      <c r="I3" s="13"/>
      <c r="J3" s="13"/>
    </row>
    <row r="5" spans="2:10" ht="21.75" customHeight="1" x14ac:dyDescent="0.25">
      <c r="B5" s="12" t="s">
        <v>118</v>
      </c>
      <c r="C5" s="12"/>
      <c r="D5" s="12"/>
      <c r="E5" s="12"/>
      <c r="F5" s="12"/>
      <c r="G5" s="12"/>
      <c r="H5" s="12"/>
      <c r="I5" s="12"/>
      <c r="J5" s="12"/>
    </row>
    <row r="6" spans="2:10" ht="25.5" customHeight="1" x14ac:dyDescent="0.25">
      <c r="B6" s="31" t="s">
        <v>119</v>
      </c>
      <c r="C6" s="31" t="s">
        <v>120</v>
      </c>
      <c r="D6" s="31" t="s">
        <v>121</v>
      </c>
      <c r="E6" s="31"/>
      <c r="F6" s="31" t="s">
        <v>122</v>
      </c>
      <c r="G6" s="31"/>
      <c r="H6" s="31" t="s">
        <v>123</v>
      </c>
      <c r="I6" s="31" t="s">
        <v>124</v>
      </c>
      <c r="J6" s="31" t="s">
        <v>125</v>
      </c>
    </row>
    <row r="7" spans="2:10" ht="16.5" customHeight="1" x14ac:dyDescent="0.25">
      <c r="B7" s="65">
        <v>1</v>
      </c>
      <c r="C7" s="66" t="s">
        <v>126</v>
      </c>
      <c r="D7" s="67" t="s">
        <v>127</v>
      </c>
      <c r="E7" s="68"/>
      <c r="F7" s="69">
        <f>Einheiten!M15</f>
        <v>59900</v>
      </c>
      <c r="G7" s="68"/>
      <c r="H7" s="38">
        <v>58400</v>
      </c>
      <c r="I7" s="70">
        <f>F7-H7</f>
        <v>1500</v>
      </c>
      <c r="J7" s="71">
        <f>IFERROR(I7/H7,"")</f>
        <v>2.5684931506849314E-2</v>
      </c>
    </row>
    <row r="8" spans="2:10" ht="16.5" customHeight="1" x14ac:dyDescent="0.25">
      <c r="B8" s="72">
        <v>2</v>
      </c>
      <c r="C8" s="73" t="s">
        <v>128</v>
      </c>
      <c r="D8" s="74" t="s">
        <v>129</v>
      </c>
      <c r="E8" s="75"/>
      <c r="F8" s="38">
        <v>320</v>
      </c>
      <c r="G8" s="75"/>
      <c r="H8" s="38">
        <v>214</v>
      </c>
      <c r="I8" s="76">
        <f>F8-H8</f>
        <v>106</v>
      </c>
      <c r="J8" s="77">
        <f>IFERROR(I8/H8,"")</f>
        <v>0.49532710280373832</v>
      </c>
    </row>
    <row r="9" spans="2:10" ht="16.5" customHeight="1" x14ac:dyDescent="0.25">
      <c r="B9" s="65">
        <v>3</v>
      </c>
      <c r="C9" s="66" t="s">
        <v>130</v>
      </c>
      <c r="D9" s="67" t="s">
        <v>131</v>
      </c>
      <c r="E9" s="68"/>
      <c r="F9" s="38">
        <v>185</v>
      </c>
      <c r="G9" s="68"/>
      <c r="H9" s="38">
        <v>0</v>
      </c>
      <c r="I9" s="70">
        <f>F9-H9</f>
        <v>185</v>
      </c>
      <c r="J9" s="71" t="str">
        <f>IFERROR(I9/H9,"")</f>
        <v/>
      </c>
    </row>
    <row r="10" spans="2:10" ht="18.75" customHeight="1" x14ac:dyDescent="0.25">
      <c r="B10" s="78"/>
      <c r="C10" s="78" t="s">
        <v>132</v>
      </c>
      <c r="D10" s="78"/>
      <c r="E10" s="78"/>
      <c r="F10" s="79">
        <f>SUM(F7:F9)</f>
        <v>60405</v>
      </c>
      <c r="G10" s="78"/>
      <c r="H10" s="79">
        <f>SUM(H7:H9)</f>
        <v>58614</v>
      </c>
      <c r="I10" s="80">
        <f>SUM(I7:I9)</f>
        <v>1791</v>
      </c>
      <c r="J10" s="78"/>
    </row>
    <row r="12" spans="2:10" ht="21.75" customHeight="1" x14ac:dyDescent="0.25">
      <c r="B12" s="12" t="s">
        <v>133</v>
      </c>
      <c r="C12" s="12"/>
      <c r="D12" s="12"/>
      <c r="E12" s="12"/>
      <c r="F12" s="12"/>
      <c r="G12" s="12"/>
      <c r="H12" s="12"/>
      <c r="I12" s="12"/>
      <c r="J12" s="12"/>
    </row>
    <row r="13" spans="2:10" ht="30" customHeight="1" x14ac:dyDescent="0.25">
      <c r="B13" s="31" t="s">
        <v>119</v>
      </c>
      <c r="C13" s="31" t="s">
        <v>134</v>
      </c>
      <c r="D13" s="31" t="s">
        <v>108</v>
      </c>
      <c r="E13" s="31" t="s">
        <v>135</v>
      </c>
      <c r="F13" s="31" t="s">
        <v>122</v>
      </c>
      <c r="G13" s="31" t="s">
        <v>136</v>
      </c>
      <c r="H13" s="31" t="s">
        <v>123</v>
      </c>
      <c r="I13" s="31" t="s">
        <v>124</v>
      </c>
      <c r="J13" s="31" t="s">
        <v>125</v>
      </c>
    </row>
    <row r="14" spans="2:10" ht="16.5" customHeight="1" x14ac:dyDescent="0.25">
      <c r="B14" s="81">
        <v>1</v>
      </c>
      <c r="C14" s="82" t="s">
        <v>137</v>
      </c>
      <c r="D14" s="83" t="s">
        <v>112</v>
      </c>
      <c r="E14" s="84" t="s">
        <v>138</v>
      </c>
      <c r="F14" s="38">
        <v>12640</v>
      </c>
      <c r="G14" s="38">
        <v>0</v>
      </c>
      <c r="H14" s="38">
        <v>11980</v>
      </c>
      <c r="I14" s="85">
        <f t="shared" ref="I14:I34" si="0">IF(F14="","",F14-H14)</f>
        <v>660</v>
      </c>
      <c r="J14" s="86">
        <f t="shared" ref="J14:J34" si="1">IFERROR(I14/H14,"")</f>
        <v>5.5091819699499167E-2</v>
      </c>
    </row>
    <row r="15" spans="2:10" ht="16.5" customHeight="1" x14ac:dyDescent="0.25">
      <c r="B15" s="81">
        <v>2</v>
      </c>
      <c r="C15" s="82" t="s">
        <v>139</v>
      </c>
      <c r="D15" s="83" t="s">
        <v>113</v>
      </c>
      <c r="E15" s="84" t="s">
        <v>138</v>
      </c>
      <c r="F15" s="38">
        <v>4820</v>
      </c>
      <c r="G15" s="38">
        <v>0</v>
      </c>
      <c r="H15" s="38">
        <v>4510</v>
      </c>
      <c r="I15" s="85">
        <f t="shared" si="0"/>
        <v>310</v>
      </c>
      <c r="J15" s="86">
        <f t="shared" si="1"/>
        <v>6.8736141906873618E-2</v>
      </c>
    </row>
    <row r="16" spans="2:10" ht="16.5" customHeight="1" x14ac:dyDescent="0.25">
      <c r="B16" s="81">
        <v>3</v>
      </c>
      <c r="C16" s="82" t="s">
        <v>140</v>
      </c>
      <c r="D16" s="83" t="s">
        <v>17</v>
      </c>
      <c r="E16" s="84" t="s">
        <v>138</v>
      </c>
      <c r="F16" s="38">
        <v>690</v>
      </c>
      <c r="G16" s="38">
        <v>0</v>
      </c>
      <c r="H16" s="38">
        <v>675</v>
      </c>
      <c r="I16" s="85">
        <f t="shared" si="0"/>
        <v>15</v>
      </c>
      <c r="J16" s="86">
        <f t="shared" si="1"/>
        <v>2.2222222222222223E-2</v>
      </c>
    </row>
    <row r="17" spans="2:10" ht="16.5" customHeight="1" x14ac:dyDescent="0.25">
      <c r="B17" s="81">
        <v>4</v>
      </c>
      <c r="C17" s="82" t="s">
        <v>141</v>
      </c>
      <c r="D17" s="83" t="s">
        <v>110</v>
      </c>
      <c r="E17" s="84" t="s">
        <v>138</v>
      </c>
      <c r="F17" s="38">
        <v>1180</v>
      </c>
      <c r="G17" s="38">
        <v>0</v>
      </c>
      <c r="H17" s="38">
        <v>1245</v>
      </c>
      <c r="I17" s="85">
        <f t="shared" si="0"/>
        <v>-65</v>
      </c>
      <c r="J17" s="86">
        <f t="shared" si="1"/>
        <v>-5.2208835341365459E-2</v>
      </c>
    </row>
    <row r="18" spans="2:10" ht="16.5" customHeight="1" x14ac:dyDescent="0.25">
      <c r="B18" s="81">
        <v>5</v>
      </c>
      <c r="C18" s="82" t="s">
        <v>142</v>
      </c>
      <c r="D18" s="83" t="s">
        <v>74</v>
      </c>
      <c r="E18" s="84" t="s">
        <v>138</v>
      </c>
      <c r="F18" s="38">
        <v>2340</v>
      </c>
      <c r="G18" s="38">
        <v>0</v>
      </c>
      <c r="H18" s="38">
        <v>2180</v>
      </c>
      <c r="I18" s="85">
        <f t="shared" si="0"/>
        <v>160</v>
      </c>
      <c r="J18" s="86">
        <f t="shared" si="1"/>
        <v>7.3394495412844041E-2</v>
      </c>
    </row>
    <row r="19" spans="2:10" ht="16.5" customHeight="1" x14ac:dyDescent="0.25">
      <c r="B19" s="81">
        <v>6</v>
      </c>
      <c r="C19" s="82" t="s">
        <v>143</v>
      </c>
      <c r="D19" s="83" t="s">
        <v>110</v>
      </c>
      <c r="E19" s="84" t="s">
        <v>138</v>
      </c>
      <c r="F19" s="38">
        <v>3860</v>
      </c>
      <c r="G19" s="38">
        <v>0</v>
      </c>
      <c r="H19" s="38">
        <v>3410</v>
      </c>
      <c r="I19" s="85">
        <f t="shared" si="0"/>
        <v>450</v>
      </c>
      <c r="J19" s="86">
        <f t="shared" si="1"/>
        <v>0.13196480938416422</v>
      </c>
    </row>
    <row r="20" spans="2:10" ht="16.5" customHeight="1" x14ac:dyDescent="0.25">
      <c r="B20" s="81">
        <v>7</v>
      </c>
      <c r="C20" s="82" t="s">
        <v>144</v>
      </c>
      <c r="D20" s="83" t="s">
        <v>110</v>
      </c>
      <c r="E20" s="84" t="s">
        <v>138</v>
      </c>
      <c r="F20" s="38">
        <v>420</v>
      </c>
      <c r="G20" s="38">
        <v>0</v>
      </c>
      <c r="H20" s="38">
        <v>405</v>
      </c>
      <c r="I20" s="85">
        <f t="shared" si="0"/>
        <v>15</v>
      </c>
      <c r="J20" s="86">
        <f t="shared" si="1"/>
        <v>3.7037037037037035E-2</v>
      </c>
    </row>
    <row r="21" spans="2:10" ht="16.5" customHeight="1" x14ac:dyDescent="0.25">
      <c r="B21" s="81">
        <v>8</v>
      </c>
      <c r="C21" s="82" t="s">
        <v>145</v>
      </c>
      <c r="D21" s="83" t="s">
        <v>111</v>
      </c>
      <c r="E21" s="84" t="s">
        <v>138</v>
      </c>
      <c r="F21" s="38">
        <v>3120</v>
      </c>
      <c r="G21" s="38">
        <v>2650</v>
      </c>
      <c r="H21" s="38">
        <v>2980</v>
      </c>
      <c r="I21" s="85">
        <f t="shared" si="0"/>
        <v>140</v>
      </c>
      <c r="J21" s="86">
        <f t="shared" si="1"/>
        <v>4.6979865771812082E-2</v>
      </c>
    </row>
    <row r="22" spans="2:10" ht="16.5" customHeight="1" x14ac:dyDescent="0.25">
      <c r="B22" s="81">
        <v>9</v>
      </c>
      <c r="C22" s="82" t="s">
        <v>146</v>
      </c>
      <c r="D22" s="83" t="s">
        <v>111</v>
      </c>
      <c r="E22" s="84" t="s">
        <v>138</v>
      </c>
      <c r="F22" s="38">
        <v>980</v>
      </c>
      <c r="G22" s="38">
        <v>780</v>
      </c>
      <c r="H22" s="38">
        <v>860</v>
      </c>
      <c r="I22" s="85">
        <f t="shared" si="0"/>
        <v>120</v>
      </c>
      <c r="J22" s="86">
        <f t="shared" si="1"/>
        <v>0.13953488372093023</v>
      </c>
    </row>
    <row r="23" spans="2:10" ht="16.5" customHeight="1" x14ac:dyDescent="0.25">
      <c r="B23" s="81">
        <v>10</v>
      </c>
      <c r="C23" s="82" t="s">
        <v>147</v>
      </c>
      <c r="D23" s="83" t="s">
        <v>110</v>
      </c>
      <c r="E23" s="84" t="s">
        <v>138</v>
      </c>
      <c r="F23" s="38">
        <v>2460</v>
      </c>
      <c r="G23" s="38">
        <v>2050</v>
      </c>
      <c r="H23" s="38">
        <v>2320</v>
      </c>
      <c r="I23" s="85">
        <f t="shared" si="0"/>
        <v>140</v>
      </c>
      <c r="J23" s="86">
        <f t="shared" si="1"/>
        <v>6.0344827586206899E-2</v>
      </c>
    </row>
    <row r="24" spans="2:10" ht="16.5" customHeight="1" x14ac:dyDescent="0.25">
      <c r="B24" s="81">
        <v>11</v>
      </c>
      <c r="C24" s="82" t="s">
        <v>148</v>
      </c>
      <c r="D24" s="83" t="s">
        <v>110</v>
      </c>
      <c r="E24" s="84" t="s">
        <v>138</v>
      </c>
      <c r="F24" s="38">
        <v>4680</v>
      </c>
      <c r="G24" s="38">
        <v>3900</v>
      </c>
      <c r="H24" s="38">
        <v>4560</v>
      </c>
      <c r="I24" s="85">
        <f t="shared" si="0"/>
        <v>120</v>
      </c>
      <c r="J24" s="86">
        <f t="shared" si="1"/>
        <v>2.6315789473684209E-2</v>
      </c>
    </row>
    <row r="25" spans="2:10" ht="16.5" customHeight="1" x14ac:dyDescent="0.25">
      <c r="B25" s="81">
        <v>12</v>
      </c>
      <c r="C25" s="82" t="s">
        <v>149</v>
      </c>
      <c r="D25" s="83" t="s">
        <v>17</v>
      </c>
      <c r="E25" s="84" t="s">
        <v>138</v>
      </c>
      <c r="F25" s="38">
        <v>2180</v>
      </c>
      <c r="G25" s="38">
        <v>1100</v>
      </c>
      <c r="H25" s="38">
        <v>2060</v>
      </c>
      <c r="I25" s="85">
        <f t="shared" si="0"/>
        <v>120</v>
      </c>
      <c r="J25" s="86">
        <f t="shared" si="1"/>
        <v>5.8252427184466021E-2</v>
      </c>
    </row>
    <row r="26" spans="2:10" ht="16.5" customHeight="1" x14ac:dyDescent="0.25">
      <c r="B26" s="81">
        <v>13</v>
      </c>
      <c r="C26" s="82" t="s">
        <v>150</v>
      </c>
      <c r="D26" s="83" t="s">
        <v>110</v>
      </c>
      <c r="E26" s="84" t="s">
        <v>138</v>
      </c>
      <c r="F26" s="38">
        <v>260</v>
      </c>
      <c r="G26" s="38">
        <v>260</v>
      </c>
      <c r="H26" s="38">
        <v>255</v>
      </c>
      <c r="I26" s="85">
        <f t="shared" si="0"/>
        <v>5</v>
      </c>
      <c r="J26" s="86">
        <f t="shared" si="1"/>
        <v>1.9607843137254902E-2</v>
      </c>
    </row>
    <row r="27" spans="2:10" ht="16.5" customHeight="1" x14ac:dyDescent="0.25">
      <c r="B27" s="81">
        <v>14</v>
      </c>
      <c r="C27" s="82" t="s">
        <v>151</v>
      </c>
      <c r="D27" s="83" t="s">
        <v>17</v>
      </c>
      <c r="E27" s="84" t="s">
        <v>138</v>
      </c>
      <c r="F27" s="38">
        <v>480</v>
      </c>
      <c r="G27" s="38">
        <v>480</v>
      </c>
      <c r="H27" s="38">
        <v>480</v>
      </c>
      <c r="I27" s="85">
        <f t="shared" si="0"/>
        <v>0</v>
      </c>
      <c r="J27" s="86">
        <f t="shared" si="1"/>
        <v>0</v>
      </c>
    </row>
    <row r="28" spans="2:10" ht="16.5" customHeight="1" x14ac:dyDescent="0.25">
      <c r="B28" s="81">
        <v>15</v>
      </c>
      <c r="C28" s="82" t="s">
        <v>152</v>
      </c>
      <c r="D28" s="83" t="s">
        <v>17</v>
      </c>
      <c r="E28" s="84" t="s">
        <v>153</v>
      </c>
      <c r="F28" s="38">
        <v>5760</v>
      </c>
      <c r="G28" s="38">
        <v>0</v>
      </c>
      <c r="H28" s="38">
        <v>5520</v>
      </c>
      <c r="I28" s="85">
        <f t="shared" si="0"/>
        <v>240</v>
      </c>
      <c r="J28" s="86">
        <f t="shared" si="1"/>
        <v>4.3478260869565216E-2</v>
      </c>
    </row>
    <row r="29" spans="2:10" ht="16.5" customHeight="1" x14ac:dyDescent="0.25">
      <c r="B29" s="81">
        <v>16</v>
      </c>
      <c r="C29" s="82" t="s">
        <v>154</v>
      </c>
      <c r="D29" s="83" t="s">
        <v>110</v>
      </c>
      <c r="E29" s="84" t="s">
        <v>153</v>
      </c>
      <c r="F29" s="38">
        <v>3240</v>
      </c>
      <c r="G29" s="38">
        <v>2100</v>
      </c>
      <c r="H29" s="38">
        <v>4870</v>
      </c>
      <c r="I29" s="85">
        <f t="shared" si="0"/>
        <v>-1630</v>
      </c>
      <c r="J29" s="86">
        <f t="shared" si="1"/>
        <v>-0.3347022587268994</v>
      </c>
    </row>
    <row r="30" spans="2:10" ht="16.5" customHeight="1" x14ac:dyDescent="0.25">
      <c r="B30" s="81">
        <v>17</v>
      </c>
      <c r="C30" s="82" t="s">
        <v>155</v>
      </c>
      <c r="D30" s="83" t="s">
        <v>17</v>
      </c>
      <c r="E30" s="84" t="s">
        <v>153</v>
      </c>
      <c r="F30" s="38">
        <v>180</v>
      </c>
      <c r="G30" s="38">
        <v>0</v>
      </c>
      <c r="H30" s="38">
        <v>165</v>
      </c>
      <c r="I30" s="85">
        <f t="shared" si="0"/>
        <v>15</v>
      </c>
      <c r="J30" s="86">
        <f t="shared" si="1"/>
        <v>9.0909090909090912E-2</v>
      </c>
    </row>
    <row r="31" spans="2:10" ht="16.5" customHeight="1" x14ac:dyDescent="0.25">
      <c r="B31" s="81">
        <v>18</v>
      </c>
      <c r="C31" s="82" t="s">
        <v>156</v>
      </c>
      <c r="D31" s="83" t="s">
        <v>110</v>
      </c>
      <c r="E31" s="84" t="s">
        <v>153</v>
      </c>
      <c r="F31" s="38">
        <v>620</v>
      </c>
      <c r="G31" s="38">
        <v>0</v>
      </c>
      <c r="H31" s="38">
        <v>0</v>
      </c>
      <c r="I31" s="85">
        <f t="shared" si="0"/>
        <v>620</v>
      </c>
      <c r="J31" s="86" t="str">
        <f t="shared" si="1"/>
        <v/>
      </c>
    </row>
    <row r="32" spans="2:10" ht="16.5" customHeight="1" x14ac:dyDescent="0.25">
      <c r="B32" s="81">
        <v>19</v>
      </c>
      <c r="C32" s="82"/>
      <c r="D32" s="83"/>
      <c r="E32" s="84"/>
      <c r="F32" s="38"/>
      <c r="G32" s="38"/>
      <c r="H32" s="38"/>
      <c r="I32" s="85" t="str">
        <f t="shared" si="0"/>
        <v/>
      </c>
      <c r="J32" s="86" t="str">
        <f t="shared" si="1"/>
        <v/>
      </c>
    </row>
    <row r="33" spans="2:10" ht="16.5" customHeight="1" x14ac:dyDescent="0.25">
      <c r="B33" s="81">
        <v>20</v>
      </c>
      <c r="C33" s="82"/>
      <c r="D33" s="83"/>
      <c r="E33" s="84"/>
      <c r="F33" s="38"/>
      <c r="G33" s="38"/>
      <c r="H33" s="38"/>
      <c r="I33" s="85" t="str">
        <f t="shared" si="0"/>
        <v/>
      </c>
      <c r="J33" s="86" t="str">
        <f t="shared" si="1"/>
        <v/>
      </c>
    </row>
    <row r="34" spans="2:10" ht="16.5" customHeight="1" x14ac:dyDescent="0.25">
      <c r="B34" s="81">
        <v>21</v>
      </c>
      <c r="C34" s="82"/>
      <c r="D34" s="83"/>
      <c r="E34" s="84"/>
      <c r="F34" s="38"/>
      <c r="G34" s="38"/>
      <c r="H34" s="38"/>
      <c r="I34" s="85" t="str">
        <f t="shared" si="0"/>
        <v/>
      </c>
      <c r="J34" s="86" t="str">
        <f t="shared" si="1"/>
        <v/>
      </c>
    </row>
    <row r="35" spans="2:10" x14ac:dyDescent="0.25">
      <c r="B35" s="87"/>
      <c r="C35" s="87" t="s">
        <v>157</v>
      </c>
      <c r="D35" s="87"/>
      <c r="E35" s="87"/>
      <c r="F35" s="88">
        <f>SUM(F14:F34)</f>
        <v>49910</v>
      </c>
      <c r="G35" s="88">
        <f>SUM(G14:G34)</f>
        <v>13320</v>
      </c>
      <c r="H35" s="88">
        <f>SUM(H14:H34)</f>
        <v>48475</v>
      </c>
      <c r="I35" s="89">
        <f>SUM(I14:I34)</f>
        <v>1435</v>
      </c>
      <c r="J35" s="87"/>
    </row>
    <row r="36" spans="2:10" x14ac:dyDescent="0.25">
      <c r="C36" s="90" t="s">
        <v>158</v>
      </c>
      <c r="D36" s="15" t="s">
        <v>159</v>
      </c>
      <c r="E36" s="91" t="s">
        <v>153</v>
      </c>
      <c r="F36" s="92">
        <f>Einzelabrechnung!D36</f>
        <v>363</v>
      </c>
      <c r="H36" s="38">
        <v>0</v>
      </c>
      <c r="I36" s="85">
        <f>F36-H36</f>
        <v>363</v>
      </c>
    </row>
    <row r="37" spans="2:10" ht="21" customHeight="1" x14ac:dyDescent="0.25">
      <c r="B37" s="93"/>
      <c r="C37" s="93" t="s">
        <v>160</v>
      </c>
      <c r="D37" s="93"/>
      <c r="E37" s="93"/>
      <c r="F37" s="94">
        <f>F35+F36</f>
        <v>50273</v>
      </c>
      <c r="G37" s="93"/>
      <c r="H37" s="94">
        <f>H35+H36</f>
        <v>48475</v>
      </c>
      <c r="I37" s="95">
        <f>I35+I36</f>
        <v>1798</v>
      </c>
      <c r="J37" s="93"/>
    </row>
    <row r="39" spans="2:10" ht="21.75" customHeight="1" x14ac:dyDescent="0.25">
      <c r="B39" s="12" t="s">
        <v>161</v>
      </c>
      <c r="C39" s="12"/>
      <c r="D39" s="12"/>
      <c r="E39" s="12"/>
      <c r="F39" s="12"/>
      <c r="G39" s="12"/>
      <c r="H39" s="12"/>
      <c r="I39" s="12"/>
      <c r="J39" s="12"/>
    </row>
    <row r="40" spans="2:10" ht="18" customHeight="1" x14ac:dyDescent="0.25">
      <c r="C40" s="96" t="s">
        <v>162</v>
      </c>
      <c r="F40" s="97">
        <f>SUMIF($E$14:$E$34,"Ja",$F$14:$F$34)</f>
        <v>40110</v>
      </c>
    </row>
    <row r="41" spans="2:10" ht="18" customHeight="1" x14ac:dyDescent="0.25">
      <c r="C41" s="96" t="s">
        <v>163</v>
      </c>
      <c r="F41" s="97">
        <f>SUMIF($E$14:$E$34,"Nein",$F$14:$F$34)+F36</f>
        <v>10163</v>
      </c>
    </row>
    <row r="42" spans="2:10" ht="18" customHeight="1" x14ac:dyDescent="0.25">
      <c r="C42" s="96" t="s">
        <v>164</v>
      </c>
      <c r="F42" s="97">
        <f>SUM($G$14:$G$34)</f>
        <v>13320</v>
      </c>
    </row>
    <row r="43" spans="2:10" ht="18" customHeight="1" x14ac:dyDescent="0.25">
      <c r="C43" s="98" t="s">
        <v>165</v>
      </c>
      <c r="F43" s="99">
        <f>F40+F41-F37</f>
        <v>0</v>
      </c>
    </row>
    <row r="45" spans="2:10" ht="21.75" customHeight="1" x14ac:dyDescent="0.25">
      <c r="B45" s="12" t="s">
        <v>166</v>
      </c>
      <c r="C45" s="12"/>
      <c r="D45" s="12"/>
      <c r="E45" s="12"/>
      <c r="F45" s="12"/>
      <c r="G45" s="12"/>
      <c r="H45" s="12"/>
      <c r="I45" s="12"/>
      <c r="J45" s="12"/>
    </row>
    <row r="46" spans="2:10" ht="19.5" customHeight="1" x14ac:dyDescent="0.25">
      <c r="B46" s="31" t="s">
        <v>119</v>
      </c>
      <c r="C46" s="31" t="s">
        <v>167</v>
      </c>
      <c r="D46" s="31" t="s">
        <v>168</v>
      </c>
      <c r="E46" s="31"/>
      <c r="F46" s="31" t="s">
        <v>169</v>
      </c>
      <c r="G46" s="31"/>
      <c r="H46" s="31" t="s">
        <v>170</v>
      </c>
      <c r="I46" s="31"/>
      <c r="J46" s="31"/>
    </row>
    <row r="47" spans="2:10" ht="16.5" customHeight="1" x14ac:dyDescent="0.25">
      <c r="B47" s="65">
        <v>1</v>
      </c>
      <c r="C47" s="100" t="s">
        <v>171</v>
      </c>
      <c r="D47" s="67" t="s">
        <v>172</v>
      </c>
      <c r="E47" s="68"/>
      <c r="F47" s="38">
        <v>38450</v>
      </c>
      <c r="G47" s="68"/>
      <c r="H47" s="38">
        <v>31180</v>
      </c>
      <c r="I47" s="68"/>
      <c r="J47" s="68"/>
    </row>
    <row r="48" spans="2:10" ht="16.5" customHeight="1" x14ac:dyDescent="0.25">
      <c r="B48" s="72">
        <v>2</v>
      </c>
      <c r="C48" s="101" t="s">
        <v>173</v>
      </c>
      <c r="D48" s="74" t="s">
        <v>174</v>
      </c>
      <c r="E48" s="75"/>
      <c r="F48" s="38">
        <v>12000</v>
      </c>
      <c r="G48" s="75"/>
      <c r="H48" s="38">
        <v>12000</v>
      </c>
      <c r="I48" s="75"/>
      <c r="J48" s="75"/>
    </row>
    <row r="49" spans="2:10" ht="16.5" customHeight="1" x14ac:dyDescent="0.25">
      <c r="B49" s="65">
        <v>3</v>
      </c>
      <c r="C49" s="100" t="s">
        <v>175</v>
      </c>
      <c r="D49" s="67" t="s">
        <v>176</v>
      </c>
      <c r="E49" s="68"/>
      <c r="F49" s="102">
        <f>F8</f>
        <v>320</v>
      </c>
      <c r="G49" s="68"/>
      <c r="H49" s="38">
        <v>214</v>
      </c>
      <c r="I49" s="68"/>
      <c r="J49" s="68"/>
    </row>
    <row r="50" spans="2:10" ht="16.5" customHeight="1" x14ac:dyDescent="0.25">
      <c r="B50" s="72">
        <v>4</v>
      </c>
      <c r="C50" s="101" t="s">
        <v>177</v>
      </c>
      <c r="D50" s="74" t="s">
        <v>178</v>
      </c>
      <c r="E50" s="75"/>
      <c r="F50" s="38">
        <v>-14800</v>
      </c>
      <c r="G50" s="75"/>
      <c r="H50" s="38">
        <v>-4600</v>
      </c>
      <c r="I50" s="75"/>
      <c r="J50" s="75"/>
    </row>
    <row r="51" spans="2:10" ht="16.5" customHeight="1" x14ac:dyDescent="0.25">
      <c r="B51" s="65">
        <v>5</v>
      </c>
      <c r="C51" s="100" t="s">
        <v>179</v>
      </c>
      <c r="D51" s="67" t="s">
        <v>131</v>
      </c>
      <c r="E51" s="68"/>
      <c r="F51" s="38">
        <v>0</v>
      </c>
      <c r="G51" s="68"/>
      <c r="H51" s="38">
        <v>-530</v>
      </c>
      <c r="I51" s="68"/>
      <c r="J51" s="68"/>
    </row>
    <row r="52" spans="2:10" ht="21" customHeight="1" x14ac:dyDescent="0.25">
      <c r="B52" s="93"/>
      <c r="C52" s="93" t="s">
        <v>180</v>
      </c>
      <c r="D52" s="93"/>
      <c r="E52" s="93"/>
      <c r="F52" s="94">
        <f>SUM(F47:F51)</f>
        <v>35970</v>
      </c>
      <c r="G52" s="93"/>
      <c r="H52" s="94">
        <f>SUM(H47:H51)</f>
        <v>38264</v>
      </c>
      <c r="I52" s="93"/>
      <c r="J52" s="93"/>
    </row>
    <row r="54" spans="2:10" ht="21.75" customHeight="1" x14ac:dyDescent="0.25">
      <c r="B54" s="12" t="s">
        <v>181</v>
      </c>
      <c r="C54" s="12"/>
      <c r="D54" s="12"/>
      <c r="E54" s="12"/>
      <c r="F54" s="12"/>
      <c r="G54" s="12"/>
      <c r="H54" s="12"/>
      <c r="I54" s="12"/>
      <c r="J54" s="12"/>
    </row>
    <row r="55" spans="2:10" ht="16.5" customHeight="1" x14ac:dyDescent="0.25">
      <c r="B55" s="68"/>
      <c r="C55" s="103" t="s">
        <v>182</v>
      </c>
      <c r="D55" s="68"/>
      <c r="E55" s="68"/>
      <c r="F55" s="38">
        <v>6240</v>
      </c>
      <c r="G55" s="68"/>
      <c r="H55" s="68"/>
      <c r="I55" s="68"/>
      <c r="J55" s="68"/>
    </row>
    <row r="56" spans="2:10" ht="16.5" customHeight="1" x14ac:dyDescent="0.25">
      <c r="B56" s="75"/>
      <c r="C56" s="104" t="s">
        <v>183</v>
      </c>
      <c r="D56" s="75"/>
      <c r="E56" s="75"/>
      <c r="F56" s="102">
        <f>F7+F9</f>
        <v>60085</v>
      </c>
      <c r="G56" s="75"/>
      <c r="H56" s="75"/>
      <c r="I56" s="75"/>
      <c r="J56" s="75"/>
    </row>
    <row r="57" spans="2:10" ht="16.5" customHeight="1" x14ac:dyDescent="0.25">
      <c r="B57" s="68"/>
      <c r="C57" s="103" t="s">
        <v>184</v>
      </c>
      <c r="D57" s="68"/>
      <c r="E57" s="68"/>
      <c r="F57" s="102">
        <f>-F48</f>
        <v>-12000</v>
      </c>
      <c r="G57" s="68"/>
      <c r="H57" s="68"/>
      <c r="I57" s="68"/>
      <c r="J57" s="68"/>
    </row>
    <row r="58" spans="2:10" ht="16.5" customHeight="1" x14ac:dyDescent="0.25">
      <c r="B58" s="75"/>
      <c r="C58" s="104" t="s">
        <v>185</v>
      </c>
      <c r="D58" s="75"/>
      <c r="E58" s="75"/>
      <c r="F58" s="102">
        <f>-F37</f>
        <v>-50273</v>
      </c>
      <c r="G58" s="75"/>
      <c r="H58" s="75"/>
      <c r="I58" s="75"/>
      <c r="J58" s="75"/>
    </row>
    <row r="59" spans="2:10" ht="16.5" customHeight="1" x14ac:dyDescent="0.25">
      <c r="B59" s="68"/>
      <c r="C59" s="105" t="s">
        <v>186</v>
      </c>
      <c r="D59" s="68"/>
      <c r="E59" s="68"/>
      <c r="F59" s="106">
        <f>SUM(F55:F58)</f>
        <v>4052</v>
      </c>
      <c r="G59" s="68"/>
      <c r="H59" s="68"/>
      <c r="I59" s="68"/>
      <c r="J59" s="68"/>
    </row>
    <row r="60" spans="2:10" ht="16.5" customHeight="1" x14ac:dyDescent="0.25">
      <c r="B60" s="75"/>
      <c r="C60" s="107" t="s">
        <v>187</v>
      </c>
      <c r="D60" s="75"/>
      <c r="E60" s="75"/>
      <c r="F60" s="92">
        <f>F52</f>
        <v>35970</v>
      </c>
      <c r="G60" s="75"/>
      <c r="H60" s="75"/>
      <c r="I60" s="75"/>
      <c r="J60" s="75"/>
    </row>
    <row r="61" spans="2:10" ht="16.5" customHeight="1" x14ac:dyDescent="0.25">
      <c r="B61" s="68"/>
      <c r="C61" s="103" t="s">
        <v>188</v>
      </c>
      <c r="D61" s="68"/>
      <c r="E61" s="68"/>
      <c r="F61" s="102">
        <f>Einheiten!N15</f>
        <v>1300</v>
      </c>
      <c r="G61" s="68"/>
      <c r="H61" s="68"/>
      <c r="I61" s="68"/>
      <c r="J61" s="68"/>
    </row>
    <row r="62" spans="2:10" ht="16.5" customHeight="1" x14ac:dyDescent="0.25">
      <c r="B62" s="75"/>
      <c r="C62" s="104" t="s">
        <v>189</v>
      </c>
      <c r="D62" s="75"/>
      <c r="E62" s="75"/>
      <c r="F62" s="38">
        <v>0</v>
      </c>
      <c r="G62" s="75"/>
      <c r="H62" s="75"/>
      <c r="I62" s="75"/>
      <c r="J62" s="75"/>
    </row>
    <row r="63" spans="2:10" ht="21" customHeight="1" x14ac:dyDescent="0.25">
      <c r="B63" s="93"/>
      <c r="C63" s="108" t="s">
        <v>190</v>
      </c>
      <c r="D63" s="93"/>
      <c r="E63" s="93"/>
      <c r="F63" s="94">
        <f>F59+F60+F61-F62</f>
        <v>41322</v>
      </c>
      <c r="G63" s="93"/>
      <c r="H63" s="93"/>
      <c r="I63" s="93"/>
      <c r="J63" s="93"/>
    </row>
  </sheetData>
  <mergeCells count="7">
    <mergeCell ref="B45:J45"/>
    <mergeCell ref="B54:J54"/>
    <mergeCell ref="B2:J2"/>
    <mergeCell ref="B3:J3"/>
    <mergeCell ref="B5:J5"/>
    <mergeCell ref="B12:J12"/>
    <mergeCell ref="B39:J39"/>
  </mergeCells>
  <conditionalFormatting sqref="E14:E34">
    <cfRule type="cellIs" dxfId="7" priority="5" operator="equal">
      <formula>"Ja"</formula>
    </cfRule>
    <cfRule type="cellIs" dxfId="6" priority="6" operator="equal">
      <formula>"Nein"</formula>
    </cfRule>
  </conditionalFormatting>
  <conditionalFormatting sqref="F14:F34">
    <cfRule type="dataBar" priority="4">
      <dataBar>
        <cfvo type="num" val="0"/>
        <cfvo type="max"/>
        <color rgb="FFC8963E"/>
      </dataBar>
      <extLst>
        <ext xmlns:x14="http://schemas.microsoft.com/office/spreadsheetml/2009/9/main" uri="{B025F937-C7B1-47D3-B67F-A62EFF666E3E}">
          <x14:id>{2FE06342-8640-4BF1-B622-6DDAAF6E6CE0}</x14:id>
        </ext>
      </extLst>
    </cfRule>
  </conditionalFormatting>
  <conditionalFormatting sqref="F43">
    <cfRule type="cellIs" dxfId="5" priority="7" operator="notBetween">
      <formula>-0.01</formula>
      <formula>0.01</formula>
    </cfRule>
  </conditionalFormatting>
  <conditionalFormatting sqref="J14:J34">
    <cfRule type="cellIs" dxfId="4" priority="2" operator="greaterThan">
      <formula>0.1</formula>
    </cfRule>
    <cfRule type="cellIs" dxfId="3" priority="3" operator="lessThan">
      <formula>-0.05</formula>
    </cfRule>
  </conditionalFormatting>
  <dataValidations count="2">
    <dataValidation type="list" allowBlank="1" error="Bitte einen der sechs Verteilungsschlüssel aus Blatt „Einheiten“ wählen." sqref="D14:D34" xr:uid="{00000000-0002-0000-0200-000000000000}">
      <formula1>"Miteigentumsanteile (MEA),Wohnfläche (m²),Anzahl Einheiten,Personen,Verbrauch Heizung (kWh),Verbrauch Wasser (m³)"</formula1>
      <formula2>0</formula2>
    </dataValidation>
    <dataValidation type="list" allowBlank="1" sqref="E14:E34" xr:uid="{00000000-0002-0000-0200-000001000000}">
      <formula1>"Ja,Nein"</formula1>
      <formula2>0</formula2>
    </dataValidation>
  </dataValidations>
  <pageMargins left="0.75" right="0.75" top="1" bottom="1" header="0.511811023622047" footer="0.511811023622047"/>
  <pageSetup paperSize="9" fitToHeight="0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2FE06342-8640-4BF1-B622-6DDAAF6E6CE0}">
            <x14:dataBar axisPosition="none">
              <x14:cfvo type="num">
                <xm:f>0</xm:f>
              </x14:cfvo>
              <x14:cfvo type="max"/>
              <x14:negativeFillColor rgb="FFC8963E"/>
            </x14:dataBar>
          </x14:cfRule>
          <xm:sqref>F14:F34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3E4630"/>
    <pageSetUpPr fitToPage="1"/>
  </sheetPr>
  <dimension ref="B2:L54"/>
  <sheetViews>
    <sheetView showGridLines="0" zoomScaleNormal="100" workbookViewId="0">
      <pane xSplit="4" ySplit="8" topLeftCell="E9" activePane="bottomRight" state="frozen"/>
      <selection pane="topRight" activeCell="E1" sqref="E1"/>
      <selection pane="bottomLeft" activeCell="A9" sqref="A9"/>
      <selection pane="bottomRight"/>
    </sheetView>
  </sheetViews>
  <sheetFormatPr baseColWidth="10" defaultColWidth="8.7109375" defaultRowHeight="15" x14ac:dyDescent="0.25"/>
  <cols>
    <col min="1" max="1" width="2" customWidth="1"/>
    <col min="2" max="2" width="40" customWidth="1"/>
    <col min="3" max="3" width="22" customWidth="1"/>
    <col min="4" max="4" width="14" customWidth="1"/>
    <col min="5" max="12" width="13" customWidth="1"/>
  </cols>
  <sheetData>
    <row r="2" spans="2:12" ht="33.75" customHeight="1" x14ac:dyDescent="0.25">
      <c r="B2" s="14" t="s">
        <v>191</v>
      </c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2:12" ht="15.75" customHeight="1" x14ac:dyDescent="0.25">
      <c r="B3" s="13" t="s">
        <v>192</v>
      </c>
      <c r="C3" s="13"/>
      <c r="D3" s="13"/>
      <c r="E3" s="13"/>
      <c r="F3" s="13"/>
      <c r="G3" s="13"/>
      <c r="H3" s="13"/>
      <c r="I3" s="13"/>
      <c r="J3" s="13"/>
      <c r="K3" s="13"/>
      <c r="L3" s="13"/>
    </row>
    <row r="5" spans="2:12" ht="21.75" customHeight="1" x14ac:dyDescent="0.25">
      <c r="B5" s="12" t="s">
        <v>193</v>
      </c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2:12" x14ac:dyDescent="0.25">
      <c r="B6" s="29" t="s">
        <v>107</v>
      </c>
      <c r="E6" s="47">
        <v>1</v>
      </c>
      <c r="F6" s="47">
        <v>2</v>
      </c>
      <c r="G6" s="47">
        <v>3</v>
      </c>
      <c r="H6" s="47">
        <v>4</v>
      </c>
      <c r="I6" s="47">
        <v>5</v>
      </c>
      <c r="J6" s="47">
        <v>6</v>
      </c>
      <c r="K6" s="47">
        <v>7</v>
      </c>
      <c r="L6" s="47">
        <v>8</v>
      </c>
    </row>
    <row r="7" spans="2:12" ht="19.5" customHeight="1" x14ac:dyDescent="0.25">
      <c r="B7" s="130" t="s">
        <v>134</v>
      </c>
      <c r="C7" s="130" t="s">
        <v>108</v>
      </c>
      <c r="D7" s="130" t="s">
        <v>194</v>
      </c>
      <c r="E7" s="109" t="str">
        <f>Einheiten!B7</f>
        <v>WE 01</v>
      </c>
      <c r="F7" s="109" t="str">
        <f>Einheiten!B8</f>
        <v>WE 02</v>
      </c>
      <c r="G7" s="109" t="str">
        <f>Einheiten!B9</f>
        <v>WE 03</v>
      </c>
      <c r="H7" s="109" t="str">
        <f>Einheiten!B10</f>
        <v>WE 04</v>
      </c>
      <c r="I7" s="109" t="str">
        <f>Einheiten!B11</f>
        <v>WE 05</v>
      </c>
      <c r="J7" s="109" t="str">
        <f>Einheiten!B12</f>
        <v>WE 06</v>
      </c>
      <c r="K7" s="109" t="str">
        <f>Einheiten!B13</f>
        <v>WE 07</v>
      </c>
      <c r="L7" s="109" t="str">
        <f>Einheiten!B14</f>
        <v>WE 08</v>
      </c>
    </row>
    <row r="8" spans="2:12" ht="13.5" customHeight="1" x14ac:dyDescent="0.25">
      <c r="B8" s="130"/>
      <c r="C8" s="130"/>
      <c r="D8" s="130"/>
      <c r="E8" s="110" t="str">
        <f>Einheiten!C7</f>
        <v>M. Ahrend</v>
      </c>
      <c r="F8" s="110" t="str">
        <f>Einheiten!C8</f>
        <v>T. Bergmann</v>
      </c>
      <c r="G8" s="110" t="str">
        <f>Einheiten!C9</f>
        <v>S. Cordes</v>
      </c>
      <c r="H8" s="110" t="str">
        <f>Einheiten!C10</f>
        <v>R. Delling</v>
      </c>
      <c r="I8" s="110" t="str">
        <f>Einheiten!C11</f>
        <v>K. Eichhorn</v>
      </c>
      <c r="J8" s="110" t="str">
        <f>Einheiten!C12</f>
        <v>J. Freytag</v>
      </c>
      <c r="K8" s="110" t="str">
        <f>Einheiten!C13</f>
        <v>H. Gronau</v>
      </c>
      <c r="L8" s="110" t="str">
        <f>Einheiten!C14</f>
        <v>P. Hillmann</v>
      </c>
    </row>
    <row r="9" spans="2:12" ht="15.75" customHeight="1" x14ac:dyDescent="0.25">
      <c r="B9" s="103" t="str">
        <f>IF(Gesamtabrechnung!C14="","",Gesamtabrechnung!C14)</f>
        <v>Heizung und Warmwasser (Fernwärme)</v>
      </c>
      <c r="C9" s="67" t="str">
        <f>IF(Gesamtabrechnung!D14="","",Gesamtabrechnung!D14)</f>
        <v>Verbrauch Heizung (kWh)</v>
      </c>
      <c r="D9" s="111">
        <f>Gesamtabrechnung!F14</f>
        <v>12640</v>
      </c>
      <c r="E9" s="112">
        <f>IFERROR($D9*INDEX(Einheiten!$C$20:$J$25,MATCH($C9,Einheiten!$B$20:$B$25,0),E$6)/INDEX(Einheiten!$K$20:$K$25,MATCH($C9,Einheiten!$B$20:$B$25,0)),0)</f>
        <v>1253.6605316973414</v>
      </c>
      <c r="F9" s="112">
        <f>IFERROR($D9*INDEX(Einheiten!$C$20:$J$25,MATCH($C9,Einheiten!$B$20:$B$25,0),F$6)/INDEX(Einheiten!$K$20:$K$25,MATCH($C9,Einheiten!$B$20:$B$25,0)),0)</f>
        <v>1116.6625766871166</v>
      </c>
      <c r="G9" s="112">
        <f>IFERROR($D9*INDEX(Einheiten!$C$20:$J$25,MATCH($C9,Einheiten!$B$20:$B$25,0),G$6)/INDEX(Einheiten!$K$20:$K$25,MATCH($C9,Einheiten!$B$20:$B$25,0)),0)</f>
        <v>1545.7505112474437</v>
      </c>
      <c r="H9" s="112">
        <f>IFERROR($D9*INDEX(Einheiten!$C$20:$J$25,MATCH($C9,Einheiten!$B$20:$B$25,0),H$6)/INDEX(Einheiten!$K$20:$K$25,MATCH($C9,Einheiten!$B$20:$B$25,0)),0)</f>
        <v>1328.6216768916156</v>
      </c>
      <c r="I9" s="112">
        <f>IFERROR($D9*INDEX(Einheiten!$C$20:$J$25,MATCH($C9,Einheiten!$B$20:$B$25,0),I$6)/INDEX(Einheiten!$K$20:$K$25,MATCH($C9,Einheiten!$B$20:$B$25,0)),0)</f>
        <v>1737.0306748466257</v>
      </c>
      <c r="J9" s="112">
        <f>IFERROR($D9*INDEX(Einheiten!$C$20:$J$25,MATCH($C9,Einheiten!$B$20:$B$25,0),J$6)/INDEX(Einheiten!$K$20:$K$25,MATCH($C9,Einheiten!$B$20:$B$25,0)),0)</f>
        <v>1553.5051124744377</v>
      </c>
      <c r="K9" s="112">
        <f>IFERROR($D9*INDEX(Einheiten!$C$20:$J$25,MATCH($C9,Einheiten!$B$20:$B$25,0),K$6)/INDEX(Einheiten!$K$20:$K$25,MATCH($C9,Einheiten!$B$20:$B$25,0)),0)</f>
        <v>1974.838445807771</v>
      </c>
      <c r="L9" s="112">
        <f>IFERROR($D9*INDEX(Einheiten!$C$20:$J$25,MATCH($C9,Einheiten!$B$20:$B$25,0),L$6)/INDEX(Einheiten!$K$20:$K$25,MATCH($C9,Einheiten!$B$20:$B$25,0)),0)</f>
        <v>2129.9304703476482</v>
      </c>
    </row>
    <row r="10" spans="2:12" ht="15.75" customHeight="1" x14ac:dyDescent="0.25">
      <c r="B10" s="113" t="str">
        <f>IF(Gesamtabrechnung!C15="","",Gesamtabrechnung!C15)</f>
        <v>Wasserversorgung und Entwässerung</v>
      </c>
      <c r="C10" s="15" t="str">
        <f>IF(Gesamtabrechnung!D15="","",Gesamtabrechnung!D15)</f>
        <v>Verbrauch Wasser (m³)</v>
      </c>
      <c r="D10" s="114">
        <f>Gesamtabrechnung!F15</f>
        <v>4820</v>
      </c>
      <c r="E10" s="39">
        <f>IFERROR($D10*INDEX(Einheiten!$C$20:$J$25,MATCH($C10,Einheiten!$B$20:$B$25,0),E$6)/INDEX(Einheiten!$K$20:$K$25,MATCH($C10,Einheiten!$B$20:$B$25,0)),0)</f>
        <v>522.74322169059008</v>
      </c>
      <c r="F10" s="39">
        <f>IFERROR($D10*INDEX(Einheiten!$C$20:$J$25,MATCH($C10,Einheiten!$B$20:$B$25,0),F$6)/INDEX(Einheiten!$K$20:$K$25,MATCH($C10,Einheiten!$B$20:$B$25,0)),0)</f>
        <v>315.1834130781499</v>
      </c>
      <c r="G10" s="39">
        <f>IFERROR($D10*INDEX(Einheiten!$C$20:$J$25,MATCH($C10,Einheiten!$B$20:$B$25,0),G$6)/INDEX(Einheiten!$K$20:$K$25,MATCH($C10,Einheiten!$B$20:$B$25,0)),0)</f>
        <v>737.99043062200963</v>
      </c>
      <c r="H10" s="39">
        <f>IFERROR($D10*INDEX(Einheiten!$C$20:$J$25,MATCH($C10,Einheiten!$B$20:$B$25,0),H$6)/INDEX(Einheiten!$K$20:$K$25,MATCH($C10,Einheiten!$B$20:$B$25,0)),0)</f>
        <v>553.49282296650722</v>
      </c>
      <c r="I10" s="39">
        <f>IFERROR($D10*INDEX(Einheiten!$C$20:$J$25,MATCH($C10,Einheiten!$B$20:$B$25,0),I$6)/INDEX(Einheiten!$K$20:$K$25,MATCH($C10,Einheiten!$B$20:$B$25,0)),0)</f>
        <v>907.1132376395534</v>
      </c>
      <c r="J10" s="39">
        <f>IFERROR($D10*INDEX(Einheiten!$C$20:$J$25,MATCH($C10,Einheiten!$B$20:$B$25,0),J$6)/INDEX(Einheiten!$K$20:$K$25,MATCH($C10,Einheiten!$B$20:$B$25,0)),0)</f>
        <v>568.86762360446573</v>
      </c>
      <c r="K10" s="39">
        <f>IFERROR($D10*INDEX(Einheiten!$C$20:$J$25,MATCH($C10,Einheiten!$B$20:$B$25,0),K$6)/INDEX(Einheiten!$K$20:$K$25,MATCH($C10,Einheiten!$B$20:$B$25,0)),0)</f>
        <v>707.24082934609248</v>
      </c>
      <c r="L10" s="39">
        <f>IFERROR($D10*INDEX(Einheiten!$C$20:$J$25,MATCH($C10,Einheiten!$B$20:$B$25,0),L$6)/INDEX(Einheiten!$K$20:$K$25,MATCH($C10,Einheiten!$B$20:$B$25,0)),0)</f>
        <v>507.36842105263156</v>
      </c>
    </row>
    <row r="11" spans="2:12" ht="15.75" customHeight="1" x14ac:dyDescent="0.25">
      <c r="B11" s="103" t="str">
        <f>IF(Gesamtabrechnung!C16="","",Gesamtabrechnung!C16)</f>
        <v>Heizkostenverteilung / Messdienst</v>
      </c>
      <c r="C11" s="67" t="str">
        <f>IF(Gesamtabrechnung!D16="","",Gesamtabrechnung!D16)</f>
        <v>Anzahl Einheiten</v>
      </c>
      <c r="D11" s="111">
        <f>Gesamtabrechnung!F16</f>
        <v>690</v>
      </c>
      <c r="E11" s="112">
        <f>IFERROR($D11*INDEX(Einheiten!$C$20:$J$25,MATCH($C11,Einheiten!$B$20:$B$25,0),E$6)/INDEX(Einheiten!$K$20:$K$25,MATCH($C11,Einheiten!$B$20:$B$25,0)),0)</f>
        <v>86.25</v>
      </c>
      <c r="F11" s="112">
        <f>IFERROR($D11*INDEX(Einheiten!$C$20:$J$25,MATCH($C11,Einheiten!$B$20:$B$25,0),F$6)/INDEX(Einheiten!$K$20:$K$25,MATCH($C11,Einheiten!$B$20:$B$25,0)),0)</f>
        <v>86.25</v>
      </c>
      <c r="G11" s="112">
        <f>IFERROR($D11*INDEX(Einheiten!$C$20:$J$25,MATCH($C11,Einheiten!$B$20:$B$25,0),G$6)/INDEX(Einheiten!$K$20:$K$25,MATCH($C11,Einheiten!$B$20:$B$25,0)),0)</f>
        <v>86.25</v>
      </c>
      <c r="H11" s="112">
        <f>IFERROR($D11*INDEX(Einheiten!$C$20:$J$25,MATCH($C11,Einheiten!$B$20:$B$25,0),H$6)/INDEX(Einheiten!$K$20:$K$25,MATCH($C11,Einheiten!$B$20:$B$25,0)),0)</f>
        <v>86.25</v>
      </c>
      <c r="I11" s="112">
        <f>IFERROR($D11*INDEX(Einheiten!$C$20:$J$25,MATCH($C11,Einheiten!$B$20:$B$25,0),I$6)/INDEX(Einheiten!$K$20:$K$25,MATCH($C11,Einheiten!$B$20:$B$25,0)),0)</f>
        <v>86.25</v>
      </c>
      <c r="J11" s="112">
        <f>IFERROR($D11*INDEX(Einheiten!$C$20:$J$25,MATCH($C11,Einheiten!$B$20:$B$25,0),J$6)/INDEX(Einheiten!$K$20:$K$25,MATCH($C11,Einheiten!$B$20:$B$25,0)),0)</f>
        <v>86.25</v>
      </c>
      <c r="K11" s="112">
        <f>IFERROR($D11*INDEX(Einheiten!$C$20:$J$25,MATCH($C11,Einheiten!$B$20:$B$25,0),K$6)/INDEX(Einheiten!$K$20:$K$25,MATCH($C11,Einheiten!$B$20:$B$25,0)),0)</f>
        <v>86.25</v>
      </c>
      <c r="L11" s="112">
        <f>IFERROR($D11*INDEX(Einheiten!$C$20:$J$25,MATCH($C11,Einheiten!$B$20:$B$25,0),L$6)/INDEX(Einheiten!$K$20:$K$25,MATCH($C11,Einheiten!$B$20:$B$25,0)),0)</f>
        <v>86.25</v>
      </c>
    </row>
    <row r="12" spans="2:12" ht="15.75" customHeight="1" x14ac:dyDescent="0.25">
      <c r="B12" s="113" t="str">
        <f>IF(Gesamtabrechnung!C17="","",Gesamtabrechnung!C17)</f>
        <v>Allgemeinstrom (Flur, Keller, Außenanlage)</v>
      </c>
      <c r="C12" s="15" t="str">
        <f>IF(Gesamtabrechnung!D17="","",Gesamtabrechnung!D17)</f>
        <v>Miteigentumsanteile (MEA)</v>
      </c>
      <c r="D12" s="114">
        <f>Gesamtabrechnung!F17</f>
        <v>1180</v>
      </c>
      <c r="E12" s="39">
        <f>IFERROR($D12*INDEX(Einheiten!$C$20:$J$25,MATCH($C12,Einheiten!$B$20:$B$25,0),E$6)/INDEX(Einheiten!$K$20:$K$25,MATCH($C12,Einheiten!$B$20:$B$25,0)),0)</f>
        <v>113.28</v>
      </c>
      <c r="F12" s="39">
        <f>IFERROR($D12*INDEX(Einheiten!$C$20:$J$25,MATCH($C12,Einheiten!$B$20:$B$25,0),F$6)/INDEX(Einheiten!$K$20:$K$25,MATCH($C12,Einheiten!$B$20:$B$25,0)),0)</f>
        <v>106.2</v>
      </c>
      <c r="G12" s="39">
        <f>IFERROR($D12*INDEX(Einheiten!$C$20:$J$25,MATCH($C12,Einheiten!$B$20:$B$25,0),G$6)/INDEX(Einheiten!$K$20:$K$25,MATCH($C12,Einheiten!$B$20:$B$25,0)),0)</f>
        <v>135.69999999999999</v>
      </c>
      <c r="H12" s="39">
        <f>IFERROR($D12*INDEX(Einheiten!$C$20:$J$25,MATCH($C12,Einheiten!$B$20:$B$25,0),H$6)/INDEX(Einheiten!$K$20:$K$25,MATCH($C12,Einheiten!$B$20:$B$25,0)),0)</f>
        <v>135.69999999999999</v>
      </c>
      <c r="I12" s="39">
        <f>IFERROR($D12*INDEX(Einheiten!$C$20:$J$25,MATCH($C12,Einheiten!$B$20:$B$25,0),I$6)/INDEX(Einheiten!$K$20:$K$25,MATCH($C12,Einheiten!$B$20:$B$25,0)),0)</f>
        <v>149.86000000000001</v>
      </c>
      <c r="J12" s="39">
        <f>IFERROR($D12*INDEX(Einheiten!$C$20:$J$25,MATCH($C12,Einheiten!$B$20:$B$25,0),J$6)/INDEX(Einheiten!$K$20:$K$25,MATCH($C12,Einheiten!$B$20:$B$25,0)),0)</f>
        <v>149.86000000000001</v>
      </c>
      <c r="K12" s="39">
        <f>IFERROR($D12*INDEX(Einheiten!$C$20:$J$25,MATCH($C12,Einheiten!$B$20:$B$25,0),K$6)/INDEX(Einheiten!$K$20:$K$25,MATCH($C12,Einheiten!$B$20:$B$25,0)),0)</f>
        <v>177</v>
      </c>
      <c r="L12" s="39">
        <f>IFERROR($D12*INDEX(Einheiten!$C$20:$J$25,MATCH($C12,Einheiten!$B$20:$B$25,0),L$6)/INDEX(Einheiten!$K$20:$K$25,MATCH($C12,Einheiten!$B$20:$B$25,0)),0)</f>
        <v>212.4</v>
      </c>
    </row>
    <row r="13" spans="2:12" ht="15.75" customHeight="1" x14ac:dyDescent="0.25">
      <c r="B13" s="103" t="str">
        <f>IF(Gesamtabrechnung!C18="","",Gesamtabrechnung!C18)</f>
        <v>Müllentsorgung und Straßenreinigung</v>
      </c>
      <c r="C13" s="67" t="str">
        <f>IF(Gesamtabrechnung!D18="","",Gesamtabrechnung!D18)</f>
        <v>Personen</v>
      </c>
      <c r="D13" s="111">
        <f>Gesamtabrechnung!F18</f>
        <v>2340</v>
      </c>
      <c r="E13" s="112">
        <f>IFERROR($D13*INDEX(Einheiten!$C$20:$J$25,MATCH($C13,Einheiten!$B$20:$B$25,0),E$6)/INDEX(Einheiten!$K$20:$K$25,MATCH($C13,Einheiten!$B$20:$B$25,0)),0)</f>
        <v>246.31578947368422</v>
      </c>
      <c r="F13" s="112">
        <f>IFERROR($D13*INDEX(Einheiten!$C$20:$J$25,MATCH($C13,Einheiten!$B$20:$B$25,0),F$6)/INDEX(Einheiten!$K$20:$K$25,MATCH($C13,Einheiten!$B$20:$B$25,0)),0)</f>
        <v>123.15789473684211</v>
      </c>
      <c r="G13" s="112">
        <f>IFERROR($D13*INDEX(Einheiten!$C$20:$J$25,MATCH($C13,Einheiten!$B$20:$B$25,0),G$6)/INDEX(Einheiten!$K$20:$K$25,MATCH($C13,Einheiten!$B$20:$B$25,0)),0)</f>
        <v>369.4736842105263</v>
      </c>
      <c r="H13" s="112">
        <f>IFERROR($D13*INDEX(Einheiten!$C$20:$J$25,MATCH($C13,Einheiten!$B$20:$B$25,0),H$6)/INDEX(Einheiten!$K$20:$K$25,MATCH($C13,Einheiten!$B$20:$B$25,0)),0)</f>
        <v>246.31578947368422</v>
      </c>
      <c r="I13" s="112">
        <f>IFERROR($D13*INDEX(Einheiten!$C$20:$J$25,MATCH($C13,Einheiten!$B$20:$B$25,0),I$6)/INDEX(Einheiten!$K$20:$K$25,MATCH($C13,Einheiten!$B$20:$B$25,0)),0)</f>
        <v>492.63157894736844</v>
      </c>
      <c r="J13" s="112">
        <f>IFERROR($D13*INDEX(Einheiten!$C$20:$J$25,MATCH($C13,Einheiten!$B$20:$B$25,0),J$6)/INDEX(Einheiten!$K$20:$K$25,MATCH($C13,Einheiten!$B$20:$B$25,0)),0)</f>
        <v>246.31578947368422</v>
      </c>
      <c r="K13" s="112">
        <f>IFERROR($D13*INDEX(Einheiten!$C$20:$J$25,MATCH($C13,Einheiten!$B$20:$B$25,0),K$6)/INDEX(Einheiten!$K$20:$K$25,MATCH($C13,Einheiten!$B$20:$B$25,0)),0)</f>
        <v>369.4736842105263</v>
      </c>
      <c r="L13" s="112">
        <f>IFERROR($D13*INDEX(Einheiten!$C$20:$J$25,MATCH($C13,Einheiten!$B$20:$B$25,0),L$6)/INDEX(Einheiten!$K$20:$K$25,MATCH($C13,Einheiten!$B$20:$B$25,0)),0)</f>
        <v>246.31578947368422</v>
      </c>
    </row>
    <row r="14" spans="2:12" ht="15.75" customHeight="1" x14ac:dyDescent="0.25">
      <c r="B14" s="113" t="str">
        <f>IF(Gesamtabrechnung!C19="","",Gesamtabrechnung!C19)</f>
        <v>Gebäudeversicherung (verbundene Wohngeb.)</v>
      </c>
      <c r="C14" s="15" t="str">
        <f>IF(Gesamtabrechnung!D19="","",Gesamtabrechnung!D19)</f>
        <v>Miteigentumsanteile (MEA)</v>
      </c>
      <c r="D14" s="114">
        <f>Gesamtabrechnung!F19</f>
        <v>3860</v>
      </c>
      <c r="E14" s="39">
        <f>IFERROR($D14*INDEX(Einheiten!$C$20:$J$25,MATCH($C14,Einheiten!$B$20:$B$25,0),E$6)/INDEX(Einheiten!$K$20:$K$25,MATCH($C14,Einheiten!$B$20:$B$25,0)),0)</f>
        <v>370.56</v>
      </c>
      <c r="F14" s="39">
        <f>IFERROR($D14*INDEX(Einheiten!$C$20:$J$25,MATCH($C14,Einheiten!$B$20:$B$25,0),F$6)/INDEX(Einheiten!$K$20:$K$25,MATCH($C14,Einheiten!$B$20:$B$25,0)),0)</f>
        <v>347.4</v>
      </c>
      <c r="G14" s="39">
        <f>IFERROR($D14*INDEX(Einheiten!$C$20:$J$25,MATCH($C14,Einheiten!$B$20:$B$25,0),G$6)/INDEX(Einheiten!$K$20:$K$25,MATCH($C14,Einheiten!$B$20:$B$25,0)),0)</f>
        <v>443.9</v>
      </c>
      <c r="H14" s="39">
        <f>IFERROR($D14*INDEX(Einheiten!$C$20:$J$25,MATCH($C14,Einheiten!$B$20:$B$25,0),H$6)/INDEX(Einheiten!$K$20:$K$25,MATCH($C14,Einheiten!$B$20:$B$25,0)),0)</f>
        <v>443.9</v>
      </c>
      <c r="I14" s="39">
        <f>IFERROR($D14*INDEX(Einheiten!$C$20:$J$25,MATCH($C14,Einheiten!$B$20:$B$25,0),I$6)/INDEX(Einheiten!$K$20:$K$25,MATCH($C14,Einheiten!$B$20:$B$25,0)),0)</f>
        <v>490.22</v>
      </c>
      <c r="J14" s="39">
        <f>IFERROR($D14*INDEX(Einheiten!$C$20:$J$25,MATCH($C14,Einheiten!$B$20:$B$25,0),J$6)/INDEX(Einheiten!$K$20:$K$25,MATCH($C14,Einheiten!$B$20:$B$25,0)),0)</f>
        <v>490.22</v>
      </c>
      <c r="K14" s="39">
        <f>IFERROR($D14*INDEX(Einheiten!$C$20:$J$25,MATCH($C14,Einheiten!$B$20:$B$25,0),K$6)/INDEX(Einheiten!$K$20:$K$25,MATCH($C14,Einheiten!$B$20:$B$25,0)),0)</f>
        <v>579</v>
      </c>
      <c r="L14" s="39">
        <f>IFERROR($D14*INDEX(Einheiten!$C$20:$J$25,MATCH($C14,Einheiten!$B$20:$B$25,0),L$6)/INDEX(Einheiten!$K$20:$K$25,MATCH($C14,Einheiten!$B$20:$B$25,0)),0)</f>
        <v>694.8</v>
      </c>
    </row>
    <row r="15" spans="2:12" ht="15.75" customHeight="1" x14ac:dyDescent="0.25">
      <c r="B15" s="103" t="str">
        <f>IF(Gesamtabrechnung!C20="","",Gesamtabrechnung!C20)</f>
        <v>Haus- und Grundbesitzerhaftpflicht</v>
      </c>
      <c r="C15" s="67" t="str">
        <f>IF(Gesamtabrechnung!D20="","",Gesamtabrechnung!D20)</f>
        <v>Miteigentumsanteile (MEA)</v>
      </c>
      <c r="D15" s="111">
        <f>Gesamtabrechnung!F20</f>
        <v>420</v>
      </c>
      <c r="E15" s="112">
        <f>IFERROR($D15*INDEX(Einheiten!$C$20:$J$25,MATCH($C15,Einheiten!$B$20:$B$25,0),E$6)/INDEX(Einheiten!$K$20:$K$25,MATCH($C15,Einheiten!$B$20:$B$25,0)),0)</f>
        <v>40.32</v>
      </c>
      <c r="F15" s="112">
        <f>IFERROR($D15*INDEX(Einheiten!$C$20:$J$25,MATCH($C15,Einheiten!$B$20:$B$25,0),F$6)/INDEX(Einheiten!$K$20:$K$25,MATCH($C15,Einheiten!$B$20:$B$25,0)),0)</f>
        <v>37.799999999999997</v>
      </c>
      <c r="G15" s="112">
        <f>IFERROR($D15*INDEX(Einheiten!$C$20:$J$25,MATCH($C15,Einheiten!$B$20:$B$25,0),G$6)/INDEX(Einheiten!$K$20:$K$25,MATCH($C15,Einheiten!$B$20:$B$25,0)),0)</f>
        <v>48.3</v>
      </c>
      <c r="H15" s="112">
        <f>IFERROR($D15*INDEX(Einheiten!$C$20:$J$25,MATCH($C15,Einheiten!$B$20:$B$25,0),H$6)/INDEX(Einheiten!$K$20:$K$25,MATCH($C15,Einheiten!$B$20:$B$25,0)),0)</f>
        <v>48.3</v>
      </c>
      <c r="I15" s="112">
        <f>IFERROR($D15*INDEX(Einheiten!$C$20:$J$25,MATCH($C15,Einheiten!$B$20:$B$25,0),I$6)/INDEX(Einheiten!$K$20:$K$25,MATCH($C15,Einheiten!$B$20:$B$25,0)),0)</f>
        <v>53.34</v>
      </c>
      <c r="J15" s="112">
        <f>IFERROR($D15*INDEX(Einheiten!$C$20:$J$25,MATCH($C15,Einheiten!$B$20:$B$25,0),J$6)/INDEX(Einheiten!$K$20:$K$25,MATCH($C15,Einheiten!$B$20:$B$25,0)),0)</f>
        <v>53.34</v>
      </c>
      <c r="K15" s="112">
        <f>IFERROR($D15*INDEX(Einheiten!$C$20:$J$25,MATCH($C15,Einheiten!$B$20:$B$25,0),K$6)/INDEX(Einheiten!$K$20:$K$25,MATCH($C15,Einheiten!$B$20:$B$25,0)),0)</f>
        <v>63</v>
      </c>
      <c r="L15" s="112">
        <f>IFERROR($D15*INDEX(Einheiten!$C$20:$J$25,MATCH($C15,Einheiten!$B$20:$B$25,0),L$6)/INDEX(Einheiten!$K$20:$K$25,MATCH($C15,Einheiten!$B$20:$B$25,0)),0)</f>
        <v>75.599999999999994</v>
      </c>
    </row>
    <row r="16" spans="2:12" ht="15.75" customHeight="1" x14ac:dyDescent="0.25">
      <c r="B16" s="113" t="str">
        <f>IF(Gesamtabrechnung!C21="","",Gesamtabrechnung!C21)</f>
        <v>Treppenhaus- und Gebäudereinigung</v>
      </c>
      <c r="C16" s="15" t="str">
        <f>IF(Gesamtabrechnung!D21="","",Gesamtabrechnung!D21)</f>
        <v>Wohnfläche (m²)</v>
      </c>
      <c r="D16" s="114">
        <f>Gesamtabrechnung!F21</f>
        <v>3120</v>
      </c>
      <c r="E16" s="39">
        <f>IFERROR($D16*INDEX(Einheiten!$C$20:$J$25,MATCH($C16,Einheiten!$B$20:$B$25,0),E$6)/INDEX(Einheiten!$K$20:$K$25,MATCH($C16,Einheiten!$B$20:$B$25,0)),0)</f>
        <v>300.90880989180835</v>
      </c>
      <c r="F16" s="39">
        <f>IFERROR($D16*INDEX(Einheiten!$C$20:$J$25,MATCH($C16,Einheiten!$B$20:$B$25,0),F$6)/INDEX(Einheiten!$K$20:$K$25,MATCH($C16,Einheiten!$B$20:$B$25,0)),0)</f>
        <v>280.17310664605873</v>
      </c>
      <c r="G16" s="39">
        <f>IFERROR($D16*INDEX(Einheiten!$C$20:$J$25,MATCH($C16,Einheiten!$B$20:$B$25,0),G$6)/INDEX(Einheiten!$K$20:$K$25,MATCH($C16,Einheiten!$B$20:$B$25,0)),0)</f>
        <v>359.25811437403399</v>
      </c>
      <c r="H16" s="39">
        <f>IFERROR($D16*INDEX(Einheiten!$C$20:$J$25,MATCH($C16,Einheiten!$B$20:$B$25,0),H$6)/INDEX(Einheiten!$K$20:$K$25,MATCH($C16,Einheiten!$B$20:$B$25,0)),0)</f>
        <v>359.25811437403399</v>
      </c>
      <c r="I16" s="39">
        <f>IFERROR($D16*INDEX(Einheiten!$C$20:$J$25,MATCH($C16,Einheiten!$B$20:$B$25,0),I$6)/INDEX(Einheiten!$K$20:$K$25,MATCH($C16,Einheiten!$B$20:$B$25,0)),0)</f>
        <v>396.87171561051002</v>
      </c>
      <c r="J16" s="39">
        <f>IFERROR($D16*INDEX(Einheiten!$C$20:$J$25,MATCH($C16,Einheiten!$B$20:$B$25,0),J$6)/INDEX(Einheiten!$K$20:$K$25,MATCH($C16,Einheiten!$B$20:$B$25,0)),0)</f>
        <v>396.87171561051002</v>
      </c>
      <c r="K16" s="39">
        <f>IFERROR($D16*INDEX(Einheiten!$C$20:$J$25,MATCH($C16,Einheiten!$B$20:$B$25,0),K$6)/INDEX(Einheiten!$K$20:$K$25,MATCH($C16,Einheiten!$B$20:$B$25,0)),0)</f>
        <v>466.79443585780524</v>
      </c>
      <c r="L16" s="39">
        <f>IFERROR($D16*INDEX(Einheiten!$C$20:$J$25,MATCH($C16,Einheiten!$B$20:$B$25,0),L$6)/INDEX(Einheiten!$K$20:$K$25,MATCH($C16,Einheiten!$B$20:$B$25,0)),0)</f>
        <v>559.8639876352396</v>
      </c>
    </row>
    <row r="17" spans="2:12" ht="15.75" customHeight="1" x14ac:dyDescent="0.25">
      <c r="B17" s="103" t="str">
        <f>IF(Gesamtabrechnung!C22="","",Gesamtabrechnung!C22)</f>
        <v>Winterdienst</v>
      </c>
      <c r="C17" s="67" t="str">
        <f>IF(Gesamtabrechnung!D22="","",Gesamtabrechnung!D22)</f>
        <v>Wohnfläche (m²)</v>
      </c>
      <c r="D17" s="111">
        <f>Gesamtabrechnung!F22</f>
        <v>980</v>
      </c>
      <c r="E17" s="112">
        <f>IFERROR($D17*INDEX(Einheiten!$C$20:$J$25,MATCH($C17,Einheiten!$B$20:$B$25,0),E$6)/INDEX(Einheiten!$K$20:$K$25,MATCH($C17,Einheiten!$B$20:$B$25,0)),0)</f>
        <v>94.516228748068002</v>
      </c>
      <c r="F17" s="112">
        <f>IFERROR($D17*INDEX(Einheiten!$C$20:$J$25,MATCH($C17,Einheiten!$B$20:$B$25,0),F$6)/INDEX(Einheiten!$K$20:$K$25,MATCH($C17,Einheiten!$B$20:$B$25,0)),0)</f>
        <v>88.003091190108194</v>
      </c>
      <c r="G17" s="112">
        <f>IFERROR($D17*INDEX(Einheiten!$C$20:$J$25,MATCH($C17,Einheiten!$B$20:$B$25,0),G$6)/INDEX(Einheiten!$K$20:$K$25,MATCH($C17,Einheiten!$B$20:$B$25,0)),0)</f>
        <v>112.84389489953632</v>
      </c>
      <c r="H17" s="112">
        <f>IFERROR($D17*INDEX(Einheiten!$C$20:$J$25,MATCH($C17,Einheiten!$B$20:$B$25,0),H$6)/INDEX(Einheiten!$K$20:$K$25,MATCH($C17,Einheiten!$B$20:$B$25,0)),0)</f>
        <v>112.84389489953632</v>
      </c>
      <c r="I17" s="112">
        <f>IFERROR($D17*INDEX(Einheiten!$C$20:$J$25,MATCH($C17,Einheiten!$B$20:$B$25,0),I$6)/INDEX(Einheiten!$K$20:$K$25,MATCH($C17,Einheiten!$B$20:$B$25,0)),0)</f>
        <v>124.65842349304482</v>
      </c>
      <c r="J17" s="112">
        <f>IFERROR($D17*INDEX(Einheiten!$C$20:$J$25,MATCH($C17,Einheiten!$B$20:$B$25,0),J$6)/INDEX(Einheiten!$K$20:$K$25,MATCH($C17,Einheiten!$B$20:$B$25,0)),0)</f>
        <v>124.65842349304482</v>
      </c>
      <c r="K17" s="112">
        <f>IFERROR($D17*INDEX(Einheiten!$C$20:$J$25,MATCH($C17,Einheiten!$B$20:$B$25,0),K$6)/INDEX(Einheiten!$K$20:$K$25,MATCH($C17,Einheiten!$B$20:$B$25,0)),0)</f>
        <v>146.62132921174651</v>
      </c>
      <c r="L17" s="112">
        <f>IFERROR($D17*INDEX(Einheiten!$C$20:$J$25,MATCH($C17,Einheiten!$B$20:$B$25,0),L$6)/INDEX(Einheiten!$K$20:$K$25,MATCH($C17,Einheiten!$B$20:$B$25,0)),0)</f>
        <v>175.85471406491499</v>
      </c>
    </row>
    <row r="18" spans="2:12" ht="15.75" customHeight="1" x14ac:dyDescent="0.25">
      <c r="B18" s="113" t="str">
        <f>IF(Gesamtabrechnung!C23="","",Gesamtabrechnung!C23)</f>
        <v>Gartenpflege und Außenanlagen</v>
      </c>
      <c r="C18" s="15" t="str">
        <f>IF(Gesamtabrechnung!D23="","",Gesamtabrechnung!D23)</f>
        <v>Miteigentumsanteile (MEA)</v>
      </c>
      <c r="D18" s="114">
        <f>Gesamtabrechnung!F23</f>
        <v>2460</v>
      </c>
      <c r="E18" s="39">
        <f>IFERROR($D18*INDEX(Einheiten!$C$20:$J$25,MATCH($C18,Einheiten!$B$20:$B$25,0),E$6)/INDEX(Einheiten!$K$20:$K$25,MATCH($C18,Einheiten!$B$20:$B$25,0)),0)</f>
        <v>236.16</v>
      </c>
      <c r="F18" s="39">
        <f>IFERROR($D18*INDEX(Einheiten!$C$20:$J$25,MATCH($C18,Einheiten!$B$20:$B$25,0),F$6)/INDEX(Einheiten!$K$20:$K$25,MATCH($C18,Einheiten!$B$20:$B$25,0)),0)</f>
        <v>221.4</v>
      </c>
      <c r="G18" s="39">
        <f>IFERROR($D18*INDEX(Einheiten!$C$20:$J$25,MATCH($C18,Einheiten!$B$20:$B$25,0),G$6)/INDEX(Einheiten!$K$20:$K$25,MATCH($C18,Einheiten!$B$20:$B$25,0)),0)</f>
        <v>282.89999999999998</v>
      </c>
      <c r="H18" s="39">
        <f>IFERROR($D18*INDEX(Einheiten!$C$20:$J$25,MATCH($C18,Einheiten!$B$20:$B$25,0),H$6)/INDEX(Einheiten!$K$20:$K$25,MATCH($C18,Einheiten!$B$20:$B$25,0)),0)</f>
        <v>282.89999999999998</v>
      </c>
      <c r="I18" s="39">
        <f>IFERROR($D18*INDEX(Einheiten!$C$20:$J$25,MATCH($C18,Einheiten!$B$20:$B$25,0),I$6)/INDEX(Einheiten!$K$20:$K$25,MATCH($C18,Einheiten!$B$20:$B$25,0)),0)</f>
        <v>312.42</v>
      </c>
      <c r="J18" s="39">
        <f>IFERROR($D18*INDEX(Einheiten!$C$20:$J$25,MATCH($C18,Einheiten!$B$20:$B$25,0),J$6)/INDEX(Einheiten!$K$20:$K$25,MATCH($C18,Einheiten!$B$20:$B$25,0)),0)</f>
        <v>312.42</v>
      </c>
      <c r="K18" s="39">
        <f>IFERROR($D18*INDEX(Einheiten!$C$20:$J$25,MATCH($C18,Einheiten!$B$20:$B$25,0),K$6)/INDEX(Einheiten!$K$20:$K$25,MATCH($C18,Einheiten!$B$20:$B$25,0)),0)</f>
        <v>369</v>
      </c>
      <c r="L18" s="39">
        <f>IFERROR($D18*INDEX(Einheiten!$C$20:$J$25,MATCH($C18,Einheiten!$B$20:$B$25,0),L$6)/INDEX(Einheiten!$K$20:$K$25,MATCH($C18,Einheiten!$B$20:$B$25,0)),0)</f>
        <v>442.8</v>
      </c>
    </row>
    <row r="19" spans="2:12" ht="15.75" customHeight="1" x14ac:dyDescent="0.25">
      <c r="B19" s="103" t="str">
        <f>IF(Gesamtabrechnung!C24="","",Gesamtabrechnung!C24)</f>
        <v>Hausmeisterservice</v>
      </c>
      <c r="C19" s="67" t="str">
        <f>IF(Gesamtabrechnung!D24="","",Gesamtabrechnung!D24)</f>
        <v>Miteigentumsanteile (MEA)</v>
      </c>
      <c r="D19" s="111">
        <f>Gesamtabrechnung!F24</f>
        <v>4680</v>
      </c>
      <c r="E19" s="112">
        <f>IFERROR($D19*INDEX(Einheiten!$C$20:$J$25,MATCH($C19,Einheiten!$B$20:$B$25,0),E$6)/INDEX(Einheiten!$K$20:$K$25,MATCH($C19,Einheiten!$B$20:$B$25,0)),0)</f>
        <v>449.28</v>
      </c>
      <c r="F19" s="112">
        <f>IFERROR($D19*INDEX(Einheiten!$C$20:$J$25,MATCH($C19,Einheiten!$B$20:$B$25,0),F$6)/INDEX(Einheiten!$K$20:$K$25,MATCH($C19,Einheiten!$B$20:$B$25,0)),0)</f>
        <v>421.2</v>
      </c>
      <c r="G19" s="112">
        <f>IFERROR($D19*INDEX(Einheiten!$C$20:$J$25,MATCH($C19,Einheiten!$B$20:$B$25,0),G$6)/INDEX(Einheiten!$K$20:$K$25,MATCH($C19,Einheiten!$B$20:$B$25,0)),0)</f>
        <v>538.20000000000005</v>
      </c>
      <c r="H19" s="112">
        <f>IFERROR($D19*INDEX(Einheiten!$C$20:$J$25,MATCH($C19,Einheiten!$B$20:$B$25,0),H$6)/INDEX(Einheiten!$K$20:$K$25,MATCH($C19,Einheiten!$B$20:$B$25,0)),0)</f>
        <v>538.20000000000005</v>
      </c>
      <c r="I19" s="112">
        <f>IFERROR($D19*INDEX(Einheiten!$C$20:$J$25,MATCH($C19,Einheiten!$B$20:$B$25,0),I$6)/INDEX(Einheiten!$K$20:$K$25,MATCH($C19,Einheiten!$B$20:$B$25,0)),0)</f>
        <v>594.36</v>
      </c>
      <c r="J19" s="112">
        <f>IFERROR($D19*INDEX(Einheiten!$C$20:$J$25,MATCH($C19,Einheiten!$B$20:$B$25,0),J$6)/INDEX(Einheiten!$K$20:$K$25,MATCH($C19,Einheiten!$B$20:$B$25,0)),0)</f>
        <v>594.36</v>
      </c>
      <c r="K19" s="112">
        <f>IFERROR($D19*INDEX(Einheiten!$C$20:$J$25,MATCH($C19,Einheiten!$B$20:$B$25,0),K$6)/INDEX(Einheiten!$K$20:$K$25,MATCH($C19,Einheiten!$B$20:$B$25,0)),0)</f>
        <v>702</v>
      </c>
      <c r="L19" s="112">
        <f>IFERROR($D19*INDEX(Einheiten!$C$20:$J$25,MATCH($C19,Einheiten!$B$20:$B$25,0),L$6)/INDEX(Einheiten!$K$20:$K$25,MATCH($C19,Einheiten!$B$20:$B$25,0)),0)</f>
        <v>842.4</v>
      </c>
    </row>
    <row r="20" spans="2:12" ht="15.75" customHeight="1" x14ac:dyDescent="0.25">
      <c r="B20" s="113" t="str">
        <f>IF(Gesamtabrechnung!C25="","",Gesamtabrechnung!C25)</f>
        <v>Aufzugswartung und Notrufaufschaltung</v>
      </c>
      <c r="C20" s="15" t="str">
        <f>IF(Gesamtabrechnung!D25="","",Gesamtabrechnung!D25)</f>
        <v>Anzahl Einheiten</v>
      </c>
      <c r="D20" s="114">
        <f>Gesamtabrechnung!F25</f>
        <v>2180</v>
      </c>
      <c r="E20" s="39">
        <f>IFERROR($D20*INDEX(Einheiten!$C$20:$J$25,MATCH($C20,Einheiten!$B$20:$B$25,0),E$6)/INDEX(Einheiten!$K$20:$K$25,MATCH($C20,Einheiten!$B$20:$B$25,0)),0)</f>
        <v>272.5</v>
      </c>
      <c r="F20" s="39">
        <f>IFERROR($D20*INDEX(Einheiten!$C$20:$J$25,MATCH($C20,Einheiten!$B$20:$B$25,0),F$6)/INDEX(Einheiten!$K$20:$K$25,MATCH($C20,Einheiten!$B$20:$B$25,0)),0)</f>
        <v>272.5</v>
      </c>
      <c r="G20" s="39">
        <f>IFERROR($D20*INDEX(Einheiten!$C$20:$J$25,MATCH($C20,Einheiten!$B$20:$B$25,0),G$6)/INDEX(Einheiten!$K$20:$K$25,MATCH($C20,Einheiten!$B$20:$B$25,0)),0)</f>
        <v>272.5</v>
      </c>
      <c r="H20" s="39">
        <f>IFERROR($D20*INDEX(Einheiten!$C$20:$J$25,MATCH($C20,Einheiten!$B$20:$B$25,0),H$6)/INDEX(Einheiten!$K$20:$K$25,MATCH($C20,Einheiten!$B$20:$B$25,0)),0)</f>
        <v>272.5</v>
      </c>
      <c r="I20" s="39">
        <f>IFERROR($D20*INDEX(Einheiten!$C$20:$J$25,MATCH($C20,Einheiten!$B$20:$B$25,0),I$6)/INDEX(Einheiten!$K$20:$K$25,MATCH($C20,Einheiten!$B$20:$B$25,0)),0)</f>
        <v>272.5</v>
      </c>
      <c r="J20" s="39">
        <f>IFERROR($D20*INDEX(Einheiten!$C$20:$J$25,MATCH($C20,Einheiten!$B$20:$B$25,0),J$6)/INDEX(Einheiten!$K$20:$K$25,MATCH($C20,Einheiten!$B$20:$B$25,0)),0)</f>
        <v>272.5</v>
      </c>
      <c r="K20" s="39">
        <f>IFERROR($D20*INDEX(Einheiten!$C$20:$J$25,MATCH($C20,Einheiten!$B$20:$B$25,0),K$6)/INDEX(Einheiten!$K$20:$K$25,MATCH($C20,Einheiten!$B$20:$B$25,0)),0)</f>
        <v>272.5</v>
      </c>
      <c r="L20" s="39">
        <f>IFERROR($D20*INDEX(Einheiten!$C$20:$J$25,MATCH($C20,Einheiten!$B$20:$B$25,0),L$6)/INDEX(Einheiten!$K$20:$K$25,MATCH($C20,Einheiten!$B$20:$B$25,0)),0)</f>
        <v>272.5</v>
      </c>
    </row>
    <row r="21" spans="2:12" ht="15.75" customHeight="1" x14ac:dyDescent="0.25">
      <c r="B21" s="103" t="str">
        <f>IF(Gesamtabrechnung!C26="","",Gesamtabrechnung!C26)</f>
        <v>Schornsteinfeger / Immissionsmessung</v>
      </c>
      <c r="C21" s="67" t="str">
        <f>IF(Gesamtabrechnung!D26="","",Gesamtabrechnung!D26)</f>
        <v>Miteigentumsanteile (MEA)</v>
      </c>
      <c r="D21" s="111">
        <f>Gesamtabrechnung!F26</f>
        <v>260</v>
      </c>
      <c r="E21" s="112">
        <f>IFERROR($D21*INDEX(Einheiten!$C$20:$J$25,MATCH($C21,Einheiten!$B$20:$B$25,0),E$6)/INDEX(Einheiten!$K$20:$K$25,MATCH($C21,Einheiten!$B$20:$B$25,0)),0)</f>
        <v>24.96</v>
      </c>
      <c r="F21" s="112">
        <f>IFERROR($D21*INDEX(Einheiten!$C$20:$J$25,MATCH($C21,Einheiten!$B$20:$B$25,0),F$6)/INDEX(Einheiten!$K$20:$K$25,MATCH($C21,Einheiten!$B$20:$B$25,0)),0)</f>
        <v>23.4</v>
      </c>
      <c r="G21" s="112">
        <f>IFERROR($D21*INDEX(Einheiten!$C$20:$J$25,MATCH($C21,Einheiten!$B$20:$B$25,0),G$6)/INDEX(Einheiten!$K$20:$K$25,MATCH($C21,Einheiten!$B$20:$B$25,0)),0)</f>
        <v>29.9</v>
      </c>
      <c r="H21" s="112">
        <f>IFERROR($D21*INDEX(Einheiten!$C$20:$J$25,MATCH($C21,Einheiten!$B$20:$B$25,0),H$6)/INDEX(Einheiten!$K$20:$K$25,MATCH($C21,Einheiten!$B$20:$B$25,0)),0)</f>
        <v>29.9</v>
      </c>
      <c r="I21" s="112">
        <f>IFERROR($D21*INDEX(Einheiten!$C$20:$J$25,MATCH($C21,Einheiten!$B$20:$B$25,0),I$6)/INDEX(Einheiten!$K$20:$K$25,MATCH($C21,Einheiten!$B$20:$B$25,0)),0)</f>
        <v>33.020000000000003</v>
      </c>
      <c r="J21" s="112">
        <f>IFERROR($D21*INDEX(Einheiten!$C$20:$J$25,MATCH($C21,Einheiten!$B$20:$B$25,0),J$6)/INDEX(Einheiten!$K$20:$K$25,MATCH($C21,Einheiten!$B$20:$B$25,0)),0)</f>
        <v>33.020000000000003</v>
      </c>
      <c r="K21" s="112">
        <f>IFERROR($D21*INDEX(Einheiten!$C$20:$J$25,MATCH($C21,Einheiten!$B$20:$B$25,0),K$6)/INDEX(Einheiten!$K$20:$K$25,MATCH($C21,Einheiten!$B$20:$B$25,0)),0)</f>
        <v>39</v>
      </c>
      <c r="L21" s="112">
        <f>IFERROR($D21*INDEX(Einheiten!$C$20:$J$25,MATCH($C21,Einheiten!$B$20:$B$25,0),L$6)/INDEX(Einheiten!$K$20:$K$25,MATCH($C21,Einheiten!$B$20:$B$25,0)),0)</f>
        <v>46.8</v>
      </c>
    </row>
    <row r="22" spans="2:12" ht="15.75" customHeight="1" x14ac:dyDescent="0.25">
      <c r="B22" s="113" t="str">
        <f>IF(Gesamtabrechnung!C27="","",Gesamtabrechnung!C27)</f>
        <v>Wartung Rauchwarnmelder</v>
      </c>
      <c r="C22" s="15" t="str">
        <f>IF(Gesamtabrechnung!D27="","",Gesamtabrechnung!D27)</f>
        <v>Anzahl Einheiten</v>
      </c>
      <c r="D22" s="114">
        <f>Gesamtabrechnung!F27</f>
        <v>480</v>
      </c>
      <c r="E22" s="39">
        <f>IFERROR($D22*INDEX(Einheiten!$C$20:$J$25,MATCH($C22,Einheiten!$B$20:$B$25,0),E$6)/INDEX(Einheiten!$K$20:$K$25,MATCH($C22,Einheiten!$B$20:$B$25,0)),0)</f>
        <v>60</v>
      </c>
      <c r="F22" s="39">
        <f>IFERROR($D22*INDEX(Einheiten!$C$20:$J$25,MATCH($C22,Einheiten!$B$20:$B$25,0),F$6)/INDEX(Einheiten!$K$20:$K$25,MATCH($C22,Einheiten!$B$20:$B$25,0)),0)</f>
        <v>60</v>
      </c>
      <c r="G22" s="39">
        <f>IFERROR($D22*INDEX(Einheiten!$C$20:$J$25,MATCH($C22,Einheiten!$B$20:$B$25,0),G$6)/INDEX(Einheiten!$K$20:$K$25,MATCH($C22,Einheiten!$B$20:$B$25,0)),0)</f>
        <v>60</v>
      </c>
      <c r="H22" s="39">
        <f>IFERROR($D22*INDEX(Einheiten!$C$20:$J$25,MATCH($C22,Einheiten!$B$20:$B$25,0),H$6)/INDEX(Einheiten!$K$20:$K$25,MATCH($C22,Einheiten!$B$20:$B$25,0)),0)</f>
        <v>60</v>
      </c>
      <c r="I22" s="39">
        <f>IFERROR($D22*INDEX(Einheiten!$C$20:$J$25,MATCH($C22,Einheiten!$B$20:$B$25,0),I$6)/INDEX(Einheiten!$K$20:$K$25,MATCH($C22,Einheiten!$B$20:$B$25,0)),0)</f>
        <v>60</v>
      </c>
      <c r="J22" s="39">
        <f>IFERROR($D22*INDEX(Einheiten!$C$20:$J$25,MATCH($C22,Einheiten!$B$20:$B$25,0),J$6)/INDEX(Einheiten!$K$20:$K$25,MATCH($C22,Einheiten!$B$20:$B$25,0)),0)</f>
        <v>60</v>
      </c>
      <c r="K22" s="39">
        <f>IFERROR($D22*INDEX(Einheiten!$C$20:$J$25,MATCH($C22,Einheiten!$B$20:$B$25,0),K$6)/INDEX(Einheiten!$K$20:$K$25,MATCH($C22,Einheiten!$B$20:$B$25,0)),0)</f>
        <v>60</v>
      </c>
      <c r="L22" s="39">
        <f>IFERROR($D22*INDEX(Einheiten!$C$20:$J$25,MATCH($C22,Einheiten!$B$20:$B$25,0),L$6)/INDEX(Einheiten!$K$20:$K$25,MATCH($C22,Einheiten!$B$20:$B$25,0)),0)</f>
        <v>60</v>
      </c>
    </row>
    <row r="23" spans="2:12" ht="15.75" customHeight="1" x14ac:dyDescent="0.25">
      <c r="B23" s="103" t="str">
        <f>IF(Gesamtabrechnung!C28="","",Gesamtabrechnung!C28)</f>
        <v>Verwaltervergütung</v>
      </c>
      <c r="C23" s="67" t="str">
        <f>IF(Gesamtabrechnung!D28="","",Gesamtabrechnung!D28)</f>
        <v>Anzahl Einheiten</v>
      </c>
      <c r="D23" s="111">
        <f>Gesamtabrechnung!F28</f>
        <v>5760</v>
      </c>
      <c r="E23" s="112">
        <f>IFERROR($D23*INDEX(Einheiten!$C$20:$J$25,MATCH($C23,Einheiten!$B$20:$B$25,0),E$6)/INDEX(Einheiten!$K$20:$K$25,MATCH($C23,Einheiten!$B$20:$B$25,0)),0)</f>
        <v>720</v>
      </c>
      <c r="F23" s="112">
        <f>IFERROR($D23*INDEX(Einheiten!$C$20:$J$25,MATCH($C23,Einheiten!$B$20:$B$25,0),F$6)/INDEX(Einheiten!$K$20:$K$25,MATCH($C23,Einheiten!$B$20:$B$25,0)),0)</f>
        <v>720</v>
      </c>
      <c r="G23" s="112">
        <f>IFERROR($D23*INDEX(Einheiten!$C$20:$J$25,MATCH($C23,Einheiten!$B$20:$B$25,0),G$6)/INDEX(Einheiten!$K$20:$K$25,MATCH($C23,Einheiten!$B$20:$B$25,0)),0)</f>
        <v>720</v>
      </c>
      <c r="H23" s="112">
        <f>IFERROR($D23*INDEX(Einheiten!$C$20:$J$25,MATCH($C23,Einheiten!$B$20:$B$25,0),H$6)/INDEX(Einheiten!$K$20:$K$25,MATCH($C23,Einheiten!$B$20:$B$25,0)),0)</f>
        <v>720</v>
      </c>
      <c r="I23" s="112">
        <f>IFERROR($D23*INDEX(Einheiten!$C$20:$J$25,MATCH($C23,Einheiten!$B$20:$B$25,0),I$6)/INDEX(Einheiten!$K$20:$K$25,MATCH($C23,Einheiten!$B$20:$B$25,0)),0)</f>
        <v>720</v>
      </c>
      <c r="J23" s="112">
        <f>IFERROR($D23*INDEX(Einheiten!$C$20:$J$25,MATCH($C23,Einheiten!$B$20:$B$25,0),J$6)/INDEX(Einheiten!$K$20:$K$25,MATCH($C23,Einheiten!$B$20:$B$25,0)),0)</f>
        <v>720</v>
      </c>
      <c r="K23" s="112">
        <f>IFERROR($D23*INDEX(Einheiten!$C$20:$J$25,MATCH($C23,Einheiten!$B$20:$B$25,0),K$6)/INDEX(Einheiten!$K$20:$K$25,MATCH($C23,Einheiten!$B$20:$B$25,0)),0)</f>
        <v>720</v>
      </c>
      <c r="L23" s="112">
        <f>IFERROR($D23*INDEX(Einheiten!$C$20:$J$25,MATCH($C23,Einheiten!$B$20:$B$25,0),L$6)/INDEX(Einheiten!$K$20:$K$25,MATCH($C23,Einheiten!$B$20:$B$25,0)),0)</f>
        <v>720</v>
      </c>
    </row>
    <row r="24" spans="2:12" ht="15.75" customHeight="1" x14ac:dyDescent="0.25">
      <c r="B24" s="113" t="str">
        <f>IF(Gesamtabrechnung!C29="","",Gesamtabrechnung!C29)</f>
        <v>Laufende Instandhaltung / Kleinreparaturen</v>
      </c>
      <c r="C24" s="15" t="str">
        <f>IF(Gesamtabrechnung!D29="","",Gesamtabrechnung!D29)</f>
        <v>Miteigentumsanteile (MEA)</v>
      </c>
      <c r="D24" s="114">
        <f>Gesamtabrechnung!F29</f>
        <v>3240</v>
      </c>
      <c r="E24" s="39">
        <f>IFERROR($D24*INDEX(Einheiten!$C$20:$J$25,MATCH($C24,Einheiten!$B$20:$B$25,0),E$6)/INDEX(Einheiten!$K$20:$K$25,MATCH($C24,Einheiten!$B$20:$B$25,0)),0)</f>
        <v>311.04000000000002</v>
      </c>
      <c r="F24" s="39">
        <f>IFERROR($D24*INDEX(Einheiten!$C$20:$J$25,MATCH($C24,Einheiten!$B$20:$B$25,0),F$6)/INDEX(Einheiten!$K$20:$K$25,MATCH($C24,Einheiten!$B$20:$B$25,0)),0)</f>
        <v>291.60000000000002</v>
      </c>
      <c r="G24" s="39">
        <f>IFERROR($D24*INDEX(Einheiten!$C$20:$J$25,MATCH($C24,Einheiten!$B$20:$B$25,0),G$6)/INDEX(Einheiten!$K$20:$K$25,MATCH($C24,Einheiten!$B$20:$B$25,0)),0)</f>
        <v>372.6</v>
      </c>
      <c r="H24" s="39">
        <f>IFERROR($D24*INDEX(Einheiten!$C$20:$J$25,MATCH($C24,Einheiten!$B$20:$B$25,0),H$6)/INDEX(Einheiten!$K$20:$K$25,MATCH($C24,Einheiten!$B$20:$B$25,0)),0)</f>
        <v>372.6</v>
      </c>
      <c r="I24" s="39">
        <f>IFERROR($D24*INDEX(Einheiten!$C$20:$J$25,MATCH($C24,Einheiten!$B$20:$B$25,0),I$6)/INDEX(Einheiten!$K$20:$K$25,MATCH($C24,Einheiten!$B$20:$B$25,0)),0)</f>
        <v>411.48</v>
      </c>
      <c r="J24" s="39">
        <f>IFERROR($D24*INDEX(Einheiten!$C$20:$J$25,MATCH($C24,Einheiten!$B$20:$B$25,0),J$6)/INDEX(Einheiten!$K$20:$K$25,MATCH($C24,Einheiten!$B$20:$B$25,0)),0)</f>
        <v>411.48</v>
      </c>
      <c r="K24" s="39">
        <f>IFERROR($D24*INDEX(Einheiten!$C$20:$J$25,MATCH($C24,Einheiten!$B$20:$B$25,0),K$6)/INDEX(Einheiten!$K$20:$K$25,MATCH($C24,Einheiten!$B$20:$B$25,0)),0)</f>
        <v>486</v>
      </c>
      <c r="L24" s="39">
        <f>IFERROR($D24*INDEX(Einheiten!$C$20:$J$25,MATCH($C24,Einheiten!$B$20:$B$25,0),L$6)/INDEX(Einheiten!$K$20:$K$25,MATCH($C24,Einheiten!$B$20:$B$25,0)),0)</f>
        <v>583.20000000000005</v>
      </c>
    </row>
    <row r="25" spans="2:12" ht="15.75" customHeight="1" x14ac:dyDescent="0.25">
      <c r="B25" s="103" t="str">
        <f>IF(Gesamtabrechnung!C30="","",Gesamtabrechnung!C30)</f>
        <v>Kontoführung und Bankgebühren</v>
      </c>
      <c r="C25" s="67" t="str">
        <f>IF(Gesamtabrechnung!D30="","",Gesamtabrechnung!D30)</f>
        <v>Anzahl Einheiten</v>
      </c>
      <c r="D25" s="111">
        <f>Gesamtabrechnung!F30</f>
        <v>180</v>
      </c>
      <c r="E25" s="112">
        <f>IFERROR($D25*INDEX(Einheiten!$C$20:$J$25,MATCH($C25,Einheiten!$B$20:$B$25,0),E$6)/INDEX(Einheiten!$K$20:$K$25,MATCH($C25,Einheiten!$B$20:$B$25,0)),0)</f>
        <v>22.5</v>
      </c>
      <c r="F25" s="112">
        <f>IFERROR($D25*INDEX(Einheiten!$C$20:$J$25,MATCH($C25,Einheiten!$B$20:$B$25,0),F$6)/INDEX(Einheiten!$K$20:$K$25,MATCH($C25,Einheiten!$B$20:$B$25,0)),0)</f>
        <v>22.5</v>
      </c>
      <c r="G25" s="112">
        <f>IFERROR($D25*INDEX(Einheiten!$C$20:$J$25,MATCH($C25,Einheiten!$B$20:$B$25,0),G$6)/INDEX(Einheiten!$K$20:$K$25,MATCH($C25,Einheiten!$B$20:$B$25,0)),0)</f>
        <v>22.5</v>
      </c>
      <c r="H25" s="112">
        <f>IFERROR($D25*INDEX(Einheiten!$C$20:$J$25,MATCH($C25,Einheiten!$B$20:$B$25,0),H$6)/INDEX(Einheiten!$K$20:$K$25,MATCH($C25,Einheiten!$B$20:$B$25,0)),0)</f>
        <v>22.5</v>
      </c>
      <c r="I25" s="112">
        <f>IFERROR($D25*INDEX(Einheiten!$C$20:$J$25,MATCH($C25,Einheiten!$B$20:$B$25,0),I$6)/INDEX(Einheiten!$K$20:$K$25,MATCH($C25,Einheiten!$B$20:$B$25,0)),0)</f>
        <v>22.5</v>
      </c>
      <c r="J25" s="112">
        <f>IFERROR($D25*INDEX(Einheiten!$C$20:$J$25,MATCH($C25,Einheiten!$B$20:$B$25,0),J$6)/INDEX(Einheiten!$K$20:$K$25,MATCH($C25,Einheiten!$B$20:$B$25,0)),0)</f>
        <v>22.5</v>
      </c>
      <c r="K25" s="112">
        <f>IFERROR($D25*INDEX(Einheiten!$C$20:$J$25,MATCH($C25,Einheiten!$B$20:$B$25,0),K$6)/INDEX(Einheiten!$K$20:$K$25,MATCH($C25,Einheiten!$B$20:$B$25,0)),0)</f>
        <v>22.5</v>
      </c>
      <c r="L25" s="112">
        <f>IFERROR($D25*INDEX(Einheiten!$C$20:$J$25,MATCH($C25,Einheiten!$B$20:$B$25,0),L$6)/INDEX(Einheiten!$K$20:$K$25,MATCH($C25,Einheiten!$B$20:$B$25,0)),0)</f>
        <v>22.5</v>
      </c>
    </row>
    <row r="26" spans="2:12" ht="15.75" customHeight="1" x14ac:dyDescent="0.25">
      <c r="B26" s="113" t="str">
        <f>IF(Gesamtabrechnung!C31="","",Gesamtabrechnung!C31)</f>
        <v>Rechts- und Beratungskosten</v>
      </c>
      <c r="C26" s="15" t="str">
        <f>IF(Gesamtabrechnung!D31="","",Gesamtabrechnung!D31)</f>
        <v>Miteigentumsanteile (MEA)</v>
      </c>
      <c r="D26" s="114">
        <f>Gesamtabrechnung!F31</f>
        <v>620</v>
      </c>
      <c r="E26" s="39">
        <f>IFERROR($D26*INDEX(Einheiten!$C$20:$J$25,MATCH($C26,Einheiten!$B$20:$B$25,0),E$6)/INDEX(Einheiten!$K$20:$K$25,MATCH($C26,Einheiten!$B$20:$B$25,0)),0)</f>
        <v>59.52</v>
      </c>
      <c r="F26" s="39">
        <f>IFERROR($D26*INDEX(Einheiten!$C$20:$J$25,MATCH($C26,Einheiten!$B$20:$B$25,0),F$6)/INDEX(Einheiten!$K$20:$K$25,MATCH($C26,Einheiten!$B$20:$B$25,0)),0)</f>
        <v>55.8</v>
      </c>
      <c r="G26" s="39">
        <f>IFERROR($D26*INDEX(Einheiten!$C$20:$J$25,MATCH($C26,Einheiten!$B$20:$B$25,0),G$6)/INDEX(Einheiten!$K$20:$K$25,MATCH($C26,Einheiten!$B$20:$B$25,0)),0)</f>
        <v>71.3</v>
      </c>
      <c r="H26" s="39">
        <f>IFERROR($D26*INDEX(Einheiten!$C$20:$J$25,MATCH($C26,Einheiten!$B$20:$B$25,0),H$6)/INDEX(Einheiten!$K$20:$K$25,MATCH($C26,Einheiten!$B$20:$B$25,0)),0)</f>
        <v>71.3</v>
      </c>
      <c r="I26" s="39">
        <f>IFERROR($D26*INDEX(Einheiten!$C$20:$J$25,MATCH($C26,Einheiten!$B$20:$B$25,0),I$6)/INDEX(Einheiten!$K$20:$K$25,MATCH($C26,Einheiten!$B$20:$B$25,0)),0)</f>
        <v>78.739999999999995</v>
      </c>
      <c r="J26" s="39">
        <f>IFERROR($D26*INDEX(Einheiten!$C$20:$J$25,MATCH($C26,Einheiten!$B$20:$B$25,0),J$6)/INDEX(Einheiten!$K$20:$K$25,MATCH($C26,Einheiten!$B$20:$B$25,0)),0)</f>
        <v>78.739999999999995</v>
      </c>
      <c r="K26" s="39">
        <f>IFERROR($D26*INDEX(Einheiten!$C$20:$J$25,MATCH($C26,Einheiten!$B$20:$B$25,0),K$6)/INDEX(Einheiten!$K$20:$K$25,MATCH($C26,Einheiten!$B$20:$B$25,0)),0)</f>
        <v>93</v>
      </c>
      <c r="L26" s="39">
        <f>IFERROR($D26*INDEX(Einheiten!$C$20:$J$25,MATCH($C26,Einheiten!$B$20:$B$25,0),L$6)/INDEX(Einheiten!$K$20:$K$25,MATCH($C26,Einheiten!$B$20:$B$25,0)),0)</f>
        <v>111.6</v>
      </c>
    </row>
    <row r="27" spans="2:12" ht="15.75" customHeight="1" x14ac:dyDescent="0.25">
      <c r="B27" s="103" t="str">
        <f>IF(Gesamtabrechnung!C32="","",Gesamtabrechnung!C32)</f>
        <v/>
      </c>
      <c r="C27" s="67" t="str">
        <f>IF(Gesamtabrechnung!D32="","",Gesamtabrechnung!D32)</f>
        <v/>
      </c>
      <c r="D27" s="111">
        <f>Gesamtabrechnung!F32</f>
        <v>0</v>
      </c>
      <c r="E27" s="112">
        <f>IFERROR($D27*INDEX(Einheiten!$C$20:$J$25,MATCH($C27,Einheiten!$B$20:$B$25,0),E$6)/INDEX(Einheiten!$K$20:$K$25,MATCH($C27,Einheiten!$B$20:$B$25,0)),0)</f>
        <v>0</v>
      </c>
      <c r="F27" s="112">
        <f>IFERROR($D27*INDEX(Einheiten!$C$20:$J$25,MATCH($C27,Einheiten!$B$20:$B$25,0),F$6)/INDEX(Einheiten!$K$20:$K$25,MATCH($C27,Einheiten!$B$20:$B$25,0)),0)</f>
        <v>0</v>
      </c>
      <c r="G27" s="112">
        <f>IFERROR($D27*INDEX(Einheiten!$C$20:$J$25,MATCH($C27,Einheiten!$B$20:$B$25,0),G$6)/INDEX(Einheiten!$K$20:$K$25,MATCH($C27,Einheiten!$B$20:$B$25,0)),0)</f>
        <v>0</v>
      </c>
      <c r="H27" s="112">
        <f>IFERROR($D27*INDEX(Einheiten!$C$20:$J$25,MATCH($C27,Einheiten!$B$20:$B$25,0),H$6)/INDEX(Einheiten!$K$20:$K$25,MATCH($C27,Einheiten!$B$20:$B$25,0)),0)</f>
        <v>0</v>
      </c>
      <c r="I27" s="112">
        <f>IFERROR($D27*INDEX(Einheiten!$C$20:$J$25,MATCH($C27,Einheiten!$B$20:$B$25,0),I$6)/INDEX(Einheiten!$K$20:$K$25,MATCH($C27,Einheiten!$B$20:$B$25,0)),0)</f>
        <v>0</v>
      </c>
      <c r="J27" s="112">
        <f>IFERROR($D27*INDEX(Einheiten!$C$20:$J$25,MATCH($C27,Einheiten!$B$20:$B$25,0),J$6)/INDEX(Einheiten!$K$20:$K$25,MATCH($C27,Einheiten!$B$20:$B$25,0)),0)</f>
        <v>0</v>
      </c>
      <c r="K27" s="112">
        <f>IFERROR($D27*INDEX(Einheiten!$C$20:$J$25,MATCH($C27,Einheiten!$B$20:$B$25,0),K$6)/INDEX(Einheiten!$K$20:$K$25,MATCH($C27,Einheiten!$B$20:$B$25,0)),0)</f>
        <v>0</v>
      </c>
      <c r="L27" s="112">
        <f>IFERROR($D27*INDEX(Einheiten!$C$20:$J$25,MATCH($C27,Einheiten!$B$20:$B$25,0),L$6)/INDEX(Einheiten!$K$20:$K$25,MATCH($C27,Einheiten!$B$20:$B$25,0)),0)</f>
        <v>0</v>
      </c>
    </row>
    <row r="28" spans="2:12" ht="15.75" customHeight="1" x14ac:dyDescent="0.25">
      <c r="B28" s="113" t="str">
        <f>IF(Gesamtabrechnung!C33="","",Gesamtabrechnung!C33)</f>
        <v/>
      </c>
      <c r="C28" s="15" t="str">
        <f>IF(Gesamtabrechnung!D33="","",Gesamtabrechnung!D33)</f>
        <v/>
      </c>
      <c r="D28" s="114">
        <f>Gesamtabrechnung!F33</f>
        <v>0</v>
      </c>
      <c r="E28" s="39">
        <f>IFERROR($D28*INDEX(Einheiten!$C$20:$J$25,MATCH($C28,Einheiten!$B$20:$B$25,0),E$6)/INDEX(Einheiten!$K$20:$K$25,MATCH($C28,Einheiten!$B$20:$B$25,0)),0)</f>
        <v>0</v>
      </c>
      <c r="F28" s="39">
        <f>IFERROR($D28*INDEX(Einheiten!$C$20:$J$25,MATCH($C28,Einheiten!$B$20:$B$25,0),F$6)/INDEX(Einheiten!$K$20:$K$25,MATCH($C28,Einheiten!$B$20:$B$25,0)),0)</f>
        <v>0</v>
      </c>
      <c r="G28" s="39">
        <f>IFERROR($D28*INDEX(Einheiten!$C$20:$J$25,MATCH($C28,Einheiten!$B$20:$B$25,0),G$6)/INDEX(Einheiten!$K$20:$K$25,MATCH($C28,Einheiten!$B$20:$B$25,0)),0)</f>
        <v>0</v>
      </c>
      <c r="H28" s="39">
        <f>IFERROR($D28*INDEX(Einheiten!$C$20:$J$25,MATCH($C28,Einheiten!$B$20:$B$25,0),H$6)/INDEX(Einheiten!$K$20:$K$25,MATCH($C28,Einheiten!$B$20:$B$25,0)),0)</f>
        <v>0</v>
      </c>
      <c r="I28" s="39">
        <f>IFERROR($D28*INDEX(Einheiten!$C$20:$J$25,MATCH($C28,Einheiten!$B$20:$B$25,0),I$6)/INDEX(Einheiten!$K$20:$K$25,MATCH($C28,Einheiten!$B$20:$B$25,0)),0)</f>
        <v>0</v>
      </c>
      <c r="J28" s="39">
        <f>IFERROR($D28*INDEX(Einheiten!$C$20:$J$25,MATCH($C28,Einheiten!$B$20:$B$25,0),J$6)/INDEX(Einheiten!$K$20:$K$25,MATCH($C28,Einheiten!$B$20:$B$25,0)),0)</f>
        <v>0</v>
      </c>
      <c r="K28" s="39">
        <f>IFERROR($D28*INDEX(Einheiten!$C$20:$J$25,MATCH($C28,Einheiten!$B$20:$B$25,0),K$6)/INDEX(Einheiten!$K$20:$K$25,MATCH($C28,Einheiten!$B$20:$B$25,0)),0)</f>
        <v>0</v>
      </c>
      <c r="L28" s="39">
        <f>IFERROR($D28*INDEX(Einheiten!$C$20:$J$25,MATCH($C28,Einheiten!$B$20:$B$25,0),L$6)/INDEX(Einheiten!$K$20:$K$25,MATCH($C28,Einheiten!$B$20:$B$25,0)),0)</f>
        <v>0</v>
      </c>
    </row>
    <row r="29" spans="2:12" ht="15.75" customHeight="1" x14ac:dyDescent="0.25">
      <c r="B29" s="103" t="str">
        <f>IF(Gesamtabrechnung!C34="","",Gesamtabrechnung!C34)</f>
        <v/>
      </c>
      <c r="C29" s="67" t="str">
        <f>IF(Gesamtabrechnung!D34="","",Gesamtabrechnung!D34)</f>
        <v/>
      </c>
      <c r="D29" s="111">
        <f>Gesamtabrechnung!F34</f>
        <v>0</v>
      </c>
      <c r="E29" s="112">
        <f>IFERROR($D29*INDEX(Einheiten!$C$20:$J$25,MATCH($C29,Einheiten!$B$20:$B$25,0),E$6)/INDEX(Einheiten!$K$20:$K$25,MATCH($C29,Einheiten!$B$20:$B$25,0)),0)</f>
        <v>0</v>
      </c>
      <c r="F29" s="112">
        <f>IFERROR($D29*INDEX(Einheiten!$C$20:$J$25,MATCH($C29,Einheiten!$B$20:$B$25,0),F$6)/INDEX(Einheiten!$K$20:$K$25,MATCH($C29,Einheiten!$B$20:$B$25,0)),0)</f>
        <v>0</v>
      </c>
      <c r="G29" s="112">
        <f>IFERROR($D29*INDEX(Einheiten!$C$20:$J$25,MATCH($C29,Einheiten!$B$20:$B$25,0),G$6)/INDEX(Einheiten!$K$20:$K$25,MATCH($C29,Einheiten!$B$20:$B$25,0)),0)</f>
        <v>0</v>
      </c>
      <c r="H29" s="112">
        <f>IFERROR($D29*INDEX(Einheiten!$C$20:$J$25,MATCH($C29,Einheiten!$B$20:$B$25,0),H$6)/INDEX(Einheiten!$K$20:$K$25,MATCH($C29,Einheiten!$B$20:$B$25,0)),0)</f>
        <v>0</v>
      </c>
      <c r="I29" s="112">
        <f>IFERROR($D29*INDEX(Einheiten!$C$20:$J$25,MATCH($C29,Einheiten!$B$20:$B$25,0),I$6)/INDEX(Einheiten!$K$20:$K$25,MATCH($C29,Einheiten!$B$20:$B$25,0)),0)</f>
        <v>0</v>
      </c>
      <c r="J29" s="112">
        <f>IFERROR($D29*INDEX(Einheiten!$C$20:$J$25,MATCH($C29,Einheiten!$B$20:$B$25,0),J$6)/INDEX(Einheiten!$K$20:$K$25,MATCH($C29,Einheiten!$B$20:$B$25,0)),0)</f>
        <v>0</v>
      </c>
      <c r="K29" s="112">
        <f>IFERROR($D29*INDEX(Einheiten!$C$20:$J$25,MATCH($C29,Einheiten!$B$20:$B$25,0),K$6)/INDEX(Einheiten!$K$20:$K$25,MATCH($C29,Einheiten!$B$20:$B$25,0)),0)</f>
        <v>0</v>
      </c>
      <c r="L29" s="112">
        <f>IFERROR($D29*INDEX(Einheiten!$C$20:$J$25,MATCH($C29,Einheiten!$B$20:$B$25,0),L$6)/INDEX(Einheiten!$K$20:$K$25,MATCH($C29,Einheiten!$B$20:$B$25,0)),0)</f>
        <v>0</v>
      </c>
    </row>
    <row r="30" spans="2:12" x14ac:dyDescent="0.25">
      <c r="B30" s="115" t="s">
        <v>195</v>
      </c>
      <c r="C30" s="115"/>
      <c r="D30" s="116">
        <f t="shared" ref="D30:L30" si="0">SUM(D9:D29)</f>
        <v>49910</v>
      </c>
      <c r="E30" s="116">
        <f t="shared" si="0"/>
        <v>5184.5145815014921</v>
      </c>
      <c r="F30" s="116">
        <f t="shared" si="0"/>
        <v>4589.2300823382766</v>
      </c>
      <c r="G30" s="116">
        <f t="shared" si="0"/>
        <v>6209.36663535355</v>
      </c>
      <c r="H30" s="116">
        <f t="shared" si="0"/>
        <v>5684.5822986053781</v>
      </c>
      <c r="I30" s="116">
        <f t="shared" si="0"/>
        <v>6942.9956305371034</v>
      </c>
      <c r="J30" s="116">
        <f t="shared" si="0"/>
        <v>6174.9086646561427</v>
      </c>
      <c r="K30" s="116">
        <f t="shared" si="0"/>
        <v>7334.2187244339411</v>
      </c>
      <c r="L30" s="116">
        <f t="shared" si="0"/>
        <v>7790.1833825741187</v>
      </c>
    </row>
    <row r="32" spans="2:12" ht="21.75" customHeight="1" x14ac:dyDescent="0.25">
      <c r="B32" s="9" t="s">
        <v>196</v>
      </c>
      <c r="C32" s="9"/>
      <c r="D32" s="9"/>
      <c r="E32" s="9"/>
      <c r="F32" s="9"/>
      <c r="G32" s="9"/>
      <c r="H32" s="9"/>
      <c r="I32" s="9"/>
      <c r="J32" s="9"/>
      <c r="K32" s="9"/>
      <c r="L32" s="9"/>
    </row>
    <row r="33" spans="2:12" ht="15.75" customHeight="1" x14ac:dyDescent="0.25">
      <c r="B33" s="82" t="s">
        <v>197</v>
      </c>
      <c r="C33" s="15" t="s">
        <v>159</v>
      </c>
      <c r="D33" s="106">
        <f>SUM(E33:L33)</f>
        <v>118</v>
      </c>
      <c r="E33" s="38"/>
      <c r="F33" s="38">
        <v>118</v>
      </c>
      <c r="G33" s="38"/>
      <c r="H33" s="38"/>
      <c r="I33" s="38"/>
      <c r="J33" s="38"/>
      <c r="K33" s="38"/>
      <c r="L33" s="38"/>
    </row>
    <row r="34" spans="2:12" ht="15.75" customHeight="1" x14ac:dyDescent="0.25">
      <c r="B34" s="82" t="s">
        <v>198</v>
      </c>
      <c r="C34" s="15" t="s">
        <v>159</v>
      </c>
      <c r="D34" s="106">
        <f>SUM(E34:L34)</f>
        <v>245</v>
      </c>
      <c r="E34" s="38"/>
      <c r="F34" s="38"/>
      <c r="G34" s="38"/>
      <c r="H34" s="38"/>
      <c r="I34" s="38">
        <v>245</v>
      </c>
      <c r="J34" s="38"/>
      <c r="K34" s="38"/>
      <c r="L34" s="38"/>
    </row>
    <row r="35" spans="2:12" ht="15.75" customHeight="1" x14ac:dyDescent="0.25">
      <c r="B35" s="82" t="s">
        <v>199</v>
      </c>
      <c r="C35" s="15" t="s">
        <v>159</v>
      </c>
      <c r="D35" s="106">
        <f>SUM(E35:L35)</f>
        <v>0</v>
      </c>
      <c r="E35" s="38"/>
      <c r="F35" s="38"/>
      <c r="G35" s="38"/>
      <c r="H35" s="38"/>
      <c r="I35" s="38"/>
      <c r="J35" s="38"/>
      <c r="K35" s="38"/>
      <c r="L35" s="38"/>
    </row>
    <row r="36" spans="2:12" x14ac:dyDescent="0.25">
      <c r="B36" s="115" t="s">
        <v>200</v>
      </c>
      <c r="C36" s="115"/>
      <c r="D36" s="116">
        <f t="shared" ref="D36:L36" si="1">SUM(D33:D35)</f>
        <v>363</v>
      </c>
      <c r="E36" s="116">
        <f t="shared" si="1"/>
        <v>0</v>
      </c>
      <c r="F36" s="116">
        <f t="shared" si="1"/>
        <v>118</v>
      </c>
      <c r="G36" s="116">
        <f t="shared" si="1"/>
        <v>0</v>
      </c>
      <c r="H36" s="116">
        <f t="shared" si="1"/>
        <v>0</v>
      </c>
      <c r="I36" s="116">
        <f t="shared" si="1"/>
        <v>245</v>
      </c>
      <c r="J36" s="116">
        <f t="shared" si="1"/>
        <v>0</v>
      </c>
      <c r="K36" s="116">
        <f t="shared" si="1"/>
        <v>0</v>
      </c>
      <c r="L36" s="116">
        <f t="shared" si="1"/>
        <v>0</v>
      </c>
    </row>
    <row r="38" spans="2:12" ht="16.5" customHeight="1" x14ac:dyDescent="0.25">
      <c r="B38" s="113" t="s">
        <v>201</v>
      </c>
      <c r="D38" s="117">
        <f t="shared" ref="D38:L38" si="2">D30+D36</f>
        <v>50273</v>
      </c>
      <c r="E38" s="117">
        <f t="shared" si="2"/>
        <v>5184.5145815014921</v>
      </c>
      <c r="F38" s="117">
        <f t="shared" si="2"/>
        <v>4707.2300823382766</v>
      </c>
      <c r="G38" s="117">
        <f t="shared" si="2"/>
        <v>6209.36663535355</v>
      </c>
      <c r="H38" s="117">
        <f t="shared" si="2"/>
        <v>5684.5822986053781</v>
      </c>
      <c r="I38" s="117">
        <f t="shared" si="2"/>
        <v>7187.9956305371034</v>
      </c>
      <c r="J38" s="117">
        <f t="shared" si="2"/>
        <v>6174.9086646561427</v>
      </c>
      <c r="K38" s="117">
        <f t="shared" si="2"/>
        <v>7334.2187244339411</v>
      </c>
      <c r="L38" s="117">
        <f t="shared" si="2"/>
        <v>7790.1833825741187</v>
      </c>
    </row>
    <row r="39" spans="2:12" ht="16.5" customHeight="1" x14ac:dyDescent="0.25">
      <c r="B39" s="113" t="s">
        <v>202</v>
      </c>
      <c r="D39" s="117">
        <f>Gesamtabrechnung!F48</f>
        <v>12000</v>
      </c>
      <c r="E39" s="117">
        <f>$D$39*INDEX(Einheiten!$C$20:$J$20,E$6)/Einheiten!$K$20</f>
        <v>1152</v>
      </c>
      <c r="F39" s="117">
        <f>$D$39*INDEX(Einheiten!$C$20:$J$20,F$6)/Einheiten!$K$20</f>
        <v>1080</v>
      </c>
      <c r="G39" s="117">
        <f>$D$39*INDEX(Einheiten!$C$20:$J$20,G$6)/Einheiten!$K$20</f>
        <v>1380</v>
      </c>
      <c r="H39" s="117">
        <f>$D$39*INDEX(Einheiten!$C$20:$J$20,H$6)/Einheiten!$K$20</f>
        <v>1380</v>
      </c>
      <c r="I39" s="117">
        <f>$D$39*INDEX(Einheiten!$C$20:$J$20,I$6)/Einheiten!$K$20</f>
        <v>1524</v>
      </c>
      <c r="J39" s="117">
        <f>$D$39*INDEX(Einheiten!$C$20:$J$20,J$6)/Einheiten!$K$20</f>
        <v>1524</v>
      </c>
      <c r="K39" s="117">
        <f>$D$39*INDEX(Einheiten!$C$20:$J$20,K$6)/Einheiten!$K$20</f>
        <v>1800</v>
      </c>
      <c r="L39" s="117">
        <f>$D$39*INDEX(Einheiten!$C$20:$J$20,L$6)/Einheiten!$K$20</f>
        <v>2160</v>
      </c>
    </row>
    <row r="40" spans="2:12" ht="18" customHeight="1" x14ac:dyDescent="0.25">
      <c r="B40" s="118" t="s">
        <v>203</v>
      </c>
      <c r="C40" s="119"/>
      <c r="D40" s="120">
        <f t="shared" ref="D40:L40" si="3">D38+D39</f>
        <v>62273</v>
      </c>
      <c r="E40" s="120">
        <f t="shared" si="3"/>
        <v>6336.5145815014921</v>
      </c>
      <c r="F40" s="120">
        <f t="shared" si="3"/>
        <v>5787.2300823382766</v>
      </c>
      <c r="G40" s="120">
        <f t="shared" si="3"/>
        <v>7589.36663535355</v>
      </c>
      <c r="H40" s="120">
        <f t="shared" si="3"/>
        <v>7064.5822986053781</v>
      </c>
      <c r="I40" s="120">
        <f t="shared" si="3"/>
        <v>8711.9956305371034</v>
      </c>
      <c r="J40" s="120">
        <f t="shared" si="3"/>
        <v>7698.9086646561427</v>
      </c>
      <c r="K40" s="120">
        <f t="shared" si="3"/>
        <v>9134.2187244339402</v>
      </c>
      <c r="L40" s="120">
        <f t="shared" si="3"/>
        <v>9950.1833825741196</v>
      </c>
    </row>
    <row r="41" spans="2:12" ht="16.5" customHeight="1" x14ac:dyDescent="0.25">
      <c r="B41" s="113" t="s">
        <v>204</v>
      </c>
      <c r="D41" s="117">
        <f>-Einheiten!L15</f>
        <v>-61200</v>
      </c>
      <c r="E41" s="117">
        <f>-Einheiten!L7</f>
        <v>-5880</v>
      </c>
      <c r="F41" s="117">
        <f>-Einheiten!L8</f>
        <v>-5520</v>
      </c>
      <c r="G41" s="117">
        <f>-Einheiten!L9</f>
        <v>-7020</v>
      </c>
      <c r="H41" s="117">
        <f>-Einheiten!L10</f>
        <v>-7020</v>
      </c>
      <c r="I41" s="117">
        <f>-Einheiten!L11</f>
        <v>-7800</v>
      </c>
      <c r="J41" s="117">
        <f>-Einheiten!L12</f>
        <v>-7800</v>
      </c>
      <c r="K41" s="117">
        <f>-Einheiten!L13</f>
        <v>-9180</v>
      </c>
      <c r="L41" s="117">
        <f>-Einheiten!L14</f>
        <v>-10980</v>
      </c>
    </row>
    <row r="42" spans="2:12" ht="24" customHeight="1" x14ac:dyDescent="0.25">
      <c r="B42" s="108" t="s">
        <v>205</v>
      </c>
      <c r="C42" s="93"/>
      <c r="D42" s="121">
        <f t="shared" ref="D42:L42" si="4">D40+D41</f>
        <v>1073</v>
      </c>
      <c r="E42" s="121">
        <f t="shared" si="4"/>
        <v>456.5145815014921</v>
      </c>
      <c r="F42" s="121">
        <f t="shared" si="4"/>
        <v>267.23008233827659</v>
      </c>
      <c r="G42" s="121">
        <f t="shared" si="4"/>
        <v>569.36663535355001</v>
      </c>
      <c r="H42" s="121">
        <f t="shared" si="4"/>
        <v>44.582298605378128</v>
      </c>
      <c r="I42" s="121">
        <f t="shared" si="4"/>
        <v>911.99563053710335</v>
      </c>
      <c r="J42" s="121">
        <f t="shared" si="4"/>
        <v>-101.09133534385728</v>
      </c>
      <c r="K42" s="121">
        <f t="shared" si="4"/>
        <v>-45.781275566059776</v>
      </c>
      <c r="L42" s="121">
        <f t="shared" si="4"/>
        <v>-1029.8166174258804</v>
      </c>
    </row>
    <row r="44" spans="2:12" ht="21.75" customHeight="1" x14ac:dyDescent="0.25">
      <c r="B44" s="12" t="s">
        <v>206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</row>
    <row r="45" spans="2:12" ht="16.5" customHeight="1" x14ac:dyDescent="0.25">
      <c r="B45" s="103" t="s">
        <v>207</v>
      </c>
      <c r="C45" s="68"/>
      <c r="D45" s="122">
        <f>SUMPRODUCT((Gesamtabrechnung!$E$14:$E$34="Ja")*D$9:D$29)</f>
        <v>40110</v>
      </c>
      <c r="E45" s="122">
        <f>SUMPRODUCT((Gesamtabrechnung!$E$14:$E$34="Ja")*E$9:E$29)</f>
        <v>4071.4545815014917</v>
      </c>
      <c r="F45" s="122">
        <f>SUMPRODUCT((Gesamtabrechnung!$E$14:$E$34="Ja")*F$9:F$29)</f>
        <v>3499.3300823382756</v>
      </c>
      <c r="G45" s="122">
        <f>SUMPRODUCT((Gesamtabrechnung!$E$14:$E$34="Ja")*G$9:G$29)</f>
        <v>5022.9666353535495</v>
      </c>
      <c r="H45" s="122">
        <f>SUMPRODUCT((Gesamtabrechnung!$E$14:$E$34="Ja")*H$9:H$29)</f>
        <v>4498.1822986053776</v>
      </c>
      <c r="I45" s="122">
        <f>SUMPRODUCT((Gesamtabrechnung!$E$14:$E$34="Ja")*I$9:I$29)</f>
        <v>5710.2756305371031</v>
      </c>
      <c r="J45" s="122">
        <f>SUMPRODUCT((Gesamtabrechnung!$E$14:$E$34="Ja")*J$9:J$29)</f>
        <v>4942.1886646561425</v>
      </c>
      <c r="K45" s="122">
        <f>SUMPRODUCT((Gesamtabrechnung!$E$14:$E$34="Ja")*K$9:K$29)</f>
        <v>6012.7187244339411</v>
      </c>
      <c r="L45" s="122">
        <f>SUMPRODUCT((Gesamtabrechnung!$E$14:$E$34="Ja")*L$9:L$29)</f>
        <v>6352.8833825741185</v>
      </c>
    </row>
    <row r="46" spans="2:12" ht="16.5" customHeight="1" x14ac:dyDescent="0.25">
      <c r="B46" s="113" t="s">
        <v>208</v>
      </c>
      <c r="D46" s="117">
        <f>SUMPRODUCT(D$9:D$29*Gesamtabrechnung!$G$14:$G$34/(Gesamtabrechnung!$F$14:$F$34+(Gesamtabrechnung!$F$14:$F$34=0)))</f>
        <v>13320</v>
      </c>
      <c r="E46" s="117">
        <f>SUMPRODUCT(E$9:E$29*Gesamtabrechnung!$G$14:$G$34/(Gesamtabrechnung!$F$14:$F$34+(Gesamtabrechnung!$F$14:$F$34=0)))</f>
        <v>1326.0668006182379</v>
      </c>
      <c r="F46" s="117">
        <f>SUMPRODUCT(F$9:F$29*Gesamtabrechnung!$G$14:$G$34/(Gesamtabrechnung!$F$14:$F$34+(Gesamtabrechnung!$F$14:$F$34=0)))</f>
        <v>1253.4108191653786</v>
      </c>
      <c r="G46" s="117">
        <f>SUMPRODUCT(G$9:G$29*Gesamtabrechnung!$G$14:$G$34/(Gesamtabrechnung!$F$14:$F$34+(Gesamtabrechnung!$F$14:$F$34=0)))</f>
        <v>1548.1036321483773</v>
      </c>
      <c r="H46" s="117">
        <f>SUMPRODUCT(H$9:H$29*Gesamtabrechnung!$G$14:$G$34/(Gesamtabrechnung!$F$14:$F$34+(Gesamtabrechnung!$F$14:$F$34=0)))</f>
        <v>1548.1036321483773</v>
      </c>
      <c r="I46" s="117">
        <f>SUMPRODUCT(I$9:I$29*Gesamtabrechnung!$G$14:$G$34/(Gesamtabrechnung!$F$14:$F$34+(Gesamtabrechnung!$F$14:$F$34=0)))</f>
        <v>1689.1744822256569</v>
      </c>
      <c r="J46" s="117">
        <f>SUMPRODUCT(J$9:J$29*Gesamtabrechnung!$G$14:$G$34/(Gesamtabrechnung!$F$14:$F$34+(Gesamtabrechnung!$F$14:$F$34=0)))</f>
        <v>1689.1744822256569</v>
      </c>
      <c r="K46" s="117">
        <f>SUMPRODUCT(K$9:K$29*Gesamtabrechnung!$G$14:$G$34/(Gesamtabrechnung!$F$14:$F$34+(Gesamtabrechnung!$F$14:$F$34=0)))</f>
        <v>1957.1746522411129</v>
      </c>
      <c r="L46" s="117">
        <f>SUMPRODUCT(L$9:L$29*Gesamtabrechnung!$G$14:$G$34/(Gesamtabrechnung!$F$14:$F$34+(Gesamtabrechnung!$F$14:$F$34=0)))</f>
        <v>2308.7914992272026</v>
      </c>
    </row>
    <row r="47" spans="2:12" ht="16.5" customHeight="1" x14ac:dyDescent="0.25">
      <c r="B47" s="103" t="s">
        <v>209</v>
      </c>
      <c r="C47" s="68"/>
      <c r="D47" s="122">
        <f>Einheiten!M15</f>
        <v>59900</v>
      </c>
      <c r="E47" s="122">
        <f>Einheiten!M7</f>
        <v>5880</v>
      </c>
      <c r="F47" s="122">
        <f>Einheiten!M8</f>
        <v>5520</v>
      </c>
      <c r="G47" s="122">
        <f>Einheiten!M9</f>
        <v>7020</v>
      </c>
      <c r="H47" s="122">
        <f>Einheiten!M10</f>
        <v>7020</v>
      </c>
      <c r="I47" s="122">
        <f>Einheiten!M11</f>
        <v>6500</v>
      </c>
      <c r="J47" s="122">
        <f>Einheiten!M12</f>
        <v>7800</v>
      </c>
      <c r="K47" s="122">
        <f>Einheiten!M13</f>
        <v>9180</v>
      </c>
      <c r="L47" s="122">
        <f>Einheiten!M14</f>
        <v>10980</v>
      </c>
    </row>
    <row r="48" spans="2:12" ht="16.5" customHeight="1" x14ac:dyDescent="0.25">
      <c r="B48" s="113" t="s">
        <v>210</v>
      </c>
      <c r="D48" s="117">
        <f>Einheiten!N15</f>
        <v>1300</v>
      </c>
      <c r="E48" s="117">
        <f>Einheiten!N7</f>
        <v>0</v>
      </c>
      <c r="F48" s="117">
        <f>Einheiten!N8</f>
        <v>0</v>
      </c>
      <c r="G48" s="117">
        <f>Einheiten!N9</f>
        <v>0</v>
      </c>
      <c r="H48" s="117">
        <f>Einheiten!N10</f>
        <v>0</v>
      </c>
      <c r="I48" s="117">
        <f>Einheiten!N11</f>
        <v>1300</v>
      </c>
      <c r="J48" s="117">
        <f>Einheiten!N12</f>
        <v>0</v>
      </c>
      <c r="K48" s="117">
        <f>Einheiten!N13</f>
        <v>0</v>
      </c>
      <c r="L48" s="117">
        <f>Einheiten!N14</f>
        <v>0</v>
      </c>
    </row>
    <row r="49" spans="2:12" ht="16.5" customHeight="1" x14ac:dyDescent="0.25">
      <c r="B49" s="123" t="s">
        <v>211</v>
      </c>
      <c r="C49" s="124"/>
      <c r="D49" s="125">
        <f t="shared" ref="D49:L49" si="5">D42+D48</f>
        <v>2373</v>
      </c>
      <c r="E49" s="125">
        <f t="shared" si="5"/>
        <v>456.5145815014921</v>
      </c>
      <c r="F49" s="125">
        <f t="shared" si="5"/>
        <v>267.23008233827659</v>
      </c>
      <c r="G49" s="125">
        <f t="shared" si="5"/>
        <v>569.36663535355001</v>
      </c>
      <c r="H49" s="125">
        <f t="shared" si="5"/>
        <v>44.582298605378128</v>
      </c>
      <c r="I49" s="125">
        <f t="shared" si="5"/>
        <v>2211.9956305371034</v>
      </c>
      <c r="J49" s="125">
        <f t="shared" si="5"/>
        <v>-101.09133534385728</v>
      </c>
      <c r="K49" s="125">
        <f t="shared" si="5"/>
        <v>-45.781275566059776</v>
      </c>
      <c r="L49" s="125">
        <f t="shared" si="5"/>
        <v>-1029.8166174258804</v>
      </c>
    </row>
    <row r="51" spans="2:12" x14ac:dyDescent="0.25">
      <c r="B51" s="131" t="s">
        <v>212</v>
      </c>
      <c r="C51" s="131"/>
      <c r="D51" s="126">
        <f>SUM(E40:L40)-D40</f>
        <v>0</v>
      </c>
    </row>
    <row r="52" spans="2:12" x14ac:dyDescent="0.25">
      <c r="B52" s="131" t="s">
        <v>213</v>
      </c>
      <c r="C52" s="131"/>
      <c r="D52" s="126">
        <f>D40-(Gesamtabrechnung!F37+Gesamtabrechnung!F48)</f>
        <v>0</v>
      </c>
    </row>
    <row r="54" spans="2:12" x14ac:dyDescent="0.25">
      <c r="B54" s="129" t="s">
        <v>214</v>
      </c>
      <c r="C54" s="129"/>
      <c r="D54" s="129"/>
      <c r="E54" s="129"/>
      <c r="F54" s="129"/>
      <c r="G54" s="129"/>
      <c r="H54" s="129"/>
      <c r="I54" s="129"/>
      <c r="J54" s="129"/>
      <c r="K54" s="129"/>
      <c r="L54" s="129"/>
    </row>
  </sheetData>
  <mergeCells count="11">
    <mergeCell ref="B32:L32"/>
    <mergeCell ref="B44:L44"/>
    <mergeCell ref="B51:C51"/>
    <mergeCell ref="B52:C52"/>
    <mergeCell ref="B54:L54"/>
    <mergeCell ref="B2:L2"/>
    <mergeCell ref="B3:L3"/>
    <mergeCell ref="B5:L5"/>
    <mergeCell ref="B7:B8"/>
    <mergeCell ref="C7:C8"/>
    <mergeCell ref="D7:D8"/>
  </mergeCells>
  <conditionalFormatting sqref="D51:D52">
    <cfRule type="cellIs" dxfId="2" priority="2" operator="notBetween">
      <formula>-0.01</formula>
      <formula>0.01</formula>
    </cfRule>
  </conditionalFormatting>
  <conditionalFormatting sqref="E42:L42">
    <cfRule type="cellIs" dxfId="1" priority="4" operator="greaterThan">
      <formula>0.004</formula>
    </cfRule>
    <cfRule type="cellIs" dxfId="0" priority="5" operator="lessThan">
      <formula>-0.004</formula>
    </cfRule>
  </conditionalFormatting>
  <pageMargins left="0.75" right="0.75" top="1" bottom="1" header="0.511811023622047" footer="0.511811023622047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Übersicht</vt:lpstr>
      <vt:lpstr>Einheiten</vt:lpstr>
      <vt:lpstr>Gesamtabrechnung</vt:lpstr>
      <vt:lpstr>Einzelabrechnung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2026-07-18T11:04:14Z</dcterms:created>
  <dcterms:modified xsi:type="dcterms:W3CDTF">2026-07-18T11:13:04Z</dcterms:modified>
  <dc:language>en-US</dc:language>
</cp:coreProperties>
</file>