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91FD883-943C-447D-9489-4EBF8C889383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Übersicht" sheetId="1" r:id="rId1"/>
    <sheet name="Stammdaten" sheetId="2" r:id="rId2"/>
    <sheet name="Warenbewegungen" sheetId="3" r:id="rId3"/>
    <sheet name="Aufträg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7" i="4" l="1"/>
  <c r="O157" i="4" s="1"/>
  <c r="I157" i="4"/>
  <c r="J157" i="4" s="1"/>
  <c r="G157" i="4"/>
  <c r="E157" i="4"/>
  <c r="O156" i="4"/>
  <c r="N156" i="4"/>
  <c r="I156" i="4"/>
  <c r="J156" i="4" s="1"/>
  <c r="G156" i="4"/>
  <c r="E156" i="4"/>
  <c r="N155" i="4"/>
  <c r="O155" i="4" s="1"/>
  <c r="I155" i="4"/>
  <c r="J155" i="4" s="1"/>
  <c r="G155" i="4"/>
  <c r="E155" i="4"/>
  <c r="O154" i="4"/>
  <c r="N154" i="4"/>
  <c r="I154" i="4"/>
  <c r="J154" i="4" s="1"/>
  <c r="G154" i="4"/>
  <c r="E154" i="4"/>
  <c r="N153" i="4"/>
  <c r="O153" i="4" s="1"/>
  <c r="J153" i="4"/>
  <c r="I153" i="4"/>
  <c r="G153" i="4"/>
  <c r="E153" i="4"/>
  <c r="O152" i="4"/>
  <c r="N152" i="4"/>
  <c r="I152" i="4"/>
  <c r="J152" i="4" s="1"/>
  <c r="G152" i="4"/>
  <c r="E152" i="4"/>
  <c r="O151" i="4"/>
  <c r="N151" i="4"/>
  <c r="J151" i="4"/>
  <c r="I151" i="4"/>
  <c r="G151" i="4"/>
  <c r="E151" i="4"/>
  <c r="N150" i="4"/>
  <c r="O150" i="4" s="1"/>
  <c r="I150" i="4"/>
  <c r="J150" i="4" s="1"/>
  <c r="G150" i="4"/>
  <c r="E150" i="4"/>
  <c r="N149" i="4"/>
  <c r="O149" i="4" s="1"/>
  <c r="J149" i="4"/>
  <c r="I149" i="4"/>
  <c r="G149" i="4"/>
  <c r="E149" i="4"/>
  <c r="O148" i="4"/>
  <c r="N148" i="4"/>
  <c r="I148" i="4"/>
  <c r="J148" i="4" s="1"/>
  <c r="G148" i="4"/>
  <c r="E148" i="4"/>
  <c r="N147" i="4"/>
  <c r="O147" i="4" s="1"/>
  <c r="I147" i="4"/>
  <c r="J147" i="4" s="1"/>
  <c r="G147" i="4"/>
  <c r="E147" i="4"/>
  <c r="O146" i="4"/>
  <c r="N146" i="4"/>
  <c r="I146" i="4"/>
  <c r="J146" i="4" s="1"/>
  <c r="G146" i="4"/>
  <c r="E146" i="4"/>
  <c r="N145" i="4"/>
  <c r="O145" i="4" s="1"/>
  <c r="J145" i="4"/>
  <c r="I145" i="4"/>
  <c r="G145" i="4"/>
  <c r="E145" i="4"/>
  <c r="O144" i="4"/>
  <c r="N144" i="4"/>
  <c r="I144" i="4"/>
  <c r="J144" i="4" s="1"/>
  <c r="G144" i="4"/>
  <c r="E144" i="4"/>
  <c r="N143" i="4"/>
  <c r="O143" i="4" s="1"/>
  <c r="J143" i="4"/>
  <c r="I143" i="4"/>
  <c r="G143" i="4"/>
  <c r="E143" i="4"/>
  <c r="N142" i="4"/>
  <c r="O142" i="4" s="1"/>
  <c r="I142" i="4"/>
  <c r="J142" i="4" s="1"/>
  <c r="G142" i="4"/>
  <c r="E142" i="4"/>
  <c r="N141" i="4"/>
  <c r="O141" i="4" s="1"/>
  <c r="J141" i="4"/>
  <c r="I141" i="4"/>
  <c r="G141" i="4"/>
  <c r="E141" i="4"/>
  <c r="N140" i="4"/>
  <c r="O140" i="4" s="1"/>
  <c r="I140" i="4"/>
  <c r="J140" i="4" s="1"/>
  <c r="G140" i="4"/>
  <c r="E140" i="4"/>
  <c r="N139" i="4"/>
  <c r="O139" i="4" s="1"/>
  <c r="I139" i="4"/>
  <c r="J139" i="4" s="1"/>
  <c r="G139" i="4"/>
  <c r="E139" i="4"/>
  <c r="N138" i="4"/>
  <c r="O138" i="4" s="1"/>
  <c r="I138" i="4"/>
  <c r="J138" i="4" s="1"/>
  <c r="G138" i="4"/>
  <c r="E138" i="4"/>
  <c r="N137" i="4"/>
  <c r="O137" i="4" s="1"/>
  <c r="I137" i="4"/>
  <c r="J137" i="4" s="1"/>
  <c r="G137" i="4"/>
  <c r="E137" i="4"/>
  <c r="O136" i="4"/>
  <c r="N136" i="4"/>
  <c r="I136" i="4"/>
  <c r="J136" i="4" s="1"/>
  <c r="G136" i="4"/>
  <c r="E136" i="4"/>
  <c r="N135" i="4"/>
  <c r="O135" i="4" s="1"/>
  <c r="I135" i="4"/>
  <c r="J135" i="4" s="1"/>
  <c r="G135" i="4"/>
  <c r="E135" i="4"/>
  <c r="O134" i="4"/>
  <c r="N134" i="4"/>
  <c r="I134" i="4"/>
  <c r="J134" i="4" s="1"/>
  <c r="G134" i="4"/>
  <c r="E134" i="4"/>
  <c r="N133" i="4"/>
  <c r="O133" i="4" s="1"/>
  <c r="J133" i="4"/>
  <c r="I133" i="4"/>
  <c r="G133" i="4"/>
  <c r="E133" i="4"/>
  <c r="O132" i="4"/>
  <c r="N132" i="4"/>
  <c r="I132" i="4"/>
  <c r="J132" i="4" s="1"/>
  <c r="G132" i="4"/>
  <c r="E132" i="4"/>
  <c r="N131" i="4"/>
  <c r="O131" i="4" s="1"/>
  <c r="J131" i="4"/>
  <c r="I131" i="4"/>
  <c r="G131" i="4"/>
  <c r="E131" i="4"/>
  <c r="N130" i="4"/>
  <c r="O130" i="4" s="1"/>
  <c r="I130" i="4"/>
  <c r="J130" i="4" s="1"/>
  <c r="G130" i="4"/>
  <c r="E130" i="4"/>
  <c r="N129" i="4"/>
  <c r="O129" i="4" s="1"/>
  <c r="I129" i="4"/>
  <c r="J129" i="4" s="1"/>
  <c r="G129" i="4"/>
  <c r="E129" i="4"/>
  <c r="O128" i="4"/>
  <c r="N128" i="4"/>
  <c r="J128" i="4"/>
  <c r="I128" i="4"/>
  <c r="G128" i="4"/>
  <c r="E128" i="4"/>
  <c r="N127" i="4"/>
  <c r="O127" i="4" s="1"/>
  <c r="I127" i="4"/>
  <c r="J127" i="4" s="1"/>
  <c r="G127" i="4"/>
  <c r="E127" i="4"/>
  <c r="O126" i="4"/>
  <c r="N126" i="4"/>
  <c r="I126" i="4"/>
  <c r="J126" i="4" s="1"/>
  <c r="G126" i="4"/>
  <c r="E126" i="4"/>
  <c r="N125" i="4"/>
  <c r="O125" i="4" s="1"/>
  <c r="I125" i="4"/>
  <c r="J125" i="4" s="1"/>
  <c r="G125" i="4"/>
  <c r="E125" i="4"/>
  <c r="O124" i="4"/>
  <c r="N124" i="4"/>
  <c r="I124" i="4"/>
  <c r="J124" i="4" s="1"/>
  <c r="G124" i="4"/>
  <c r="E124" i="4"/>
  <c r="N123" i="4"/>
  <c r="O123" i="4" s="1"/>
  <c r="J123" i="4"/>
  <c r="I123" i="4"/>
  <c r="G123" i="4"/>
  <c r="E123" i="4"/>
  <c r="N122" i="4"/>
  <c r="O122" i="4" s="1"/>
  <c r="I122" i="4"/>
  <c r="J122" i="4" s="1"/>
  <c r="G122" i="4"/>
  <c r="E122" i="4"/>
  <c r="N121" i="4"/>
  <c r="O121" i="4" s="1"/>
  <c r="J121" i="4"/>
  <c r="I121" i="4"/>
  <c r="G121" i="4"/>
  <c r="E121" i="4"/>
  <c r="N120" i="4"/>
  <c r="O120" i="4" s="1"/>
  <c r="I120" i="4"/>
  <c r="J120" i="4" s="1"/>
  <c r="G120" i="4"/>
  <c r="E120" i="4"/>
  <c r="N119" i="4"/>
  <c r="O119" i="4" s="1"/>
  <c r="I119" i="4"/>
  <c r="J119" i="4" s="1"/>
  <c r="G119" i="4"/>
  <c r="E119" i="4"/>
  <c r="N118" i="4"/>
  <c r="O118" i="4" s="1"/>
  <c r="I118" i="4"/>
  <c r="J118" i="4" s="1"/>
  <c r="G118" i="4"/>
  <c r="E118" i="4"/>
  <c r="N117" i="4"/>
  <c r="O117" i="4" s="1"/>
  <c r="I117" i="4"/>
  <c r="J117" i="4" s="1"/>
  <c r="G117" i="4"/>
  <c r="E117" i="4"/>
  <c r="O116" i="4"/>
  <c r="N116" i="4"/>
  <c r="I116" i="4"/>
  <c r="J116" i="4" s="1"/>
  <c r="G116" i="4"/>
  <c r="E116" i="4"/>
  <c r="N115" i="4"/>
  <c r="O115" i="4" s="1"/>
  <c r="I115" i="4"/>
  <c r="J115" i="4" s="1"/>
  <c r="G115" i="4"/>
  <c r="E115" i="4"/>
  <c r="O114" i="4"/>
  <c r="N114" i="4"/>
  <c r="I114" i="4"/>
  <c r="J114" i="4" s="1"/>
  <c r="G114" i="4"/>
  <c r="E114" i="4"/>
  <c r="N113" i="4"/>
  <c r="O113" i="4" s="1"/>
  <c r="J113" i="4"/>
  <c r="I113" i="4"/>
  <c r="G113" i="4"/>
  <c r="E113" i="4"/>
  <c r="O112" i="4"/>
  <c r="N112" i="4"/>
  <c r="I112" i="4"/>
  <c r="J112" i="4" s="1"/>
  <c r="G112" i="4"/>
  <c r="E112" i="4"/>
  <c r="N111" i="4"/>
  <c r="O111" i="4" s="1"/>
  <c r="J111" i="4"/>
  <c r="I111" i="4"/>
  <c r="G111" i="4"/>
  <c r="E111" i="4"/>
  <c r="N110" i="4"/>
  <c r="O110" i="4" s="1"/>
  <c r="I110" i="4"/>
  <c r="J110" i="4" s="1"/>
  <c r="G110" i="4"/>
  <c r="E110" i="4"/>
  <c r="N109" i="4"/>
  <c r="O109" i="4" s="1"/>
  <c r="I109" i="4"/>
  <c r="J109" i="4" s="1"/>
  <c r="G109" i="4"/>
  <c r="E109" i="4"/>
  <c r="O108" i="4"/>
  <c r="N108" i="4"/>
  <c r="J108" i="4"/>
  <c r="I108" i="4"/>
  <c r="G108" i="4"/>
  <c r="E108" i="4"/>
  <c r="N107" i="4"/>
  <c r="O107" i="4" s="1"/>
  <c r="I107" i="4"/>
  <c r="J107" i="4" s="1"/>
  <c r="G107" i="4"/>
  <c r="E107" i="4"/>
  <c r="O106" i="4"/>
  <c r="N106" i="4"/>
  <c r="I106" i="4"/>
  <c r="J106" i="4" s="1"/>
  <c r="G106" i="4"/>
  <c r="E106" i="4"/>
  <c r="N105" i="4"/>
  <c r="O105" i="4" s="1"/>
  <c r="I105" i="4"/>
  <c r="J105" i="4" s="1"/>
  <c r="G105" i="4"/>
  <c r="E105" i="4"/>
  <c r="O104" i="4"/>
  <c r="N104" i="4"/>
  <c r="I104" i="4"/>
  <c r="J104" i="4" s="1"/>
  <c r="G104" i="4"/>
  <c r="E104" i="4"/>
  <c r="N103" i="4"/>
  <c r="O103" i="4" s="1"/>
  <c r="J103" i="4"/>
  <c r="I103" i="4"/>
  <c r="G103" i="4"/>
  <c r="E103" i="4"/>
  <c r="N102" i="4"/>
  <c r="O102" i="4" s="1"/>
  <c r="I102" i="4"/>
  <c r="J102" i="4" s="1"/>
  <c r="G102" i="4"/>
  <c r="E102" i="4"/>
  <c r="N101" i="4"/>
  <c r="O101" i="4" s="1"/>
  <c r="J101" i="4"/>
  <c r="I101" i="4"/>
  <c r="G101" i="4"/>
  <c r="E101" i="4"/>
  <c r="N100" i="4"/>
  <c r="O100" i="4" s="1"/>
  <c r="I100" i="4"/>
  <c r="J100" i="4" s="1"/>
  <c r="G100" i="4"/>
  <c r="E100" i="4"/>
  <c r="N99" i="4"/>
  <c r="O99" i="4" s="1"/>
  <c r="I99" i="4"/>
  <c r="J99" i="4" s="1"/>
  <c r="G99" i="4"/>
  <c r="E99" i="4"/>
  <c r="N98" i="4"/>
  <c r="O98" i="4" s="1"/>
  <c r="I98" i="4"/>
  <c r="J98" i="4" s="1"/>
  <c r="G98" i="4"/>
  <c r="E98" i="4"/>
  <c r="N97" i="4"/>
  <c r="O97" i="4" s="1"/>
  <c r="I97" i="4"/>
  <c r="J97" i="4" s="1"/>
  <c r="G97" i="4"/>
  <c r="E97" i="4"/>
  <c r="O96" i="4"/>
  <c r="N96" i="4"/>
  <c r="I96" i="4"/>
  <c r="J96" i="4" s="1"/>
  <c r="G96" i="4"/>
  <c r="E96" i="4"/>
  <c r="N95" i="4"/>
  <c r="O95" i="4" s="1"/>
  <c r="I95" i="4"/>
  <c r="J95" i="4" s="1"/>
  <c r="G95" i="4"/>
  <c r="E95" i="4"/>
  <c r="O94" i="4"/>
  <c r="N94" i="4"/>
  <c r="I94" i="4"/>
  <c r="J94" i="4" s="1"/>
  <c r="G94" i="4"/>
  <c r="E94" i="4"/>
  <c r="N93" i="4"/>
  <c r="O93" i="4" s="1"/>
  <c r="J93" i="4"/>
  <c r="I93" i="4"/>
  <c r="G93" i="4"/>
  <c r="E93" i="4"/>
  <c r="O92" i="4"/>
  <c r="N92" i="4"/>
  <c r="I92" i="4"/>
  <c r="J92" i="4" s="1"/>
  <c r="G92" i="4"/>
  <c r="E92" i="4"/>
  <c r="N91" i="4"/>
  <c r="O91" i="4" s="1"/>
  <c r="J91" i="4"/>
  <c r="I91" i="4"/>
  <c r="G91" i="4"/>
  <c r="E91" i="4"/>
  <c r="N90" i="4"/>
  <c r="O90" i="4" s="1"/>
  <c r="I90" i="4"/>
  <c r="J90" i="4" s="1"/>
  <c r="G90" i="4"/>
  <c r="E90" i="4"/>
  <c r="N89" i="4"/>
  <c r="O89" i="4" s="1"/>
  <c r="I89" i="4"/>
  <c r="J89" i="4" s="1"/>
  <c r="G89" i="4"/>
  <c r="E89" i="4"/>
  <c r="O88" i="4"/>
  <c r="N88" i="4"/>
  <c r="J88" i="4"/>
  <c r="I88" i="4"/>
  <c r="G88" i="4"/>
  <c r="E88" i="4"/>
  <c r="N87" i="4"/>
  <c r="O87" i="4" s="1"/>
  <c r="I87" i="4"/>
  <c r="J87" i="4" s="1"/>
  <c r="G87" i="4"/>
  <c r="E87" i="4"/>
  <c r="O86" i="4"/>
  <c r="N86" i="4"/>
  <c r="I86" i="4"/>
  <c r="J86" i="4" s="1"/>
  <c r="G86" i="4"/>
  <c r="E86" i="4"/>
  <c r="N85" i="4"/>
  <c r="O85" i="4" s="1"/>
  <c r="I85" i="4"/>
  <c r="J85" i="4" s="1"/>
  <c r="G85" i="4"/>
  <c r="E85" i="4"/>
  <c r="O84" i="4"/>
  <c r="N84" i="4"/>
  <c r="I84" i="4"/>
  <c r="J84" i="4" s="1"/>
  <c r="G84" i="4"/>
  <c r="E84" i="4"/>
  <c r="N83" i="4"/>
  <c r="O83" i="4" s="1"/>
  <c r="J83" i="4"/>
  <c r="I83" i="4"/>
  <c r="G83" i="4"/>
  <c r="E83" i="4"/>
  <c r="N82" i="4"/>
  <c r="O82" i="4" s="1"/>
  <c r="I82" i="4"/>
  <c r="J82" i="4" s="1"/>
  <c r="G82" i="4"/>
  <c r="E82" i="4"/>
  <c r="N81" i="4"/>
  <c r="O81" i="4" s="1"/>
  <c r="J81" i="4"/>
  <c r="I81" i="4"/>
  <c r="G81" i="4"/>
  <c r="E81" i="4"/>
  <c r="N80" i="4"/>
  <c r="O80" i="4" s="1"/>
  <c r="I80" i="4"/>
  <c r="J80" i="4" s="1"/>
  <c r="G80" i="4"/>
  <c r="E80" i="4"/>
  <c r="N79" i="4"/>
  <c r="O79" i="4" s="1"/>
  <c r="I79" i="4"/>
  <c r="J79" i="4" s="1"/>
  <c r="G79" i="4"/>
  <c r="E79" i="4"/>
  <c r="N78" i="4"/>
  <c r="O78" i="4" s="1"/>
  <c r="I78" i="4"/>
  <c r="J78" i="4" s="1"/>
  <c r="G78" i="4"/>
  <c r="E78" i="4"/>
  <c r="N77" i="4"/>
  <c r="O77" i="4" s="1"/>
  <c r="I77" i="4"/>
  <c r="J77" i="4" s="1"/>
  <c r="G77" i="4"/>
  <c r="E77" i="4"/>
  <c r="O76" i="4"/>
  <c r="N76" i="4"/>
  <c r="I76" i="4"/>
  <c r="J76" i="4" s="1"/>
  <c r="G76" i="4"/>
  <c r="E76" i="4"/>
  <c r="N75" i="4"/>
  <c r="O75" i="4" s="1"/>
  <c r="I75" i="4"/>
  <c r="J75" i="4" s="1"/>
  <c r="G75" i="4"/>
  <c r="E75" i="4"/>
  <c r="O74" i="4"/>
  <c r="N74" i="4"/>
  <c r="I74" i="4"/>
  <c r="J74" i="4" s="1"/>
  <c r="G74" i="4"/>
  <c r="E74" i="4"/>
  <c r="N73" i="4"/>
  <c r="O73" i="4" s="1"/>
  <c r="J73" i="4"/>
  <c r="I73" i="4"/>
  <c r="G73" i="4"/>
  <c r="E73" i="4"/>
  <c r="O72" i="4"/>
  <c r="N72" i="4"/>
  <c r="I72" i="4"/>
  <c r="J72" i="4" s="1"/>
  <c r="G72" i="4"/>
  <c r="E72" i="4"/>
  <c r="N71" i="4"/>
  <c r="O71" i="4" s="1"/>
  <c r="J71" i="4"/>
  <c r="I71" i="4"/>
  <c r="G71" i="4"/>
  <c r="E71" i="4"/>
  <c r="N70" i="4"/>
  <c r="O70" i="4" s="1"/>
  <c r="I70" i="4"/>
  <c r="J70" i="4" s="1"/>
  <c r="G70" i="4"/>
  <c r="E70" i="4"/>
  <c r="N69" i="4"/>
  <c r="O69" i="4" s="1"/>
  <c r="I69" i="4"/>
  <c r="J69" i="4" s="1"/>
  <c r="G69" i="4"/>
  <c r="E69" i="4"/>
  <c r="O68" i="4"/>
  <c r="N68" i="4"/>
  <c r="J68" i="4"/>
  <c r="I68" i="4"/>
  <c r="G68" i="4"/>
  <c r="E68" i="4"/>
  <c r="N67" i="4"/>
  <c r="O67" i="4" s="1"/>
  <c r="I67" i="4"/>
  <c r="J67" i="4" s="1"/>
  <c r="G67" i="4"/>
  <c r="E67" i="4"/>
  <c r="O66" i="4"/>
  <c r="N66" i="4"/>
  <c r="I66" i="4"/>
  <c r="J66" i="4" s="1"/>
  <c r="G66" i="4"/>
  <c r="E66" i="4"/>
  <c r="N65" i="4"/>
  <c r="O65" i="4" s="1"/>
  <c r="I65" i="4"/>
  <c r="J65" i="4" s="1"/>
  <c r="G65" i="4"/>
  <c r="E65" i="4"/>
  <c r="O64" i="4"/>
  <c r="N64" i="4"/>
  <c r="I64" i="4"/>
  <c r="J64" i="4" s="1"/>
  <c r="G64" i="4"/>
  <c r="E64" i="4"/>
  <c r="N63" i="4"/>
  <c r="O63" i="4" s="1"/>
  <c r="J63" i="4"/>
  <c r="I63" i="4"/>
  <c r="G63" i="4"/>
  <c r="E63" i="4"/>
  <c r="N62" i="4"/>
  <c r="O62" i="4" s="1"/>
  <c r="I62" i="4"/>
  <c r="J62" i="4" s="1"/>
  <c r="G62" i="4"/>
  <c r="E62" i="4"/>
  <c r="N61" i="4"/>
  <c r="O61" i="4" s="1"/>
  <c r="J61" i="4"/>
  <c r="I61" i="4"/>
  <c r="G61" i="4"/>
  <c r="E61" i="4"/>
  <c r="N60" i="4"/>
  <c r="O60" i="4" s="1"/>
  <c r="I60" i="4"/>
  <c r="J60" i="4" s="1"/>
  <c r="G60" i="4"/>
  <c r="E60" i="4"/>
  <c r="N59" i="4"/>
  <c r="O59" i="4" s="1"/>
  <c r="I59" i="4"/>
  <c r="J59" i="4" s="1"/>
  <c r="G59" i="4"/>
  <c r="E59" i="4"/>
  <c r="N58" i="4"/>
  <c r="O58" i="4" s="1"/>
  <c r="I58" i="4"/>
  <c r="J58" i="4" s="1"/>
  <c r="G58" i="4"/>
  <c r="E58" i="4"/>
  <c r="N57" i="4"/>
  <c r="O57" i="4" s="1"/>
  <c r="I57" i="4"/>
  <c r="J57" i="4" s="1"/>
  <c r="G57" i="4"/>
  <c r="E57" i="4"/>
  <c r="O56" i="4"/>
  <c r="N56" i="4"/>
  <c r="I56" i="4"/>
  <c r="J56" i="4" s="1"/>
  <c r="G56" i="4"/>
  <c r="E56" i="4"/>
  <c r="N55" i="4"/>
  <c r="O55" i="4" s="1"/>
  <c r="I55" i="4"/>
  <c r="J55" i="4" s="1"/>
  <c r="G55" i="4"/>
  <c r="E55" i="4"/>
  <c r="O54" i="4"/>
  <c r="N54" i="4"/>
  <c r="I54" i="4"/>
  <c r="J54" i="4" s="1"/>
  <c r="G54" i="4"/>
  <c r="E54" i="4"/>
  <c r="N53" i="4"/>
  <c r="O53" i="4" s="1"/>
  <c r="J53" i="4"/>
  <c r="I53" i="4"/>
  <c r="G53" i="4"/>
  <c r="E53" i="4"/>
  <c r="O52" i="4"/>
  <c r="N52" i="4"/>
  <c r="I52" i="4"/>
  <c r="J52" i="4" s="1"/>
  <c r="G52" i="4"/>
  <c r="E52" i="4"/>
  <c r="N51" i="4"/>
  <c r="O51" i="4" s="1"/>
  <c r="J51" i="4"/>
  <c r="I51" i="4"/>
  <c r="G51" i="4"/>
  <c r="E51" i="4"/>
  <c r="N50" i="4"/>
  <c r="O50" i="4" s="1"/>
  <c r="I50" i="4"/>
  <c r="J50" i="4" s="1"/>
  <c r="G50" i="4"/>
  <c r="E50" i="4"/>
  <c r="N49" i="4"/>
  <c r="O49" i="4" s="1"/>
  <c r="I49" i="4"/>
  <c r="J49" i="4" s="1"/>
  <c r="G49" i="4"/>
  <c r="E49" i="4"/>
  <c r="O48" i="4"/>
  <c r="N48" i="4"/>
  <c r="J48" i="4"/>
  <c r="I48" i="4"/>
  <c r="G48" i="4"/>
  <c r="E48" i="4"/>
  <c r="N47" i="4"/>
  <c r="O47" i="4" s="1"/>
  <c r="I47" i="4"/>
  <c r="J47" i="4" s="1"/>
  <c r="G47" i="4"/>
  <c r="E47" i="4"/>
  <c r="O46" i="4"/>
  <c r="N46" i="4"/>
  <c r="I46" i="4"/>
  <c r="J46" i="4" s="1"/>
  <c r="G46" i="4"/>
  <c r="E46" i="4"/>
  <c r="N45" i="4"/>
  <c r="O45" i="4" s="1"/>
  <c r="I45" i="4"/>
  <c r="J45" i="4" s="1"/>
  <c r="G45" i="4"/>
  <c r="E45" i="4"/>
  <c r="O44" i="4"/>
  <c r="N44" i="4"/>
  <c r="I44" i="4"/>
  <c r="J44" i="4" s="1"/>
  <c r="G44" i="4"/>
  <c r="E44" i="4"/>
  <c r="N43" i="4"/>
  <c r="O43" i="4" s="1"/>
  <c r="J43" i="4"/>
  <c r="I43" i="4"/>
  <c r="G43" i="4"/>
  <c r="E43" i="4"/>
  <c r="N42" i="4"/>
  <c r="O42" i="4" s="1"/>
  <c r="I42" i="4"/>
  <c r="J42" i="4" s="1"/>
  <c r="G42" i="4"/>
  <c r="E42" i="4"/>
  <c r="N41" i="4"/>
  <c r="O41" i="4" s="1"/>
  <c r="J41" i="4"/>
  <c r="I41" i="4"/>
  <c r="G41" i="4"/>
  <c r="E41" i="4"/>
  <c r="N40" i="4"/>
  <c r="O40" i="4" s="1"/>
  <c r="I40" i="4"/>
  <c r="J40" i="4" s="1"/>
  <c r="G40" i="4"/>
  <c r="E40" i="4"/>
  <c r="N39" i="4"/>
  <c r="O39" i="4" s="1"/>
  <c r="I39" i="4"/>
  <c r="J39" i="4" s="1"/>
  <c r="G39" i="4"/>
  <c r="E39" i="4"/>
  <c r="N38" i="4"/>
  <c r="O38" i="4" s="1"/>
  <c r="I38" i="4"/>
  <c r="J38" i="4" s="1"/>
  <c r="G38" i="4"/>
  <c r="E38" i="4"/>
  <c r="N37" i="4"/>
  <c r="O37" i="4" s="1"/>
  <c r="I37" i="4"/>
  <c r="J37" i="4" s="1"/>
  <c r="G37" i="4"/>
  <c r="E37" i="4"/>
  <c r="O36" i="4"/>
  <c r="N36" i="4"/>
  <c r="I36" i="4"/>
  <c r="J36" i="4" s="1"/>
  <c r="G36" i="4"/>
  <c r="E36" i="4"/>
  <c r="N35" i="4"/>
  <c r="O35" i="4" s="1"/>
  <c r="I35" i="4"/>
  <c r="J35" i="4" s="1"/>
  <c r="G35" i="4"/>
  <c r="E35" i="4"/>
  <c r="O34" i="4"/>
  <c r="N34" i="4"/>
  <c r="I34" i="4"/>
  <c r="J34" i="4" s="1"/>
  <c r="G34" i="4"/>
  <c r="E34" i="4"/>
  <c r="N33" i="4"/>
  <c r="O33" i="4" s="1"/>
  <c r="J33" i="4"/>
  <c r="I33" i="4"/>
  <c r="G33" i="4"/>
  <c r="E33" i="4"/>
  <c r="O32" i="4"/>
  <c r="N32" i="4"/>
  <c r="I32" i="4"/>
  <c r="J32" i="4" s="1"/>
  <c r="G32" i="4"/>
  <c r="E32" i="4"/>
  <c r="N31" i="4"/>
  <c r="O31" i="4" s="1"/>
  <c r="J31" i="4"/>
  <c r="I31" i="4"/>
  <c r="G31" i="4"/>
  <c r="E31" i="4"/>
  <c r="N30" i="4"/>
  <c r="O30" i="4" s="1"/>
  <c r="I30" i="4"/>
  <c r="J30" i="4" s="1"/>
  <c r="G30" i="4"/>
  <c r="E30" i="4"/>
  <c r="N29" i="4"/>
  <c r="O29" i="4" s="1"/>
  <c r="I29" i="4"/>
  <c r="J29" i="4" s="1"/>
  <c r="G29" i="4"/>
  <c r="E29" i="4"/>
  <c r="O28" i="4"/>
  <c r="N28" i="4"/>
  <c r="J28" i="4"/>
  <c r="I28" i="4"/>
  <c r="G28" i="4"/>
  <c r="E28" i="4"/>
  <c r="N27" i="4"/>
  <c r="O27" i="4" s="1"/>
  <c r="I27" i="4"/>
  <c r="J27" i="4" s="1"/>
  <c r="G27" i="4"/>
  <c r="E27" i="4"/>
  <c r="O26" i="4"/>
  <c r="N26" i="4"/>
  <c r="I26" i="4"/>
  <c r="J26" i="4" s="1"/>
  <c r="G26" i="4"/>
  <c r="E26" i="4"/>
  <c r="N25" i="4"/>
  <c r="O25" i="4" s="1"/>
  <c r="I25" i="4"/>
  <c r="J25" i="4" s="1"/>
  <c r="G25" i="4"/>
  <c r="E25" i="4"/>
  <c r="O24" i="4"/>
  <c r="N24" i="4"/>
  <c r="I24" i="4"/>
  <c r="J24" i="4" s="1"/>
  <c r="G24" i="4"/>
  <c r="E24" i="4"/>
  <c r="N23" i="4"/>
  <c r="O23" i="4" s="1"/>
  <c r="J23" i="4"/>
  <c r="I23" i="4"/>
  <c r="G23" i="4"/>
  <c r="E23" i="4"/>
  <c r="N22" i="4"/>
  <c r="O22" i="4" s="1"/>
  <c r="I22" i="4"/>
  <c r="J22" i="4" s="1"/>
  <c r="G22" i="4"/>
  <c r="E22" i="4"/>
  <c r="N21" i="4"/>
  <c r="O21" i="4" s="1"/>
  <c r="J21" i="4"/>
  <c r="I21" i="4"/>
  <c r="G21" i="4"/>
  <c r="E21" i="4"/>
  <c r="N20" i="4"/>
  <c r="O20" i="4" s="1"/>
  <c r="I20" i="4"/>
  <c r="J20" i="4" s="1"/>
  <c r="G20" i="4"/>
  <c r="E20" i="4"/>
  <c r="N19" i="4"/>
  <c r="I19" i="4"/>
  <c r="J19" i="4" s="1"/>
  <c r="G19" i="4"/>
  <c r="E19" i="4"/>
  <c r="N18" i="4"/>
  <c r="O18" i="4" s="1"/>
  <c r="I18" i="4"/>
  <c r="J18" i="4" s="1"/>
  <c r="G18" i="4"/>
  <c r="E18" i="4"/>
  <c r="N17" i="4"/>
  <c r="O17" i="4" s="1"/>
  <c r="I17" i="4"/>
  <c r="J17" i="4" s="1"/>
  <c r="G17" i="4"/>
  <c r="E17" i="4"/>
  <c r="N16" i="4"/>
  <c r="I16" i="4"/>
  <c r="O16" i="4" s="1"/>
  <c r="G16" i="4"/>
  <c r="E16" i="4"/>
  <c r="N15" i="4"/>
  <c r="I15" i="4"/>
  <c r="J15" i="4" s="1"/>
  <c r="G15" i="4"/>
  <c r="E15" i="4"/>
  <c r="O14" i="4"/>
  <c r="N14" i="4"/>
  <c r="I14" i="4"/>
  <c r="J14" i="4" s="1"/>
  <c r="G14" i="4"/>
  <c r="E14" i="4"/>
  <c r="N13" i="4"/>
  <c r="O13" i="4" s="1"/>
  <c r="J13" i="4"/>
  <c r="I13" i="4"/>
  <c r="G13" i="4"/>
  <c r="E13" i="4"/>
  <c r="N12" i="4"/>
  <c r="O12" i="4" s="1"/>
  <c r="I12" i="4"/>
  <c r="J12" i="4" s="1"/>
  <c r="G12" i="4"/>
  <c r="E12" i="4"/>
  <c r="N11" i="4"/>
  <c r="O11" i="4" s="1"/>
  <c r="J11" i="4"/>
  <c r="I11" i="4"/>
  <c r="G11" i="4"/>
  <c r="E11" i="4"/>
  <c r="N10" i="4"/>
  <c r="O10" i="4" s="1"/>
  <c r="I10" i="4"/>
  <c r="J10" i="4" s="1"/>
  <c r="G10" i="4"/>
  <c r="E10" i="4"/>
  <c r="N9" i="4"/>
  <c r="I9" i="4"/>
  <c r="J9" i="4" s="1"/>
  <c r="G9" i="4"/>
  <c r="E9" i="4"/>
  <c r="N8" i="4"/>
  <c r="I8" i="4"/>
  <c r="J8" i="4" s="1"/>
  <c r="G8" i="4"/>
  <c r="E8" i="4"/>
  <c r="Q207" i="3"/>
  <c r="P207" i="3"/>
  <c r="N207" i="3"/>
  <c r="O207" i="3" s="1"/>
  <c r="L207" i="3"/>
  <c r="K207" i="3"/>
  <c r="H207" i="3"/>
  <c r="G207" i="3"/>
  <c r="E207" i="3"/>
  <c r="Q206" i="3"/>
  <c r="P206" i="3"/>
  <c r="O206" i="3"/>
  <c r="N206" i="3"/>
  <c r="L206" i="3"/>
  <c r="K206" i="3"/>
  <c r="H206" i="3"/>
  <c r="G206" i="3"/>
  <c r="E206" i="3"/>
  <c r="Q205" i="3"/>
  <c r="P205" i="3"/>
  <c r="N205" i="3"/>
  <c r="O205" i="3" s="1"/>
  <c r="L205" i="3"/>
  <c r="K205" i="3"/>
  <c r="H205" i="3"/>
  <c r="G205" i="3"/>
  <c r="E205" i="3"/>
  <c r="Q204" i="3"/>
  <c r="P204" i="3"/>
  <c r="N204" i="3"/>
  <c r="O204" i="3" s="1"/>
  <c r="L204" i="3"/>
  <c r="K204" i="3"/>
  <c r="H204" i="3"/>
  <c r="G204" i="3"/>
  <c r="E204" i="3"/>
  <c r="Q203" i="3"/>
  <c r="P203" i="3"/>
  <c r="O203" i="3"/>
  <c r="N203" i="3"/>
  <c r="L203" i="3"/>
  <c r="K203" i="3"/>
  <c r="H203" i="3"/>
  <c r="G203" i="3"/>
  <c r="E203" i="3"/>
  <c r="Q202" i="3"/>
  <c r="P202" i="3"/>
  <c r="N202" i="3"/>
  <c r="O202" i="3" s="1"/>
  <c r="L202" i="3"/>
  <c r="K202" i="3"/>
  <c r="H202" i="3"/>
  <c r="G202" i="3"/>
  <c r="E202" i="3"/>
  <c r="Q201" i="3"/>
  <c r="P201" i="3"/>
  <c r="O201" i="3"/>
  <c r="N201" i="3"/>
  <c r="L201" i="3"/>
  <c r="K201" i="3"/>
  <c r="H201" i="3"/>
  <c r="G201" i="3"/>
  <c r="E201" i="3"/>
  <c r="Q200" i="3"/>
  <c r="P200" i="3"/>
  <c r="O200" i="3"/>
  <c r="N200" i="3"/>
  <c r="L200" i="3"/>
  <c r="K200" i="3"/>
  <c r="H200" i="3"/>
  <c r="G200" i="3"/>
  <c r="E200" i="3"/>
  <c r="Q199" i="3"/>
  <c r="P199" i="3"/>
  <c r="N199" i="3"/>
  <c r="O199" i="3" s="1"/>
  <c r="L199" i="3"/>
  <c r="K199" i="3"/>
  <c r="H199" i="3"/>
  <c r="G199" i="3"/>
  <c r="E199" i="3"/>
  <c r="Q198" i="3"/>
  <c r="P198" i="3"/>
  <c r="N198" i="3"/>
  <c r="O198" i="3" s="1"/>
  <c r="L198" i="3"/>
  <c r="K198" i="3"/>
  <c r="H198" i="3"/>
  <c r="G198" i="3"/>
  <c r="E198" i="3"/>
  <c r="Q197" i="3"/>
  <c r="P197" i="3"/>
  <c r="N197" i="3"/>
  <c r="O197" i="3" s="1"/>
  <c r="L197" i="3"/>
  <c r="K197" i="3"/>
  <c r="H197" i="3"/>
  <c r="G197" i="3"/>
  <c r="E197" i="3"/>
  <c r="Q196" i="3"/>
  <c r="P196" i="3"/>
  <c r="O196" i="3"/>
  <c r="N196" i="3"/>
  <c r="L196" i="3"/>
  <c r="K196" i="3"/>
  <c r="H196" i="3"/>
  <c r="G196" i="3"/>
  <c r="E196" i="3"/>
  <c r="Q195" i="3"/>
  <c r="P195" i="3"/>
  <c r="N195" i="3"/>
  <c r="O195" i="3" s="1"/>
  <c r="L195" i="3"/>
  <c r="K195" i="3"/>
  <c r="H195" i="3"/>
  <c r="G195" i="3"/>
  <c r="E195" i="3"/>
  <c r="Q194" i="3"/>
  <c r="P194" i="3"/>
  <c r="O194" i="3"/>
  <c r="N194" i="3"/>
  <c r="L194" i="3"/>
  <c r="K194" i="3"/>
  <c r="H194" i="3"/>
  <c r="G194" i="3"/>
  <c r="E194" i="3"/>
  <c r="Q193" i="3"/>
  <c r="P193" i="3"/>
  <c r="N193" i="3"/>
  <c r="O193" i="3" s="1"/>
  <c r="L193" i="3"/>
  <c r="K193" i="3"/>
  <c r="H193" i="3"/>
  <c r="G193" i="3"/>
  <c r="E193" i="3"/>
  <c r="Q192" i="3"/>
  <c r="P192" i="3"/>
  <c r="N192" i="3"/>
  <c r="O192" i="3" s="1"/>
  <c r="L192" i="3"/>
  <c r="K192" i="3"/>
  <c r="H192" i="3"/>
  <c r="G192" i="3"/>
  <c r="E192" i="3"/>
  <c r="Q191" i="3"/>
  <c r="P191" i="3"/>
  <c r="O191" i="3"/>
  <c r="N191" i="3"/>
  <c r="L191" i="3"/>
  <c r="K191" i="3"/>
  <c r="H191" i="3"/>
  <c r="G191" i="3"/>
  <c r="E191" i="3"/>
  <c r="Q190" i="3"/>
  <c r="P190" i="3"/>
  <c r="N190" i="3"/>
  <c r="O190" i="3" s="1"/>
  <c r="L190" i="3"/>
  <c r="K190" i="3"/>
  <c r="H190" i="3"/>
  <c r="G190" i="3"/>
  <c r="E190" i="3"/>
  <c r="Q189" i="3"/>
  <c r="P189" i="3"/>
  <c r="N189" i="3"/>
  <c r="O189" i="3" s="1"/>
  <c r="L189" i="3"/>
  <c r="K189" i="3"/>
  <c r="H189" i="3"/>
  <c r="G189" i="3"/>
  <c r="E189" i="3"/>
  <c r="Q188" i="3"/>
  <c r="P188" i="3"/>
  <c r="N188" i="3"/>
  <c r="O188" i="3" s="1"/>
  <c r="L188" i="3"/>
  <c r="K188" i="3"/>
  <c r="H188" i="3"/>
  <c r="G188" i="3"/>
  <c r="E188" i="3"/>
  <c r="Q187" i="3"/>
  <c r="P187" i="3"/>
  <c r="N187" i="3"/>
  <c r="O187" i="3" s="1"/>
  <c r="L187" i="3"/>
  <c r="K187" i="3"/>
  <c r="H187" i="3"/>
  <c r="G187" i="3"/>
  <c r="E187" i="3"/>
  <c r="Q186" i="3"/>
  <c r="P186" i="3"/>
  <c r="O186" i="3"/>
  <c r="N186" i="3"/>
  <c r="L186" i="3"/>
  <c r="K186" i="3"/>
  <c r="H186" i="3"/>
  <c r="G186" i="3"/>
  <c r="E186" i="3"/>
  <c r="Q185" i="3"/>
  <c r="P185" i="3"/>
  <c r="N185" i="3"/>
  <c r="O185" i="3" s="1"/>
  <c r="L185" i="3"/>
  <c r="K185" i="3"/>
  <c r="H185" i="3"/>
  <c r="G185" i="3"/>
  <c r="E185" i="3"/>
  <c r="Q184" i="3"/>
  <c r="P184" i="3"/>
  <c r="N184" i="3"/>
  <c r="O184" i="3" s="1"/>
  <c r="L184" i="3"/>
  <c r="K184" i="3"/>
  <c r="H184" i="3"/>
  <c r="G184" i="3"/>
  <c r="E184" i="3"/>
  <c r="Q183" i="3"/>
  <c r="P183" i="3"/>
  <c r="O183" i="3"/>
  <c r="N183" i="3"/>
  <c r="L183" i="3"/>
  <c r="K183" i="3"/>
  <c r="H183" i="3"/>
  <c r="G183" i="3"/>
  <c r="E183" i="3"/>
  <c r="Q182" i="3"/>
  <c r="P182" i="3"/>
  <c r="N182" i="3"/>
  <c r="O182" i="3" s="1"/>
  <c r="L182" i="3"/>
  <c r="K182" i="3"/>
  <c r="H182" i="3"/>
  <c r="G182" i="3"/>
  <c r="E182" i="3"/>
  <c r="Q181" i="3"/>
  <c r="P181" i="3"/>
  <c r="N181" i="3"/>
  <c r="O181" i="3" s="1"/>
  <c r="L181" i="3"/>
  <c r="K181" i="3"/>
  <c r="H181" i="3"/>
  <c r="G181" i="3"/>
  <c r="E181" i="3"/>
  <c r="Q180" i="3"/>
  <c r="P180" i="3"/>
  <c r="O180" i="3"/>
  <c r="N180" i="3"/>
  <c r="L180" i="3"/>
  <c r="K180" i="3"/>
  <c r="H180" i="3"/>
  <c r="G180" i="3"/>
  <c r="E180" i="3"/>
  <c r="Q179" i="3"/>
  <c r="P179" i="3"/>
  <c r="O179" i="3"/>
  <c r="N179" i="3"/>
  <c r="L179" i="3"/>
  <c r="K179" i="3"/>
  <c r="H179" i="3"/>
  <c r="G179" i="3"/>
  <c r="E179" i="3"/>
  <c r="Q178" i="3"/>
  <c r="P178" i="3"/>
  <c r="N178" i="3"/>
  <c r="O178" i="3" s="1"/>
  <c r="L178" i="3"/>
  <c r="K178" i="3"/>
  <c r="H178" i="3"/>
  <c r="G178" i="3"/>
  <c r="E178" i="3"/>
  <c r="Q177" i="3"/>
  <c r="P177" i="3"/>
  <c r="N177" i="3"/>
  <c r="O177" i="3" s="1"/>
  <c r="L177" i="3"/>
  <c r="K177" i="3"/>
  <c r="H177" i="3"/>
  <c r="G177" i="3"/>
  <c r="E177" i="3"/>
  <c r="Q176" i="3"/>
  <c r="P176" i="3"/>
  <c r="O176" i="3"/>
  <c r="N176" i="3"/>
  <c r="L176" i="3"/>
  <c r="K176" i="3"/>
  <c r="H176" i="3"/>
  <c r="G176" i="3"/>
  <c r="E176" i="3"/>
  <c r="Q175" i="3"/>
  <c r="P175" i="3"/>
  <c r="N175" i="3"/>
  <c r="O175" i="3" s="1"/>
  <c r="L175" i="3"/>
  <c r="K175" i="3"/>
  <c r="H175" i="3"/>
  <c r="G175" i="3"/>
  <c r="E175" i="3"/>
  <c r="Q174" i="3"/>
  <c r="P174" i="3"/>
  <c r="O174" i="3"/>
  <c r="N174" i="3"/>
  <c r="L174" i="3"/>
  <c r="K174" i="3"/>
  <c r="H174" i="3"/>
  <c r="G174" i="3"/>
  <c r="E174" i="3"/>
  <c r="Q173" i="3"/>
  <c r="P173" i="3"/>
  <c r="N173" i="3"/>
  <c r="O173" i="3" s="1"/>
  <c r="L173" i="3"/>
  <c r="K173" i="3"/>
  <c r="H173" i="3"/>
  <c r="G173" i="3"/>
  <c r="E173" i="3"/>
  <c r="Q172" i="3"/>
  <c r="P172" i="3"/>
  <c r="O172" i="3"/>
  <c r="N172" i="3"/>
  <c r="L172" i="3"/>
  <c r="K172" i="3"/>
  <c r="H172" i="3"/>
  <c r="G172" i="3"/>
  <c r="E172" i="3"/>
  <c r="Q171" i="3"/>
  <c r="P171" i="3"/>
  <c r="O171" i="3"/>
  <c r="N171" i="3"/>
  <c r="L171" i="3"/>
  <c r="K171" i="3"/>
  <c r="H171" i="3"/>
  <c r="G171" i="3"/>
  <c r="E171" i="3"/>
  <c r="Q170" i="3"/>
  <c r="P170" i="3"/>
  <c r="N170" i="3"/>
  <c r="O170" i="3" s="1"/>
  <c r="L170" i="3"/>
  <c r="K170" i="3"/>
  <c r="H170" i="3"/>
  <c r="G170" i="3"/>
  <c r="E170" i="3"/>
  <c r="Q169" i="3"/>
  <c r="P169" i="3"/>
  <c r="N169" i="3"/>
  <c r="O169" i="3" s="1"/>
  <c r="L169" i="3"/>
  <c r="K169" i="3"/>
  <c r="H169" i="3"/>
  <c r="G169" i="3"/>
  <c r="E169" i="3"/>
  <c r="Q168" i="3"/>
  <c r="P168" i="3"/>
  <c r="O168" i="3"/>
  <c r="N168" i="3"/>
  <c r="L168" i="3"/>
  <c r="K168" i="3"/>
  <c r="H168" i="3"/>
  <c r="G168" i="3"/>
  <c r="E168" i="3"/>
  <c r="Q167" i="3"/>
  <c r="P167" i="3"/>
  <c r="N167" i="3"/>
  <c r="O167" i="3" s="1"/>
  <c r="L167" i="3"/>
  <c r="K167" i="3"/>
  <c r="H167" i="3"/>
  <c r="G167" i="3"/>
  <c r="E167" i="3"/>
  <c r="Q166" i="3"/>
  <c r="P166" i="3"/>
  <c r="O166" i="3"/>
  <c r="N166" i="3"/>
  <c r="L166" i="3"/>
  <c r="K166" i="3"/>
  <c r="H166" i="3"/>
  <c r="G166" i="3"/>
  <c r="E166" i="3"/>
  <c r="Q165" i="3"/>
  <c r="P165" i="3"/>
  <c r="N165" i="3"/>
  <c r="O165" i="3" s="1"/>
  <c r="L165" i="3"/>
  <c r="K165" i="3"/>
  <c r="H165" i="3"/>
  <c r="G165" i="3"/>
  <c r="E165" i="3"/>
  <c r="Q164" i="3"/>
  <c r="P164" i="3"/>
  <c r="N164" i="3"/>
  <c r="O164" i="3" s="1"/>
  <c r="L164" i="3"/>
  <c r="K164" i="3"/>
  <c r="H164" i="3"/>
  <c r="G164" i="3"/>
  <c r="E164" i="3"/>
  <c r="Q163" i="3"/>
  <c r="P163" i="3"/>
  <c r="O163" i="3"/>
  <c r="N163" i="3"/>
  <c r="L163" i="3"/>
  <c r="K163" i="3"/>
  <c r="H163" i="3"/>
  <c r="G163" i="3"/>
  <c r="E163" i="3"/>
  <c r="Q162" i="3"/>
  <c r="P162" i="3"/>
  <c r="N162" i="3"/>
  <c r="O162" i="3" s="1"/>
  <c r="L162" i="3"/>
  <c r="K162" i="3"/>
  <c r="H162" i="3"/>
  <c r="G162" i="3"/>
  <c r="E162" i="3"/>
  <c r="Q161" i="3"/>
  <c r="P161" i="3"/>
  <c r="N161" i="3"/>
  <c r="O161" i="3" s="1"/>
  <c r="L161" i="3"/>
  <c r="K161" i="3"/>
  <c r="H161" i="3"/>
  <c r="G161" i="3"/>
  <c r="E161" i="3"/>
  <c r="Q160" i="3"/>
  <c r="P160" i="3"/>
  <c r="O160" i="3"/>
  <c r="N160" i="3"/>
  <c r="L160" i="3"/>
  <c r="K160" i="3"/>
  <c r="H160" i="3"/>
  <c r="G160" i="3"/>
  <c r="E160" i="3"/>
  <c r="Q159" i="3"/>
  <c r="P159" i="3"/>
  <c r="N159" i="3"/>
  <c r="O159" i="3" s="1"/>
  <c r="L159" i="3"/>
  <c r="K159" i="3"/>
  <c r="H159" i="3"/>
  <c r="G159" i="3"/>
  <c r="E159" i="3"/>
  <c r="Q158" i="3"/>
  <c r="P158" i="3"/>
  <c r="N158" i="3"/>
  <c r="O158" i="3" s="1"/>
  <c r="L158" i="3"/>
  <c r="K158" i="3"/>
  <c r="H158" i="3"/>
  <c r="G158" i="3"/>
  <c r="E158" i="3"/>
  <c r="Q157" i="3"/>
  <c r="P157" i="3"/>
  <c r="N157" i="3"/>
  <c r="O157" i="3" s="1"/>
  <c r="L157" i="3"/>
  <c r="K157" i="3"/>
  <c r="H157" i="3"/>
  <c r="G157" i="3"/>
  <c r="E157" i="3"/>
  <c r="Q156" i="3"/>
  <c r="P156" i="3"/>
  <c r="O156" i="3"/>
  <c r="N156" i="3"/>
  <c r="L156" i="3"/>
  <c r="K156" i="3"/>
  <c r="H156" i="3"/>
  <c r="G156" i="3"/>
  <c r="E156" i="3"/>
  <c r="Q155" i="3"/>
  <c r="P155" i="3"/>
  <c r="N155" i="3"/>
  <c r="O155" i="3" s="1"/>
  <c r="L155" i="3"/>
  <c r="K155" i="3"/>
  <c r="H155" i="3"/>
  <c r="G155" i="3"/>
  <c r="E155" i="3"/>
  <c r="Q154" i="3"/>
  <c r="P154" i="3"/>
  <c r="O154" i="3"/>
  <c r="N154" i="3"/>
  <c r="L154" i="3"/>
  <c r="K154" i="3"/>
  <c r="H154" i="3"/>
  <c r="G154" i="3"/>
  <c r="E154" i="3"/>
  <c r="Q153" i="3"/>
  <c r="P153" i="3"/>
  <c r="N153" i="3"/>
  <c r="O153" i="3" s="1"/>
  <c r="L153" i="3"/>
  <c r="K153" i="3"/>
  <c r="H153" i="3"/>
  <c r="G153" i="3"/>
  <c r="E153" i="3"/>
  <c r="Q152" i="3"/>
  <c r="P152" i="3"/>
  <c r="N152" i="3"/>
  <c r="O152" i="3" s="1"/>
  <c r="L152" i="3"/>
  <c r="K152" i="3"/>
  <c r="H152" i="3"/>
  <c r="G152" i="3"/>
  <c r="E152" i="3"/>
  <c r="Q151" i="3"/>
  <c r="P151" i="3"/>
  <c r="O151" i="3"/>
  <c r="N151" i="3"/>
  <c r="L151" i="3"/>
  <c r="K151" i="3"/>
  <c r="H151" i="3"/>
  <c r="G151" i="3"/>
  <c r="E151" i="3"/>
  <c r="Q150" i="3"/>
  <c r="P150" i="3"/>
  <c r="O150" i="3"/>
  <c r="N150" i="3"/>
  <c r="L150" i="3"/>
  <c r="K150" i="3"/>
  <c r="H150" i="3"/>
  <c r="G150" i="3"/>
  <c r="E150" i="3"/>
  <c r="Q149" i="3"/>
  <c r="P149" i="3"/>
  <c r="N149" i="3"/>
  <c r="O149" i="3" s="1"/>
  <c r="L149" i="3"/>
  <c r="K149" i="3"/>
  <c r="H149" i="3"/>
  <c r="G149" i="3"/>
  <c r="E149" i="3"/>
  <c r="Q148" i="3"/>
  <c r="P148" i="3"/>
  <c r="N148" i="3"/>
  <c r="O148" i="3" s="1"/>
  <c r="L148" i="3"/>
  <c r="K148" i="3"/>
  <c r="H148" i="3"/>
  <c r="G148" i="3"/>
  <c r="E148" i="3"/>
  <c r="Q147" i="3"/>
  <c r="P147" i="3"/>
  <c r="N147" i="3"/>
  <c r="O147" i="3" s="1"/>
  <c r="L147" i="3"/>
  <c r="K147" i="3"/>
  <c r="H147" i="3"/>
  <c r="G147" i="3"/>
  <c r="E147" i="3"/>
  <c r="Q146" i="3"/>
  <c r="P146" i="3"/>
  <c r="O146" i="3"/>
  <c r="N146" i="3"/>
  <c r="L146" i="3"/>
  <c r="K146" i="3"/>
  <c r="H146" i="3"/>
  <c r="G146" i="3"/>
  <c r="E146" i="3"/>
  <c r="Q145" i="3"/>
  <c r="P145" i="3"/>
  <c r="N145" i="3"/>
  <c r="O145" i="3" s="1"/>
  <c r="L145" i="3"/>
  <c r="K145" i="3"/>
  <c r="H145" i="3"/>
  <c r="G145" i="3"/>
  <c r="E145" i="3"/>
  <c r="Q144" i="3"/>
  <c r="P144" i="3"/>
  <c r="N144" i="3"/>
  <c r="O144" i="3" s="1"/>
  <c r="L144" i="3"/>
  <c r="K144" i="3"/>
  <c r="H144" i="3"/>
  <c r="G144" i="3"/>
  <c r="E144" i="3"/>
  <c r="Q143" i="3"/>
  <c r="P143" i="3"/>
  <c r="O143" i="3"/>
  <c r="N143" i="3"/>
  <c r="L143" i="3"/>
  <c r="K143" i="3"/>
  <c r="H143" i="3"/>
  <c r="G143" i="3"/>
  <c r="E143" i="3"/>
  <c r="Q142" i="3"/>
  <c r="P142" i="3"/>
  <c r="N142" i="3"/>
  <c r="O142" i="3" s="1"/>
  <c r="L142" i="3"/>
  <c r="K142" i="3"/>
  <c r="H142" i="3"/>
  <c r="G142" i="3"/>
  <c r="E142" i="3"/>
  <c r="Q141" i="3"/>
  <c r="P141" i="3"/>
  <c r="N141" i="3"/>
  <c r="O141" i="3" s="1"/>
  <c r="L141" i="3"/>
  <c r="K141" i="3"/>
  <c r="H141" i="3"/>
  <c r="G141" i="3"/>
  <c r="E141" i="3"/>
  <c r="Q140" i="3"/>
  <c r="P140" i="3"/>
  <c r="O140" i="3"/>
  <c r="N140" i="3"/>
  <c r="L140" i="3"/>
  <c r="K140" i="3"/>
  <c r="H140" i="3"/>
  <c r="G140" i="3"/>
  <c r="E140" i="3"/>
  <c r="Q139" i="3"/>
  <c r="P139" i="3"/>
  <c r="N139" i="3"/>
  <c r="O139" i="3" s="1"/>
  <c r="L139" i="3"/>
  <c r="K139" i="3"/>
  <c r="H139" i="3"/>
  <c r="G139" i="3"/>
  <c r="E139" i="3"/>
  <c r="Q138" i="3"/>
  <c r="P138" i="3"/>
  <c r="N138" i="3"/>
  <c r="O138" i="3" s="1"/>
  <c r="L138" i="3"/>
  <c r="K138" i="3"/>
  <c r="H138" i="3"/>
  <c r="G138" i="3"/>
  <c r="E138" i="3"/>
  <c r="Q137" i="3"/>
  <c r="P137" i="3"/>
  <c r="N137" i="3"/>
  <c r="O137" i="3" s="1"/>
  <c r="L137" i="3"/>
  <c r="K137" i="3"/>
  <c r="H137" i="3"/>
  <c r="G137" i="3"/>
  <c r="E137" i="3"/>
  <c r="Q136" i="3"/>
  <c r="P136" i="3"/>
  <c r="O136" i="3"/>
  <c r="N136" i="3"/>
  <c r="L136" i="3"/>
  <c r="K136" i="3"/>
  <c r="H136" i="3"/>
  <c r="G136" i="3"/>
  <c r="E136" i="3"/>
  <c r="Q135" i="3"/>
  <c r="P135" i="3"/>
  <c r="N135" i="3"/>
  <c r="O135" i="3" s="1"/>
  <c r="L135" i="3"/>
  <c r="K135" i="3"/>
  <c r="H135" i="3"/>
  <c r="G135" i="3"/>
  <c r="E135" i="3"/>
  <c r="Q134" i="3"/>
  <c r="P134" i="3"/>
  <c r="O134" i="3"/>
  <c r="N134" i="3"/>
  <c r="L134" i="3"/>
  <c r="K134" i="3"/>
  <c r="H134" i="3"/>
  <c r="G134" i="3"/>
  <c r="E134" i="3"/>
  <c r="Q133" i="3"/>
  <c r="P133" i="3"/>
  <c r="N133" i="3"/>
  <c r="O133" i="3" s="1"/>
  <c r="L133" i="3"/>
  <c r="K133" i="3"/>
  <c r="H133" i="3"/>
  <c r="G133" i="3"/>
  <c r="E133" i="3"/>
  <c r="Q132" i="3"/>
  <c r="P132" i="3"/>
  <c r="N132" i="3"/>
  <c r="O132" i="3" s="1"/>
  <c r="L132" i="3"/>
  <c r="K132" i="3"/>
  <c r="H132" i="3"/>
  <c r="G132" i="3"/>
  <c r="E132" i="3"/>
  <c r="Q131" i="3"/>
  <c r="P131" i="3"/>
  <c r="O131" i="3"/>
  <c r="N131" i="3"/>
  <c r="L131" i="3"/>
  <c r="K131" i="3"/>
  <c r="H131" i="3"/>
  <c r="G131" i="3"/>
  <c r="E131" i="3"/>
  <c r="Q130" i="3"/>
  <c r="P130" i="3"/>
  <c r="N130" i="3"/>
  <c r="O130" i="3" s="1"/>
  <c r="L130" i="3"/>
  <c r="K130" i="3"/>
  <c r="H130" i="3"/>
  <c r="G130" i="3"/>
  <c r="E130" i="3"/>
  <c r="Q129" i="3"/>
  <c r="P129" i="3"/>
  <c r="N129" i="3"/>
  <c r="O129" i="3" s="1"/>
  <c r="L129" i="3"/>
  <c r="K129" i="3"/>
  <c r="H129" i="3"/>
  <c r="G129" i="3"/>
  <c r="E129" i="3"/>
  <c r="Q128" i="3"/>
  <c r="P128" i="3"/>
  <c r="O128" i="3"/>
  <c r="N128" i="3"/>
  <c r="L128" i="3"/>
  <c r="K128" i="3"/>
  <c r="H128" i="3"/>
  <c r="G128" i="3"/>
  <c r="E128" i="3"/>
  <c r="Q127" i="3"/>
  <c r="P127" i="3"/>
  <c r="N127" i="3"/>
  <c r="O127" i="3" s="1"/>
  <c r="L127" i="3"/>
  <c r="K127" i="3"/>
  <c r="H127" i="3"/>
  <c r="G127" i="3"/>
  <c r="E127" i="3"/>
  <c r="Q126" i="3"/>
  <c r="P126" i="3"/>
  <c r="N126" i="3"/>
  <c r="O126" i="3" s="1"/>
  <c r="L126" i="3"/>
  <c r="K126" i="3"/>
  <c r="H126" i="3"/>
  <c r="G126" i="3"/>
  <c r="E126" i="3"/>
  <c r="Q125" i="3"/>
  <c r="P125" i="3"/>
  <c r="N125" i="3"/>
  <c r="O125" i="3" s="1"/>
  <c r="L125" i="3"/>
  <c r="K125" i="3"/>
  <c r="H125" i="3"/>
  <c r="G125" i="3"/>
  <c r="E125" i="3"/>
  <c r="Q124" i="3"/>
  <c r="P124" i="3"/>
  <c r="N124" i="3"/>
  <c r="O124" i="3" s="1"/>
  <c r="L124" i="3"/>
  <c r="K124" i="3"/>
  <c r="H124" i="3"/>
  <c r="G124" i="3"/>
  <c r="E124" i="3"/>
  <c r="Q123" i="3"/>
  <c r="P123" i="3"/>
  <c r="O123" i="3"/>
  <c r="N123" i="3"/>
  <c r="L123" i="3"/>
  <c r="K123" i="3"/>
  <c r="H123" i="3"/>
  <c r="G123" i="3"/>
  <c r="E123" i="3"/>
  <c r="Q122" i="3"/>
  <c r="P122" i="3"/>
  <c r="N122" i="3"/>
  <c r="O122" i="3" s="1"/>
  <c r="L122" i="3"/>
  <c r="K122" i="3"/>
  <c r="H122" i="3"/>
  <c r="G122" i="3"/>
  <c r="E122" i="3"/>
  <c r="Q121" i="3"/>
  <c r="P121" i="3"/>
  <c r="N121" i="3"/>
  <c r="O121" i="3" s="1"/>
  <c r="L121" i="3"/>
  <c r="K121" i="3"/>
  <c r="H121" i="3"/>
  <c r="G121" i="3"/>
  <c r="E121" i="3"/>
  <c r="Q120" i="3"/>
  <c r="P120" i="3"/>
  <c r="O120" i="3"/>
  <c r="N120" i="3"/>
  <c r="L120" i="3"/>
  <c r="K120" i="3"/>
  <c r="H120" i="3"/>
  <c r="G120" i="3"/>
  <c r="E120" i="3"/>
  <c r="Q119" i="3"/>
  <c r="P119" i="3"/>
  <c r="N119" i="3"/>
  <c r="O119" i="3" s="1"/>
  <c r="L119" i="3"/>
  <c r="K119" i="3"/>
  <c r="H119" i="3"/>
  <c r="G119" i="3"/>
  <c r="E119" i="3"/>
  <c r="Q118" i="3"/>
  <c r="P118" i="3"/>
  <c r="N118" i="3"/>
  <c r="O118" i="3" s="1"/>
  <c r="L118" i="3"/>
  <c r="K118" i="3"/>
  <c r="H118" i="3"/>
  <c r="G118" i="3"/>
  <c r="E118" i="3"/>
  <c r="Q117" i="3"/>
  <c r="P117" i="3"/>
  <c r="N117" i="3"/>
  <c r="O117" i="3" s="1"/>
  <c r="L117" i="3"/>
  <c r="K117" i="3"/>
  <c r="H117" i="3"/>
  <c r="G117" i="3"/>
  <c r="E117" i="3"/>
  <c r="Q116" i="3"/>
  <c r="P116" i="3"/>
  <c r="O116" i="3"/>
  <c r="N116" i="3"/>
  <c r="L116" i="3"/>
  <c r="K116" i="3"/>
  <c r="H116" i="3"/>
  <c r="G116" i="3"/>
  <c r="E116" i="3"/>
  <c r="Q115" i="3"/>
  <c r="P115" i="3"/>
  <c r="N115" i="3"/>
  <c r="O115" i="3" s="1"/>
  <c r="L115" i="3"/>
  <c r="K115" i="3"/>
  <c r="H115" i="3"/>
  <c r="G115" i="3"/>
  <c r="E115" i="3"/>
  <c r="Q114" i="3"/>
  <c r="P114" i="3"/>
  <c r="O114" i="3"/>
  <c r="N114" i="3"/>
  <c r="L114" i="3"/>
  <c r="K114" i="3"/>
  <c r="H114" i="3"/>
  <c r="G114" i="3"/>
  <c r="E114" i="3"/>
  <c r="Q113" i="3"/>
  <c r="P113" i="3"/>
  <c r="N113" i="3"/>
  <c r="O113" i="3" s="1"/>
  <c r="L113" i="3"/>
  <c r="K113" i="3"/>
  <c r="H113" i="3"/>
  <c r="G113" i="3"/>
  <c r="E113" i="3"/>
  <c r="Q112" i="3"/>
  <c r="P112" i="3"/>
  <c r="N112" i="3"/>
  <c r="O112" i="3" s="1"/>
  <c r="L112" i="3"/>
  <c r="K112" i="3"/>
  <c r="H112" i="3"/>
  <c r="G112" i="3"/>
  <c r="E112" i="3"/>
  <c r="Q111" i="3"/>
  <c r="P111" i="3"/>
  <c r="O111" i="3"/>
  <c r="N111" i="3"/>
  <c r="L111" i="3"/>
  <c r="K111" i="3"/>
  <c r="H111" i="3"/>
  <c r="G111" i="3"/>
  <c r="E111" i="3"/>
  <c r="Q110" i="3"/>
  <c r="P110" i="3"/>
  <c r="N110" i="3"/>
  <c r="O110" i="3" s="1"/>
  <c r="L110" i="3"/>
  <c r="K110" i="3"/>
  <c r="H110" i="3"/>
  <c r="G110" i="3"/>
  <c r="E110" i="3"/>
  <c r="Q109" i="3"/>
  <c r="P109" i="3"/>
  <c r="N109" i="3"/>
  <c r="O109" i="3" s="1"/>
  <c r="L109" i="3"/>
  <c r="K109" i="3"/>
  <c r="H109" i="3"/>
  <c r="G109" i="3"/>
  <c r="E109" i="3"/>
  <c r="Q108" i="3"/>
  <c r="P108" i="3"/>
  <c r="O108" i="3"/>
  <c r="N108" i="3"/>
  <c r="L108" i="3"/>
  <c r="K108" i="3"/>
  <c r="H108" i="3"/>
  <c r="G108" i="3"/>
  <c r="E108" i="3"/>
  <c r="Q107" i="3"/>
  <c r="P107" i="3"/>
  <c r="N107" i="3"/>
  <c r="O107" i="3" s="1"/>
  <c r="L107" i="3"/>
  <c r="K107" i="3"/>
  <c r="H107" i="3"/>
  <c r="G107" i="3"/>
  <c r="E107" i="3"/>
  <c r="Q106" i="3"/>
  <c r="P106" i="3"/>
  <c r="O106" i="3"/>
  <c r="N106" i="3"/>
  <c r="L106" i="3"/>
  <c r="K106" i="3"/>
  <c r="H106" i="3"/>
  <c r="G106" i="3"/>
  <c r="E106" i="3"/>
  <c r="Q105" i="3"/>
  <c r="P105" i="3"/>
  <c r="N105" i="3"/>
  <c r="O105" i="3" s="1"/>
  <c r="L105" i="3"/>
  <c r="K105" i="3"/>
  <c r="H105" i="3"/>
  <c r="G105" i="3"/>
  <c r="E105" i="3"/>
  <c r="Q104" i="3"/>
  <c r="P104" i="3"/>
  <c r="N104" i="3"/>
  <c r="O104" i="3" s="1"/>
  <c r="L104" i="3"/>
  <c r="K104" i="3"/>
  <c r="H104" i="3"/>
  <c r="G104" i="3"/>
  <c r="E104" i="3"/>
  <c r="Q103" i="3"/>
  <c r="P103" i="3"/>
  <c r="O103" i="3"/>
  <c r="N103" i="3"/>
  <c r="L103" i="3"/>
  <c r="K103" i="3"/>
  <c r="H103" i="3"/>
  <c r="G103" i="3"/>
  <c r="E103" i="3"/>
  <c r="Q102" i="3"/>
  <c r="P102" i="3"/>
  <c r="N102" i="3"/>
  <c r="O102" i="3" s="1"/>
  <c r="L102" i="3"/>
  <c r="K102" i="3"/>
  <c r="H102" i="3"/>
  <c r="G102" i="3"/>
  <c r="E102" i="3"/>
  <c r="Q101" i="3"/>
  <c r="P101" i="3"/>
  <c r="N101" i="3"/>
  <c r="O101" i="3" s="1"/>
  <c r="L101" i="3"/>
  <c r="K101" i="3"/>
  <c r="H101" i="3"/>
  <c r="G101" i="3"/>
  <c r="E101" i="3"/>
  <c r="Q100" i="3"/>
  <c r="P100" i="3"/>
  <c r="O100" i="3"/>
  <c r="N100" i="3"/>
  <c r="L100" i="3"/>
  <c r="K100" i="3"/>
  <c r="H100" i="3"/>
  <c r="G100" i="3"/>
  <c r="E100" i="3"/>
  <c r="Q99" i="3"/>
  <c r="P99" i="3"/>
  <c r="O99" i="3"/>
  <c r="N99" i="3"/>
  <c r="L99" i="3"/>
  <c r="K99" i="3"/>
  <c r="H99" i="3"/>
  <c r="G99" i="3"/>
  <c r="E99" i="3"/>
  <c r="Q98" i="3"/>
  <c r="P98" i="3"/>
  <c r="N98" i="3"/>
  <c r="O98" i="3" s="1"/>
  <c r="L98" i="3"/>
  <c r="K98" i="3"/>
  <c r="H98" i="3"/>
  <c r="G98" i="3"/>
  <c r="E98" i="3"/>
  <c r="Q97" i="3"/>
  <c r="P97" i="3"/>
  <c r="N97" i="3"/>
  <c r="O97" i="3" s="1"/>
  <c r="L97" i="3"/>
  <c r="K97" i="3"/>
  <c r="H97" i="3"/>
  <c r="G97" i="3"/>
  <c r="E97" i="3"/>
  <c r="Q96" i="3"/>
  <c r="P96" i="3"/>
  <c r="O96" i="3"/>
  <c r="N96" i="3"/>
  <c r="L96" i="3"/>
  <c r="K96" i="3"/>
  <c r="H96" i="3"/>
  <c r="G96" i="3"/>
  <c r="E96" i="3"/>
  <c r="Q95" i="3"/>
  <c r="P95" i="3"/>
  <c r="N95" i="3"/>
  <c r="O95" i="3" s="1"/>
  <c r="L95" i="3"/>
  <c r="K95" i="3"/>
  <c r="H95" i="3"/>
  <c r="G95" i="3"/>
  <c r="E95" i="3"/>
  <c r="Q94" i="3"/>
  <c r="P94" i="3"/>
  <c r="O94" i="3"/>
  <c r="N94" i="3"/>
  <c r="L94" i="3"/>
  <c r="K94" i="3"/>
  <c r="H94" i="3"/>
  <c r="G94" i="3"/>
  <c r="E94" i="3"/>
  <c r="Q93" i="3"/>
  <c r="P93" i="3"/>
  <c r="N93" i="3"/>
  <c r="O93" i="3" s="1"/>
  <c r="L93" i="3"/>
  <c r="K93" i="3"/>
  <c r="H93" i="3"/>
  <c r="G93" i="3"/>
  <c r="E93" i="3"/>
  <c r="Q92" i="3"/>
  <c r="P92" i="3"/>
  <c r="N92" i="3"/>
  <c r="O92" i="3" s="1"/>
  <c r="L92" i="3"/>
  <c r="K92" i="3"/>
  <c r="H92" i="3"/>
  <c r="G92" i="3"/>
  <c r="E92" i="3"/>
  <c r="Q91" i="3"/>
  <c r="P91" i="3"/>
  <c r="O91" i="3"/>
  <c r="N91" i="3"/>
  <c r="L91" i="3"/>
  <c r="K91" i="3"/>
  <c r="H91" i="3"/>
  <c r="G91" i="3"/>
  <c r="E91" i="3"/>
  <c r="Q90" i="3"/>
  <c r="P90" i="3"/>
  <c r="N90" i="3"/>
  <c r="O90" i="3" s="1"/>
  <c r="L90" i="3"/>
  <c r="K90" i="3"/>
  <c r="H90" i="3"/>
  <c r="G90" i="3"/>
  <c r="E90" i="3"/>
  <c r="Q89" i="3"/>
  <c r="P89" i="3"/>
  <c r="N89" i="3"/>
  <c r="O89" i="3" s="1"/>
  <c r="L89" i="3"/>
  <c r="K89" i="3"/>
  <c r="H89" i="3"/>
  <c r="G89" i="3"/>
  <c r="E89" i="3"/>
  <c r="Q88" i="3"/>
  <c r="P88" i="3"/>
  <c r="N88" i="3"/>
  <c r="O88" i="3" s="1"/>
  <c r="L88" i="3"/>
  <c r="K88" i="3"/>
  <c r="H88" i="3"/>
  <c r="G88" i="3"/>
  <c r="E88" i="3"/>
  <c r="Q87" i="3"/>
  <c r="P87" i="3"/>
  <c r="N87" i="3"/>
  <c r="O87" i="3" s="1"/>
  <c r="L87" i="3"/>
  <c r="K87" i="3"/>
  <c r="H87" i="3"/>
  <c r="G87" i="3"/>
  <c r="E87" i="3"/>
  <c r="Q86" i="3"/>
  <c r="P86" i="3"/>
  <c r="N86" i="3"/>
  <c r="O86" i="3" s="1"/>
  <c r="L86" i="3"/>
  <c r="K86" i="3"/>
  <c r="H86" i="3"/>
  <c r="G86" i="3"/>
  <c r="E86" i="3"/>
  <c r="Q85" i="3"/>
  <c r="P85" i="3"/>
  <c r="N85" i="3"/>
  <c r="O85" i="3" s="1"/>
  <c r="L85" i="3"/>
  <c r="K85" i="3"/>
  <c r="H85" i="3"/>
  <c r="G85" i="3"/>
  <c r="E85" i="3"/>
  <c r="Q84" i="3"/>
  <c r="P84" i="3"/>
  <c r="N84" i="3"/>
  <c r="O84" i="3" s="1"/>
  <c r="L84" i="3"/>
  <c r="K84" i="3"/>
  <c r="H84" i="3"/>
  <c r="G84" i="3"/>
  <c r="E84" i="3"/>
  <c r="Q83" i="3"/>
  <c r="P83" i="3"/>
  <c r="O83" i="3"/>
  <c r="N83" i="3"/>
  <c r="L83" i="3"/>
  <c r="K83" i="3"/>
  <c r="H83" i="3"/>
  <c r="G83" i="3"/>
  <c r="E83" i="3"/>
  <c r="Q82" i="3"/>
  <c r="P82" i="3"/>
  <c r="N82" i="3"/>
  <c r="O82" i="3" s="1"/>
  <c r="L82" i="3"/>
  <c r="K82" i="3"/>
  <c r="H82" i="3"/>
  <c r="G82" i="3"/>
  <c r="E82" i="3"/>
  <c r="Q81" i="3"/>
  <c r="P81" i="3"/>
  <c r="N81" i="3"/>
  <c r="O81" i="3" s="1"/>
  <c r="L81" i="3"/>
  <c r="K81" i="3"/>
  <c r="H81" i="3"/>
  <c r="G81" i="3"/>
  <c r="E81" i="3"/>
  <c r="Q80" i="3"/>
  <c r="P80" i="3"/>
  <c r="O80" i="3"/>
  <c r="N80" i="3"/>
  <c r="L80" i="3"/>
  <c r="K80" i="3"/>
  <c r="H80" i="3"/>
  <c r="G80" i="3"/>
  <c r="E80" i="3"/>
  <c r="Q79" i="3"/>
  <c r="P79" i="3"/>
  <c r="N79" i="3"/>
  <c r="O79" i="3" s="1"/>
  <c r="L79" i="3"/>
  <c r="K79" i="3"/>
  <c r="H79" i="3"/>
  <c r="G79" i="3"/>
  <c r="E79" i="3"/>
  <c r="Q78" i="3"/>
  <c r="P78" i="3"/>
  <c r="N78" i="3"/>
  <c r="O78" i="3" s="1"/>
  <c r="L78" i="3"/>
  <c r="K78" i="3"/>
  <c r="H78" i="3"/>
  <c r="G78" i="3"/>
  <c r="E78" i="3"/>
  <c r="Q77" i="3"/>
  <c r="P77" i="3"/>
  <c r="O77" i="3"/>
  <c r="N77" i="3"/>
  <c r="L77" i="3"/>
  <c r="K77" i="3"/>
  <c r="H77" i="3"/>
  <c r="G77" i="3"/>
  <c r="E77" i="3"/>
  <c r="Q76" i="3"/>
  <c r="P76" i="3"/>
  <c r="O76" i="3"/>
  <c r="N76" i="3"/>
  <c r="L76" i="3"/>
  <c r="K76" i="3"/>
  <c r="H76" i="3"/>
  <c r="G76" i="3"/>
  <c r="E76" i="3"/>
  <c r="Q75" i="3"/>
  <c r="P75" i="3"/>
  <c r="N75" i="3"/>
  <c r="O75" i="3" s="1"/>
  <c r="L75" i="3"/>
  <c r="K75" i="3"/>
  <c r="H75" i="3"/>
  <c r="G75" i="3"/>
  <c r="E75" i="3"/>
  <c r="Q74" i="3"/>
  <c r="P74" i="3"/>
  <c r="O74" i="3"/>
  <c r="N74" i="3"/>
  <c r="L74" i="3"/>
  <c r="K74" i="3"/>
  <c r="H74" i="3"/>
  <c r="G74" i="3"/>
  <c r="E74" i="3"/>
  <c r="Q73" i="3"/>
  <c r="P73" i="3"/>
  <c r="N73" i="3"/>
  <c r="O73" i="3" s="1"/>
  <c r="L73" i="3"/>
  <c r="K73" i="3"/>
  <c r="H73" i="3"/>
  <c r="G73" i="3"/>
  <c r="E73" i="3"/>
  <c r="Q72" i="3"/>
  <c r="P72" i="3"/>
  <c r="N72" i="3"/>
  <c r="O72" i="3" s="1"/>
  <c r="L72" i="3"/>
  <c r="K72" i="3"/>
  <c r="H72" i="3"/>
  <c r="G72" i="3"/>
  <c r="E72" i="3"/>
  <c r="Q71" i="3"/>
  <c r="P71" i="3"/>
  <c r="O71" i="3"/>
  <c r="N71" i="3"/>
  <c r="L71" i="3"/>
  <c r="K71" i="3"/>
  <c r="H71" i="3"/>
  <c r="G71" i="3"/>
  <c r="E71" i="3"/>
  <c r="Q70" i="3"/>
  <c r="P70" i="3"/>
  <c r="N70" i="3"/>
  <c r="O70" i="3" s="1"/>
  <c r="L70" i="3"/>
  <c r="K70" i="3"/>
  <c r="H70" i="3"/>
  <c r="G70" i="3"/>
  <c r="E70" i="3"/>
  <c r="Q69" i="3"/>
  <c r="P69" i="3"/>
  <c r="N69" i="3"/>
  <c r="O69" i="3" s="1"/>
  <c r="L69" i="3"/>
  <c r="K69" i="3"/>
  <c r="H69" i="3"/>
  <c r="G69" i="3"/>
  <c r="E69" i="3"/>
  <c r="Q68" i="3"/>
  <c r="P68" i="3"/>
  <c r="N68" i="3"/>
  <c r="O68" i="3" s="1"/>
  <c r="L68" i="3"/>
  <c r="K68" i="3"/>
  <c r="H68" i="3"/>
  <c r="G68" i="3"/>
  <c r="E68" i="3"/>
  <c r="Q67" i="3"/>
  <c r="P67" i="3"/>
  <c r="N67" i="3"/>
  <c r="O67" i="3" s="1"/>
  <c r="L67" i="3"/>
  <c r="K67" i="3"/>
  <c r="H67" i="3"/>
  <c r="G67" i="3"/>
  <c r="E67" i="3"/>
  <c r="Q66" i="3"/>
  <c r="P66" i="3"/>
  <c r="N66" i="3"/>
  <c r="O66" i="3" s="1"/>
  <c r="L66" i="3"/>
  <c r="K66" i="3"/>
  <c r="H66" i="3"/>
  <c r="G66" i="3"/>
  <c r="E66" i="3"/>
  <c r="Q65" i="3"/>
  <c r="P65" i="3"/>
  <c r="N65" i="3"/>
  <c r="O65" i="3" s="1"/>
  <c r="L65" i="3"/>
  <c r="K65" i="3"/>
  <c r="H65" i="3"/>
  <c r="G65" i="3"/>
  <c r="E65" i="3"/>
  <c r="Q64" i="3"/>
  <c r="P64" i="3"/>
  <c r="N64" i="3"/>
  <c r="O64" i="3" s="1"/>
  <c r="L64" i="3"/>
  <c r="K64" i="3"/>
  <c r="H64" i="3"/>
  <c r="G64" i="3"/>
  <c r="E64" i="3"/>
  <c r="Q63" i="3"/>
  <c r="P63" i="3"/>
  <c r="O63" i="3"/>
  <c r="N63" i="3"/>
  <c r="L63" i="3"/>
  <c r="K63" i="3"/>
  <c r="H63" i="3"/>
  <c r="G63" i="3"/>
  <c r="E63" i="3"/>
  <c r="Q62" i="3"/>
  <c r="P62" i="3"/>
  <c r="N62" i="3"/>
  <c r="O62" i="3" s="1"/>
  <c r="L62" i="3"/>
  <c r="K62" i="3"/>
  <c r="H62" i="3"/>
  <c r="G62" i="3"/>
  <c r="E62" i="3"/>
  <c r="Q61" i="3"/>
  <c r="P61" i="3"/>
  <c r="N61" i="3"/>
  <c r="O61" i="3" s="1"/>
  <c r="L61" i="3"/>
  <c r="K61" i="3"/>
  <c r="H61" i="3"/>
  <c r="G61" i="3"/>
  <c r="E61" i="3"/>
  <c r="Q60" i="3"/>
  <c r="P60" i="3"/>
  <c r="O60" i="3"/>
  <c r="N60" i="3"/>
  <c r="L60" i="3"/>
  <c r="K60" i="3"/>
  <c r="H60" i="3"/>
  <c r="G60" i="3"/>
  <c r="E60" i="3"/>
  <c r="Q59" i="3"/>
  <c r="P59" i="3"/>
  <c r="N59" i="3"/>
  <c r="O59" i="3" s="1"/>
  <c r="L59" i="3"/>
  <c r="K59" i="3"/>
  <c r="H59" i="3"/>
  <c r="G59" i="3"/>
  <c r="E59" i="3"/>
  <c r="Q58" i="3"/>
  <c r="P58" i="3"/>
  <c r="N58" i="3"/>
  <c r="O58" i="3" s="1"/>
  <c r="L58" i="3"/>
  <c r="K58" i="3"/>
  <c r="H58" i="3"/>
  <c r="G58" i="3"/>
  <c r="E58" i="3"/>
  <c r="Q57" i="3"/>
  <c r="P57" i="3"/>
  <c r="O57" i="3"/>
  <c r="N57" i="3"/>
  <c r="L57" i="3"/>
  <c r="K57" i="3"/>
  <c r="H57" i="3"/>
  <c r="G57" i="3"/>
  <c r="E57" i="3"/>
  <c r="Q56" i="3"/>
  <c r="P56" i="3"/>
  <c r="O56" i="3"/>
  <c r="N56" i="3"/>
  <c r="L56" i="3"/>
  <c r="K56" i="3"/>
  <c r="H56" i="3"/>
  <c r="G56" i="3"/>
  <c r="E56" i="3"/>
  <c r="Q55" i="3"/>
  <c r="P55" i="3"/>
  <c r="N55" i="3"/>
  <c r="O55" i="3" s="1"/>
  <c r="L55" i="3"/>
  <c r="K55" i="3"/>
  <c r="H55" i="3"/>
  <c r="G55" i="3"/>
  <c r="E55" i="3"/>
  <c r="Q54" i="3"/>
  <c r="P54" i="3"/>
  <c r="O54" i="3"/>
  <c r="N54" i="3"/>
  <c r="L54" i="3"/>
  <c r="K54" i="3"/>
  <c r="H54" i="3"/>
  <c r="G54" i="3"/>
  <c r="E54" i="3"/>
  <c r="Q53" i="3"/>
  <c r="P53" i="3"/>
  <c r="N53" i="3"/>
  <c r="O53" i="3" s="1"/>
  <c r="L53" i="3"/>
  <c r="K53" i="3"/>
  <c r="H53" i="3"/>
  <c r="G53" i="3"/>
  <c r="E53" i="3"/>
  <c r="Q52" i="3"/>
  <c r="P52" i="3"/>
  <c r="N52" i="3"/>
  <c r="O52" i="3" s="1"/>
  <c r="L52" i="3"/>
  <c r="K52" i="3"/>
  <c r="H52" i="3"/>
  <c r="G52" i="3"/>
  <c r="E52" i="3"/>
  <c r="Q51" i="3"/>
  <c r="P51" i="3"/>
  <c r="O51" i="3"/>
  <c r="N51" i="3"/>
  <c r="L51" i="3"/>
  <c r="K51" i="3"/>
  <c r="H51" i="3"/>
  <c r="G51" i="3"/>
  <c r="E51" i="3"/>
  <c r="Q50" i="3"/>
  <c r="P50" i="3"/>
  <c r="O50" i="3"/>
  <c r="N50" i="3"/>
  <c r="L50" i="3"/>
  <c r="K50" i="3"/>
  <c r="H50" i="3"/>
  <c r="G50" i="3"/>
  <c r="E50" i="3"/>
  <c r="Q49" i="3"/>
  <c r="P49" i="3"/>
  <c r="N49" i="3"/>
  <c r="O49" i="3" s="1"/>
  <c r="L49" i="3"/>
  <c r="K49" i="3"/>
  <c r="H49" i="3"/>
  <c r="G49" i="3"/>
  <c r="E49" i="3"/>
  <c r="Q48" i="3"/>
  <c r="P48" i="3"/>
  <c r="N48" i="3"/>
  <c r="O48" i="3" s="1"/>
  <c r="L48" i="3"/>
  <c r="K48" i="3"/>
  <c r="H48" i="3"/>
  <c r="G48" i="3"/>
  <c r="E48" i="3"/>
  <c r="Q47" i="3"/>
  <c r="P47" i="3"/>
  <c r="N47" i="3"/>
  <c r="O47" i="3" s="1"/>
  <c r="L47" i="3"/>
  <c r="K47" i="3"/>
  <c r="H47" i="3"/>
  <c r="G47" i="3"/>
  <c r="E47" i="3"/>
  <c r="Q46" i="3"/>
  <c r="P46" i="3"/>
  <c r="N46" i="3"/>
  <c r="O46" i="3" s="1"/>
  <c r="L46" i="3"/>
  <c r="K46" i="3"/>
  <c r="H46" i="3"/>
  <c r="G46" i="3"/>
  <c r="E46" i="3"/>
  <c r="Q45" i="3"/>
  <c r="P45" i="3"/>
  <c r="N45" i="3"/>
  <c r="O45" i="3" s="1"/>
  <c r="L45" i="3"/>
  <c r="K45" i="3"/>
  <c r="H45" i="3"/>
  <c r="G45" i="3"/>
  <c r="E45" i="3"/>
  <c r="Q44" i="3"/>
  <c r="P44" i="3"/>
  <c r="N44" i="3"/>
  <c r="O44" i="3" s="1"/>
  <c r="L44" i="3"/>
  <c r="K44" i="3"/>
  <c r="H44" i="3"/>
  <c r="G44" i="3"/>
  <c r="E44" i="3"/>
  <c r="Q43" i="3"/>
  <c r="P43" i="3"/>
  <c r="O43" i="3"/>
  <c r="N43" i="3"/>
  <c r="L43" i="3"/>
  <c r="K43" i="3"/>
  <c r="H43" i="3"/>
  <c r="G43" i="3"/>
  <c r="E43" i="3"/>
  <c r="Q42" i="3"/>
  <c r="P42" i="3"/>
  <c r="N42" i="3"/>
  <c r="O42" i="3" s="1"/>
  <c r="L42" i="3"/>
  <c r="K42" i="3"/>
  <c r="H42" i="3"/>
  <c r="G42" i="3"/>
  <c r="E42" i="3"/>
  <c r="Q41" i="3"/>
  <c r="P41" i="3"/>
  <c r="N41" i="3"/>
  <c r="O41" i="3" s="1"/>
  <c r="L41" i="3"/>
  <c r="K41" i="3"/>
  <c r="H41" i="3"/>
  <c r="G41" i="3"/>
  <c r="E41" i="3"/>
  <c r="Q40" i="3"/>
  <c r="P40" i="3"/>
  <c r="O40" i="3"/>
  <c r="N40" i="3"/>
  <c r="L40" i="3"/>
  <c r="K40" i="3"/>
  <c r="H40" i="3"/>
  <c r="G40" i="3"/>
  <c r="E40" i="3"/>
  <c r="Q39" i="3"/>
  <c r="P39" i="3"/>
  <c r="N39" i="3"/>
  <c r="O39" i="3" s="1"/>
  <c r="L39" i="3"/>
  <c r="K39" i="3"/>
  <c r="H39" i="3"/>
  <c r="G39" i="3"/>
  <c r="E39" i="3"/>
  <c r="Q38" i="3"/>
  <c r="P38" i="3"/>
  <c r="N38" i="3"/>
  <c r="O38" i="3" s="1"/>
  <c r="L38" i="3"/>
  <c r="K38" i="3"/>
  <c r="H38" i="3"/>
  <c r="G38" i="3"/>
  <c r="E38" i="3"/>
  <c r="Q37" i="3"/>
  <c r="P37" i="3"/>
  <c r="N37" i="3"/>
  <c r="O37" i="3" s="1"/>
  <c r="L37" i="3"/>
  <c r="K37" i="3"/>
  <c r="H37" i="3"/>
  <c r="G37" i="3"/>
  <c r="E37" i="3"/>
  <c r="Q36" i="3"/>
  <c r="P36" i="3"/>
  <c r="O36" i="3"/>
  <c r="N36" i="3"/>
  <c r="L36" i="3"/>
  <c r="K36" i="3"/>
  <c r="H36" i="3"/>
  <c r="G36" i="3"/>
  <c r="E36" i="3"/>
  <c r="Q35" i="3"/>
  <c r="P35" i="3"/>
  <c r="N35" i="3"/>
  <c r="O35" i="3" s="1"/>
  <c r="L35" i="3"/>
  <c r="K35" i="3"/>
  <c r="H35" i="3"/>
  <c r="G35" i="3"/>
  <c r="E35" i="3"/>
  <c r="Q34" i="3"/>
  <c r="P34" i="3"/>
  <c r="O34" i="3"/>
  <c r="N34" i="3"/>
  <c r="L34" i="3"/>
  <c r="K34" i="3"/>
  <c r="H34" i="3"/>
  <c r="G34" i="3"/>
  <c r="E34" i="3"/>
  <c r="N33" i="3"/>
  <c r="L33" i="3"/>
  <c r="K33" i="3"/>
  <c r="H33" i="3"/>
  <c r="P33" i="3" s="1"/>
  <c r="G33" i="3"/>
  <c r="Q33" i="3" s="1"/>
  <c r="E47" i="1" s="1"/>
  <c r="E33" i="3"/>
  <c r="Q32" i="3"/>
  <c r="P32" i="3"/>
  <c r="N32" i="3"/>
  <c r="O32" i="3" s="1"/>
  <c r="L32" i="3"/>
  <c r="K32" i="3"/>
  <c r="H32" i="3"/>
  <c r="G32" i="3"/>
  <c r="E32" i="3"/>
  <c r="Q31" i="3"/>
  <c r="P31" i="3"/>
  <c r="N31" i="3"/>
  <c r="L31" i="3"/>
  <c r="K31" i="3"/>
  <c r="H31" i="3"/>
  <c r="G31" i="3"/>
  <c r="O31" i="3" s="1"/>
  <c r="E31" i="3"/>
  <c r="Q30" i="3"/>
  <c r="E45" i="1" s="1"/>
  <c r="P30" i="3"/>
  <c r="D45" i="1" s="1"/>
  <c r="F45" i="1" s="1"/>
  <c r="N30" i="3"/>
  <c r="O30" i="3" s="1"/>
  <c r="L30" i="3"/>
  <c r="K30" i="3"/>
  <c r="H30" i="3"/>
  <c r="G30" i="3"/>
  <c r="E30" i="3"/>
  <c r="Q29" i="3"/>
  <c r="P29" i="3"/>
  <c r="N29" i="3"/>
  <c r="O29" i="3" s="1"/>
  <c r="L29" i="3"/>
  <c r="K29" i="3"/>
  <c r="H29" i="3"/>
  <c r="G29" i="3"/>
  <c r="E29" i="3"/>
  <c r="N28" i="3"/>
  <c r="O28" i="3" s="1"/>
  <c r="L28" i="3"/>
  <c r="K28" i="3"/>
  <c r="H28" i="3"/>
  <c r="P28" i="3" s="1"/>
  <c r="D44" i="1" s="1"/>
  <c r="G28" i="3"/>
  <c r="Q28" i="3" s="1"/>
  <c r="E28" i="3"/>
  <c r="N27" i="3"/>
  <c r="O27" i="3" s="1"/>
  <c r="L27" i="3"/>
  <c r="K27" i="3"/>
  <c r="H27" i="3"/>
  <c r="P27" i="3" s="1"/>
  <c r="G27" i="3"/>
  <c r="Q27" i="3" s="1"/>
  <c r="E27" i="3"/>
  <c r="Q26" i="3"/>
  <c r="P26" i="3"/>
  <c r="N26" i="3"/>
  <c r="O26" i="3" s="1"/>
  <c r="L26" i="3"/>
  <c r="K26" i="3"/>
  <c r="H26" i="3"/>
  <c r="G26" i="3"/>
  <c r="E26" i="3"/>
  <c r="Q25" i="3"/>
  <c r="P25" i="3"/>
  <c r="N25" i="3"/>
  <c r="L25" i="3"/>
  <c r="K25" i="3"/>
  <c r="H25" i="3"/>
  <c r="G25" i="3"/>
  <c r="O25" i="3" s="1"/>
  <c r="E25" i="3"/>
  <c r="N24" i="3"/>
  <c r="L24" i="3"/>
  <c r="K24" i="3"/>
  <c r="H24" i="3"/>
  <c r="P24" i="3" s="1"/>
  <c r="G24" i="3"/>
  <c r="Q24" i="3" s="1"/>
  <c r="E24" i="3"/>
  <c r="Q23" i="3"/>
  <c r="E43" i="1" s="1"/>
  <c r="P23" i="3"/>
  <c r="O23" i="3"/>
  <c r="N23" i="3"/>
  <c r="L23" i="3"/>
  <c r="K23" i="3"/>
  <c r="H23" i="3"/>
  <c r="G23" i="3"/>
  <c r="E23" i="3"/>
  <c r="N22" i="3"/>
  <c r="O22" i="3" s="1"/>
  <c r="L22" i="3"/>
  <c r="K22" i="3"/>
  <c r="H22" i="3"/>
  <c r="P22" i="3" s="1"/>
  <c r="D43" i="1" s="1"/>
  <c r="F43" i="1" s="1"/>
  <c r="G22" i="3"/>
  <c r="Q22" i="3" s="1"/>
  <c r="E22" i="3"/>
  <c r="Q21" i="3"/>
  <c r="P21" i="3"/>
  <c r="O21" i="3"/>
  <c r="N21" i="3"/>
  <c r="L21" i="3"/>
  <c r="K21" i="3"/>
  <c r="H21" i="3"/>
  <c r="G21" i="3"/>
  <c r="E21" i="3"/>
  <c r="Q20" i="3"/>
  <c r="P20" i="3"/>
  <c r="N20" i="3"/>
  <c r="L20" i="3"/>
  <c r="K20" i="3"/>
  <c r="H20" i="3"/>
  <c r="G20" i="3"/>
  <c r="O20" i="3" s="1"/>
  <c r="E20" i="3"/>
  <c r="Q19" i="3"/>
  <c r="P19" i="3"/>
  <c r="N19" i="3"/>
  <c r="O19" i="3" s="1"/>
  <c r="L19" i="3"/>
  <c r="K19" i="3"/>
  <c r="H19" i="3"/>
  <c r="G19" i="3"/>
  <c r="E19" i="3"/>
  <c r="Q18" i="3"/>
  <c r="P18" i="3"/>
  <c r="N18" i="3"/>
  <c r="O18" i="3" s="1"/>
  <c r="L18" i="3"/>
  <c r="K18" i="3"/>
  <c r="H18" i="3"/>
  <c r="G18" i="3"/>
  <c r="E18" i="3"/>
  <c r="Q17" i="3"/>
  <c r="P17" i="3"/>
  <c r="N17" i="3"/>
  <c r="O17" i="3" s="1"/>
  <c r="L17" i="3"/>
  <c r="K17" i="3"/>
  <c r="H17" i="3"/>
  <c r="G17" i="3"/>
  <c r="E17" i="3"/>
  <c r="Q16" i="3"/>
  <c r="P16" i="3"/>
  <c r="N16" i="3"/>
  <c r="L16" i="3"/>
  <c r="K16" i="3"/>
  <c r="H16" i="3"/>
  <c r="G16" i="3"/>
  <c r="O16" i="3" s="1"/>
  <c r="E16" i="3"/>
  <c r="Q15" i="3"/>
  <c r="P15" i="3"/>
  <c r="N15" i="3"/>
  <c r="O15" i="3" s="1"/>
  <c r="L15" i="3"/>
  <c r="K15" i="3"/>
  <c r="H15" i="3"/>
  <c r="G15" i="3"/>
  <c r="E15" i="3"/>
  <c r="Q14" i="3"/>
  <c r="P14" i="3"/>
  <c r="O14" i="3"/>
  <c r="N14" i="3"/>
  <c r="L14" i="3"/>
  <c r="K14" i="3"/>
  <c r="H14" i="3"/>
  <c r="G14" i="3"/>
  <c r="E14" i="3"/>
  <c r="Q13" i="3"/>
  <c r="P13" i="3"/>
  <c r="N13" i="3"/>
  <c r="L13" i="3"/>
  <c r="K13" i="3"/>
  <c r="H13" i="3"/>
  <c r="G13" i="3"/>
  <c r="E13" i="3"/>
  <c r="Q12" i="3"/>
  <c r="P12" i="3"/>
  <c r="N12" i="3"/>
  <c r="O12" i="3" s="1"/>
  <c r="L12" i="3"/>
  <c r="K12" i="3"/>
  <c r="H12" i="3"/>
  <c r="G12" i="3"/>
  <c r="E12" i="3"/>
  <c r="Q11" i="3"/>
  <c r="P11" i="3"/>
  <c r="N11" i="3"/>
  <c r="L11" i="3"/>
  <c r="K11" i="3"/>
  <c r="H11" i="3"/>
  <c r="G11" i="3"/>
  <c r="O11" i="3" s="1"/>
  <c r="E11" i="3"/>
  <c r="Q10" i="3"/>
  <c r="P10" i="3"/>
  <c r="N10" i="3"/>
  <c r="O10" i="3" s="1"/>
  <c r="L10" i="3"/>
  <c r="K10" i="3"/>
  <c r="H10" i="3"/>
  <c r="G10" i="3"/>
  <c r="E10" i="3"/>
  <c r="Q9" i="3"/>
  <c r="P9" i="3"/>
  <c r="N9" i="3"/>
  <c r="O9" i="3" s="1"/>
  <c r="L9" i="3"/>
  <c r="K9" i="3"/>
  <c r="H9" i="3"/>
  <c r="G9" i="3"/>
  <c r="E9" i="3"/>
  <c r="Q8" i="3"/>
  <c r="P8" i="3"/>
  <c r="N8" i="3"/>
  <c r="O8" i="3" s="1"/>
  <c r="L8" i="3"/>
  <c r="K8" i="3"/>
  <c r="H8" i="3"/>
  <c r="G8" i="3"/>
  <c r="E8" i="3"/>
  <c r="E53" i="1"/>
  <c r="D53" i="1"/>
  <c r="F53" i="1" s="1"/>
  <c r="C53" i="1"/>
  <c r="B53" i="1"/>
  <c r="F52" i="1"/>
  <c r="E52" i="1"/>
  <c r="D52" i="1"/>
  <c r="C52" i="1"/>
  <c r="B52" i="1"/>
  <c r="E51" i="1"/>
  <c r="D51" i="1"/>
  <c r="F51" i="1" s="1"/>
  <c r="C51" i="1"/>
  <c r="B51" i="1"/>
  <c r="E50" i="1"/>
  <c r="D50" i="1"/>
  <c r="F50" i="1" s="1"/>
  <c r="C50" i="1"/>
  <c r="B50" i="1"/>
  <c r="E49" i="1"/>
  <c r="D49" i="1"/>
  <c r="F49" i="1" s="1"/>
  <c r="C49" i="1"/>
  <c r="B49" i="1"/>
  <c r="F48" i="1"/>
  <c r="E48" i="1"/>
  <c r="D48" i="1"/>
  <c r="C48" i="1"/>
  <c r="B48" i="1"/>
  <c r="D47" i="1"/>
  <c r="C47" i="1"/>
  <c r="B47" i="1"/>
  <c r="E46" i="1"/>
  <c r="D46" i="1"/>
  <c r="F46" i="1" s="1"/>
  <c r="C46" i="1"/>
  <c r="B46" i="1"/>
  <c r="C45" i="1"/>
  <c r="B45" i="1"/>
  <c r="C44" i="1"/>
  <c r="B44" i="1"/>
  <c r="C43" i="1"/>
  <c r="B43" i="1"/>
  <c r="C42" i="1"/>
  <c r="B42" i="1"/>
  <c r="G37" i="1"/>
  <c r="F37" i="1"/>
  <c r="E37" i="1"/>
  <c r="D37" i="1"/>
  <c r="A37" i="1"/>
  <c r="K36" i="1"/>
  <c r="J36" i="1"/>
  <c r="I36" i="1"/>
  <c r="G36" i="1"/>
  <c r="F36" i="1"/>
  <c r="E36" i="1"/>
  <c r="D36" i="1"/>
  <c r="C36" i="1"/>
  <c r="B36" i="1"/>
  <c r="A36" i="1"/>
  <c r="H36" i="1" s="1"/>
  <c r="I35" i="1"/>
  <c r="H35" i="1"/>
  <c r="G35" i="1"/>
  <c r="F35" i="1"/>
  <c r="E35" i="1"/>
  <c r="D35" i="1"/>
  <c r="C35" i="1"/>
  <c r="B35" i="1"/>
  <c r="A35" i="1"/>
  <c r="K34" i="1"/>
  <c r="E34" i="1"/>
  <c r="A34" i="1"/>
  <c r="J34" i="1" s="1"/>
  <c r="K33" i="1"/>
  <c r="J33" i="1"/>
  <c r="I33" i="1"/>
  <c r="H33" i="1"/>
  <c r="G33" i="1"/>
  <c r="F33" i="1"/>
  <c r="E33" i="1"/>
  <c r="D33" i="1"/>
  <c r="C33" i="1"/>
  <c r="B33" i="1"/>
  <c r="A33" i="1"/>
  <c r="A32" i="1"/>
  <c r="B32" i="1" s="1"/>
  <c r="K31" i="1"/>
  <c r="J31" i="1"/>
  <c r="I31" i="1"/>
  <c r="H31" i="1"/>
  <c r="G31" i="1"/>
  <c r="F31" i="1"/>
  <c r="E31" i="1"/>
  <c r="D31" i="1"/>
  <c r="A31" i="1"/>
  <c r="C31" i="1" s="1"/>
  <c r="I30" i="1"/>
  <c r="D30" i="1"/>
  <c r="C30" i="1"/>
  <c r="A30" i="1"/>
  <c r="K29" i="1"/>
  <c r="I29" i="1"/>
  <c r="F29" i="1"/>
  <c r="B29" i="1"/>
  <c r="A29" i="1"/>
  <c r="E29" i="1" s="1"/>
  <c r="E28" i="1"/>
  <c r="C28" i="1"/>
  <c r="A28" i="1"/>
  <c r="K27" i="1"/>
  <c r="I27" i="1"/>
  <c r="B27" i="1"/>
  <c r="A27" i="1"/>
  <c r="F26" i="1"/>
  <c r="E26" i="1"/>
  <c r="C26" i="1"/>
  <c r="B26" i="1"/>
  <c r="A26" i="1"/>
  <c r="K25" i="1"/>
  <c r="F25" i="1"/>
  <c r="E25" i="1"/>
  <c r="C25" i="1"/>
  <c r="A25" i="1"/>
  <c r="I25" i="1" s="1"/>
  <c r="A24" i="1"/>
  <c r="K24" i="1" s="1"/>
  <c r="A23" i="1"/>
  <c r="K22" i="1"/>
  <c r="I22" i="1"/>
  <c r="F22" i="1"/>
  <c r="E22" i="1"/>
  <c r="D22" i="1"/>
  <c r="J22" i="1" s="1"/>
  <c r="C22" i="1"/>
  <c r="A22" i="1"/>
  <c r="B22" i="1" s="1"/>
  <c r="A21" i="1"/>
  <c r="K20" i="1"/>
  <c r="I20" i="1"/>
  <c r="F20" i="1"/>
  <c r="E20" i="1"/>
  <c r="A20" i="1"/>
  <c r="A19" i="1"/>
  <c r="C19" i="1" s="1"/>
  <c r="A18" i="1"/>
  <c r="A8" i="1"/>
  <c r="J8" i="1" l="1"/>
  <c r="E44" i="1"/>
  <c r="F44" i="1"/>
  <c r="F47" i="1"/>
  <c r="D26" i="1"/>
  <c r="G26" i="1" s="1"/>
  <c r="F18" i="1"/>
  <c r="E18" i="1"/>
  <c r="D18" i="1"/>
  <c r="J18" i="1" s="1"/>
  <c r="C18" i="1"/>
  <c r="B18" i="1"/>
  <c r="G18" i="1"/>
  <c r="B21" i="1"/>
  <c r="F24" i="1"/>
  <c r="H24" i="1" s="1"/>
  <c r="D13" i="1"/>
  <c r="H18" i="1"/>
  <c r="C21" i="1"/>
  <c r="K30" i="1"/>
  <c r="J30" i="1"/>
  <c r="H30" i="1"/>
  <c r="E30" i="1"/>
  <c r="G30" i="1"/>
  <c r="F30" i="1"/>
  <c r="I18" i="1"/>
  <c r="B30" i="1"/>
  <c r="B19" i="1"/>
  <c r="I28" i="1"/>
  <c r="O15" i="4"/>
  <c r="B24" i="1"/>
  <c r="C24" i="1"/>
  <c r="I24" i="1"/>
  <c r="J24" i="1" s="1"/>
  <c r="O19" i="4"/>
  <c r="D25" i="1"/>
  <c r="B28" i="1"/>
  <c r="G22" i="1"/>
  <c r="K19" i="1"/>
  <c r="I19" i="1"/>
  <c r="F19" i="1"/>
  <c r="D19" i="1"/>
  <c r="J19" i="1" s="1"/>
  <c r="E19" i="1"/>
  <c r="H22" i="1"/>
  <c r="H25" i="1"/>
  <c r="D28" i="1"/>
  <c r="J28" i="1" s="1"/>
  <c r="K18" i="1"/>
  <c r="K37" i="1"/>
  <c r="H37" i="1"/>
  <c r="J37" i="1"/>
  <c r="I37" i="1"/>
  <c r="K32" i="1"/>
  <c r="J32" i="1"/>
  <c r="I32" i="1"/>
  <c r="G32" i="1"/>
  <c r="H32" i="1"/>
  <c r="F32" i="1"/>
  <c r="C32" i="1"/>
  <c r="E32" i="1"/>
  <c r="D32" i="1"/>
  <c r="O9" i="4"/>
  <c r="D24" i="1"/>
  <c r="G24" i="1" s="1"/>
  <c r="K21" i="1"/>
  <c r="I21" i="1"/>
  <c r="D21" i="1"/>
  <c r="J21" i="1" s="1"/>
  <c r="F21" i="1"/>
  <c r="H21" i="1" s="1"/>
  <c r="E21" i="1"/>
  <c r="E42" i="1"/>
  <c r="O13" i="3"/>
  <c r="O33" i="3"/>
  <c r="G13" i="1"/>
  <c r="D20" i="1"/>
  <c r="H20" i="1" s="1"/>
  <c r="F28" i="1"/>
  <c r="J35" i="1"/>
  <c r="K35" i="1"/>
  <c r="B37" i="1"/>
  <c r="O24" i="3"/>
  <c r="O8" i="4"/>
  <c r="A13" i="1" s="1"/>
  <c r="K23" i="1"/>
  <c r="I23" i="1"/>
  <c r="E23" i="1"/>
  <c r="B23" i="1"/>
  <c r="D23" i="1"/>
  <c r="J23" i="1" s="1"/>
  <c r="C23" i="1"/>
  <c r="F23" i="1"/>
  <c r="H23" i="1" s="1"/>
  <c r="D42" i="1"/>
  <c r="J13" i="1"/>
  <c r="E24" i="1"/>
  <c r="I26" i="1"/>
  <c r="K26" i="1"/>
  <c r="K28" i="1"/>
  <c r="C37" i="1"/>
  <c r="B34" i="1"/>
  <c r="J16" i="4"/>
  <c r="B25" i="1"/>
  <c r="C34" i="1"/>
  <c r="D34" i="1"/>
  <c r="C27" i="1"/>
  <c r="F34" i="1"/>
  <c r="D27" i="1"/>
  <c r="J27" i="1" s="1"/>
  <c r="G34" i="1"/>
  <c r="B20" i="1"/>
  <c r="E27" i="1"/>
  <c r="C29" i="1"/>
  <c r="H34" i="1"/>
  <c r="C20" i="1"/>
  <c r="F27" i="1"/>
  <c r="D29" i="1"/>
  <c r="H29" i="1" s="1"/>
  <c r="B31" i="1"/>
  <c r="I34" i="1"/>
  <c r="G23" i="1" l="1"/>
  <c r="H19" i="1"/>
  <c r="H26" i="1"/>
  <c r="J26" i="1"/>
  <c r="G21" i="1"/>
  <c r="I42" i="1"/>
  <c r="I45" i="1"/>
  <c r="I44" i="1"/>
  <c r="I47" i="1"/>
  <c r="I46" i="1"/>
  <c r="G20" i="1"/>
  <c r="J20" i="1"/>
  <c r="D8" i="1" s="1"/>
  <c r="H28" i="1"/>
  <c r="G8" i="1"/>
  <c r="G19" i="1"/>
  <c r="H27" i="1"/>
  <c r="J29" i="1"/>
  <c r="G29" i="1"/>
  <c r="G25" i="1"/>
  <c r="J25" i="1"/>
  <c r="G27" i="1"/>
  <c r="G28" i="1"/>
  <c r="F42" i="1"/>
  <c r="I43" i="1" l="1"/>
</calcChain>
</file>

<file path=xl/sharedStrings.xml><?xml version="1.0" encoding="utf-8"?>
<sst xmlns="http://schemas.openxmlformats.org/spreadsheetml/2006/main" count="468" uniqueCount="229">
  <si>
    <t>WARENWIRTSCHAFTSSYSTEM · ÜBERSICHT</t>
  </si>
  <si>
    <t>Automatische Auswertung von Lagerbestand, Aufträgen, Umsatz und Rohertrag · Vorlage 2026</t>
  </si>
  <si>
    <t>Auswertungsjahr</t>
  </si>
  <si>
    <t>Hinweis: Bestände werden aus allen Bewegungen berechnet; Umsatz und Rohertrag beziehen sich auf das gewählte Jahr.</t>
  </si>
  <si>
    <t>Aktive Artikel</t>
  </si>
  <si>
    <t>Lagerwert (EK)</t>
  </si>
  <si>
    <t>Artikel mit Handlungsbedarf</t>
  </si>
  <si>
    <t>Umsatz netto</t>
  </si>
  <si>
    <t>Offener Einkaufswert</t>
  </si>
  <si>
    <t>Offener Verkaufswert</t>
  </si>
  <si>
    <t>Offene Positionen</t>
  </si>
  <si>
    <t>Rohertrag</t>
  </si>
  <si>
    <t>BESTANDSSTATUS JE ARTIKEL</t>
  </si>
  <si>
    <t>Artikel-ID</t>
  </si>
  <si>
    <t>Artikelbezeichnung</t>
  </si>
  <si>
    <t>Warengruppe</t>
  </si>
  <si>
    <t>Bestand</t>
  </si>
  <si>
    <t>Mindestbestand</t>
  </si>
  <si>
    <t>Zielbestand</t>
  </si>
  <si>
    <t>Status</t>
  </si>
  <si>
    <t>Bestellvorschlag</t>
  </si>
  <si>
    <t>EK-Preis</t>
  </si>
  <si>
    <t>Lagerwert</t>
  </si>
  <si>
    <t>Abgang im Jahr</t>
  </si>
  <si>
    <t>MONATSENTWICKLUNG</t>
  </si>
  <si>
    <t>LAGERWERT NACH WARENGRUPPE</t>
  </si>
  <si>
    <t>Monat</t>
  </si>
  <si>
    <t>Zugänge</t>
  </si>
  <si>
    <t>Abgänge</t>
  </si>
  <si>
    <t>Wareneinsatz</t>
  </si>
  <si>
    <t>Jan</t>
  </si>
  <si>
    <t>Verpackung</t>
  </si>
  <si>
    <t>Feb</t>
  </si>
  <si>
    <t>Kennzeichnung</t>
  </si>
  <si>
    <t>Mär</t>
  </si>
  <si>
    <t>Reinigung</t>
  </si>
  <si>
    <t>Apr</t>
  </si>
  <si>
    <t>Arbeitsschutz</t>
  </si>
  <si>
    <t>Mai</t>
  </si>
  <si>
    <t>Technik</t>
  </si>
  <si>
    <t>Jun</t>
  </si>
  <si>
    <t>Bürobedarf</t>
  </si>
  <si>
    <t>Jul</t>
  </si>
  <si>
    <t>Aug</t>
  </si>
  <si>
    <t>Nutzung:
1. Artikel und Partner in „Stammdaten“ anlegen.
2. Bestellungen und Verkäufe in „Aufträge“ erfassen.
3. Reale Ein- und Ausgänge in „Warenbewegungen“ buchen.
4. Die Übersicht aktualisiert sich automatisch.</t>
  </si>
  <si>
    <t>Sep</t>
  </si>
  <si>
    <t>Okt</t>
  </si>
  <si>
    <t>Nov</t>
  </si>
  <si>
    <t>Dez</t>
  </si>
  <si>
    <t>WARENWIRTSCHAFTSSYSTEM · STAMMDATEN</t>
  </si>
  <si>
    <t>Artikel und Geschäftspartner zentral pflegen · Blaue Felder sind Eingaben · Graue Felder werden automatisch berechnet</t>
  </si>
  <si>
    <t>ARTIKELSTAMM</t>
  </si>
  <si>
    <t>GESCHÄFTSPARTNER</t>
  </si>
  <si>
    <t>Einheit</t>
  </si>
  <si>
    <t>EK-Preis netto</t>
  </si>
  <si>
    <t>VK-Preis netto</t>
  </si>
  <si>
    <t>MwSt.</t>
  </si>
  <si>
    <t>Lagerort</t>
  </si>
  <si>
    <t>Standardlieferant</t>
  </si>
  <si>
    <t>Aktiv</t>
  </si>
  <si>
    <t>Partner-ID</t>
  </si>
  <si>
    <t>Typ</t>
  </si>
  <si>
    <t>Firmenname</t>
  </si>
  <si>
    <t>Ansprechpartner</t>
  </si>
  <si>
    <t>E-Mail</t>
  </si>
  <si>
    <t>Telefon</t>
  </si>
  <si>
    <t>Zahlungsziel (Tage)</t>
  </si>
  <si>
    <t>Lieferzeit (Tage)</t>
  </si>
  <si>
    <t>ART-1001</t>
  </si>
  <si>
    <t>Mehrzweckbox M</t>
  </si>
  <si>
    <t>Stk.</t>
  </si>
  <si>
    <t>A-01</t>
  </si>
  <si>
    <t>L-101</t>
  </si>
  <si>
    <t>Ja</t>
  </si>
  <si>
    <t>L-100</t>
  </si>
  <si>
    <t>Lieferant</t>
  </si>
  <si>
    <t>Nordwerk Handelskontor</t>
  </si>
  <si>
    <t>Mara König</t>
  </si>
  <si>
    <t>einkauf@nordwerk-beispiel.de</t>
  </si>
  <si>
    <t>+49 40 555 0101</t>
  </si>
  <si>
    <t>ART-1002</t>
  </si>
  <si>
    <t>Versandkarton S</t>
  </si>
  <si>
    <t>A-02</t>
  </si>
  <si>
    <t>PackForm Logistikbedarf</t>
  </si>
  <si>
    <t>Jonas Reuter</t>
  </si>
  <si>
    <t>service@packform-beispiel.de</t>
  </si>
  <si>
    <t>+49 421 555 0142</t>
  </si>
  <si>
    <t>ART-1003</t>
  </si>
  <si>
    <t>Etikettenrolle 100 × 150</t>
  </si>
  <si>
    <t>Rolle</t>
  </si>
  <si>
    <t>B-01</t>
  </si>
  <si>
    <t>L-102</t>
  </si>
  <si>
    <t>Technikquelle GmbH</t>
  </si>
  <si>
    <t>Leonie Winter</t>
  </si>
  <si>
    <t>auftrag@technikquelle-beispiel.de</t>
  </si>
  <si>
    <t>+49 511 555 0188</t>
  </si>
  <si>
    <t>ART-1004</t>
  </si>
  <si>
    <t>Reinigungskonzentrat 1 L</t>
  </si>
  <si>
    <t>Liter</t>
  </si>
  <si>
    <t>B-02</t>
  </si>
  <si>
    <t>L-103</t>
  </si>
  <si>
    <t>SauberPro Handel</t>
  </si>
  <si>
    <t>Deniz Aydin</t>
  </si>
  <si>
    <t>kontakt@sauberpro-beispiel.de</t>
  </si>
  <si>
    <t>+49 231 555 0164</t>
  </si>
  <si>
    <t>ART-1005</t>
  </si>
  <si>
    <t>Arbeitshandschuhe Größe L</t>
  </si>
  <si>
    <t>Paar</t>
  </si>
  <si>
    <t>C-01</t>
  </si>
  <si>
    <t>K-200</t>
  </si>
  <si>
    <t>Kunde</t>
  </si>
  <si>
    <t>Elbblick Service GmbH</t>
  </si>
  <si>
    <t>Nina Brandt</t>
  </si>
  <si>
    <t>bestellung@elbblick-beispiel.de</t>
  </si>
  <si>
    <t>+49 40 555 0217</t>
  </si>
  <si>
    <t>ART-1006</t>
  </si>
  <si>
    <t>USB-C-Ladekabel 1 m</t>
  </si>
  <si>
    <t>C-02</t>
  </si>
  <si>
    <t>K-201</t>
  </si>
  <si>
    <t>Rhein-Main Projektbüro</t>
  </si>
  <si>
    <t>Tobias Kern</t>
  </si>
  <si>
    <t>office@rheinmain-beispiel.de</t>
  </si>
  <si>
    <t>+49 69 555 0249</t>
  </si>
  <si>
    <t>ART-1007</t>
  </si>
  <si>
    <t>LED-Arbeitsleuchte</t>
  </si>
  <si>
    <t>C-03</t>
  </si>
  <si>
    <t>K-202</t>
  </si>
  <si>
    <t>Weser Betriebsservice</t>
  </si>
  <si>
    <t>Sina Vogt</t>
  </si>
  <si>
    <t>disposition@weser-beispiel.de</t>
  </si>
  <si>
    <t>+49 421 555 0286</t>
  </si>
  <si>
    <t>ART-1008</t>
  </si>
  <si>
    <t>Kopierpapier A4</t>
  </si>
  <si>
    <t>Pkg.</t>
  </si>
  <si>
    <t>D-01</t>
  </si>
  <si>
    <t>P-300</t>
  </si>
  <si>
    <t>Beides</t>
  </si>
  <si>
    <t>Hanseatic Warenpartner</t>
  </si>
  <si>
    <t>Felix Arndt</t>
  </si>
  <si>
    <t>handel@hanseatic-beispiel.de</t>
  </si>
  <si>
    <t>+49 441 555 0312</t>
  </si>
  <si>
    <t>ART-1009</t>
  </si>
  <si>
    <t>Klebeband transparent</t>
  </si>
  <si>
    <t>D-02</t>
  </si>
  <si>
    <t>ART-1010</t>
  </si>
  <si>
    <t>Mehrfachsteckdose 6-fach</t>
  </si>
  <si>
    <t>E-01</t>
  </si>
  <si>
    <t>ART-1011</t>
  </si>
  <si>
    <t>Schutzbrille klar</t>
  </si>
  <si>
    <t>E-02</t>
  </si>
  <si>
    <t>ART-1012</t>
  </si>
  <si>
    <t>Notizblock A5</t>
  </si>
  <si>
    <t>E-03</t>
  </si>
  <si>
    <t>WARENBEWEGUNGEN</t>
  </si>
  <si>
    <t>Jede Bestandsänderung wird hier gebucht · Artikel-, Preis- und Wertdaten werden automatisch aus den Stammdaten übernommen</t>
  </si>
  <si>
    <t>EINGABE: A–D, F, I–J und M · AUTOMATIK: E, G–H, K–L und N–Q</t>
  </si>
  <si>
    <t>Bewegungs-ID</t>
  </si>
  <si>
    <t>Datum</t>
  </si>
  <si>
    <t>Bewegungsart</t>
  </si>
  <si>
    <t>Menge</t>
  </si>
  <si>
    <t>Vorgangsnummer</t>
  </si>
  <si>
    <t>Partnername</t>
  </si>
  <si>
    <t>Bemerkung</t>
  </si>
  <si>
    <t>Bestandswirkung</t>
  </si>
  <si>
    <t>Warenwert EK</t>
  </si>
  <si>
    <t>BG-2026-0001</t>
  </si>
  <si>
    <t>Korrektur +</t>
  </si>
  <si>
    <t>Anfangsbestand 2026</t>
  </si>
  <si>
    <t>BG-2026-0002</t>
  </si>
  <si>
    <t>BG-2026-0003</t>
  </si>
  <si>
    <t>BG-2026-0004</t>
  </si>
  <si>
    <t>BG-2026-0005</t>
  </si>
  <si>
    <t>BG-2026-0006</t>
  </si>
  <si>
    <t>BG-2026-0007</t>
  </si>
  <si>
    <t>BG-2026-0008</t>
  </si>
  <si>
    <t>BG-2026-0009</t>
  </si>
  <si>
    <t>BG-2026-0010</t>
  </si>
  <si>
    <t>BG-2026-0011</t>
  </si>
  <si>
    <t>BG-2026-0012</t>
  </si>
  <si>
    <t>BG-2026-0013</t>
  </si>
  <si>
    <t>Wareneingang</t>
  </si>
  <si>
    <t>EK-2026-001</t>
  </si>
  <si>
    <t>Bestellung vollständig erhalten</t>
  </si>
  <si>
    <t>BG-2026-0014</t>
  </si>
  <si>
    <t>BG-2026-0015</t>
  </si>
  <si>
    <t>Warenausgang</t>
  </si>
  <si>
    <t>VK-2026-001</t>
  </si>
  <si>
    <t>Erste Teillieferung</t>
  </si>
  <si>
    <t>BG-2026-0016</t>
  </si>
  <si>
    <t>Vollständig geliefert</t>
  </si>
  <si>
    <t>BG-2026-0017</t>
  </si>
  <si>
    <t>Restmenge geliefert</t>
  </si>
  <si>
    <t>BG-2026-0018</t>
  </si>
  <si>
    <t>EK-2026-002</t>
  </si>
  <si>
    <t>Vollständig erhalten</t>
  </si>
  <si>
    <t>BG-2026-0019</t>
  </si>
  <si>
    <t>Teillieferung 12 von 20</t>
  </si>
  <si>
    <t>BG-2026-0020</t>
  </si>
  <si>
    <t>VK-2026-002</t>
  </si>
  <si>
    <t>BG-2026-0021</t>
  </si>
  <si>
    <t>Teillieferung 6 von 10</t>
  </si>
  <si>
    <t>BG-2026-0022</t>
  </si>
  <si>
    <t>EK-2026-003</t>
  </si>
  <si>
    <t>BG-2026-0023</t>
  </si>
  <si>
    <t>VK-2026-003</t>
  </si>
  <si>
    <t>BG-2026-0024</t>
  </si>
  <si>
    <t>EK-2026-006</t>
  </si>
  <si>
    <t>BG-2026-0025</t>
  </si>
  <si>
    <t>BG-2026-0026</t>
  </si>
  <si>
    <t>VK-2026-004</t>
  </si>
  <si>
    <t>Teillieferung 12 von 22</t>
  </si>
  <si>
    <t>AUFTRÄGE · EINKAUF UND VERKAUF</t>
  </si>
  <si>
    <t>Bestellungen und Kundenaufträge in einer Liste verwalten · Offene Mengen und Restwerte werden aus den Warenbewegungen berechnet</t>
  </si>
  <si>
    <t>EINGABE: A–D, F, H, K–M · AUTOMATIK: E, G, I–J und N–O</t>
  </si>
  <si>
    <t>Preis netto</t>
  </si>
  <si>
    <t>Positionswert netto</t>
  </si>
  <si>
    <t>Solltermin</t>
  </si>
  <si>
    <t>Erledigt am</t>
  </si>
  <si>
    <t>Offene Menge</t>
  </si>
  <si>
    <t>Restwert netto</t>
  </si>
  <si>
    <t>Einkauf</t>
  </si>
  <si>
    <t>Abgeschlossen</t>
  </si>
  <si>
    <t>Verkauf</t>
  </si>
  <si>
    <t>Teilgeliefert</t>
  </si>
  <si>
    <t>EK-2026-004</t>
  </si>
  <si>
    <t>Bestellt</t>
  </si>
  <si>
    <t>EK-2026-005</t>
  </si>
  <si>
    <t>Offen</t>
  </si>
  <si>
    <t>VK-2026-005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</si>
</sst>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\.mm\.yyyy"/>
  </numFmts>
  <fonts count="8" x14ac:knownFonts="1">
    <font>
      <sz val="11"/>
      <name val="Carlito"/>
    </font>
    <font>
      <b/>
      <sz val="20"/>
      <color rgb="FFFFFFFF"/>
      <name val="Calibri"/>
    </font>
    <font>
      <sz val="10"/>
      <color rgb="FFFFFFFF"/>
      <name val="Calibri"/>
    </font>
    <font>
      <sz val="10"/>
      <color rgb="FF1D2A32"/>
      <name val="Calibri"/>
    </font>
    <font>
      <b/>
      <sz val="10"/>
      <color rgb="FF1D2A32"/>
      <name val="Calibri"/>
    </font>
    <font>
      <i/>
      <sz val="10"/>
      <color rgb="FF1D2A32"/>
      <name val="Calibri"/>
    </font>
    <font>
      <sz val="11"/>
      <name val="Carlito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203A43"/>
      </patternFill>
    </fill>
    <fill>
      <patternFill patternType="solid">
        <fgColor rgb="FF2C5364"/>
      </patternFill>
    </fill>
    <fill>
      <patternFill patternType="solid">
        <fgColor rgb="FFD89058"/>
      </patternFill>
    </fill>
    <fill>
      <patternFill patternType="solid">
        <fgColor rgb="FFE8F1F5"/>
      </patternFill>
    </fill>
    <fill>
      <patternFill patternType="solid">
        <fgColor rgb="FFF3F6F7"/>
      </patternFill>
    </fill>
    <fill>
      <patternFill patternType="solid">
        <fgColor rgb="FFEEF0F1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9D2D6"/>
      </left>
      <right/>
      <top style="thin">
        <color rgb="FFC9D2D6"/>
      </top>
      <bottom/>
      <diagonal/>
    </border>
    <border>
      <left/>
      <right/>
      <top style="thin">
        <color rgb="FFC9D2D6"/>
      </top>
      <bottom/>
      <diagonal/>
    </border>
    <border>
      <left/>
      <right style="thin">
        <color rgb="FFC9D2D6"/>
      </right>
      <top style="thin">
        <color rgb="FFC9D2D6"/>
      </top>
      <bottom/>
      <diagonal/>
    </border>
    <border>
      <left style="thin">
        <color rgb="FFC9D2D6"/>
      </left>
      <right/>
      <top/>
      <bottom/>
      <diagonal/>
    </border>
    <border>
      <left/>
      <right style="thin">
        <color rgb="FFC9D2D6"/>
      </right>
      <top/>
      <bottom/>
      <diagonal/>
    </border>
    <border>
      <left style="thin">
        <color rgb="FFC9D2D6"/>
      </left>
      <right/>
      <top/>
      <bottom style="thin">
        <color rgb="FFC9D2D6"/>
      </bottom>
      <diagonal/>
    </border>
    <border>
      <left/>
      <right/>
      <top/>
      <bottom style="thin">
        <color rgb="FFC9D2D6"/>
      </bottom>
      <diagonal/>
    </border>
    <border>
      <left/>
      <right style="thin">
        <color rgb="FFC9D2D6"/>
      </right>
      <top/>
      <bottom style="thin">
        <color rgb="FFC9D2D6"/>
      </bottom>
      <diagonal/>
    </border>
    <border>
      <left style="thin">
        <color rgb="FFC9D2D6"/>
      </left>
      <right style="thin">
        <color rgb="FFC9D2D6"/>
      </right>
      <top style="thin">
        <color rgb="FFC9D2D6"/>
      </top>
      <bottom/>
      <diagonal/>
    </border>
    <border>
      <left style="thin">
        <color rgb="FFC9D2D6"/>
      </left>
      <right style="thin">
        <color rgb="FFC9D2D6"/>
      </right>
      <top/>
      <bottom/>
      <diagonal/>
    </border>
    <border>
      <left style="thin">
        <color rgb="FFC9D2D6"/>
      </left>
      <right style="thin">
        <color rgb="FFC9D2D6"/>
      </right>
      <top/>
      <bottom style="thin">
        <color rgb="FFC9D2D6"/>
      </bottom>
      <diagonal/>
    </border>
    <border>
      <left style="thin">
        <color rgb="FFC9D2D6"/>
      </left>
      <right style="thin">
        <color rgb="FFC9D2D6"/>
      </right>
      <top style="thin">
        <color rgb="FFC9D2D6"/>
      </top>
      <bottom style="thin">
        <color rgb="FFC9D2D6"/>
      </bottom>
      <diagonal/>
    </border>
  </borders>
  <cellStyleXfs count="2">
    <xf numFmtId="0" fontId="0" fillId="0" borderId="0"/>
    <xf numFmtId="0" fontId="6" fillId="0" borderId="0"/>
  </cellStyleXfs>
  <cellXfs count="103">
    <xf numFmtId="0" fontId="0" fillId="0" borderId="0" xfId="0"/>
    <xf numFmtId="0" fontId="3" fillId="5" borderId="4" xfId="1" applyFont="1" applyFill="1" applyBorder="1" applyAlignment="1">
      <alignment vertical="center"/>
    </xf>
    <xf numFmtId="0" fontId="3" fillId="5" borderId="5" xfId="1" applyFont="1" applyFill="1" applyBorder="1" applyAlignment="1">
      <alignment vertical="center"/>
    </xf>
    <xf numFmtId="0" fontId="3" fillId="5" borderId="6" xfId="1" applyFont="1" applyFill="1" applyBorder="1" applyAlignment="1">
      <alignment vertical="center"/>
    </xf>
    <xf numFmtId="0" fontId="3" fillId="5" borderId="7" xfId="1" applyFont="1" applyFill="1" applyBorder="1" applyAlignment="1">
      <alignment vertical="center"/>
    </xf>
    <xf numFmtId="0" fontId="3" fillId="5" borderId="0" xfId="1" applyFont="1" applyFill="1" applyAlignment="1">
      <alignment vertical="center"/>
    </xf>
    <xf numFmtId="0" fontId="3" fillId="5" borderId="8" xfId="1" applyFont="1" applyFill="1" applyBorder="1" applyAlignment="1">
      <alignment vertical="center"/>
    </xf>
    <xf numFmtId="0" fontId="3" fillId="5" borderId="9" xfId="1" applyFont="1" applyFill="1" applyBorder="1" applyAlignment="1">
      <alignment vertical="center"/>
    </xf>
    <xf numFmtId="0" fontId="3" fillId="5" borderId="10" xfId="1" applyFont="1" applyFill="1" applyBorder="1" applyAlignment="1">
      <alignment vertical="center"/>
    </xf>
    <xf numFmtId="0" fontId="3" fillId="5" borderId="11" xfId="1" applyFont="1" applyFill="1" applyBorder="1" applyAlignment="1">
      <alignment vertical="center"/>
    </xf>
    <xf numFmtId="164" fontId="3" fillId="5" borderId="5" xfId="1" applyNumberFormat="1" applyFont="1" applyFill="1" applyBorder="1" applyAlignment="1">
      <alignment vertical="center"/>
    </xf>
    <xf numFmtId="164" fontId="3" fillId="5" borderId="0" xfId="1" applyNumberFormat="1" applyFont="1" applyFill="1" applyAlignment="1">
      <alignment vertical="center"/>
    </xf>
    <xf numFmtId="164" fontId="3" fillId="5" borderId="10" xfId="1" applyNumberFormat="1" applyFont="1" applyFill="1" applyBorder="1" applyAlignment="1">
      <alignment vertical="center"/>
    </xf>
    <xf numFmtId="9" fontId="3" fillId="5" borderId="5" xfId="1" applyNumberFormat="1" applyFont="1" applyFill="1" applyBorder="1" applyAlignment="1">
      <alignment vertical="center"/>
    </xf>
    <xf numFmtId="9" fontId="3" fillId="5" borderId="0" xfId="1" applyNumberFormat="1" applyFont="1" applyFill="1" applyAlignment="1">
      <alignment vertical="center"/>
    </xf>
    <xf numFmtId="9" fontId="3" fillId="5" borderId="10" xfId="1" applyNumberFormat="1" applyFont="1" applyFill="1" applyBorder="1" applyAlignment="1">
      <alignment vertical="center"/>
    </xf>
    <xf numFmtId="1" fontId="3" fillId="5" borderId="5" xfId="1" applyNumberFormat="1" applyFont="1" applyFill="1" applyBorder="1" applyAlignment="1">
      <alignment vertical="center"/>
    </xf>
    <xf numFmtId="1" fontId="3" fillId="5" borderId="0" xfId="1" applyNumberFormat="1" applyFont="1" applyFill="1" applyAlignment="1">
      <alignment vertical="center"/>
    </xf>
    <xf numFmtId="1" fontId="3" fillId="5" borderId="10" xfId="1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vertical="center"/>
    </xf>
    <xf numFmtId="0" fontId="3" fillId="5" borderId="13" xfId="1" applyFont="1" applyFill="1" applyBorder="1" applyAlignment="1">
      <alignment vertical="center"/>
    </xf>
    <xf numFmtId="0" fontId="3" fillId="5" borderId="14" xfId="1" applyFont="1" applyFill="1" applyBorder="1" applyAlignment="1">
      <alignment vertical="center"/>
    </xf>
    <xf numFmtId="0" fontId="3" fillId="7" borderId="12" xfId="1" applyFont="1" applyFill="1" applyBorder="1" applyAlignment="1">
      <alignment vertical="center"/>
    </xf>
    <xf numFmtId="0" fontId="3" fillId="7" borderId="13" xfId="1" applyFont="1" applyFill="1" applyBorder="1" applyAlignment="1">
      <alignment vertical="center"/>
    </xf>
    <xf numFmtId="0" fontId="3" fillId="7" borderId="14" xfId="1" applyFont="1" applyFill="1" applyBorder="1" applyAlignment="1">
      <alignment vertical="center"/>
    </xf>
    <xf numFmtId="0" fontId="3" fillId="7" borderId="4" xfId="1" applyFont="1" applyFill="1" applyBorder="1" applyAlignment="1">
      <alignment vertical="center"/>
    </xf>
    <xf numFmtId="0" fontId="3" fillId="7" borderId="6" xfId="1" applyFont="1" applyFill="1" applyBorder="1" applyAlignment="1">
      <alignment vertical="center"/>
    </xf>
    <xf numFmtId="0" fontId="3" fillId="7" borderId="7" xfId="1" applyFont="1" applyFill="1" applyBorder="1" applyAlignment="1">
      <alignment vertical="center"/>
    </xf>
    <xf numFmtId="0" fontId="3" fillId="7" borderId="8" xfId="1" applyFont="1" applyFill="1" applyBorder="1" applyAlignment="1">
      <alignment vertical="center"/>
    </xf>
    <xf numFmtId="0" fontId="3" fillId="7" borderId="9" xfId="1" applyFont="1" applyFill="1" applyBorder="1" applyAlignment="1">
      <alignment vertical="center"/>
    </xf>
    <xf numFmtId="0" fontId="3" fillId="7" borderId="11" xfId="1" applyFont="1" applyFill="1" applyBorder="1" applyAlignment="1">
      <alignment vertical="center"/>
    </xf>
    <xf numFmtId="0" fontId="3" fillId="7" borderId="5" xfId="1" applyFont="1" applyFill="1" applyBorder="1" applyAlignment="1">
      <alignment vertical="center"/>
    </xf>
    <xf numFmtId="0" fontId="3" fillId="7" borderId="0" xfId="1" applyFont="1" applyFill="1" applyAlignment="1">
      <alignment vertical="center"/>
    </xf>
    <xf numFmtId="0" fontId="3" fillId="7" borderId="10" xfId="1" applyFont="1" applyFill="1" applyBorder="1" applyAlignment="1">
      <alignment vertical="center"/>
    </xf>
    <xf numFmtId="165" fontId="3" fillId="5" borderId="5" xfId="1" applyNumberFormat="1" applyFont="1" applyFill="1" applyBorder="1" applyAlignment="1">
      <alignment vertical="center"/>
    </xf>
    <xf numFmtId="165" fontId="3" fillId="5" borderId="0" xfId="1" applyNumberFormat="1" applyFont="1" applyFill="1" applyAlignment="1">
      <alignment vertical="center"/>
    </xf>
    <xf numFmtId="165" fontId="3" fillId="5" borderId="10" xfId="1" applyNumberFormat="1" applyFont="1" applyFill="1" applyBorder="1" applyAlignment="1">
      <alignment vertical="center"/>
    </xf>
    <xf numFmtId="2" fontId="3" fillId="5" borderId="12" xfId="1" applyNumberFormat="1" applyFont="1" applyFill="1" applyBorder="1" applyAlignment="1">
      <alignment vertical="center"/>
    </xf>
    <xf numFmtId="2" fontId="3" fillId="5" borderId="13" xfId="1" applyNumberFormat="1" applyFont="1" applyFill="1" applyBorder="1" applyAlignment="1">
      <alignment vertical="center"/>
    </xf>
    <xf numFmtId="2" fontId="3" fillId="5" borderId="14" xfId="1" applyNumberFormat="1" applyFont="1" applyFill="1" applyBorder="1" applyAlignment="1">
      <alignment vertical="center"/>
    </xf>
    <xf numFmtId="164" fontId="3" fillId="7" borderId="4" xfId="1" applyNumberFormat="1" applyFont="1" applyFill="1" applyBorder="1" applyAlignment="1">
      <alignment vertical="center"/>
    </xf>
    <xf numFmtId="164" fontId="3" fillId="7" borderId="6" xfId="1" applyNumberFormat="1" applyFont="1" applyFill="1" applyBorder="1" applyAlignment="1">
      <alignment vertical="center"/>
    </xf>
    <xf numFmtId="164" fontId="3" fillId="7" borderId="7" xfId="1" applyNumberFormat="1" applyFont="1" applyFill="1" applyBorder="1" applyAlignment="1">
      <alignment vertical="center"/>
    </xf>
    <xf numFmtId="164" fontId="3" fillId="7" borderId="8" xfId="1" applyNumberFormat="1" applyFont="1" applyFill="1" applyBorder="1" applyAlignment="1">
      <alignment vertical="center"/>
    </xf>
    <xf numFmtId="164" fontId="3" fillId="7" borderId="9" xfId="1" applyNumberFormat="1" applyFont="1" applyFill="1" applyBorder="1" applyAlignment="1">
      <alignment vertical="center"/>
    </xf>
    <xf numFmtId="164" fontId="3" fillId="7" borderId="11" xfId="1" applyNumberFormat="1" applyFont="1" applyFill="1" applyBorder="1" applyAlignment="1">
      <alignment vertical="center"/>
    </xf>
    <xf numFmtId="2" fontId="3" fillId="7" borderId="4" xfId="1" applyNumberFormat="1" applyFont="1" applyFill="1" applyBorder="1" applyAlignment="1">
      <alignment vertical="center"/>
    </xf>
    <xf numFmtId="2" fontId="3" fillId="7" borderId="7" xfId="1" applyNumberFormat="1" applyFont="1" applyFill="1" applyBorder="1" applyAlignment="1">
      <alignment vertical="center"/>
    </xf>
    <xf numFmtId="2" fontId="3" fillId="7" borderId="9" xfId="1" applyNumberFormat="1" applyFont="1" applyFill="1" applyBorder="1" applyAlignment="1">
      <alignment vertical="center"/>
    </xf>
    <xf numFmtId="164" fontId="3" fillId="7" borderId="5" xfId="1" applyNumberFormat="1" applyFont="1" applyFill="1" applyBorder="1" applyAlignment="1">
      <alignment vertical="center"/>
    </xf>
    <xf numFmtId="164" fontId="3" fillId="7" borderId="0" xfId="1" applyNumberFormat="1" applyFont="1" applyFill="1" applyAlignment="1">
      <alignment vertical="center"/>
    </xf>
    <xf numFmtId="164" fontId="3" fillId="7" borderId="10" xfId="1" applyNumberFormat="1" applyFont="1" applyFill="1" applyBorder="1" applyAlignment="1">
      <alignment vertical="center"/>
    </xf>
    <xf numFmtId="165" fontId="3" fillId="5" borderId="4" xfId="1" applyNumberFormat="1" applyFont="1" applyFill="1" applyBorder="1" applyAlignment="1">
      <alignment vertical="center"/>
    </xf>
    <xf numFmtId="165" fontId="3" fillId="5" borderId="7" xfId="1" applyNumberFormat="1" applyFont="1" applyFill="1" applyBorder="1" applyAlignment="1">
      <alignment vertical="center"/>
    </xf>
    <xf numFmtId="165" fontId="3" fillId="5" borderId="9" xfId="1" applyNumberFormat="1" applyFont="1" applyFill="1" applyBorder="1" applyAlignment="1">
      <alignment vertical="center"/>
    </xf>
    <xf numFmtId="165" fontId="3" fillId="5" borderId="6" xfId="1" applyNumberFormat="1" applyFont="1" applyFill="1" applyBorder="1" applyAlignment="1">
      <alignment vertical="center"/>
    </xf>
    <xf numFmtId="165" fontId="3" fillId="5" borderId="8" xfId="1" applyNumberFormat="1" applyFont="1" applyFill="1" applyBorder="1" applyAlignment="1">
      <alignment vertical="center"/>
    </xf>
    <xf numFmtId="165" fontId="3" fillId="5" borderId="11" xfId="1" applyNumberFormat="1" applyFont="1" applyFill="1" applyBorder="1" applyAlignment="1">
      <alignment vertical="center"/>
    </xf>
    <xf numFmtId="2" fontId="3" fillId="7" borderId="5" xfId="1" applyNumberFormat="1" applyFont="1" applyFill="1" applyBorder="1" applyAlignment="1">
      <alignment vertical="center"/>
    </xf>
    <xf numFmtId="2" fontId="3" fillId="7" borderId="0" xfId="1" applyNumberFormat="1" applyFont="1" applyFill="1" applyAlignment="1">
      <alignment vertical="center"/>
    </xf>
    <xf numFmtId="2" fontId="3" fillId="7" borderId="10" xfId="1" applyNumberFormat="1" applyFont="1" applyFill="1" applyBorder="1" applyAlignment="1">
      <alignment vertical="center"/>
    </xf>
    <xf numFmtId="2" fontId="3" fillId="7" borderId="6" xfId="1" applyNumberFormat="1" applyFont="1" applyFill="1" applyBorder="1" applyAlignment="1">
      <alignment vertical="center"/>
    </xf>
    <xf numFmtId="2" fontId="3" fillId="7" borderId="8" xfId="1" applyNumberFormat="1" applyFont="1" applyFill="1" applyBorder="1" applyAlignment="1">
      <alignment vertical="center"/>
    </xf>
    <xf numFmtId="2" fontId="3" fillId="7" borderId="11" xfId="1" applyNumberFormat="1" applyFont="1" applyFill="1" applyBorder="1" applyAlignment="1">
      <alignment vertical="center"/>
    </xf>
    <xf numFmtId="0" fontId="3" fillId="0" borderId="0" xfId="1" applyFont="1"/>
    <xf numFmtId="0" fontId="4" fillId="4" borderId="0" xfId="1" applyFont="1" applyFill="1" applyAlignment="1">
      <alignment horizontal="left" vertical="center"/>
    </xf>
    <xf numFmtId="0" fontId="4" fillId="5" borderId="15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3" fillId="8" borderId="0" xfId="1" applyFont="1" applyFill="1"/>
    <xf numFmtId="49" fontId="3" fillId="7" borderId="4" xfId="1" applyNumberFormat="1" applyFont="1" applyFill="1" applyBorder="1" applyAlignment="1">
      <alignment vertical="center"/>
    </xf>
    <xf numFmtId="49" fontId="3" fillId="7" borderId="7" xfId="1" applyNumberFormat="1" applyFont="1" applyFill="1" applyBorder="1" applyAlignment="1">
      <alignment vertical="center"/>
    </xf>
    <xf numFmtId="49" fontId="3" fillId="7" borderId="9" xfId="1" applyNumberFormat="1" applyFont="1" applyFill="1" applyBorder="1" applyAlignment="1">
      <alignment vertical="center"/>
    </xf>
    <xf numFmtId="0" fontId="1" fillId="2" borderId="0" xfId="1" applyFont="1" applyFill="1" applyAlignment="1">
      <alignment horizontal="left" vertical="center"/>
    </xf>
    <xf numFmtId="0" fontId="3" fillId="0" borderId="0" xfId="1" applyFont="1"/>
    <xf numFmtId="0" fontId="2" fillId="3" borderId="0" xfId="1" applyFont="1" applyFill="1" applyAlignment="1">
      <alignment horizontal="left" vertical="center"/>
    </xf>
    <xf numFmtId="0" fontId="5" fillId="6" borderId="0" xfId="1" applyFont="1" applyFill="1" applyAlignment="1">
      <alignment horizontal="left" vertical="center"/>
    </xf>
    <xf numFmtId="0" fontId="4" fillId="8" borderId="4" xfId="1" applyFont="1" applyFill="1" applyBorder="1" applyAlignment="1">
      <alignment horizontal="left"/>
    </xf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1" fontId="4" fillId="8" borderId="7" xfId="1" applyNumberFormat="1" applyFont="1" applyFill="1" applyBorder="1" applyAlignment="1">
      <alignment horizontal="left" vertical="center"/>
    </xf>
    <xf numFmtId="1" fontId="3" fillId="0" borderId="0" xfId="1" applyNumberFormat="1" applyFont="1"/>
    <xf numFmtId="1" fontId="3" fillId="0" borderId="8" xfId="1" applyNumberFormat="1" applyFont="1" applyBorder="1"/>
    <xf numFmtId="1" fontId="3" fillId="0" borderId="9" xfId="1" applyNumberFormat="1" applyFont="1" applyBorder="1"/>
    <xf numFmtId="1" fontId="3" fillId="0" borderId="10" xfId="1" applyNumberFormat="1" applyFont="1" applyBorder="1"/>
    <xf numFmtId="1" fontId="3" fillId="0" borderId="11" xfId="1" applyNumberFormat="1" applyFont="1" applyBorder="1"/>
    <xf numFmtId="164" fontId="4" fillId="8" borderId="7" xfId="1" applyNumberFormat="1" applyFont="1" applyFill="1" applyBorder="1" applyAlignment="1">
      <alignment horizontal="left" vertical="center"/>
    </xf>
    <xf numFmtId="164" fontId="3" fillId="0" borderId="0" xfId="1" applyNumberFormat="1" applyFont="1"/>
    <xf numFmtId="164" fontId="3" fillId="0" borderId="8" xfId="1" applyNumberFormat="1" applyFont="1" applyBorder="1"/>
    <xf numFmtId="164" fontId="3" fillId="0" borderId="9" xfId="1" applyNumberFormat="1" applyFont="1" applyBorder="1"/>
    <xf numFmtId="164" fontId="3" fillId="0" borderId="10" xfId="1" applyNumberFormat="1" applyFont="1" applyBorder="1"/>
    <xf numFmtId="164" fontId="3" fillId="0" borderId="11" xfId="1" applyNumberFormat="1" applyFont="1" applyBorder="1"/>
    <xf numFmtId="0" fontId="4" fillId="6" borderId="4" xfId="1" applyFont="1" applyFill="1" applyBorder="1" applyAlignment="1">
      <alignment horizontal="left"/>
    </xf>
    <xf numFmtId="164" fontId="4" fillId="6" borderId="7" xfId="1" applyNumberFormat="1" applyFont="1" applyFill="1" applyBorder="1" applyAlignment="1">
      <alignment horizontal="left" vertical="center"/>
    </xf>
    <xf numFmtId="1" fontId="4" fillId="6" borderId="7" xfId="1" applyNumberFormat="1" applyFont="1" applyFill="1" applyBorder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3" fillId="6" borderId="15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14">
    <dxf>
      <font>
        <color rgb="FF8A1F1F"/>
      </font>
      <fill>
        <patternFill patternType="solid">
          <bgColor rgb="FFF7D8D6"/>
        </patternFill>
      </fill>
    </dxf>
    <dxf>
      <fill>
        <patternFill patternType="solid">
          <bgColor rgb="FFDCEEDD"/>
        </patternFill>
      </fill>
    </dxf>
    <dxf>
      <fill>
        <patternFill patternType="solid">
          <bgColor rgb="FFFCE5C3"/>
        </patternFill>
      </fill>
    </dxf>
    <dxf>
      <fill>
        <patternFill patternType="solid">
          <bgColor rgb="FFFFF0D5"/>
        </patternFill>
      </fill>
    </dxf>
    <dxf>
      <font>
        <color rgb="FF9B2C2C"/>
      </font>
    </dxf>
    <dxf>
      <fill>
        <patternFill patternType="solid">
          <bgColor rgb="FFEEF0F1"/>
        </patternFill>
      </fill>
    </dxf>
    <dxf>
      <fill>
        <patternFill patternType="solid">
          <bgColor rgb="FFFFF0D5"/>
        </patternFill>
      </fill>
    </dxf>
    <dxf>
      <fill>
        <patternFill patternType="solid">
          <bgColor rgb="FFDCEEDD"/>
        </patternFill>
      </fill>
    </dxf>
    <dxf>
      <font>
        <color rgb="FF8A1F1F"/>
      </font>
      <fill>
        <patternFill patternType="solid">
          <bgColor rgb="FFF7D8D6"/>
        </patternFill>
      </fill>
    </dxf>
    <dxf>
      <font>
        <color rgb="FF8A1F1F"/>
      </font>
      <fill>
        <patternFill patternType="solid">
          <bgColor rgb="FFF7D8D6"/>
        </patternFill>
      </fill>
    </dxf>
    <dxf>
      <font>
        <color rgb="FF8A1F1F"/>
      </font>
      <fill>
        <patternFill patternType="solid">
          <bgColor rgb="FFF7D8D6"/>
        </patternFill>
      </fill>
    </dxf>
    <dxf>
      <font>
        <color rgb="FF8A5414"/>
      </font>
      <fill>
        <patternFill patternType="solid">
          <bgColor rgb="FFFFF0D5"/>
        </patternFill>
      </fill>
    </dxf>
    <dxf>
      <font>
        <color rgb="FF24536B"/>
      </font>
      <fill>
        <patternFill patternType="solid">
          <bgColor rgb="FFD9EAF2"/>
        </patternFill>
      </fill>
    </dxf>
    <dxf>
      <font>
        <color rgb="FF245B2A"/>
      </font>
      <fill>
        <patternFill patternType="solid">
          <bgColor rgb="FFDCEE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Warenbewegungen nach Monat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Zugänge</c:v>
          </c:tx>
          <c:invertIfNegative val="1"/>
          <c:cat>
            <c:strRef>
              <c:f>Übersicht!$A$42:$A$53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Übersicht!$B$42:$B$53</c:f>
              <c:numCache>
                <c:formatCode>0.00</c:formatCode>
                <c:ptCount val="12"/>
                <c:pt idx="0">
                  <c:v>200</c:v>
                </c:pt>
                <c:pt idx="1">
                  <c:v>0</c:v>
                </c:pt>
                <c:pt idx="2">
                  <c:v>62</c:v>
                </c:pt>
                <c:pt idx="3">
                  <c:v>40</c:v>
                </c:pt>
                <c:pt idx="4">
                  <c:v>102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9-4DC1-AC05-6A0FD7DA2C5F}"/>
            </c:ext>
          </c:extLst>
        </c:ser>
        <c:ser>
          <c:idx val="1"/>
          <c:order val="1"/>
          <c:tx>
            <c:v>Abgänge</c:v>
          </c:tx>
          <c:invertIfNegative val="1"/>
          <c:cat>
            <c:strRef>
              <c:f>Übersicht!$A$42:$A$53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Übersicht!$C$42:$C$53</c:f>
              <c:numCache>
                <c:formatCode>0.00</c:formatCode>
                <c:ptCount val="12"/>
                <c:pt idx="0">
                  <c:v>0</c:v>
                </c:pt>
                <c:pt idx="1">
                  <c:v>60</c:v>
                </c:pt>
                <c:pt idx="2">
                  <c:v>11</c:v>
                </c:pt>
                <c:pt idx="3">
                  <c:v>15</c:v>
                </c:pt>
                <c:pt idx="4">
                  <c:v>0</c:v>
                </c:pt>
                <c:pt idx="5">
                  <c:v>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9-4DC1-AC05-6A0FD7DA2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mmm" sourceLinked="0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bg1">
        <a:lumMod val="95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Lagerwert nach Warengruppe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Lagerwert</c:v>
          </c:tx>
          <c:invertIfNegative val="1"/>
          <c:cat>
            <c:strRef>
              <c:f>Übersicht!$H$42:$H$47</c:f>
              <c:strCache>
                <c:ptCount val="6"/>
                <c:pt idx="0">
                  <c:v>Verpackung</c:v>
                </c:pt>
                <c:pt idx="1">
                  <c:v>Kennzeichnung</c:v>
                </c:pt>
                <c:pt idx="2">
                  <c:v>Reinigung</c:v>
                </c:pt>
                <c:pt idx="3">
                  <c:v>Arbeitsschutz</c:v>
                </c:pt>
                <c:pt idx="4">
                  <c:v>Technik</c:v>
                </c:pt>
                <c:pt idx="5">
                  <c:v>Bürobedarf</c:v>
                </c:pt>
              </c:strCache>
            </c:strRef>
          </c:cat>
          <c:val>
            <c:numRef>
              <c:f>Übersicht!$I$42:$I$47</c:f>
              <c:numCache>
                <c:formatCode>#,##0.00\ "€"</c:formatCode>
                <c:ptCount val="6"/>
                <c:pt idx="0">
                  <c:v>652.90000000000009</c:v>
                </c:pt>
                <c:pt idx="1">
                  <c:v>319.2</c:v>
                </c:pt>
                <c:pt idx="2">
                  <c:v>210.70000000000002</c:v>
                </c:pt>
                <c:pt idx="3">
                  <c:v>132</c:v>
                </c:pt>
                <c:pt idx="4">
                  <c:v>591.69999999999993</c:v>
                </c:pt>
                <c:pt idx="5">
                  <c:v>311.5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CC1-B896-79EFCAF9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&quot;€&quot;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solidFill>
      <a:schemeClr val="bg1">
        <a:lumMod val="95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6</xdr:col>
      <xdr:colOff>0</xdr:colOff>
      <xdr:row>72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55</xdr:row>
      <xdr:rowOff>0</xdr:rowOff>
    </xdr:from>
    <xdr:to>
      <xdr:col>12</xdr:col>
      <xdr:colOff>0</xdr:colOff>
      <xdr:row>72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rtikelstamm" displayName="Artikelstamm" ref="A7:L57">
  <tableColumns count="12">
    <tableColumn id="1" xr3:uid="{00000000-0010-0000-0000-000001000000}" name="Artikel-ID"/>
    <tableColumn id="2" xr3:uid="{00000000-0010-0000-0000-000002000000}" name="Artikelbezeichnung"/>
    <tableColumn id="3" xr3:uid="{00000000-0010-0000-0000-000003000000}" name="Warengruppe"/>
    <tableColumn id="4" xr3:uid="{00000000-0010-0000-0000-000004000000}" name="Einheit"/>
    <tableColumn id="5" xr3:uid="{00000000-0010-0000-0000-000005000000}" name="EK-Preis netto"/>
    <tableColumn id="6" xr3:uid="{00000000-0010-0000-0000-000006000000}" name="VK-Preis netto"/>
    <tableColumn id="7" xr3:uid="{00000000-0010-0000-0000-000007000000}" name="MwSt."/>
    <tableColumn id="8" xr3:uid="{00000000-0010-0000-0000-000008000000}" name="Mindestbestand"/>
    <tableColumn id="9" xr3:uid="{00000000-0010-0000-0000-000009000000}" name="Zielbestand"/>
    <tableColumn id="10" xr3:uid="{00000000-0010-0000-0000-00000A000000}" name="Lagerort"/>
    <tableColumn id="11" xr3:uid="{00000000-0010-0000-0000-00000B000000}" name="Standardlieferant"/>
    <tableColumn id="12" xr3:uid="{00000000-0010-0000-0000-00000C000000}" name="Aktiv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Geschaeftspartner" displayName="Geschaeftspartner" ref="N7:V37">
  <tableColumns count="9">
    <tableColumn id="1" xr3:uid="{00000000-0010-0000-0100-000001000000}" name="Partner-ID"/>
    <tableColumn id="2" xr3:uid="{00000000-0010-0000-0100-000002000000}" name="Typ"/>
    <tableColumn id="3" xr3:uid="{00000000-0010-0000-0100-000003000000}" name="Firmenname"/>
    <tableColumn id="4" xr3:uid="{00000000-0010-0000-0100-000004000000}" name="Ansprechpartner"/>
    <tableColumn id="5" xr3:uid="{00000000-0010-0000-0100-000005000000}" name="E-Mail"/>
    <tableColumn id="6" xr3:uid="{00000000-0010-0000-0100-000006000000}" name="Telefon"/>
    <tableColumn id="7" xr3:uid="{00000000-0010-0000-0100-000007000000}" name="Zahlungsziel (Tage)"/>
    <tableColumn id="8" xr3:uid="{00000000-0010-0000-0100-000008000000}" name="Lieferzeit (Tage)"/>
    <tableColumn id="9" xr3:uid="{00000000-0010-0000-0100-000009000000}" name="Aktiv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WarenbewegungenTabelle" displayName="WarenbewegungenTabelle" ref="A7:Q207">
  <tableColumns count="17">
    <tableColumn id="1" xr3:uid="{00000000-0010-0000-0200-000001000000}" name="Bewegungs-ID"/>
    <tableColumn id="2" xr3:uid="{00000000-0010-0000-0200-000002000000}" name="Datum"/>
    <tableColumn id="3" xr3:uid="{00000000-0010-0000-0200-000003000000}" name="Bewegungsart"/>
    <tableColumn id="4" xr3:uid="{00000000-0010-0000-0200-000004000000}" name="Artikel-ID"/>
    <tableColumn id="5" xr3:uid="{00000000-0010-0000-0200-000005000000}" name="Artikelbezeichnung"/>
    <tableColumn id="6" xr3:uid="{00000000-0010-0000-0200-000006000000}" name="Menge"/>
    <tableColumn id="7" xr3:uid="{00000000-0010-0000-0200-000007000000}" name="EK-Preis netto"/>
    <tableColumn id="8" xr3:uid="{00000000-0010-0000-0200-000008000000}" name="VK-Preis netto"/>
    <tableColumn id="9" xr3:uid="{00000000-0010-0000-0200-000009000000}" name="Vorgangsnummer"/>
    <tableColumn id="10" xr3:uid="{00000000-0010-0000-0200-00000A000000}" name="Partner-ID"/>
    <tableColumn id="11" xr3:uid="{00000000-0010-0000-0200-00000B000000}" name="Partnername"/>
    <tableColumn id="12" xr3:uid="{00000000-0010-0000-0200-00000C000000}" name="Lagerort"/>
    <tableColumn id="13" xr3:uid="{00000000-0010-0000-0200-00000D000000}" name="Bemerkung"/>
    <tableColumn id="14" xr3:uid="{00000000-0010-0000-0200-00000E000000}" name="Bestandswirkung"/>
    <tableColumn id="15" xr3:uid="{00000000-0010-0000-0200-00000F000000}" name="Warenwert EK"/>
    <tableColumn id="16" xr3:uid="{00000000-0010-0000-0200-000010000000}" name="Umsatz netto"/>
    <tableColumn id="17" xr3:uid="{00000000-0010-0000-0200-000011000000}" name="Wareneinsatz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AuftraegeTabelle" displayName="AuftraegeTabelle" ref="A7:O157">
  <tableColumns count="15">
    <tableColumn id="1" xr3:uid="{00000000-0010-0000-0300-000001000000}" name="Vorgangsnummer"/>
    <tableColumn id="2" xr3:uid="{00000000-0010-0000-0300-000002000000}" name="Typ"/>
    <tableColumn id="3" xr3:uid="{00000000-0010-0000-0300-000003000000}" name="Datum"/>
    <tableColumn id="4" xr3:uid="{00000000-0010-0000-0300-000004000000}" name="Partner-ID"/>
    <tableColumn id="5" xr3:uid="{00000000-0010-0000-0300-000005000000}" name="Partnername"/>
    <tableColumn id="6" xr3:uid="{00000000-0010-0000-0300-000006000000}" name="Artikel-ID"/>
    <tableColumn id="7" xr3:uid="{00000000-0010-0000-0300-000007000000}" name="Artikelbezeichnung"/>
    <tableColumn id="8" xr3:uid="{00000000-0010-0000-0300-000008000000}" name="Menge"/>
    <tableColumn id="9" xr3:uid="{00000000-0010-0000-0300-000009000000}" name="Preis netto"/>
    <tableColumn id="10" xr3:uid="{00000000-0010-0000-0300-00000A000000}" name="Positionswert netto"/>
    <tableColumn id="11" xr3:uid="{00000000-0010-0000-0300-00000B000000}" name="Solltermin"/>
    <tableColumn id="12" xr3:uid="{00000000-0010-0000-0300-00000C000000}" name="Status"/>
    <tableColumn id="13" xr3:uid="{00000000-0010-0000-0300-00000D000000}" name="Erledigt am"/>
    <tableColumn id="14" xr3:uid="{00000000-0010-0000-0300-00000E000000}" name="Offene Menge"/>
    <tableColumn id="15" xr3:uid="{00000000-0010-0000-0300-00000F000000}" name="Restwert net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G73" sqref="G73"/>
    </sheetView>
  </sheetViews>
  <sheetFormatPr baseColWidth="10" defaultColWidth="9" defaultRowHeight="15" x14ac:dyDescent="0.25"/>
  <cols>
    <col min="1" max="1" width="14" customWidth="1"/>
    <col min="2" max="2" width="26" customWidth="1"/>
    <col min="3" max="3" width="17" customWidth="1"/>
    <col min="4" max="6" width="14" customWidth="1"/>
    <col min="7" max="7" width="17" customWidth="1"/>
    <col min="8" max="8" width="18" customWidth="1"/>
    <col min="9" max="10" width="14" customWidth="1"/>
    <col min="11" max="11" width="15" customWidth="1"/>
    <col min="12" max="12" width="4" customWidth="1"/>
  </cols>
  <sheetData>
    <row r="1" spans="1:12" ht="32.1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32.1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21.95" customHeight="1" x14ac:dyDescent="0.25">
      <c r="A3" s="76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x14ac:dyDescent="0.25">
      <c r="A4" s="65" t="s">
        <v>2</v>
      </c>
      <c r="B4" s="66">
        <v>2026</v>
      </c>
      <c r="C4" s="64"/>
      <c r="D4" s="77" t="s">
        <v>3</v>
      </c>
      <c r="E4" s="75"/>
      <c r="F4" s="75"/>
      <c r="G4" s="75"/>
      <c r="H4" s="75"/>
      <c r="I4" s="75"/>
      <c r="J4" s="75"/>
      <c r="K4" s="75"/>
      <c r="L4" s="75"/>
    </row>
    <row r="5" spans="1:12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25">
      <c r="A6" s="78" t="s">
        <v>4</v>
      </c>
      <c r="B6" s="79"/>
      <c r="C6" s="80"/>
      <c r="D6" s="78" t="s">
        <v>5</v>
      </c>
      <c r="E6" s="79"/>
      <c r="F6" s="80"/>
      <c r="G6" s="78" t="s">
        <v>6</v>
      </c>
      <c r="H6" s="79"/>
      <c r="I6" s="80"/>
      <c r="J6" s="78" t="s">
        <v>7</v>
      </c>
      <c r="K6" s="79"/>
      <c r="L6" s="80"/>
    </row>
    <row r="7" spans="1:12" x14ac:dyDescent="0.25">
      <c r="A7" s="81"/>
      <c r="B7" s="75"/>
      <c r="C7" s="82"/>
      <c r="D7" s="81"/>
      <c r="E7" s="75"/>
      <c r="F7" s="82"/>
      <c r="G7" s="81"/>
      <c r="H7" s="75"/>
      <c r="I7" s="82"/>
      <c r="J7" s="81"/>
      <c r="K7" s="75"/>
      <c r="L7" s="82"/>
    </row>
    <row r="8" spans="1:12" x14ac:dyDescent="0.25">
      <c r="A8" s="83">
        <f>COUNTIF(Stammdaten!$L$8:$L$57,"Ja")</f>
        <v>12</v>
      </c>
      <c r="B8" s="84"/>
      <c r="C8" s="85"/>
      <c r="D8" s="89">
        <f>SUM($J$18:$J$37)</f>
        <v>2218.0000000000005</v>
      </c>
      <c r="E8" s="90"/>
      <c r="F8" s="91"/>
      <c r="G8" s="83">
        <f>COUNTIF($G$18:$G$37,"Nachbestellen")+COUNTIF($G$18:$G$37,"Nicht verfügbar")</f>
        <v>2</v>
      </c>
      <c r="H8" s="84"/>
      <c r="I8" s="85"/>
      <c r="J8" s="89">
        <f>SUMIFS(Warenbewegungen!$P$8:$P$207,Warenbewegungen!$B$8:$B$207,"&gt;="&amp;DATE($B$4,1,1),Warenbewegungen!$B$8:$B$207,"&lt;"&amp;DATE($B$4+1,1,1))</f>
        <v>1130.7</v>
      </c>
      <c r="K8" s="90"/>
      <c r="L8" s="91"/>
    </row>
    <row r="9" spans="1:12" x14ac:dyDescent="0.25">
      <c r="A9" s="86"/>
      <c r="B9" s="87"/>
      <c r="C9" s="88"/>
      <c r="D9" s="92"/>
      <c r="E9" s="93"/>
      <c r="F9" s="94"/>
      <c r="G9" s="86"/>
      <c r="H9" s="87"/>
      <c r="I9" s="88"/>
      <c r="J9" s="92"/>
      <c r="K9" s="93"/>
      <c r="L9" s="94"/>
    </row>
    <row r="10" spans="1:12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 x14ac:dyDescent="0.25">
      <c r="A11" s="95" t="s">
        <v>8</v>
      </c>
      <c r="B11" s="79"/>
      <c r="C11" s="80"/>
      <c r="D11" s="95" t="s">
        <v>9</v>
      </c>
      <c r="E11" s="79"/>
      <c r="F11" s="80"/>
      <c r="G11" s="95" t="s">
        <v>10</v>
      </c>
      <c r="H11" s="79"/>
      <c r="I11" s="80"/>
      <c r="J11" s="95" t="s">
        <v>11</v>
      </c>
      <c r="K11" s="79"/>
      <c r="L11" s="80"/>
    </row>
    <row r="12" spans="1:12" x14ac:dyDescent="0.25">
      <c r="A12" s="81"/>
      <c r="B12" s="75"/>
      <c r="C12" s="82"/>
      <c r="D12" s="81"/>
      <c r="E12" s="75"/>
      <c r="F12" s="82"/>
      <c r="G12" s="81"/>
      <c r="H12" s="75"/>
      <c r="I12" s="82"/>
      <c r="J12" s="81"/>
      <c r="K12" s="75"/>
      <c r="L12" s="82"/>
    </row>
    <row r="13" spans="1:12" x14ac:dyDescent="0.25">
      <c r="A13" s="96">
        <f>SUMIFS(Aufträge!$O$8:$O$157,Aufträge!$B$8:$B$157,"Einkauf")</f>
        <v>689</v>
      </c>
      <c r="B13" s="90"/>
      <c r="C13" s="91"/>
      <c r="D13" s="96">
        <f>SUMIFS(Aufträge!$O$8:$O$157,Aufträge!$B$8:$B$157,"Verkauf")</f>
        <v>403.6</v>
      </c>
      <c r="E13" s="90"/>
      <c r="F13" s="91"/>
      <c r="G13" s="97">
        <f>COUNTIF(Aufträge!$N$8:$N$157,"&gt;0")</f>
        <v>6</v>
      </c>
      <c r="H13" s="84"/>
      <c r="I13" s="85"/>
      <c r="J13" s="96">
        <f>SUMIFS(Warenbewegungen!$P$8:$P$207,Warenbewegungen!$B$8:$B$207,"&gt;="&amp;DATE($B$4,1,1),Warenbewegungen!$B$8:$B$207,"&lt;"&amp;DATE($B$4+1,1,1))-SUMIFS(Warenbewegungen!$Q$8:$Q$207,Warenbewegungen!$B$8:$B$207,"&gt;="&amp;DATE($B$4,1,1),Warenbewegungen!$B$8:$B$207,"&lt;"&amp;DATE($B$4+1,1,1))</f>
        <v>565.10000000000014</v>
      </c>
      <c r="K13" s="90"/>
      <c r="L13" s="91"/>
    </row>
    <row r="14" spans="1:12" x14ac:dyDescent="0.25">
      <c r="A14" s="92"/>
      <c r="B14" s="93"/>
      <c r="C14" s="94"/>
      <c r="D14" s="92"/>
      <c r="E14" s="93"/>
      <c r="F14" s="94"/>
      <c r="G14" s="86"/>
      <c r="H14" s="87"/>
      <c r="I14" s="88"/>
      <c r="J14" s="92"/>
      <c r="K14" s="93"/>
      <c r="L14" s="94"/>
    </row>
    <row r="15" spans="1:12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12" ht="21.95" customHeight="1" x14ac:dyDescent="0.25">
      <c r="A16" s="98" t="s">
        <v>12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1:12" ht="33.950000000000003" customHeight="1" x14ac:dyDescent="0.25">
      <c r="A17" s="100" t="s">
        <v>13</v>
      </c>
      <c r="B17" s="101" t="s">
        <v>14</v>
      </c>
      <c r="C17" s="101" t="s">
        <v>15</v>
      </c>
      <c r="D17" s="101" t="s">
        <v>16</v>
      </c>
      <c r="E17" s="101" t="s">
        <v>17</v>
      </c>
      <c r="F17" s="101" t="s">
        <v>18</v>
      </c>
      <c r="G17" s="101" t="s">
        <v>19</v>
      </c>
      <c r="H17" s="101" t="s">
        <v>20</v>
      </c>
      <c r="I17" s="101" t="s">
        <v>21</v>
      </c>
      <c r="J17" s="101" t="s">
        <v>22</v>
      </c>
      <c r="K17" s="102" t="s">
        <v>23</v>
      </c>
      <c r="L17" s="70"/>
    </row>
    <row r="18" spans="1:12" x14ac:dyDescent="0.25">
      <c r="A18" s="25" t="str">
        <f>IF(Stammdaten!A8="","",Stammdaten!A8)</f>
        <v>ART-1001</v>
      </c>
      <c r="B18" s="31" t="str">
        <f>IF($A18="","",IFERROR(VLOOKUP($A18,Stammdaten!$A$8:$L$57,2,FALSE),""))</f>
        <v>Mehrzweckbox M</v>
      </c>
      <c r="C18" s="31" t="str">
        <f>IF($A18="","",IFERROR(VLOOKUP($A18,Stammdaten!$A$8:$L$57,3,FALSE),""))</f>
        <v>Verpackung</v>
      </c>
      <c r="D18" s="58">
        <f>IF($A18="","",SUMIFS(Warenbewegungen!$N$8:$N$207,Warenbewegungen!$D$8:$D$207,$A18))</f>
        <v>65</v>
      </c>
      <c r="E18" s="58">
        <f>IF($A18="","",IFERROR(VLOOKUP($A18,Stammdaten!$A$8:$L$57,8,FALSE),0))</f>
        <v>20</v>
      </c>
      <c r="F18" s="58">
        <f>IF($A18="","",IFERROR(VLOOKUP($A18,Stammdaten!$A$8:$L$57,9,FALSE),0))</f>
        <v>70</v>
      </c>
      <c r="G18" s="58" t="str">
        <f t="shared" ref="G18:G37" si="0">IF($A18="","",IF(D18&lt;=0,"Nicht verfügbar",IF(D18&lt;E18,"Nachbestellen",IF(D18&gt;F18*1.4,"Überbestand","OK"))))</f>
        <v>OK</v>
      </c>
      <c r="H18" s="58">
        <f t="shared" ref="H18:H37" si="1">IF($A18="","",MAX(0,F18-D18))</f>
        <v>5</v>
      </c>
      <c r="I18" s="49">
        <f>IF($A18="","",IFERROR(VLOOKUP($A18,Stammdaten!$A$8:$L$57,5,FALSE),0))</f>
        <v>6.8</v>
      </c>
      <c r="J18" s="49">
        <f t="shared" ref="J18:J37" si="2">IF($A18="","",D18*I18)</f>
        <v>442</v>
      </c>
      <c r="K18" s="61">
        <f>IF($A18="","",SUMIFS(Warenbewegungen!$F$8:$F$207,Warenbewegungen!$D$8:$D$207,$A18,Warenbewegungen!$C$8:$C$207,"Warenausgang",Warenbewegungen!$B$8:$B$207,"&gt;="&amp;DATE($B$4,1,1),Warenbewegungen!$B$8:$B$207,"&lt;"&amp;DATE($B$4+1,1,1)))</f>
        <v>40</v>
      </c>
      <c r="L18" s="70"/>
    </row>
    <row r="19" spans="1:12" x14ac:dyDescent="0.25">
      <c r="A19" s="27" t="str">
        <f>IF(Stammdaten!A9="","",Stammdaten!A9)</f>
        <v>ART-1002</v>
      </c>
      <c r="B19" s="32" t="str">
        <f>IF($A19="","",IFERROR(VLOOKUP($A19,Stammdaten!$A$8:$L$57,2,FALSE),""))</f>
        <v>Versandkarton S</v>
      </c>
      <c r="C19" s="32" t="str">
        <f>IF($A19="","",IFERROR(VLOOKUP($A19,Stammdaten!$A$8:$L$57,3,FALSE),""))</f>
        <v>Verpackung</v>
      </c>
      <c r="D19" s="59">
        <f>IF($A19="","",SUMIFS(Warenbewegungen!$N$8:$N$207,Warenbewegungen!$D$8:$D$207,$A19))</f>
        <v>160</v>
      </c>
      <c r="E19" s="59">
        <f>IF($A19="","",IFERROR(VLOOKUP($A19,Stammdaten!$A$8:$L$57,8,FALSE),0))</f>
        <v>40</v>
      </c>
      <c r="F19" s="59">
        <f>IF($A19="","",IFERROR(VLOOKUP($A19,Stammdaten!$A$8:$L$57,9,FALSE),0))</f>
        <v>100</v>
      </c>
      <c r="G19" s="59" t="str">
        <f t="shared" si="0"/>
        <v>Überbestand</v>
      </c>
      <c r="H19" s="59">
        <f t="shared" si="1"/>
        <v>0</v>
      </c>
      <c r="I19" s="50">
        <f>IF($A19="","",IFERROR(VLOOKUP($A19,Stammdaten!$A$8:$L$57,5,FALSE),0))</f>
        <v>0.72</v>
      </c>
      <c r="J19" s="50">
        <f t="shared" si="2"/>
        <v>115.19999999999999</v>
      </c>
      <c r="K19" s="62">
        <f>IF($A19="","",SUMIFS(Warenbewegungen!$F$8:$F$207,Warenbewegungen!$D$8:$D$207,$A19,Warenbewegungen!$C$8:$C$207,"Warenausgang",Warenbewegungen!$B$8:$B$207,"&gt;="&amp;DATE($B$4,1,1),Warenbewegungen!$B$8:$B$207,"&lt;"&amp;DATE($B$4+1,1,1)))</f>
        <v>0</v>
      </c>
      <c r="L19" s="70"/>
    </row>
    <row r="20" spans="1:12" x14ac:dyDescent="0.25">
      <c r="A20" s="27" t="str">
        <f>IF(Stammdaten!A10="","",Stammdaten!A10)</f>
        <v>ART-1003</v>
      </c>
      <c r="B20" s="32" t="str">
        <f>IF($A20="","",IFERROR(VLOOKUP($A20,Stammdaten!$A$8:$L$57,2,FALSE),""))</f>
        <v>Etikettenrolle 100 × 150</v>
      </c>
      <c r="C20" s="32" t="str">
        <f>IF($A20="","",IFERROR(VLOOKUP($A20,Stammdaten!$A$8:$L$57,3,FALSE),""))</f>
        <v>Kennzeichnung</v>
      </c>
      <c r="D20" s="59">
        <f>IF($A20="","",SUMIFS(Warenbewegungen!$N$8:$N$207,Warenbewegungen!$D$8:$D$207,$A20))</f>
        <v>38</v>
      </c>
      <c r="E20" s="59">
        <f>IF($A20="","",IFERROR(VLOOKUP($A20,Stammdaten!$A$8:$L$57,8,FALSE),0))</f>
        <v>10</v>
      </c>
      <c r="F20" s="59">
        <f>IF($A20="","",IFERROR(VLOOKUP($A20,Stammdaten!$A$8:$L$57,9,FALSE),0))</f>
        <v>35</v>
      </c>
      <c r="G20" s="59" t="str">
        <f t="shared" si="0"/>
        <v>OK</v>
      </c>
      <c r="H20" s="59">
        <f t="shared" si="1"/>
        <v>0</v>
      </c>
      <c r="I20" s="50">
        <f>IF($A20="","",IFERROR(VLOOKUP($A20,Stammdaten!$A$8:$L$57,5,FALSE),0))</f>
        <v>8.4</v>
      </c>
      <c r="J20" s="50">
        <f t="shared" si="2"/>
        <v>319.2</v>
      </c>
      <c r="K20" s="62">
        <f>IF($A20="","",SUMIFS(Warenbewegungen!$F$8:$F$207,Warenbewegungen!$D$8:$D$207,$A20,Warenbewegungen!$C$8:$C$207,"Warenausgang",Warenbewegungen!$B$8:$B$207,"&gt;="&amp;DATE($B$4,1,1),Warenbewegungen!$B$8:$B$207,"&lt;"&amp;DATE($B$4+1,1,1)))</f>
        <v>0</v>
      </c>
      <c r="L20" s="70"/>
    </row>
    <row r="21" spans="1:12" x14ac:dyDescent="0.25">
      <c r="A21" s="27" t="str">
        <f>IF(Stammdaten!A11="","",Stammdaten!A11)</f>
        <v>ART-1004</v>
      </c>
      <c r="B21" s="32" t="str">
        <f>IF($A21="","",IFERROR(VLOOKUP($A21,Stammdaten!$A$8:$L$57,2,FALSE),""))</f>
        <v>Reinigungskonzentrat 1 L</v>
      </c>
      <c r="C21" s="32" t="str">
        <f>IF($A21="","",IFERROR(VLOOKUP($A21,Stammdaten!$A$8:$L$57,3,FALSE),""))</f>
        <v>Reinigung</v>
      </c>
      <c r="D21" s="59">
        <f>IF($A21="","",SUMIFS(Warenbewegungen!$N$8:$N$207,Warenbewegungen!$D$8:$D$207,$A21))</f>
        <v>43</v>
      </c>
      <c r="E21" s="59">
        <f>IF($A21="","",IFERROR(VLOOKUP($A21,Stammdaten!$A$8:$L$57,8,FALSE),0))</f>
        <v>12</v>
      </c>
      <c r="F21" s="59">
        <f>IF($A21="","",IFERROR(VLOOKUP($A21,Stammdaten!$A$8:$L$57,9,FALSE),0))</f>
        <v>45</v>
      </c>
      <c r="G21" s="59" t="str">
        <f t="shared" si="0"/>
        <v>OK</v>
      </c>
      <c r="H21" s="59">
        <f t="shared" si="1"/>
        <v>2</v>
      </c>
      <c r="I21" s="50">
        <f>IF($A21="","",IFERROR(VLOOKUP($A21,Stammdaten!$A$8:$L$57,5,FALSE),0))</f>
        <v>4.9000000000000004</v>
      </c>
      <c r="J21" s="50">
        <f t="shared" si="2"/>
        <v>210.70000000000002</v>
      </c>
      <c r="K21" s="62">
        <f>IF($A21="","",SUMIFS(Warenbewegungen!$F$8:$F$207,Warenbewegungen!$D$8:$D$207,$A21,Warenbewegungen!$C$8:$C$207,"Warenausgang",Warenbewegungen!$B$8:$B$207,"&gt;="&amp;DATE($B$4,1,1),Warenbewegungen!$B$8:$B$207,"&lt;"&amp;DATE($B$4+1,1,1)))</f>
        <v>15</v>
      </c>
      <c r="L21" s="70"/>
    </row>
    <row r="22" spans="1:12" x14ac:dyDescent="0.25">
      <c r="A22" s="27" t="str">
        <f>IF(Stammdaten!A12="","",Stammdaten!A12)</f>
        <v>ART-1005</v>
      </c>
      <c r="B22" s="32" t="str">
        <f>IF($A22="","",IFERROR(VLOOKUP($A22,Stammdaten!$A$8:$L$57,2,FALSE),""))</f>
        <v>Arbeitshandschuhe Größe L</v>
      </c>
      <c r="C22" s="32" t="str">
        <f>IF($A22="","",IFERROR(VLOOKUP($A22,Stammdaten!$A$8:$L$57,3,FALSE),""))</f>
        <v>Arbeitsschutz</v>
      </c>
      <c r="D22" s="59">
        <f>IF($A22="","",SUMIFS(Warenbewegungen!$N$8:$N$207,Warenbewegungen!$D$8:$D$207,$A22))</f>
        <v>20</v>
      </c>
      <c r="E22" s="59">
        <f>IF($A22="","",IFERROR(VLOOKUP($A22,Stammdaten!$A$8:$L$57,8,FALSE),0))</f>
        <v>25</v>
      </c>
      <c r="F22" s="59">
        <f>IF($A22="","",IFERROR(VLOOKUP($A22,Stammdaten!$A$8:$L$57,9,FALSE),0))</f>
        <v>80</v>
      </c>
      <c r="G22" s="59" t="str">
        <f t="shared" si="0"/>
        <v>Nachbestellen</v>
      </c>
      <c r="H22" s="59">
        <f t="shared" si="1"/>
        <v>60</v>
      </c>
      <c r="I22" s="50">
        <f>IF($A22="","",IFERROR(VLOOKUP($A22,Stammdaten!$A$8:$L$57,5,FALSE),0))</f>
        <v>2.6</v>
      </c>
      <c r="J22" s="50">
        <f t="shared" si="2"/>
        <v>52</v>
      </c>
      <c r="K22" s="62">
        <f>IF($A22="","",SUMIFS(Warenbewegungen!$F$8:$F$207,Warenbewegungen!$D$8:$D$207,$A22,Warenbewegungen!$C$8:$C$207,"Warenausgang",Warenbewegungen!$B$8:$B$207,"&gt;="&amp;DATE($B$4,1,1),Warenbewegungen!$B$8:$B$207,"&lt;"&amp;DATE($B$4+1,1,1)))</f>
        <v>0</v>
      </c>
      <c r="L22" s="70"/>
    </row>
    <row r="23" spans="1:12" x14ac:dyDescent="0.25">
      <c r="A23" s="27" t="str">
        <f>IF(Stammdaten!A13="","",Stammdaten!A13)</f>
        <v>ART-1006</v>
      </c>
      <c r="B23" s="32" t="str">
        <f>IF($A23="","",IFERROR(VLOOKUP($A23,Stammdaten!$A$8:$L$57,2,FALSE),""))</f>
        <v>USB-C-Ladekabel 1 m</v>
      </c>
      <c r="C23" s="32" t="str">
        <f>IF($A23="","",IFERROR(VLOOKUP($A23,Stammdaten!$A$8:$L$57,3,FALSE),""))</f>
        <v>Technik</v>
      </c>
      <c r="D23" s="59">
        <f>IF($A23="","",SUMIFS(Warenbewegungen!$N$8:$N$207,Warenbewegungen!$D$8:$D$207,$A23))</f>
        <v>56</v>
      </c>
      <c r="E23" s="59">
        <f>IF($A23="","",IFERROR(VLOOKUP($A23,Stammdaten!$A$8:$L$57,8,FALSE),0))</f>
        <v>15</v>
      </c>
      <c r="F23" s="59">
        <f>IF($A23="","",IFERROR(VLOOKUP($A23,Stammdaten!$A$8:$L$57,9,FALSE),0))</f>
        <v>60</v>
      </c>
      <c r="G23" s="59" t="str">
        <f t="shared" si="0"/>
        <v>OK</v>
      </c>
      <c r="H23" s="59">
        <f t="shared" si="1"/>
        <v>4</v>
      </c>
      <c r="I23" s="50">
        <f>IF($A23="","",IFERROR(VLOOKUP($A23,Stammdaten!$A$8:$L$57,5,FALSE),0))</f>
        <v>3.9</v>
      </c>
      <c r="J23" s="50">
        <f t="shared" si="2"/>
        <v>218.4</v>
      </c>
      <c r="K23" s="62">
        <f>IF($A23="","",SUMIFS(Warenbewegungen!$F$8:$F$207,Warenbewegungen!$D$8:$D$207,$A23,Warenbewegungen!$C$8:$C$207,"Warenausgang",Warenbewegungen!$B$8:$B$207,"&gt;="&amp;DATE($B$4,1,1),Warenbewegungen!$B$8:$B$207,"&lt;"&amp;DATE($B$4+1,1,1)))</f>
        <v>12</v>
      </c>
      <c r="L23" s="70"/>
    </row>
    <row r="24" spans="1:12" x14ac:dyDescent="0.25">
      <c r="A24" s="27" t="str">
        <f>IF(Stammdaten!A14="","",Stammdaten!A14)</f>
        <v>ART-1007</v>
      </c>
      <c r="B24" s="32" t="str">
        <f>IF($A24="","",IFERROR(VLOOKUP($A24,Stammdaten!$A$8:$L$57,2,FALSE),""))</f>
        <v>LED-Arbeitsleuchte</v>
      </c>
      <c r="C24" s="32" t="str">
        <f>IF($A24="","",IFERROR(VLOOKUP($A24,Stammdaten!$A$8:$L$57,3,FALSE),""))</f>
        <v>Technik</v>
      </c>
      <c r="D24" s="59">
        <f>IF($A24="","",SUMIFS(Warenbewegungen!$N$8:$N$207,Warenbewegungen!$D$8:$D$207,$A24))</f>
        <v>17</v>
      </c>
      <c r="E24" s="59">
        <f>IF($A24="","",IFERROR(VLOOKUP($A24,Stammdaten!$A$8:$L$57,8,FALSE),0))</f>
        <v>8</v>
      </c>
      <c r="F24" s="59">
        <f>IF($A24="","",IFERROR(VLOOKUP($A24,Stammdaten!$A$8:$L$57,9,FALSE),0))</f>
        <v>25</v>
      </c>
      <c r="G24" s="59" t="str">
        <f t="shared" si="0"/>
        <v>OK</v>
      </c>
      <c r="H24" s="59">
        <f t="shared" si="1"/>
        <v>8</v>
      </c>
      <c r="I24" s="50">
        <f>IF($A24="","",IFERROR(VLOOKUP($A24,Stammdaten!$A$8:$L$57,5,FALSE),0))</f>
        <v>18.5</v>
      </c>
      <c r="J24" s="50">
        <f t="shared" si="2"/>
        <v>314.5</v>
      </c>
      <c r="K24" s="62">
        <f>IF($A24="","",SUMIFS(Warenbewegungen!$F$8:$F$207,Warenbewegungen!$D$8:$D$207,$A24,Warenbewegungen!$C$8:$C$207,"Warenausgang",Warenbewegungen!$B$8:$B$207,"&gt;="&amp;DATE($B$4,1,1),Warenbewegungen!$B$8:$B$207,"&lt;"&amp;DATE($B$4+1,1,1)))</f>
        <v>5</v>
      </c>
      <c r="L24" s="70"/>
    </row>
    <row r="25" spans="1:12" x14ac:dyDescent="0.25">
      <c r="A25" s="27" t="str">
        <f>IF(Stammdaten!A15="","",Stammdaten!A15)</f>
        <v>ART-1008</v>
      </c>
      <c r="B25" s="32" t="str">
        <f>IF($A25="","",IFERROR(VLOOKUP($A25,Stammdaten!$A$8:$L$57,2,FALSE),""))</f>
        <v>Kopierpapier A4</v>
      </c>
      <c r="C25" s="32" t="str">
        <f>IF($A25="","",IFERROR(VLOOKUP($A25,Stammdaten!$A$8:$L$57,3,FALSE),""))</f>
        <v>Bürobedarf</v>
      </c>
      <c r="D25" s="59">
        <f>IF($A25="","",SUMIFS(Warenbewegungen!$N$8:$N$207,Warenbewegungen!$D$8:$D$207,$A25))</f>
        <v>60</v>
      </c>
      <c r="E25" s="59">
        <f>IF($A25="","",IFERROR(VLOOKUP($A25,Stammdaten!$A$8:$L$57,8,FALSE),0))</f>
        <v>40</v>
      </c>
      <c r="F25" s="59">
        <f>IF($A25="","",IFERROR(VLOOKUP($A25,Stammdaten!$A$8:$L$57,9,FALSE),0))</f>
        <v>120</v>
      </c>
      <c r="G25" s="59" t="str">
        <f t="shared" si="0"/>
        <v>OK</v>
      </c>
      <c r="H25" s="59">
        <f t="shared" si="1"/>
        <v>60</v>
      </c>
      <c r="I25" s="50">
        <f>IF($A25="","",IFERROR(VLOOKUP($A25,Stammdaten!$A$8:$L$57,5,FALSE),0))</f>
        <v>3.85</v>
      </c>
      <c r="J25" s="50">
        <f t="shared" si="2"/>
        <v>231</v>
      </c>
      <c r="K25" s="62">
        <f>IF($A25="","",SUMIFS(Warenbewegungen!$F$8:$F$207,Warenbewegungen!$D$8:$D$207,$A25,Warenbewegungen!$C$8:$C$207,"Warenausgang",Warenbewegungen!$B$8:$B$207,"&gt;="&amp;DATE($B$4,1,1),Warenbewegungen!$B$8:$B$207,"&lt;"&amp;DATE($B$4+1,1,1)))</f>
        <v>0</v>
      </c>
      <c r="L25" s="70"/>
    </row>
    <row r="26" spans="1:12" x14ac:dyDescent="0.25">
      <c r="A26" s="27" t="str">
        <f>IF(Stammdaten!A16="","",Stammdaten!A16)</f>
        <v>ART-1009</v>
      </c>
      <c r="B26" s="32" t="str">
        <f>IF($A26="","",IFERROR(VLOOKUP($A26,Stammdaten!$A$8:$L$57,2,FALSE),""))</f>
        <v>Klebeband transparent</v>
      </c>
      <c r="C26" s="32" t="str">
        <f>IF($A26="","",IFERROR(VLOOKUP($A26,Stammdaten!$A$8:$L$57,3,FALSE),""))</f>
        <v>Verpackung</v>
      </c>
      <c r="D26" s="59">
        <f>IF($A26="","",SUMIFS(Warenbewegungen!$N$8:$N$207,Warenbewegungen!$D$8:$D$207,$A26))</f>
        <v>87</v>
      </c>
      <c r="E26" s="59">
        <f>IF($A26="","",IFERROR(VLOOKUP($A26,Stammdaten!$A$8:$L$57,8,FALSE),0))</f>
        <v>25</v>
      </c>
      <c r="F26" s="59">
        <f>IF($A26="","",IFERROR(VLOOKUP($A26,Stammdaten!$A$8:$L$57,9,FALSE),0))</f>
        <v>90</v>
      </c>
      <c r="G26" s="59" t="str">
        <f t="shared" si="0"/>
        <v>OK</v>
      </c>
      <c r="H26" s="59">
        <f t="shared" si="1"/>
        <v>3</v>
      </c>
      <c r="I26" s="50">
        <f>IF($A26="","",IFERROR(VLOOKUP($A26,Stammdaten!$A$8:$L$57,5,FALSE),0))</f>
        <v>1.1000000000000001</v>
      </c>
      <c r="J26" s="50">
        <f t="shared" si="2"/>
        <v>95.7</v>
      </c>
      <c r="K26" s="62">
        <f>IF($A26="","",SUMIFS(Warenbewegungen!$F$8:$F$207,Warenbewegungen!$D$8:$D$207,$A26,Warenbewegungen!$C$8:$C$207,"Warenausgang",Warenbewegungen!$B$8:$B$207,"&gt;="&amp;DATE($B$4,1,1),Warenbewegungen!$B$8:$B$207,"&lt;"&amp;DATE($B$4+1,1,1)))</f>
        <v>20</v>
      </c>
      <c r="L26" s="70"/>
    </row>
    <row r="27" spans="1:12" x14ac:dyDescent="0.25">
      <c r="A27" s="27" t="str">
        <f>IF(Stammdaten!A17="","",Stammdaten!A17)</f>
        <v>ART-1010</v>
      </c>
      <c r="B27" s="32" t="str">
        <f>IF($A27="","",IFERROR(VLOOKUP($A27,Stammdaten!$A$8:$L$57,2,FALSE),""))</f>
        <v>Mehrfachsteckdose 6-fach</v>
      </c>
      <c r="C27" s="32" t="str">
        <f>IF($A27="","",IFERROR(VLOOKUP($A27,Stammdaten!$A$8:$L$57,3,FALSE),""))</f>
        <v>Technik</v>
      </c>
      <c r="D27" s="59">
        <f>IF($A27="","",SUMIFS(Warenbewegungen!$N$8:$N$207,Warenbewegungen!$D$8:$D$207,$A27))</f>
        <v>6</v>
      </c>
      <c r="E27" s="59">
        <f>IF($A27="","",IFERROR(VLOOKUP($A27,Stammdaten!$A$8:$L$57,8,FALSE),0))</f>
        <v>8</v>
      </c>
      <c r="F27" s="59">
        <f>IF($A27="","",IFERROR(VLOOKUP($A27,Stammdaten!$A$8:$L$57,9,FALSE),0))</f>
        <v>30</v>
      </c>
      <c r="G27" s="59" t="str">
        <f t="shared" si="0"/>
        <v>Nachbestellen</v>
      </c>
      <c r="H27" s="59">
        <f t="shared" si="1"/>
        <v>24</v>
      </c>
      <c r="I27" s="50">
        <f>IF($A27="","",IFERROR(VLOOKUP($A27,Stammdaten!$A$8:$L$57,5,FALSE),0))</f>
        <v>9.8000000000000007</v>
      </c>
      <c r="J27" s="50">
        <f t="shared" si="2"/>
        <v>58.800000000000004</v>
      </c>
      <c r="K27" s="62">
        <f>IF($A27="","",SUMIFS(Warenbewegungen!$F$8:$F$207,Warenbewegungen!$D$8:$D$207,$A27,Warenbewegungen!$C$8:$C$207,"Warenausgang",Warenbewegungen!$B$8:$B$207,"&gt;="&amp;DATE($B$4,1,1),Warenbewegungen!$B$8:$B$207,"&lt;"&amp;DATE($B$4+1,1,1)))</f>
        <v>6</v>
      </c>
      <c r="L27" s="70"/>
    </row>
    <row r="28" spans="1:12" x14ac:dyDescent="0.25">
      <c r="A28" s="27" t="str">
        <f>IF(Stammdaten!A18="","",Stammdaten!A18)</f>
        <v>ART-1011</v>
      </c>
      <c r="B28" s="32" t="str">
        <f>IF($A28="","",IFERROR(VLOOKUP($A28,Stammdaten!$A$8:$L$57,2,FALSE),""))</f>
        <v>Schutzbrille klar</v>
      </c>
      <c r="C28" s="32" t="str">
        <f>IF($A28="","",IFERROR(VLOOKUP($A28,Stammdaten!$A$8:$L$57,3,FALSE),""))</f>
        <v>Arbeitsschutz</v>
      </c>
      <c r="D28" s="59">
        <f>IF($A28="","",SUMIFS(Warenbewegungen!$N$8:$N$207,Warenbewegungen!$D$8:$D$207,$A28))</f>
        <v>25</v>
      </c>
      <c r="E28" s="59">
        <f>IF($A28="","",IFERROR(VLOOKUP($A28,Stammdaten!$A$8:$L$57,8,FALSE),0))</f>
        <v>18</v>
      </c>
      <c r="F28" s="59">
        <f>IF($A28="","",IFERROR(VLOOKUP($A28,Stammdaten!$A$8:$L$57,9,FALSE),0))</f>
        <v>60</v>
      </c>
      <c r="G28" s="59" t="str">
        <f t="shared" si="0"/>
        <v>OK</v>
      </c>
      <c r="H28" s="59">
        <f t="shared" si="1"/>
        <v>35</v>
      </c>
      <c r="I28" s="50">
        <f>IF($A28="","",IFERROR(VLOOKUP($A28,Stammdaten!$A$8:$L$57,5,FALSE),0))</f>
        <v>3.2</v>
      </c>
      <c r="J28" s="50">
        <f t="shared" si="2"/>
        <v>80</v>
      </c>
      <c r="K28" s="62">
        <f>IF($A28="","",SUMIFS(Warenbewegungen!$F$8:$F$207,Warenbewegungen!$D$8:$D$207,$A28,Warenbewegungen!$C$8:$C$207,"Warenausgang",Warenbewegungen!$B$8:$B$207,"&gt;="&amp;DATE($B$4,1,1),Warenbewegungen!$B$8:$B$207,"&lt;"&amp;DATE($B$4+1,1,1)))</f>
        <v>0</v>
      </c>
      <c r="L28" s="70"/>
    </row>
    <row r="29" spans="1:12" x14ac:dyDescent="0.25">
      <c r="A29" s="27" t="str">
        <f>IF(Stammdaten!A19="","",Stammdaten!A19)</f>
        <v>ART-1012</v>
      </c>
      <c r="B29" s="32" t="str">
        <f>IF($A29="","",IFERROR(VLOOKUP($A29,Stammdaten!$A$8:$L$57,2,FALSE),""))</f>
        <v>Notizblock A5</v>
      </c>
      <c r="C29" s="32" t="str">
        <f>IF($A29="","",IFERROR(VLOOKUP($A29,Stammdaten!$A$8:$L$57,3,FALSE),""))</f>
        <v>Bürobedarf</v>
      </c>
      <c r="D29" s="59">
        <f>IF($A29="","",SUMIFS(Warenbewegungen!$N$8:$N$207,Warenbewegungen!$D$8:$D$207,$A29))</f>
        <v>70</v>
      </c>
      <c r="E29" s="59">
        <f>IF($A29="","",IFERROR(VLOOKUP($A29,Stammdaten!$A$8:$L$57,8,FALSE),0))</f>
        <v>30</v>
      </c>
      <c r="F29" s="59">
        <f>IF($A29="","",IFERROR(VLOOKUP($A29,Stammdaten!$A$8:$L$57,9,FALSE),0))</f>
        <v>100</v>
      </c>
      <c r="G29" s="59" t="str">
        <f t="shared" si="0"/>
        <v>OK</v>
      </c>
      <c r="H29" s="59">
        <f t="shared" si="1"/>
        <v>30</v>
      </c>
      <c r="I29" s="50">
        <f>IF($A29="","",IFERROR(VLOOKUP($A29,Stammdaten!$A$8:$L$57,5,FALSE),0))</f>
        <v>1.1499999999999999</v>
      </c>
      <c r="J29" s="50">
        <f t="shared" si="2"/>
        <v>80.5</v>
      </c>
      <c r="K29" s="62">
        <f>IF($A29="","",SUMIFS(Warenbewegungen!$F$8:$F$207,Warenbewegungen!$D$8:$D$207,$A29,Warenbewegungen!$C$8:$C$207,"Warenausgang",Warenbewegungen!$B$8:$B$207,"&gt;="&amp;DATE($B$4,1,1),Warenbewegungen!$B$8:$B$207,"&lt;"&amp;DATE($B$4+1,1,1)))</f>
        <v>0</v>
      </c>
      <c r="L29" s="70"/>
    </row>
    <row r="30" spans="1:12" x14ac:dyDescent="0.25">
      <c r="A30" s="27" t="str">
        <f>IF(Stammdaten!A20="","",Stammdaten!A20)</f>
        <v/>
      </c>
      <c r="B30" s="32" t="str">
        <f>IF($A30="","",IFERROR(VLOOKUP($A30,Stammdaten!$A$8:$L$57,2,FALSE),""))</f>
        <v/>
      </c>
      <c r="C30" s="32" t="str">
        <f>IF($A30="","",IFERROR(VLOOKUP($A30,Stammdaten!$A$8:$L$57,3,FALSE),""))</f>
        <v/>
      </c>
      <c r="D30" s="59" t="str">
        <f>IF($A30="","",SUMIFS(Warenbewegungen!$N$8:$N$207,Warenbewegungen!$D$8:$D$207,$A30))</f>
        <v/>
      </c>
      <c r="E30" s="59" t="str">
        <f>IF($A30="","",IFERROR(VLOOKUP($A30,Stammdaten!$A$8:$L$57,8,FALSE),0))</f>
        <v/>
      </c>
      <c r="F30" s="59" t="str">
        <f>IF($A30="","",IFERROR(VLOOKUP($A30,Stammdaten!$A$8:$L$57,9,FALSE),0))</f>
        <v/>
      </c>
      <c r="G30" s="59" t="str">
        <f t="shared" si="0"/>
        <v/>
      </c>
      <c r="H30" s="59" t="str">
        <f t="shared" si="1"/>
        <v/>
      </c>
      <c r="I30" s="50" t="str">
        <f>IF($A30="","",IFERROR(VLOOKUP($A30,Stammdaten!$A$8:$L$57,5,FALSE),0))</f>
        <v/>
      </c>
      <c r="J30" s="50" t="str">
        <f t="shared" si="2"/>
        <v/>
      </c>
      <c r="K30" s="62" t="str">
        <f>IF($A30="","",SUMIFS(Warenbewegungen!$F$8:$F$207,Warenbewegungen!$D$8:$D$207,$A30,Warenbewegungen!$C$8:$C$207,"Warenausgang",Warenbewegungen!$B$8:$B$207,"&gt;="&amp;DATE($B$4,1,1),Warenbewegungen!$B$8:$B$207,"&lt;"&amp;DATE($B$4+1,1,1)))</f>
        <v/>
      </c>
      <c r="L30" s="70"/>
    </row>
    <row r="31" spans="1:12" x14ac:dyDescent="0.25">
      <c r="A31" s="27" t="str">
        <f>IF(Stammdaten!A21="","",Stammdaten!A21)</f>
        <v/>
      </c>
      <c r="B31" s="32" t="str">
        <f>IF($A31="","",IFERROR(VLOOKUP($A31,Stammdaten!$A$8:$L$57,2,FALSE),""))</f>
        <v/>
      </c>
      <c r="C31" s="32" t="str">
        <f>IF($A31="","",IFERROR(VLOOKUP($A31,Stammdaten!$A$8:$L$57,3,FALSE),""))</f>
        <v/>
      </c>
      <c r="D31" s="59" t="str">
        <f>IF($A31="","",SUMIFS(Warenbewegungen!$N$8:$N$207,Warenbewegungen!$D$8:$D$207,$A31))</f>
        <v/>
      </c>
      <c r="E31" s="59" t="str">
        <f>IF($A31="","",IFERROR(VLOOKUP($A31,Stammdaten!$A$8:$L$57,8,FALSE),0))</f>
        <v/>
      </c>
      <c r="F31" s="59" t="str">
        <f>IF($A31="","",IFERROR(VLOOKUP($A31,Stammdaten!$A$8:$L$57,9,FALSE),0))</f>
        <v/>
      </c>
      <c r="G31" s="59" t="str">
        <f t="shared" si="0"/>
        <v/>
      </c>
      <c r="H31" s="59" t="str">
        <f t="shared" si="1"/>
        <v/>
      </c>
      <c r="I31" s="50" t="str">
        <f>IF($A31="","",IFERROR(VLOOKUP($A31,Stammdaten!$A$8:$L$57,5,FALSE),0))</f>
        <v/>
      </c>
      <c r="J31" s="50" t="str">
        <f t="shared" si="2"/>
        <v/>
      </c>
      <c r="K31" s="62" t="str">
        <f>IF($A31="","",SUMIFS(Warenbewegungen!$F$8:$F$207,Warenbewegungen!$D$8:$D$207,$A31,Warenbewegungen!$C$8:$C$207,"Warenausgang",Warenbewegungen!$B$8:$B$207,"&gt;="&amp;DATE($B$4,1,1),Warenbewegungen!$B$8:$B$207,"&lt;"&amp;DATE($B$4+1,1,1)))</f>
        <v/>
      </c>
      <c r="L31" s="70"/>
    </row>
    <row r="32" spans="1:12" x14ac:dyDescent="0.25">
      <c r="A32" s="27" t="str">
        <f>IF(Stammdaten!A22="","",Stammdaten!A22)</f>
        <v/>
      </c>
      <c r="B32" s="32" t="str">
        <f>IF($A32="","",IFERROR(VLOOKUP($A32,Stammdaten!$A$8:$L$57,2,FALSE),""))</f>
        <v/>
      </c>
      <c r="C32" s="32" t="str">
        <f>IF($A32="","",IFERROR(VLOOKUP($A32,Stammdaten!$A$8:$L$57,3,FALSE),""))</f>
        <v/>
      </c>
      <c r="D32" s="59" t="str">
        <f>IF($A32="","",SUMIFS(Warenbewegungen!$N$8:$N$207,Warenbewegungen!$D$8:$D$207,$A32))</f>
        <v/>
      </c>
      <c r="E32" s="59" t="str">
        <f>IF($A32="","",IFERROR(VLOOKUP($A32,Stammdaten!$A$8:$L$57,8,FALSE),0))</f>
        <v/>
      </c>
      <c r="F32" s="59" t="str">
        <f>IF($A32="","",IFERROR(VLOOKUP($A32,Stammdaten!$A$8:$L$57,9,FALSE),0))</f>
        <v/>
      </c>
      <c r="G32" s="59" t="str">
        <f t="shared" si="0"/>
        <v/>
      </c>
      <c r="H32" s="59" t="str">
        <f t="shared" si="1"/>
        <v/>
      </c>
      <c r="I32" s="50" t="str">
        <f>IF($A32="","",IFERROR(VLOOKUP($A32,Stammdaten!$A$8:$L$57,5,FALSE),0))</f>
        <v/>
      </c>
      <c r="J32" s="50" t="str">
        <f t="shared" si="2"/>
        <v/>
      </c>
      <c r="K32" s="62" t="str">
        <f>IF($A32="","",SUMIFS(Warenbewegungen!$F$8:$F$207,Warenbewegungen!$D$8:$D$207,$A32,Warenbewegungen!$C$8:$C$207,"Warenausgang",Warenbewegungen!$B$8:$B$207,"&gt;="&amp;DATE($B$4,1,1),Warenbewegungen!$B$8:$B$207,"&lt;"&amp;DATE($B$4+1,1,1)))</f>
        <v/>
      </c>
      <c r="L32" s="70"/>
    </row>
    <row r="33" spans="1:12" x14ac:dyDescent="0.25">
      <c r="A33" s="27" t="str">
        <f>IF(Stammdaten!A23="","",Stammdaten!A23)</f>
        <v/>
      </c>
      <c r="B33" s="32" t="str">
        <f>IF($A33="","",IFERROR(VLOOKUP($A33,Stammdaten!$A$8:$L$57,2,FALSE),""))</f>
        <v/>
      </c>
      <c r="C33" s="32" t="str">
        <f>IF($A33="","",IFERROR(VLOOKUP($A33,Stammdaten!$A$8:$L$57,3,FALSE),""))</f>
        <v/>
      </c>
      <c r="D33" s="59" t="str">
        <f>IF($A33="","",SUMIFS(Warenbewegungen!$N$8:$N$207,Warenbewegungen!$D$8:$D$207,$A33))</f>
        <v/>
      </c>
      <c r="E33" s="59" t="str">
        <f>IF($A33="","",IFERROR(VLOOKUP($A33,Stammdaten!$A$8:$L$57,8,FALSE),0))</f>
        <v/>
      </c>
      <c r="F33" s="59" t="str">
        <f>IF($A33="","",IFERROR(VLOOKUP($A33,Stammdaten!$A$8:$L$57,9,FALSE),0))</f>
        <v/>
      </c>
      <c r="G33" s="59" t="str">
        <f t="shared" si="0"/>
        <v/>
      </c>
      <c r="H33" s="59" t="str">
        <f t="shared" si="1"/>
        <v/>
      </c>
      <c r="I33" s="50" t="str">
        <f>IF($A33="","",IFERROR(VLOOKUP($A33,Stammdaten!$A$8:$L$57,5,FALSE),0))</f>
        <v/>
      </c>
      <c r="J33" s="50" t="str">
        <f t="shared" si="2"/>
        <v/>
      </c>
      <c r="K33" s="62" t="str">
        <f>IF($A33="","",SUMIFS(Warenbewegungen!$F$8:$F$207,Warenbewegungen!$D$8:$D$207,$A33,Warenbewegungen!$C$8:$C$207,"Warenausgang",Warenbewegungen!$B$8:$B$207,"&gt;="&amp;DATE($B$4,1,1),Warenbewegungen!$B$8:$B$207,"&lt;"&amp;DATE($B$4+1,1,1)))</f>
        <v/>
      </c>
      <c r="L33" s="70"/>
    </row>
    <row r="34" spans="1:12" x14ac:dyDescent="0.25">
      <c r="A34" s="27" t="str">
        <f>IF(Stammdaten!A24="","",Stammdaten!A24)</f>
        <v/>
      </c>
      <c r="B34" s="32" t="str">
        <f>IF($A34="","",IFERROR(VLOOKUP($A34,Stammdaten!$A$8:$L$57,2,FALSE),""))</f>
        <v/>
      </c>
      <c r="C34" s="32" t="str">
        <f>IF($A34="","",IFERROR(VLOOKUP($A34,Stammdaten!$A$8:$L$57,3,FALSE),""))</f>
        <v/>
      </c>
      <c r="D34" s="59" t="str">
        <f>IF($A34="","",SUMIFS(Warenbewegungen!$N$8:$N$207,Warenbewegungen!$D$8:$D$207,$A34))</f>
        <v/>
      </c>
      <c r="E34" s="59" t="str">
        <f>IF($A34="","",IFERROR(VLOOKUP($A34,Stammdaten!$A$8:$L$57,8,FALSE),0))</f>
        <v/>
      </c>
      <c r="F34" s="59" t="str">
        <f>IF($A34="","",IFERROR(VLOOKUP($A34,Stammdaten!$A$8:$L$57,9,FALSE),0))</f>
        <v/>
      </c>
      <c r="G34" s="59" t="str">
        <f t="shared" si="0"/>
        <v/>
      </c>
      <c r="H34" s="59" t="str">
        <f t="shared" si="1"/>
        <v/>
      </c>
      <c r="I34" s="50" t="str">
        <f>IF($A34="","",IFERROR(VLOOKUP($A34,Stammdaten!$A$8:$L$57,5,FALSE),0))</f>
        <v/>
      </c>
      <c r="J34" s="50" t="str">
        <f t="shared" si="2"/>
        <v/>
      </c>
      <c r="K34" s="62" t="str">
        <f>IF($A34="","",SUMIFS(Warenbewegungen!$F$8:$F$207,Warenbewegungen!$D$8:$D$207,$A34,Warenbewegungen!$C$8:$C$207,"Warenausgang",Warenbewegungen!$B$8:$B$207,"&gt;="&amp;DATE($B$4,1,1),Warenbewegungen!$B$8:$B$207,"&lt;"&amp;DATE($B$4+1,1,1)))</f>
        <v/>
      </c>
      <c r="L34" s="70"/>
    </row>
    <row r="35" spans="1:12" x14ac:dyDescent="0.25">
      <c r="A35" s="27" t="str">
        <f>IF(Stammdaten!A25="","",Stammdaten!A25)</f>
        <v/>
      </c>
      <c r="B35" s="32" t="str">
        <f>IF($A35="","",IFERROR(VLOOKUP($A35,Stammdaten!$A$8:$L$57,2,FALSE),""))</f>
        <v/>
      </c>
      <c r="C35" s="32" t="str">
        <f>IF($A35="","",IFERROR(VLOOKUP($A35,Stammdaten!$A$8:$L$57,3,FALSE),""))</f>
        <v/>
      </c>
      <c r="D35" s="59" t="str">
        <f>IF($A35="","",SUMIFS(Warenbewegungen!$N$8:$N$207,Warenbewegungen!$D$8:$D$207,$A35))</f>
        <v/>
      </c>
      <c r="E35" s="59" t="str">
        <f>IF($A35="","",IFERROR(VLOOKUP($A35,Stammdaten!$A$8:$L$57,8,FALSE),0))</f>
        <v/>
      </c>
      <c r="F35" s="59" t="str">
        <f>IF($A35="","",IFERROR(VLOOKUP($A35,Stammdaten!$A$8:$L$57,9,FALSE),0))</f>
        <v/>
      </c>
      <c r="G35" s="59" t="str">
        <f t="shared" si="0"/>
        <v/>
      </c>
      <c r="H35" s="59" t="str">
        <f t="shared" si="1"/>
        <v/>
      </c>
      <c r="I35" s="50" t="str">
        <f>IF($A35="","",IFERROR(VLOOKUP($A35,Stammdaten!$A$8:$L$57,5,FALSE),0))</f>
        <v/>
      </c>
      <c r="J35" s="50" t="str">
        <f t="shared" si="2"/>
        <v/>
      </c>
      <c r="K35" s="62" t="str">
        <f>IF($A35="","",SUMIFS(Warenbewegungen!$F$8:$F$207,Warenbewegungen!$D$8:$D$207,$A35,Warenbewegungen!$C$8:$C$207,"Warenausgang",Warenbewegungen!$B$8:$B$207,"&gt;="&amp;DATE($B$4,1,1),Warenbewegungen!$B$8:$B$207,"&lt;"&amp;DATE($B$4+1,1,1)))</f>
        <v/>
      </c>
      <c r="L35" s="70"/>
    </row>
    <row r="36" spans="1:12" x14ac:dyDescent="0.25">
      <c r="A36" s="27" t="str">
        <f>IF(Stammdaten!A26="","",Stammdaten!A26)</f>
        <v/>
      </c>
      <c r="B36" s="32" t="str">
        <f>IF($A36="","",IFERROR(VLOOKUP($A36,Stammdaten!$A$8:$L$57,2,FALSE),""))</f>
        <v/>
      </c>
      <c r="C36" s="32" t="str">
        <f>IF($A36="","",IFERROR(VLOOKUP($A36,Stammdaten!$A$8:$L$57,3,FALSE),""))</f>
        <v/>
      </c>
      <c r="D36" s="59" t="str">
        <f>IF($A36="","",SUMIFS(Warenbewegungen!$N$8:$N$207,Warenbewegungen!$D$8:$D$207,$A36))</f>
        <v/>
      </c>
      <c r="E36" s="59" t="str">
        <f>IF($A36="","",IFERROR(VLOOKUP($A36,Stammdaten!$A$8:$L$57,8,FALSE),0))</f>
        <v/>
      </c>
      <c r="F36" s="59" t="str">
        <f>IF($A36="","",IFERROR(VLOOKUP($A36,Stammdaten!$A$8:$L$57,9,FALSE),0))</f>
        <v/>
      </c>
      <c r="G36" s="59" t="str">
        <f t="shared" si="0"/>
        <v/>
      </c>
      <c r="H36" s="59" t="str">
        <f t="shared" si="1"/>
        <v/>
      </c>
      <c r="I36" s="50" t="str">
        <f>IF($A36="","",IFERROR(VLOOKUP($A36,Stammdaten!$A$8:$L$57,5,FALSE),0))</f>
        <v/>
      </c>
      <c r="J36" s="50" t="str">
        <f t="shared" si="2"/>
        <v/>
      </c>
      <c r="K36" s="62" t="str">
        <f>IF($A36="","",SUMIFS(Warenbewegungen!$F$8:$F$207,Warenbewegungen!$D$8:$D$207,$A36,Warenbewegungen!$C$8:$C$207,"Warenausgang",Warenbewegungen!$B$8:$B$207,"&gt;="&amp;DATE($B$4,1,1),Warenbewegungen!$B$8:$B$207,"&lt;"&amp;DATE($B$4+1,1,1)))</f>
        <v/>
      </c>
      <c r="L36" s="70"/>
    </row>
    <row r="37" spans="1:12" x14ac:dyDescent="0.25">
      <c r="A37" s="29" t="str">
        <f>IF(Stammdaten!A27="","",Stammdaten!A27)</f>
        <v/>
      </c>
      <c r="B37" s="33" t="str">
        <f>IF($A37="","",IFERROR(VLOOKUP($A37,Stammdaten!$A$8:$L$57,2,FALSE),""))</f>
        <v/>
      </c>
      <c r="C37" s="33" t="str">
        <f>IF($A37="","",IFERROR(VLOOKUP($A37,Stammdaten!$A$8:$L$57,3,FALSE),""))</f>
        <v/>
      </c>
      <c r="D37" s="60" t="str">
        <f>IF($A37="","",SUMIFS(Warenbewegungen!$N$8:$N$207,Warenbewegungen!$D$8:$D$207,$A37))</f>
        <v/>
      </c>
      <c r="E37" s="60" t="str">
        <f>IF($A37="","",IFERROR(VLOOKUP($A37,Stammdaten!$A$8:$L$57,8,FALSE),0))</f>
        <v/>
      </c>
      <c r="F37" s="60" t="str">
        <f>IF($A37="","",IFERROR(VLOOKUP($A37,Stammdaten!$A$8:$L$57,9,FALSE),0))</f>
        <v/>
      </c>
      <c r="G37" s="60" t="str">
        <f t="shared" si="0"/>
        <v/>
      </c>
      <c r="H37" s="60" t="str">
        <f t="shared" si="1"/>
        <v/>
      </c>
      <c r="I37" s="51" t="str">
        <f>IF($A37="","",IFERROR(VLOOKUP($A37,Stammdaten!$A$8:$L$57,5,FALSE),0))</f>
        <v/>
      </c>
      <c r="J37" s="51" t="str">
        <f t="shared" si="2"/>
        <v/>
      </c>
      <c r="K37" s="63" t="str">
        <f>IF($A37="","",SUMIFS(Warenbewegungen!$F$8:$F$207,Warenbewegungen!$D$8:$D$207,$A37,Warenbewegungen!$C$8:$C$207,"Warenausgang",Warenbewegungen!$B$8:$B$207,"&gt;="&amp;DATE($B$4,1,1),Warenbewegungen!$B$8:$B$207,"&lt;"&amp;DATE($B$4+1,1,1)))</f>
        <v/>
      </c>
      <c r="L37" s="70"/>
    </row>
    <row r="38" spans="1:12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</row>
    <row r="39" spans="1:12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</row>
    <row r="40" spans="1:12" ht="21.95" customHeight="1" x14ac:dyDescent="0.25">
      <c r="A40" s="98" t="s">
        <v>24</v>
      </c>
      <c r="B40" s="75"/>
      <c r="C40" s="75"/>
      <c r="D40" s="75"/>
      <c r="E40" s="75"/>
      <c r="F40" s="75"/>
      <c r="G40" s="64"/>
      <c r="H40" s="98" t="s">
        <v>25</v>
      </c>
      <c r="I40" s="75"/>
      <c r="J40" s="75"/>
      <c r="K40" s="75"/>
      <c r="L40" s="75"/>
    </row>
    <row r="41" spans="1:12" ht="33.950000000000003" customHeight="1" x14ac:dyDescent="0.25">
      <c r="A41" s="100" t="s">
        <v>26</v>
      </c>
      <c r="B41" s="101" t="s">
        <v>27</v>
      </c>
      <c r="C41" s="101" t="s">
        <v>28</v>
      </c>
      <c r="D41" s="101" t="s">
        <v>7</v>
      </c>
      <c r="E41" s="101" t="s">
        <v>29</v>
      </c>
      <c r="F41" s="102" t="s">
        <v>11</v>
      </c>
      <c r="G41" s="64"/>
      <c r="H41" s="100" t="s">
        <v>15</v>
      </c>
      <c r="I41" s="102" t="s">
        <v>22</v>
      </c>
      <c r="J41" s="64"/>
      <c r="K41" s="64"/>
      <c r="L41" s="64"/>
    </row>
    <row r="42" spans="1:12" x14ac:dyDescent="0.25">
      <c r="A42" s="71" t="s">
        <v>30</v>
      </c>
      <c r="B42" s="58">
        <f>SUMIFS(Warenbewegungen!$F$8:$F$207,Warenbewegungen!$C$8:$C$207,"Wareneingang",Warenbewegungen!$B$8:$B$207,"&gt;="&amp;DATE($B$4,1,1),Warenbewegungen!$B$8:$B$207,"&lt;"&amp;DATE($B$4,2,1))</f>
        <v>200</v>
      </c>
      <c r="C42" s="58">
        <f>SUMIFS(Warenbewegungen!$F$8:$F$207,Warenbewegungen!$C$8:$C$207,"Warenausgang",Warenbewegungen!$B$8:$B$207,"&gt;="&amp;DATE($B$4,1,1),Warenbewegungen!$B$8:$B$207,"&lt;"&amp;DATE($B$4,2,1))</f>
        <v>0</v>
      </c>
      <c r="D42" s="49">
        <f>SUMIFS(Warenbewegungen!$P$8:$P$207,Warenbewegungen!$B$8:$B$207,"&gt;="&amp;DATE($B$4,1,1),Warenbewegungen!$B$8:$B$207,"&lt;"&amp;DATE($B$4,2,1))</f>
        <v>0</v>
      </c>
      <c r="E42" s="49">
        <f>SUMIFS(Warenbewegungen!$Q$8:$Q$207,Warenbewegungen!$B$8:$B$207,"&gt;="&amp;DATE($B$4,1,1),Warenbewegungen!$B$8:$B$207,"&lt;"&amp;DATE($B$4,2,1))</f>
        <v>0</v>
      </c>
      <c r="F42" s="41">
        <f t="shared" ref="F42:F53" si="3">D42-E42</f>
        <v>0</v>
      </c>
      <c r="G42" s="64"/>
      <c r="H42" s="25" t="s">
        <v>31</v>
      </c>
      <c r="I42" s="41">
        <f t="shared" ref="I42:I47" si="4">SUMIF($C$18:$C$37,H42,$J$18:$J$37)</f>
        <v>652.90000000000009</v>
      </c>
      <c r="J42" s="64"/>
      <c r="K42" s="64"/>
      <c r="L42" s="64"/>
    </row>
    <row r="43" spans="1:12" x14ac:dyDescent="0.25">
      <c r="A43" s="72" t="s">
        <v>32</v>
      </c>
      <c r="B43" s="59">
        <f>SUMIFS(Warenbewegungen!$F$8:$F$207,Warenbewegungen!$C$8:$C$207,"Wareneingang",Warenbewegungen!$B$8:$B$207,"&gt;="&amp;DATE($B$4,2,1),Warenbewegungen!$B$8:$B$207,"&lt;"&amp;DATE($B$4,3,1))</f>
        <v>0</v>
      </c>
      <c r="C43" s="59">
        <f>SUMIFS(Warenbewegungen!$F$8:$F$207,Warenbewegungen!$C$8:$C$207,"Warenausgang",Warenbewegungen!$B$8:$B$207,"&gt;="&amp;DATE($B$4,2,1),Warenbewegungen!$B$8:$B$207,"&lt;"&amp;DATE($B$4,3,1))</f>
        <v>60</v>
      </c>
      <c r="D43" s="50">
        <f>SUMIFS(Warenbewegungen!$P$8:$P$207,Warenbewegungen!$B$8:$B$207,"&gt;="&amp;DATE($B$4,2,1),Warenbewegungen!$B$8:$B$207,"&lt;"&amp;DATE($B$4,3,1))</f>
        <v>571</v>
      </c>
      <c r="E43" s="50">
        <f>SUMIFS(Warenbewegungen!$Q$8:$Q$207,Warenbewegungen!$B$8:$B$207,"&gt;="&amp;DATE($B$4,2,1),Warenbewegungen!$B$8:$B$207,"&lt;"&amp;DATE($B$4,3,1))</f>
        <v>294</v>
      </c>
      <c r="F43" s="43">
        <f t="shared" si="3"/>
        <v>277</v>
      </c>
      <c r="G43" s="64"/>
      <c r="H43" s="27" t="s">
        <v>33</v>
      </c>
      <c r="I43" s="43">
        <f t="shared" si="4"/>
        <v>319.2</v>
      </c>
      <c r="J43" s="64"/>
      <c r="K43" s="64"/>
      <c r="L43" s="64"/>
    </row>
    <row r="44" spans="1:12" x14ac:dyDescent="0.25">
      <c r="A44" s="72" t="s">
        <v>34</v>
      </c>
      <c r="B44" s="59">
        <f>SUMIFS(Warenbewegungen!$F$8:$F$207,Warenbewegungen!$C$8:$C$207,"Wareneingang",Warenbewegungen!$B$8:$B$207,"&gt;="&amp;DATE($B$4,3,1),Warenbewegungen!$B$8:$B$207,"&lt;"&amp;DATE($B$4,4,1))</f>
        <v>62</v>
      </c>
      <c r="C44" s="59">
        <f>SUMIFS(Warenbewegungen!$F$8:$F$207,Warenbewegungen!$C$8:$C$207,"Warenausgang",Warenbewegungen!$B$8:$B$207,"&gt;="&amp;DATE($B$4,3,1),Warenbewegungen!$B$8:$B$207,"&lt;"&amp;DATE($B$4,4,1))</f>
        <v>11</v>
      </c>
      <c r="D44" s="50">
        <f>SUMIFS(Warenbewegungen!$P$8:$P$207,Warenbewegungen!$B$8:$B$207,"&gt;="&amp;DATE($B$4,3,1),Warenbewegungen!$B$8:$B$207,"&lt;"&amp;DATE($B$4,4,1))</f>
        <v>293.89999999999998</v>
      </c>
      <c r="E44" s="50">
        <f>SUMIFS(Warenbewegungen!$Q$8:$Q$207,Warenbewegungen!$B$8:$B$207,"&gt;="&amp;DATE($B$4,3,1),Warenbewegungen!$B$8:$B$207,"&lt;"&amp;DATE($B$4,4,1))</f>
        <v>151.30000000000001</v>
      </c>
      <c r="F44" s="43">
        <f t="shared" si="3"/>
        <v>142.59999999999997</v>
      </c>
      <c r="G44" s="64"/>
      <c r="H44" s="27" t="s">
        <v>35</v>
      </c>
      <c r="I44" s="43">
        <f t="shared" si="4"/>
        <v>210.70000000000002</v>
      </c>
      <c r="J44" s="64"/>
      <c r="K44" s="64"/>
      <c r="L44" s="64"/>
    </row>
    <row r="45" spans="1:12" x14ac:dyDescent="0.25">
      <c r="A45" s="72" t="s">
        <v>36</v>
      </c>
      <c r="B45" s="59">
        <f>SUMIFS(Warenbewegungen!$F$8:$F$207,Warenbewegungen!$C$8:$C$207,"Wareneingang",Warenbewegungen!$B$8:$B$207,"&gt;="&amp;DATE($B$4,4,1),Warenbewegungen!$B$8:$B$207,"&lt;"&amp;DATE($B$4,5,1))</f>
        <v>40</v>
      </c>
      <c r="C45" s="59">
        <f>SUMIFS(Warenbewegungen!$F$8:$F$207,Warenbewegungen!$C$8:$C$207,"Warenausgang",Warenbewegungen!$B$8:$B$207,"&gt;="&amp;DATE($B$4,4,1),Warenbewegungen!$B$8:$B$207,"&lt;"&amp;DATE($B$4,5,1))</f>
        <v>15</v>
      </c>
      <c r="D45" s="50">
        <f>SUMIFS(Warenbewegungen!$P$8:$P$207,Warenbewegungen!$B$8:$B$207,"&gt;="&amp;DATE($B$4,4,1),Warenbewegungen!$B$8:$B$207,"&lt;"&amp;DATE($B$4,5,1))</f>
        <v>147</v>
      </c>
      <c r="E45" s="50">
        <f>SUMIFS(Warenbewegungen!$Q$8:$Q$207,Warenbewegungen!$B$8:$B$207,"&gt;="&amp;DATE($B$4,4,1),Warenbewegungen!$B$8:$B$207,"&lt;"&amp;DATE($B$4,5,1))</f>
        <v>73.5</v>
      </c>
      <c r="F45" s="43">
        <f t="shared" si="3"/>
        <v>73.5</v>
      </c>
      <c r="G45" s="64"/>
      <c r="H45" s="27" t="s">
        <v>37</v>
      </c>
      <c r="I45" s="43">
        <f t="shared" si="4"/>
        <v>132</v>
      </c>
      <c r="J45" s="64"/>
      <c r="K45" s="64"/>
      <c r="L45" s="64"/>
    </row>
    <row r="46" spans="1:12" x14ac:dyDescent="0.25">
      <c r="A46" s="72" t="s">
        <v>38</v>
      </c>
      <c r="B46" s="59">
        <f>SUMIFS(Warenbewegungen!$F$8:$F$207,Warenbewegungen!$C$8:$C$207,"Wareneingang",Warenbewegungen!$B$8:$B$207,"&gt;="&amp;DATE($B$4,5,1),Warenbewegungen!$B$8:$B$207,"&lt;"&amp;DATE($B$4,6,1))</f>
        <v>102</v>
      </c>
      <c r="C46" s="59">
        <f>SUMIFS(Warenbewegungen!$F$8:$F$207,Warenbewegungen!$C$8:$C$207,"Warenausgang",Warenbewegungen!$B$8:$B$207,"&gt;="&amp;DATE($B$4,5,1),Warenbewegungen!$B$8:$B$207,"&lt;"&amp;DATE($B$4,6,1))</f>
        <v>0</v>
      </c>
      <c r="D46" s="50">
        <f>SUMIFS(Warenbewegungen!$P$8:$P$207,Warenbewegungen!$B$8:$B$207,"&gt;="&amp;DATE($B$4,5,1),Warenbewegungen!$B$8:$B$207,"&lt;"&amp;DATE($B$4,6,1))</f>
        <v>0</v>
      </c>
      <c r="E46" s="50">
        <f>SUMIFS(Warenbewegungen!$Q$8:$Q$207,Warenbewegungen!$B$8:$B$207,"&gt;="&amp;DATE($B$4,5,1),Warenbewegungen!$B$8:$B$207,"&lt;"&amp;DATE($B$4,6,1))</f>
        <v>0</v>
      </c>
      <c r="F46" s="43">
        <f t="shared" si="3"/>
        <v>0</v>
      </c>
      <c r="G46" s="64"/>
      <c r="H46" s="27" t="s">
        <v>39</v>
      </c>
      <c r="I46" s="43">
        <f t="shared" si="4"/>
        <v>591.69999999999993</v>
      </c>
      <c r="J46" s="64"/>
      <c r="K46" s="64"/>
      <c r="L46" s="64"/>
    </row>
    <row r="47" spans="1:12" x14ac:dyDescent="0.25">
      <c r="A47" s="72" t="s">
        <v>40</v>
      </c>
      <c r="B47" s="59">
        <f>SUMIFS(Warenbewegungen!$F$8:$F$207,Warenbewegungen!$C$8:$C$207,"Wareneingang",Warenbewegungen!$B$8:$B$207,"&gt;="&amp;DATE($B$4,6,1),Warenbewegungen!$B$8:$B$207,"&lt;"&amp;DATE($B$4,7,1))</f>
        <v>0</v>
      </c>
      <c r="C47" s="59">
        <f>SUMIFS(Warenbewegungen!$F$8:$F$207,Warenbewegungen!$C$8:$C$207,"Warenausgang",Warenbewegungen!$B$8:$B$207,"&gt;="&amp;DATE($B$4,6,1),Warenbewegungen!$B$8:$B$207,"&lt;"&amp;DATE($B$4,7,1))</f>
        <v>12</v>
      </c>
      <c r="D47" s="50">
        <f>SUMIFS(Warenbewegungen!$P$8:$P$207,Warenbewegungen!$B$8:$B$207,"&gt;="&amp;DATE($B$4,6,1),Warenbewegungen!$B$8:$B$207,"&lt;"&amp;DATE($B$4,7,1))</f>
        <v>118.80000000000001</v>
      </c>
      <c r="E47" s="50">
        <f>SUMIFS(Warenbewegungen!$Q$8:$Q$207,Warenbewegungen!$B$8:$B$207,"&gt;="&amp;DATE($B$4,6,1),Warenbewegungen!$B$8:$B$207,"&lt;"&amp;DATE($B$4,7,1))</f>
        <v>46.8</v>
      </c>
      <c r="F47" s="43">
        <f t="shared" si="3"/>
        <v>72.000000000000014</v>
      </c>
      <c r="G47" s="64"/>
      <c r="H47" s="29" t="s">
        <v>41</v>
      </c>
      <c r="I47" s="45">
        <f t="shared" si="4"/>
        <v>311.5</v>
      </c>
      <c r="J47" s="64"/>
      <c r="K47" s="64"/>
      <c r="L47" s="64"/>
    </row>
    <row r="48" spans="1:12" x14ac:dyDescent="0.25">
      <c r="A48" s="72" t="s">
        <v>42</v>
      </c>
      <c r="B48" s="59">
        <f>SUMIFS(Warenbewegungen!$F$8:$F$207,Warenbewegungen!$C$8:$C$207,"Wareneingang",Warenbewegungen!$B$8:$B$207,"&gt;="&amp;DATE($B$4,7,1),Warenbewegungen!$B$8:$B$207,"&lt;"&amp;DATE($B$4,8,1))</f>
        <v>0</v>
      </c>
      <c r="C48" s="59">
        <f>SUMIFS(Warenbewegungen!$F$8:$F$207,Warenbewegungen!$C$8:$C$207,"Warenausgang",Warenbewegungen!$B$8:$B$207,"&gt;="&amp;DATE($B$4,7,1),Warenbewegungen!$B$8:$B$207,"&lt;"&amp;DATE($B$4,8,1))</f>
        <v>0</v>
      </c>
      <c r="D48" s="50">
        <f>SUMIFS(Warenbewegungen!$P$8:$P$207,Warenbewegungen!$B$8:$B$207,"&gt;="&amp;DATE($B$4,7,1),Warenbewegungen!$B$8:$B$207,"&lt;"&amp;DATE($B$4,8,1))</f>
        <v>0</v>
      </c>
      <c r="E48" s="50">
        <f>SUMIFS(Warenbewegungen!$Q$8:$Q$207,Warenbewegungen!$B$8:$B$207,"&gt;="&amp;DATE($B$4,7,1),Warenbewegungen!$B$8:$B$207,"&lt;"&amp;DATE($B$4,8,1))</f>
        <v>0</v>
      </c>
      <c r="F48" s="43">
        <f t="shared" si="3"/>
        <v>0</v>
      </c>
      <c r="G48" s="64"/>
      <c r="H48" s="64"/>
      <c r="I48" s="64"/>
      <c r="J48" s="64"/>
      <c r="K48" s="64"/>
      <c r="L48" s="64"/>
    </row>
    <row r="49" spans="1:12" x14ac:dyDescent="0.25">
      <c r="A49" s="72" t="s">
        <v>43</v>
      </c>
      <c r="B49" s="59">
        <f>SUMIFS(Warenbewegungen!$F$8:$F$207,Warenbewegungen!$C$8:$C$207,"Wareneingang",Warenbewegungen!$B$8:$B$207,"&gt;="&amp;DATE($B$4,8,1),Warenbewegungen!$B$8:$B$207,"&lt;"&amp;DATE($B$4,9,1))</f>
        <v>0</v>
      </c>
      <c r="C49" s="59">
        <f>SUMIFS(Warenbewegungen!$F$8:$F$207,Warenbewegungen!$C$8:$C$207,"Warenausgang",Warenbewegungen!$B$8:$B$207,"&gt;="&amp;DATE($B$4,8,1),Warenbewegungen!$B$8:$B$207,"&lt;"&amp;DATE($B$4,9,1))</f>
        <v>0</v>
      </c>
      <c r="D49" s="50">
        <f>SUMIFS(Warenbewegungen!$P$8:$P$207,Warenbewegungen!$B$8:$B$207,"&gt;="&amp;DATE($B$4,8,1),Warenbewegungen!$B$8:$B$207,"&lt;"&amp;DATE($B$4,9,1))</f>
        <v>0</v>
      </c>
      <c r="E49" s="50">
        <f>SUMIFS(Warenbewegungen!$Q$8:$Q$207,Warenbewegungen!$B$8:$B$207,"&gt;="&amp;DATE($B$4,8,1),Warenbewegungen!$B$8:$B$207,"&lt;"&amp;DATE($B$4,9,1))</f>
        <v>0</v>
      </c>
      <c r="F49" s="43">
        <f t="shared" si="3"/>
        <v>0</v>
      </c>
      <c r="G49" s="64"/>
      <c r="H49" s="99" t="s">
        <v>44</v>
      </c>
      <c r="I49" s="75"/>
      <c r="J49" s="75"/>
      <c r="K49" s="75"/>
      <c r="L49" s="75"/>
    </row>
    <row r="50" spans="1:12" x14ac:dyDescent="0.25">
      <c r="A50" s="72" t="s">
        <v>45</v>
      </c>
      <c r="B50" s="59">
        <f>SUMIFS(Warenbewegungen!$F$8:$F$207,Warenbewegungen!$C$8:$C$207,"Wareneingang",Warenbewegungen!$B$8:$B$207,"&gt;="&amp;DATE($B$4,9,1),Warenbewegungen!$B$8:$B$207,"&lt;"&amp;DATE($B$4,10,1))</f>
        <v>0</v>
      </c>
      <c r="C50" s="59">
        <f>SUMIFS(Warenbewegungen!$F$8:$F$207,Warenbewegungen!$C$8:$C$207,"Warenausgang",Warenbewegungen!$B$8:$B$207,"&gt;="&amp;DATE($B$4,9,1),Warenbewegungen!$B$8:$B$207,"&lt;"&amp;DATE($B$4,10,1))</f>
        <v>0</v>
      </c>
      <c r="D50" s="50">
        <f>SUMIFS(Warenbewegungen!$P$8:$P$207,Warenbewegungen!$B$8:$B$207,"&gt;="&amp;DATE($B$4,9,1),Warenbewegungen!$B$8:$B$207,"&lt;"&amp;DATE($B$4,10,1))</f>
        <v>0</v>
      </c>
      <c r="E50" s="50">
        <f>SUMIFS(Warenbewegungen!$Q$8:$Q$207,Warenbewegungen!$B$8:$B$207,"&gt;="&amp;DATE($B$4,9,1),Warenbewegungen!$B$8:$B$207,"&lt;"&amp;DATE($B$4,10,1))</f>
        <v>0</v>
      </c>
      <c r="F50" s="43">
        <f t="shared" si="3"/>
        <v>0</v>
      </c>
      <c r="G50" s="64"/>
      <c r="H50" s="75"/>
      <c r="I50" s="75"/>
      <c r="J50" s="75"/>
      <c r="K50" s="75"/>
      <c r="L50" s="75"/>
    </row>
    <row r="51" spans="1:12" x14ac:dyDescent="0.25">
      <c r="A51" s="72" t="s">
        <v>46</v>
      </c>
      <c r="B51" s="59">
        <f>SUMIFS(Warenbewegungen!$F$8:$F$207,Warenbewegungen!$C$8:$C$207,"Wareneingang",Warenbewegungen!$B$8:$B$207,"&gt;="&amp;DATE($B$4,10,1),Warenbewegungen!$B$8:$B$207,"&lt;"&amp;DATE($B$4,11,1))</f>
        <v>0</v>
      </c>
      <c r="C51" s="59">
        <f>SUMIFS(Warenbewegungen!$F$8:$F$207,Warenbewegungen!$C$8:$C$207,"Warenausgang",Warenbewegungen!$B$8:$B$207,"&gt;="&amp;DATE($B$4,10,1),Warenbewegungen!$B$8:$B$207,"&lt;"&amp;DATE($B$4,11,1))</f>
        <v>0</v>
      </c>
      <c r="D51" s="50">
        <f>SUMIFS(Warenbewegungen!$P$8:$P$207,Warenbewegungen!$B$8:$B$207,"&gt;="&amp;DATE($B$4,10,1),Warenbewegungen!$B$8:$B$207,"&lt;"&amp;DATE($B$4,11,1))</f>
        <v>0</v>
      </c>
      <c r="E51" s="50">
        <f>SUMIFS(Warenbewegungen!$Q$8:$Q$207,Warenbewegungen!$B$8:$B$207,"&gt;="&amp;DATE($B$4,10,1),Warenbewegungen!$B$8:$B$207,"&lt;"&amp;DATE($B$4,11,1))</f>
        <v>0</v>
      </c>
      <c r="F51" s="43">
        <f t="shared" si="3"/>
        <v>0</v>
      </c>
      <c r="G51" s="64"/>
      <c r="H51" s="75"/>
      <c r="I51" s="75"/>
      <c r="J51" s="75"/>
      <c r="K51" s="75"/>
      <c r="L51" s="75"/>
    </row>
    <row r="52" spans="1:12" x14ac:dyDescent="0.25">
      <c r="A52" s="72" t="s">
        <v>47</v>
      </c>
      <c r="B52" s="59">
        <f>SUMIFS(Warenbewegungen!$F$8:$F$207,Warenbewegungen!$C$8:$C$207,"Wareneingang",Warenbewegungen!$B$8:$B$207,"&gt;="&amp;DATE($B$4,11,1),Warenbewegungen!$B$8:$B$207,"&lt;"&amp;DATE($B$4,12,1))</f>
        <v>0</v>
      </c>
      <c r="C52" s="59">
        <f>SUMIFS(Warenbewegungen!$F$8:$F$207,Warenbewegungen!$C$8:$C$207,"Warenausgang",Warenbewegungen!$B$8:$B$207,"&gt;="&amp;DATE($B$4,11,1),Warenbewegungen!$B$8:$B$207,"&lt;"&amp;DATE($B$4,12,1))</f>
        <v>0</v>
      </c>
      <c r="D52" s="50">
        <f>SUMIFS(Warenbewegungen!$P$8:$P$207,Warenbewegungen!$B$8:$B$207,"&gt;="&amp;DATE($B$4,11,1),Warenbewegungen!$B$8:$B$207,"&lt;"&amp;DATE($B$4,12,1))</f>
        <v>0</v>
      </c>
      <c r="E52" s="50">
        <f>SUMIFS(Warenbewegungen!$Q$8:$Q$207,Warenbewegungen!$B$8:$B$207,"&gt;="&amp;DATE($B$4,11,1),Warenbewegungen!$B$8:$B$207,"&lt;"&amp;DATE($B$4,12,1))</f>
        <v>0</v>
      </c>
      <c r="F52" s="43">
        <f t="shared" si="3"/>
        <v>0</v>
      </c>
      <c r="G52" s="64"/>
      <c r="H52" s="75"/>
      <c r="I52" s="75"/>
      <c r="J52" s="75"/>
      <c r="K52" s="75"/>
      <c r="L52" s="75"/>
    </row>
    <row r="53" spans="1:12" x14ac:dyDescent="0.25">
      <c r="A53" s="73" t="s">
        <v>48</v>
      </c>
      <c r="B53" s="60">
        <f>SUMIFS(Warenbewegungen!$F$8:$F$207,Warenbewegungen!$C$8:$C$207,"Wareneingang",Warenbewegungen!$B$8:$B$207,"&gt;="&amp;DATE($B$4,12,1),Warenbewegungen!$B$8:$B$207,"&lt;"&amp;DATE($B$4+1,1,1))</f>
        <v>0</v>
      </c>
      <c r="C53" s="60">
        <f>SUMIFS(Warenbewegungen!$F$8:$F$207,Warenbewegungen!$C$8:$C$207,"Warenausgang",Warenbewegungen!$B$8:$B$207,"&gt;="&amp;DATE($B$4,12,1),Warenbewegungen!$B$8:$B$207,"&lt;"&amp;DATE($B$4+1,1,1))</f>
        <v>0</v>
      </c>
      <c r="D53" s="51">
        <f>SUMIFS(Warenbewegungen!$P$8:$P$207,Warenbewegungen!$B$8:$B$207,"&gt;="&amp;DATE($B$4,12,1),Warenbewegungen!$B$8:$B$207,"&lt;"&amp;DATE($B$4+1,1,1))</f>
        <v>0</v>
      </c>
      <c r="E53" s="51">
        <f>SUMIFS(Warenbewegungen!$Q$8:$Q$207,Warenbewegungen!$B$8:$B$207,"&gt;="&amp;DATE($B$4,12,1),Warenbewegungen!$B$8:$B$207,"&lt;"&amp;DATE($B$4+1,1,1))</f>
        <v>0</v>
      </c>
      <c r="F53" s="45">
        <f t="shared" si="3"/>
        <v>0</v>
      </c>
      <c r="G53" s="64"/>
      <c r="H53" s="64"/>
      <c r="I53" s="64"/>
      <c r="J53" s="64"/>
      <c r="K53" s="64"/>
      <c r="L53" s="64"/>
    </row>
    <row r="54" spans="1:12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</row>
    <row r="55" spans="1:12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1:12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</row>
    <row r="57" spans="1:12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</row>
    <row r="58" spans="1:12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</row>
    <row r="59" spans="1:12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</row>
    <row r="60" spans="1:12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</row>
    <row r="61" spans="1:12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</row>
    <row r="62" spans="1:12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  <row r="63" spans="1:12" x14ac:dyDescent="0.2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</row>
    <row r="64" spans="1:12" x14ac:dyDescent="0.2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</row>
    <row r="65" spans="1:12" x14ac:dyDescent="0.2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</row>
    <row r="66" spans="1:12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</row>
    <row r="67" spans="1:12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1:12" x14ac:dyDescent="0.2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</row>
    <row r="69" spans="1:12" x14ac:dyDescent="0.2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</row>
    <row r="70" spans="1:12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</row>
    <row r="71" spans="1:12" x14ac:dyDescent="0.2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12" x14ac:dyDescent="0.2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</row>
  </sheetData>
  <mergeCells count="23">
    <mergeCell ref="H49:L52"/>
    <mergeCell ref="J11:L12"/>
    <mergeCell ref="J13:L14"/>
    <mergeCell ref="A16:L16"/>
    <mergeCell ref="A40:F40"/>
    <mergeCell ref="H40:L40"/>
    <mergeCell ref="A11:C12"/>
    <mergeCell ref="A13:C14"/>
    <mergeCell ref="D11:F12"/>
    <mergeCell ref="D13:F14"/>
    <mergeCell ref="G11:I12"/>
    <mergeCell ref="G13:I14"/>
    <mergeCell ref="A1:L2"/>
    <mergeCell ref="A3:L3"/>
    <mergeCell ref="D4:L4"/>
    <mergeCell ref="A6:C7"/>
    <mergeCell ref="A8:C9"/>
    <mergeCell ref="D6:F7"/>
    <mergeCell ref="D8:F9"/>
    <mergeCell ref="G6:I7"/>
    <mergeCell ref="G8:I9"/>
    <mergeCell ref="J6:L7"/>
    <mergeCell ref="J8:L9"/>
  </mergeCells>
  <conditionalFormatting sqref="G18:G37">
    <cfRule type="expression" dxfId="13" priority="1">
      <formula>G18="OK"</formula>
    </cfRule>
    <cfRule type="expression" dxfId="12" priority="2">
      <formula>G18="Überbestand"</formula>
    </cfRule>
    <cfRule type="expression" dxfId="11" priority="3">
      <formula>G18="Nachbestellen"</formula>
    </cfRule>
    <cfRule type="expression" dxfId="10" priority="4">
      <formula>G18="Nicht verfügbar"</formula>
    </cfRule>
  </conditionalFormatting>
  <conditionalFormatting sqref="H18:H37">
    <cfRule type="dataBar" priority="5">
      <dataBar>
        <cfvo type="min"/>
        <cfvo type="max"/>
        <color rgb="FFD89058"/>
      </dataBar>
    </cfRule>
    <cfRule type="dataBar" priority="7">
      <dataBar>
        <cfvo type="min"/>
        <cfvo type="max"/>
        <color rgb="FFD89058"/>
      </dataBar>
      <extLst>
        <ext xmlns:x14="http://schemas.microsoft.com/office/spreadsheetml/2009/9/main" uri="{B025F937-C7B1-47D3-B67F-A62EFF666E3E}">
          <x14:id>{E9E89CD5-1F98-C935-1E28-E03C49F6E9D9}</x14:id>
        </ext>
      </extLst>
    </cfRule>
  </conditionalFormatting>
  <conditionalFormatting sqref="J18:J37">
    <cfRule type="dataBar" priority="6">
      <dataBar>
        <cfvo type="min"/>
        <cfvo type="max"/>
        <color rgb="FF2C5364"/>
      </dataBar>
    </cfRule>
    <cfRule type="dataBar" priority="8">
      <dataBar>
        <cfvo type="min"/>
        <cfvo type="max"/>
        <color rgb="FF2C5364"/>
      </dataBar>
      <extLst>
        <ext xmlns:x14="http://schemas.microsoft.com/office/spreadsheetml/2009/9/main" uri="{B025F937-C7B1-47D3-B67F-A62EFF666E3E}">
          <x14:id>{F55485B2-2276-57FC-4AB2-6AB7A540FA7E}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E89CD5-1F98-C935-1E28-E03C49F6E9D9}">
            <x14:dataBar>
              <x14:cfvo type="min"/>
              <x14:cfvo type="max"/>
              <x14:negativeFillColor auto="1"/>
              <x14:axisColor auto="1"/>
            </x14:dataBar>
          </x14:cfRule>
          <xm:sqref>H18:H37</xm:sqref>
        </x14:conditionalFormatting>
        <x14:conditionalFormatting xmlns:xm="http://schemas.microsoft.com/office/excel/2006/main">
          <x14:cfRule type="dataBar" id="{F55485B2-2276-57FC-4AB2-6AB7A540FA7E}">
            <x14:dataBar>
              <x14:cfvo type="min"/>
              <x14:cfvo type="max"/>
              <x14:negativeFillColor auto="1"/>
              <x14:axisColor auto="1"/>
            </x14:dataBar>
          </x14:cfRule>
          <xm:sqref>J18:J37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"/>
  <sheetViews>
    <sheetView workbookViewId="0"/>
  </sheetViews>
  <sheetFormatPr baseColWidth="10" defaultColWidth="9" defaultRowHeight="15" x14ac:dyDescent="0.25"/>
  <cols>
    <col min="1" max="1" width="13" customWidth="1"/>
    <col min="2" max="2" width="28" customWidth="1"/>
    <col min="3" max="3" width="17" customWidth="1"/>
    <col min="4" max="4" width="10" customWidth="1"/>
    <col min="5" max="6" width="14" customWidth="1"/>
    <col min="7" max="7" width="10" customWidth="1"/>
    <col min="8" max="9" width="14" customWidth="1"/>
    <col min="10" max="10" width="12" customWidth="1"/>
    <col min="11" max="11" width="18" customWidth="1"/>
    <col min="12" max="12" width="10" customWidth="1"/>
    <col min="13" max="13" width="3" customWidth="1"/>
    <col min="14" max="14" width="13" customWidth="1"/>
    <col min="15" max="15" width="12" customWidth="1"/>
    <col min="16" max="16" width="25" customWidth="1"/>
    <col min="17" max="17" width="18" customWidth="1"/>
    <col min="18" max="18" width="30" customWidth="1"/>
    <col min="19" max="19" width="18" customWidth="1"/>
    <col min="20" max="21" width="16" customWidth="1"/>
    <col min="22" max="22" width="10" customWidth="1"/>
  </cols>
  <sheetData>
    <row r="1" spans="1:22" ht="32.1" customHeight="1" x14ac:dyDescent="0.25">
      <c r="A1" s="74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32.1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21.95" customHeight="1" x14ac:dyDescent="0.25">
      <c r="A3" s="76" t="s">
        <v>50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2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2" x14ac:dyDescent="0.25">
      <c r="A5" s="98" t="s">
        <v>51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64"/>
      <c r="N5" s="98" t="s">
        <v>52</v>
      </c>
      <c r="O5" s="75"/>
      <c r="P5" s="75"/>
      <c r="Q5" s="75"/>
      <c r="R5" s="75"/>
      <c r="S5" s="75"/>
      <c r="T5" s="75"/>
      <c r="U5" s="75"/>
      <c r="V5" s="75"/>
    </row>
    <row r="6" spans="1:22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1:22" ht="33.950000000000003" customHeight="1" x14ac:dyDescent="0.25">
      <c r="A7" s="67" t="s">
        <v>13</v>
      </c>
      <c r="B7" s="68" t="s">
        <v>14</v>
      </c>
      <c r="C7" s="68" t="s">
        <v>15</v>
      </c>
      <c r="D7" s="68" t="s">
        <v>53</v>
      </c>
      <c r="E7" s="68" t="s">
        <v>54</v>
      </c>
      <c r="F7" s="68" t="s">
        <v>55</v>
      </c>
      <c r="G7" s="68" t="s">
        <v>56</v>
      </c>
      <c r="H7" s="68" t="s">
        <v>17</v>
      </c>
      <c r="I7" s="68" t="s">
        <v>18</v>
      </c>
      <c r="J7" s="68" t="s">
        <v>57</v>
      </c>
      <c r="K7" s="68" t="s">
        <v>58</v>
      </c>
      <c r="L7" s="69" t="s">
        <v>59</v>
      </c>
      <c r="M7" s="64"/>
      <c r="N7" s="67" t="s">
        <v>60</v>
      </c>
      <c r="O7" s="68" t="s">
        <v>61</v>
      </c>
      <c r="P7" s="68" t="s">
        <v>62</v>
      </c>
      <c r="Q7" s="68" t="s">
        <v>63</v>
      </c>
      <c r="R7" s="68" t="s">
        <v>64</v>
      </c>
      <c r="S7" s="68" t="s">
        <v>65</v>
      </c>
      <c r="T7" s="68" t="s">
        <v>66</v>
      </c>
      <c r="U7" s="68" t="s">
        <v>67</v>
      </c>
      <c r="V7" s="69" t="s">
        <v>59</v>
      </c>
    </row>
    <row r="8" spans="1:22" x14ac:dyDescent="0.25">
      <c r="A8" s="1" t="s">
        <v>68</v>
      </c>
      <c r="B8" s="2" t="s">
        <v>69</v>
      </c>
      <c r="C8" s="2" t="s">
        <v>31</v>
      </c>
      <c r="D8" s="2" t="s">
        <v>70</v>
      </c>
      <c r="E8" s="10">
        <v>6.8</v>
      </c>
      <c r="F8" s="10">
        <v>12.9</v>
      </c>
      <c r="G8" s="13">
        <v>0.19</v>
      </c>
      <c r="H8" s="16">
        <v>20</v>
      </c>
      <c r="I8" s="16">
        <v>70</v>
      </c>
      <c r="J8" s="2" t="s">
        <v>71</v>
      </c>
      <c r="K8" s="2" t="s">
        <v>72</v>
      </c>
      <c r="L8" s="3" t="s">
        <v>73</v>
      </c>
      <c r="M8" s="64"/>
      <c r="N8" s="1" t="s">
        <v>74</v>
      </c>
      <c r="O8" s="2" t="s">
        <v>75</v>
      </c>
      <c r="P8" s="2" t="s">
        <v>76</v>
      </c>
      <c r="Q8" s="2" t="s">
        <v>77</v>
      </c>
      <c r="R8" s="2" t="s">
        <v>78</v>
      </c>
      <c r="S8" s="2" t="s">
        <v>79</v>
      </c>
      <c r="T8" s="16">
        <v>30</v>
      </c>
      <c r="U8" s="16">
        <v>5</v>
      </c>
      <c r="V8" s="3" t="s">
        <v>73</v>
      </c>
    </row>
    <row r="9" spans="1:22" x14ac:dyDescent="0.25">
      <c r="A9" s="4" t="s">
        <v>80</v>
      </c>
      <c r="B9" s="5" t="s">
        <v>81</v>
      </c>
      <c r="C9" s="5" t="s">
        <v>31</v>
      </c>
      <c r="D9" s="5" t="s">
        <v>70</v>
      </c>
      <c r="E9" s="11">
        <v>0.72</v>
      </c>
      <c r="F9" s="11">
        <v>1.45</v>
      </c>
      <c r="G9" s="14">
        <v>0.19</v>
      </c>
      <c r="H9" s="17">
        <v>40</v>
      </c>
      <c r="I9" s="17">
        <v>100</v>
      </c>
      <c r="J9" s="5" t="s">
        <v>82</v>
      </c>
      <c r="K9" s="5" t="s">
        <v>72</v>
      </c>
      <c r="L9" s="6" t="s">
        <v>73</v>
      </c>
      <c r="M9" s="64"/>
      <c r="N9" s="4" t="s">
        <v>72</v>
      </c>
      <c r="O9" s="5" t="s">
        <v>75</v>
      </c>
      <c r="P9" s="5" t="s">
        <v>83</v>
      </c>
      <c r="Q9" s="5" t="s">
        <v>84</v>
      </c>
      <c r="R9" s="5" t="s">
        <v>85</v>
      </c>
      <c r="S9" s="5" t="s">
        <v>86</v>
      </c>
      <c r="T9" s="17">
        <v>14</v>
      </c>
      <c r="U9" s="17">
        <v>3</v>
      </c>
      <c r="V9" s="6" t="s">
        <v>73</v>
      </c>
    </row>
    <row r="10" spans="1:22" x14ac:dyDescent="0.25">
      <c r="A10" s="4" t="s">
        <v>87</v>
      </c>
      <c r="B10" s="5" t="s">
        <v>88</v>
      </c>
      <c r="C10" s="5" t="s">
        <v>33</v>
      </c>
      <c r="D10" s="5" t="s">
        <v>89</v>
      </c>
      <c r="E10" s="11">
        <v>8.4</v>
      </c>
      <c r="F10" s="11">
        <v>15.9</v>
      </c>
      <c r="G10" s="14">
        <v>0.19</v>
      </c>
      <c r="H10" s="17">
        <v>10</v>
      </c>
      <c r="I10" s="17">
        <v>35</v>
      </c>
      <c r="J10" s="5" t="s">
        <v>90</v>
      </c>
      <c r="K10" s="5" t="s">
        <v>72</v>
      </c>
      <c r="L10" s="6" t="s">
        <v>73</v>
      </c>
      <c r="M10" s="64"/>
      <c r="N10" s="4" t="s">
        <v>91</v>
      </c>
      <c r="O10" s="5" t="s">
        <v>75</v>
      </c>
      <c r="P10" s="5" t="s">
        <v>92</v>
      </c>
      <c r="Q10" s="5" t="s">
        <v>93</v>
      </c>
      <c r="R10" s="5" t="s">
        <v>94</v>
      </c>
      <c r="S10" s="5" t="s">
        <v>95</v>
      </c>
      <c r="T10" s="17">
        <v>30</v>
      </c>
      <c r="U10" s="17">
        <v>6</v>
      </c>
      <c r="V10" s="6" t="s">
        <v>73</v>
      </c>
    </row>
    <row r="11" spans="1:22" x14ac:dyDescent="0.25">
      <c r="A11" s="4" t="s">
        <v>96</v>
      </c>
      <c r="B11" s="5" t="s">
        <v>97</v>
      </c>
      <c r="C11" s="5" t="s">
        <v>35</v>
      </c>
      <c r="D11" s="5" t="s">
        <v>98</v>
      </c>
      <c r="E11" s="11">
        <v>4.9000000000000004</v>
      </c>
      <c r="F11" s="11">
        <v>9.8000000000000007</v>
      </c>
      <c r="G11" s="14">
        <v>0.19</v>
      </c>
      <c r="H11" s="17">
        <v>12</v>
      </c>
      <c r="I11" s="17">
        <v>45</v>
      </c>
      <c r="J11" s="5" t="s">
        <v>99</v>
      </c>
      <c r="K11" s="5" t="s">
        <v>100</v>
      </c>
      <c r="L11" s="6" t="s">
        <v>73</v>
      </c>
      <c r="M11" s="64"/>
      <c r="N11" s="4" t="s">
        <v>100</v>
      </c>
      <c r="O11" s="5" t="s">
        <v>75</v>
      </c>
      <c r="P11" s="5" t="s">
        <v>101</v>
      </c>
      <c r="Q11" s="5" t="s">
        <v>102</v>
      </c>
      <c r="R11" s="5" t="s">
        <v>103</v>
      </c>
      <c r="S11" s="5" t="s">
        <v>104</v>
      </c>
      <c r="T11" s="17">
        <v>14</v>
      </c>
      <c r="U11" s="17">
        <v>4</v>
      </c>
      <c r="V11" s="6" t="s">
        <v>73</v>
      </c>
    </row>
    <row r="12" spans="1:22" x14ac:dyDescent="0.25">
      <c r="A12" s="4" t="s">
        <v>105</v>
      </c>
      <c r="B12" s="5" t="s">
        <v>106</v>
      </c>
      <c r="C12" s="5" t="s">
        <v>37</v>
      </c>
      <c r="D12" s="5" t="s">
        <v>107</v>
      </c>
      <c r="E12" s="11">
        <v>2.6</v>
      </c>
      <c r="F12" s="11">
        <v>5.4</v>
      </c>
      <c r="G12" s="14">
        <v>0.19</v>
      </c>
      <c r="H12" s="17">
        <v>25</v>
      </c>
      <c r="I12" s="17">
        <v>80</v>
      </c>
      <c r="J12" s="5" t="s">
        <v>108</v>
      </c>
      <c r="K12" s="5" t="s">
        <v>74</v>
      </c>
      <c r="L12" s="6" t="s">
        <v>73</v>
      </c>
      <c r="M12" s="64"/>
      <c r="N12" s="4" t="s">
        <v>109</v>
      </c>
      <c r="O12" s="5" t="s">
        <v>110</v>
      </c>
      <c r="P12" s="5" t="s">
        <v>111</v>
      </c>
      <c r="Q12" s="5" t="s">
        <v>112</v>
      </c>
      <c r="R12" s="5" t="s">
        <v>113</v>
      </c>
      <c r="S12" s="5" t="s">
        <v>114</v>
      </c>
      <c r="T12" s="17">
        <v>30</v>
      </c>
      <c r="U12" s="17">
        <v>0</v>
      </c>
      <c r="V12" s="6" t="s">
        <v>73</v>
      </c>
    </row>
    <row r="13" spans="1:22" x14ac:dyDescent="0.25">
      <c r="A13" s="4" t="s">
        <v>115</v>
      </c>
      <c r="B13" s="5" t="s">
        <v>116</v>
      </c>
      <c r="C13" s="5" t="s">
        <v>39</v>
      </c>
      <c r="D13" s="5" t="s">
        <v>70</v>
      </c>
      <c r="E13" s="11">
        <v>3.9</v>
      </c>
      <c r="F13" s="11">
        <v>9.9</v>
      </c>
      <c r="G13" s="14">
        <v>0.19</v>
      </c>
      <c r="H13" s="17">
        <v>15</v>
      </c>
      <c r="I13" s="17">
        <v>60</v>
      </c>
      <c r="J13" s="5" t="s">
        <v>117</v>
      </c>
      <c r="K13" s="5" t="s">
        <v>91</v>
      </c>
      <c r="L13" s="6" t="s">
        <v>73</v>
      </c>
      <c r="M13" s="64"/>
      <c r="N13" s="4" t="s">
        <v>118</v>
      </c>
      <c r="O13" s="5" t="s">
        <v>110</v>
      </c>
      <c r="P13" s="5" t="s">
        <v>119</v>
      </c>
      <c r="Q13" s="5" t="s">
        <v>120</v>
      </c>
      <c r="R13" s="5" t="s">
        <v>121</v>
      </c>
      <c r="S13" s="5" t="s">
        <v>122</v>
      </c>
      <c r="T13" s="17">
        <v>14</v>
      </c>
      <c r="U13" s="17">
        <v>0</v>
      </c>
      <c r="V13" s="6" t="s">
        <v>73</v>
      </c>
    </row>
    <row r="14" spans="1:22" x14ac:dyDescent="0.25">
      <c r="A14" s="4" t="s">
        <v>123</v>
      </c>
      <c r="B14" s="5" t="s">
        <v>124</v>
      </c>
      <c r="C14" s="5" t="s">
        <v>39</v>
      </c>
      <c r="D14" s="5" t="s">
        <v>70</v>
      </c>
      <c r="E14" s="11">
        <v>18.5</v>
      </c>
      <c r="F14" s="11">
        <v>34.9</v>
      </c>
      <c r="G14" s="14">
        <v>0.19</v>
      </c>
      <c r="H14" s="17">
        <v>8</v>
      </c>
      <c r="I14" s="17">
        <v>25</v>
      </c>
      <c r="J14" s="5" t="s">
        <v>125</v>
      </c>
      <c r="K14" s="5" t="s">
        <v>91</v>
      </c>
      <c r="L14" s="6" t="s">
        <v>73</v>
      </c>
      <c r="M14" s="64"/>
      <c r="N14" s="4" t="s">
        <v>126</v>
      </c>
      <c r="O14" s="5" t="s">
        <v>110</v>
      </c>
      <c r="P14" s="5" t="s">
        <v>127</v>
      </c>
      <c r="Q14" s="5" t="s">
        <v>128</v>
      </c>
      <c r="R14" s="5" t="s">
        <v>129</v>
      </c>
      <c r="S14" s="5" t="s">
        <v>130</v>
      </c>
      <c r="T14" s="17">
        <v>30</v>
      </c>
      <c r="U14" s="17">
        <v>0</v>
      </c>
      <c r="V14" s="6" t="s">
        <v>73</v>
      </c>
    </row>
    <row r="15" spans="1:22" x14ac:dyDescent="0.25">
      <c r="A15" s="4" t="s">
        <v>131</v>
      </c>
      <c r="B15" s="5" t="s">
        <v>132</v>
      </c>
      <c r="C15" s="5" t="s">
        <v>41</v>
      </c>
      <c r="D15" s="5" t="s">
        <v>133</v>
      </c>
      <c r="E15" s="11">
        <v>3.85</v>
      </c>
      <c r="F15" s="11">
        <v>6.7</v>
      </c>
      <c r="G15" s="14">
        <v>0.19</v>
      </c>
      <c r="H15" s="17">
        <v>40</v>
      </c>
      <c r="I15" s="17">
        <v>120</v>
      </c>
      <c r="J15" s="5" t="s">
        <v>134</v>
      </c>
      <c r="K15" s="5" t="s">
        <v>135</v>
      </c>
      <c r="L15" s="6" t="s">
        <v>73</v>
      </c>
      <c r="M15" s="64"/>
      <c r="N15" s="4" t="s">
        <v>135</v>
      </c>
      <c r="O15" s="5" t="s">
        <v>136</v>
      </c>
      <c r="P15" s="5" t="s">
        <v>137</v>
      </c>
      <c r="Q15" s="5" t="s">
        <v>138</v>
      </c>
      <c r="R15" s="5" t="s">
        <v>139</v>
      </c>
      <c r="S15" s="5" t="s">
        <v>140</v>
      </c>
      <c r="T15" s="17">
        <v>30</v>
      </c>
      <c r="U15" s="17">
        <v>4</v>
      </c>
      <c r="V15" s="6" t="s">
        <v>73</v>
      </c>
    </row>
    <row r="16" spans="1:22" x14ac:dyDescent="0.25">
      <c r="A16" s="4" t="s">
        <v>141</v>
      </c>
      <c r="B16" s="5" t="s">
        <v>142</v>
      </c>
      <c r="C16" s="5" t="s">
        <v>31</v>
      </c>
      <c r="D16" s="5" t="s">
        <v>89</v>
      </c>
      <c r="E16" s="11">
        <v>1.1000000000000001</v>
      </c>
      <c r="F16" s="11">
        <v>2.75</v>
      </c>
      <c r="G16" s="14">
        <v>0.19</v>
      </c>
      <c r="H16" s="17">
        <v>25</v>
      </c>
      <c r="I16" s="17">
        <v>90</v>
      </c>
      <c r="J16" s="5" t="s">
        <v>143</v>
      </c>
      <c r="K16" s="5" t="s">
        <v>72</v>
      </c>
      <c r="L16" s="6" t="s">
        <v>73</v>
      </c>
      <c r="M16" s="64"/>
      <c r="N16" s="4"/>
      <c r="O16" s="5"/>
      <c r="P16" s="5"/>
      <c r="Q16" s="5"/>
      <c r="R16" s="5"/>
      <c r="S16" s="5"/>
      <c r="T16" s="17"/>
      <c r="U16" s="17"/>
      <c r="V16" s="6"/>
    </row>
    <row r="17" spans="1:22" x14ac:dyDescent="0.25">
      <c r="A17" s="4" t="s">
        <v>144</v>
      </c>
      <c r="B17" s="5" t="s">
        <v>145</v>
      </c>
      <c r="C17" s="5" t="s">
        <v>39</v>
      </c>
      <c r="D17" s="5" t="s">
        <v>70</v>
      </c>
      <c r="E17" s="11">
        <v>9.8000000000000007</v>
      </c>
      <c r="F17" s="11">
        <v>19.899999999999999</v>
      </c>
      <c r="G17" s="14">
        <v>0.19</v>
      </c>
      <c r="H17" s="17">
        <v>8</v>
      </c>
      <c r="I17" s="17">
        <v>30</v>
      </c>
      <c r="J17" s="5" t="s">
        <v>146</v>
      </c>
      <c r="K17" s="5" t="s">
        <v>91</v>
      </c>
      <c r="L17" s="6" t="s">
        <v>73</v>
      </c>
      <c r="M17" s="64"/>
      <c r="N17" s="4"/>
      <c r="O17" s="5"/>
      <c r="P17" s="5"/>
      <c r="Q17" s="5"/>
      <c r="R17" s="5"/>
      <c r="S17" s="5"/>
      <c r="T17" s="17"/>
      <c r="U17" s="17"/>
      <c r="V17" s="6"/>
    </row>
    <row r="18" spans="1:22" x14ac:dyDescent="0.25">
      <c r="A18" s="4" t="s">
        <v>147</v>
      </c>
      <c r="B18" s="5" t="s">
        <v>148</v>
      </c>
      <c r="C18" s="5" t="s">
        <v>37</v>
      </c>
      <c r="D18" s="5" t="s">
        <v>70</v>
      </c>
      <c r="E18" s="11">
        <v>3.2</v>
      </c>
      <c r="F18" s="11">
        <v>7.5</v>
      </c>
      <c r="G18" s="14">
        <v>0.19</v>
      </c>
      <c r="H18" s="17">
        <v>18</v>
      </c>
      <c r="I18" s="17">
        <v>60</v>
      </c>
      <c r="J18" s="5" t="s">
        <v>149</v>
      </c>
      <c r="K18" s="5" t="s">
        <v>74</v>
      </c>
      <c r="L18" s="6" t="s">
        <v>73</v>
      </c>
      <c r="M18" s="64"/>
      <c r="N18" s="4"/>
      <c r="O18" s="5"/>
      <c r="P18" s="5"/>
      <c r="Q18" s="5"/>
      <c r="R18" s="5"/>
      <c r="S18" s="5"/>
      <c r="T18" s="17"/>
      <c r="U18" s="17"/>
      <c r="V18" s="6"/>
    </row>
    <row r="19" spans="1:22" x14ac:dyDescent="0.25">
      <c r="A19" s="4" t="s">
        <v>150</v>
      </c>
      <c r="B19" s="5" t="s">
        <v>151</v>
      </c>
      <c r="C19" s="5" t="s">
        <v>41</v>
      </c>
      <c r="D19" s="5" t="s">
        <v>70</v>
      </c>
      <c r="E19" s="11">
        <v>1.1499999999999999</v>
      </c>
      <c r="F19" s="11">
        <v>2.9</v>
      </c>
      <c r="G19" s="14">
        <v>0.19</v>
      </c>
      <c r="H19" s="17">
        <v>30</v>
      </c>
      <c r="I19" s="17">
        <v>100</v>
      </c>
      <c r="J19" s="5" t="s">
        <v>152</v>
      </c>
      <c r="K19" s="5" t="s">
        <v>135</v>
      </c>
      <c r="L19" s="6" t="s">
        <v>73</v>
      </c>
      <c r="M19" s="64"/>
      <c r="N19" s="4"/>
      <c r="O19" s="5"/>
      <c r="P19" s="5"/>
      <c r="Q19" s="5"/>
      <c r="R19" s="5"/>
      <c r="S19" s="5"/>
      <c r="T19" s="17"/>
      <c r="U19" s="17"/>
      <c r="V19" s="6"/>
    </row>
    <row r="20" spans="1:22" x14ac:dyDescent="0.25">
      <c r="A20" s="4"/>
      <c r="B20" s="5"/>
      <c r="C20" s="5"/>
      <c r="D20" s="5"/>
      <c r="E20" s="11"/>
      <c r="F20" s="11"/>
      <c r="G20" s="14"/>
      <c r="H20" s="17"/>
      <c r="I20" s="17"/>
      <c r="J20" s="5"/>
      <c r="K20" s="5"/>
      <c r="L20" s="6"/>
      <c r="M20" s="64"/>
      <c r="N20" s="4"/>
      <c r="O20" s="5"/>
      <c r="P20" s="5"/>
      <c r="Q20" s="5"/>
      <c r="R20" s="5"/>
      <c r="S20" s="5"/>
      <c r="T20" s="17"/>
      <c r="U20" s="17"/>
      <c r="V20" s="6"/>
    </row>
    <row r="21" spans="1:22" x14ac:dyDescent="0.25">
      <c r="A21" s="4"/>
      <c r="B21" s="5"/>
      <c r="C21" s="5"/>
      <c r="D21" s="5"/>
      <c r="E21" s="11"/>
      <c r="F21" s="11"/>
      <c r="G21" s="14"/>
      <c r="H21" s="17"/>
      <c r="I21" s="17"/>
      <c r="J21" s="5"/>
      <c r="K21" s="5"/>
      <c r="L21" s="6"/>
      <c r="M21" s="64"/>
      <c r="N21" s="4"/>
      <c r="O21" s="5"/>
      <c r="P21" s="5"/>
      <c r="Q21" s="5"/>
      <c r="R21" s="5"/>
      <c r="S21" s="5"/>
      <c r="T21" s="17"/>
      <c r="U21" s="17"/>
      <c r="V21" s="6"/>
    </row>
    <row r="22" spans="1:22" x14ac:dyDescent="0.25">
      <c r="A22" s="4"/>
      <c r="B22" s="5"/>
      <c r="C22" s="5"/>
      <c r="D22" s="5"/>
      <c r="E22" s="11"/>
      <c r="F22" s="11"/>
      <c r="G22" s="14"/>
      <c r="H22" s="17"/>
      <c r="I22" s="17"/>
      <c r="J22" s="5"/>
      <c r="K22" s="5"/>
      <c r="L22" s="6"/>
      <c r="M22" s="64"/>
      <c r="N22" s="4"/>
      <c r="O22" s="5"/>
      <c r="P22" s="5"/>
      <c r="Q22" s="5"/>
      <c r="R22" s="5"/>
      <c r="S22" s="5"/>
      <c r="T22" s="17"/>
      <c r="U22" s="17"/>
      <c r="V22" s="6"/>
    </row>
    <row r="23" spans="1:22" x14ac:dyDescent="0.25">
      <c r="A23" s="4"/>
      <c r="B23" s="5"/>
      <c r="C23" s="5"/>
      <c r="D23" s="5"/>
      <c r="E23" s="11"/>
      <c r="F23" s="11"/>
      <c r="G23" s="14"/>
      <c r="H23" s="17"/>
      <c r="I23" s="17"/>
      <c r="J23" s="5"/>
      <c r="K23" s="5"/>
      <c r="L23" s="6"/>
      <c r="M23" s="64"/>
      <c r="N23" s="4"/>
      <c r="O23" s="5"/>
      <c r="P23" s="5"/>
      <c r="Q23" s="5"/>
      <c r="R23" s="5"/>
      <c r="S23" s="5"/>
      <c r="T23" s="17"/>
      <c r="U23" s="17"/>
      <c r="V23" s="6"/>
    </row>
    <row r="24" spans="1:22" x14ac:dyDescent="0.25">
      <c r="A24" s="4"/>
      <c r="B24" s="5"/>
      <c r="C24" s="5"/>
      <c r="D24" s="5"/>
      <c r="E24" s="11"/>
      <c r="F24" s="11"/>
      <c r="G24" s="14"/>
      <c r="H24" s="17"/>
      <c r="I24" s="17"/>
      <c r="J24" s="5"/>
      <c r="K24" s="5"/>
      <c r="L24" s="6"/>
      <c r="M24" s="64"/>
      <c r="N24" s="4"/>
      <c r="O24" s="5"/>
      <c r="P24" s="5"/>
      <c r="Q24" s="5"/>
      <c r="R24" s="5"/>
      <c r="S24" s="5"/>
      <c r="T24" s="17"/>
      <c r="U24" s="17"/>
      <c r="V24" s="6"/>
    </row>
    <row r="25" spans="1:22" x14ac:dyDescent="0.25">
      <c r="A25" s="4"/>
      <c r="B25" s="5"/>
      <c r="C25" s="5"/>
      <c r="D25" s="5"/>
      <c r="E25" s="11"/>
      <c r="F25" s="11"/>
      <c r="G25" s="14"/>
      <c r="H25" s="17"/>
      <c r="I25" s="17"/>
      <c r="J25" s="5"/>
      <c r="K25" s="5"/>
      <c r="L25" s="6"/>
      <c r="M25" s="64"/>
      <c r="N25" s="4"/>
      <c r="O25" s="5"/>
      <c r="P25" s="5"/>
      <c r="Q25" s="5"/>
      <c r="R25" s="5"/>
      <c r="S25" s="5"/>
      <c r="T25" s="17"/>
      <c r="U25" s="17"/>
      <c r="V25" s="6"/>
    </row>
    <row r="26" spans="1:22" x14ac:dyDescent="0.25">
      <c r="A26" s="4"/>
      <c r="B26" s="5"/>
      <c r="C26" s="5"/>
      <c r="D26" s="5"/>
      <c r="E26" s="11"/>
      <c r="F26" s="11"/>
      <c r="G26" s="14"/>
      <c r="H26" s="17"/>
      <c r="I26" s="17"/>
      <c r="J26" s="5"/>
      <c r="K26" s="5"/>
      <c r="L26" s="6"/>
      <c r="M26" s="64"/>
      <c r="N26" s="4"/>
      <c r="O26" s="5"/>
      <c r="P26" s="5"/>
      <c r="Q26" s="5"/>
      <c r="R26" s="5"/>
      <c r="S26" s="5"/>
      <c r="T26" s="17"/>
      <c r="U26" s="17"/>
      <c r="V26" s="6"/>
    </row>
    <row r="27" spans="1:22" x14ac:dyDescent="0.25">
      <c r="A27" s="4"/>
      <c r="B27" s="5"/>
      <c r="C27" s="5"/>
      <c r="D27" s="5"/>
      <c r="E27" s="11"/>
      <c r="F27" s="11"/>
      <c r="G27" s="14"/>
      <c r="H27" s="17"/>
      <c r="I27" s="17"/>
      <c r="J27" s="5"/>
      <c r="K27" s="5"/>
      <c r="L27" s="6"/>
      <c r="M27" s="64"/>
      <c r="N27" s="4"/>
      <c r="O27" s="5"/>
      <c r="P27" s="5"/>
      <c r="Q27" s="5"/>
      <c r="R27" s="5"/>
      <c r="S27" s="5"/>
      <c r="T27" s="17"/>
      <c r="U27" s="17"/>
      <c r="V27" s="6"/>
    </row>
    <row r="28" spans="1:22" x14ac:dyDescent="0.25">
      <c r="A28" s="4"/>
      <c r="B28" s="5"/>
      <c r="C28" s="5"/>
      <c r="D28" s="5"/>
      <c r="E28" s="11"/>
      <c r="F28" s="11"/>
      <c r="G28" s="14"/>
      <c r="H28" s="17"/>
      <c r="I28" s="17"/>
      <c r="J28" s="5"/>
      <c r="K28" s="5"/>
      <c r="L28" s="6"/>
      <c r="M28" s="64"/>
      <c r="N28" s="4"/>
      <c r="O28" s="5"/>
      <c r="P28" s="5"/>
      <c r="Q28" s="5"/>
      <c r="R28" s="5"/>
      <c r="S28" s="5"/>
      <c r="T28" s="17"/>
      <c r="U28" s="17"/>
      <c r="V28" s="6"/>
    </row>
    <row r="29" spans="1:22" x14ac:dyDescent="0.25">
      <c r="A29" s="4"/>
      <c r="B29" s="5"/>
      <c r="C29" s="5"/>
      <c r="D29" s="5"/>
      <c r="E29" s="11"/>
      <c r="F29" s="11"/>
      <c r="G29" s="14"/>
      <c r="H29" s="17"/>
      <c r="I29" s="17"/>
      <c r="J29" s="5"/>
      <c r="K29" s="5"/>
      <c r="L29" s="6"/>
      <c r="M29" s="64"/>
      <c r="N29" s="4"/>
      <c r="O29" s="5"/>
      <c r="P29" s="5"/>
      <c r="Q29" s="5"/>
      <c r="R29" s="5"/>
      <c r="S29" s="5"/>
      <c r="T29" s="17"/>
      <c r="U29" s="17"/>
      <c r="V29" s="6"/>
    </row>
    <row r="30" spans="1:22" x14ac:dyDescent="0.25">
      <c r="A30" s="4"/>
      <c r="B30" s="5"/>
      <c r="C30" s="5"/>
      <c r="D30" s="5"/>
      <c r="E30" s="11"/>
      <c r="F30" s="11"/>
      <c r="G30" s="14"/>
      <c r="H30" s="17"/>
      <c r="I30" s="17"/>
      <c r="J30" s="5"/>
      <c r="K30" s="5"/>
      <c r="L30" s="6"/>
      <c r="M30" s="64"/>
      <c r="N30" s="4"/>
      <c r="O30" s="5"/>
      <c r="P30" s="5"/>
      <c r="Q30" s="5"/>
      <c r="R30" s="5"/>
      <c r="S30" s="5"/>
      <c r="T30" s="17"/>
      <c r="U30" s="17"/>
      <c r="V30" s="6"/>
    </row>
    <row r="31" spans="1:22" x14ac:dyDescent="0.25">
      <c r="A31" s="4"/>
      <c r="B31" s="5"/>
      <c r="C31" s="5"/>
      <c r="D31" s="5"/>
      <c r="E31" s="11"/>
      <c r="F31" s="11"/>
      <c r="G31" s="14"/>
      <c r="H31" s="17"/>
      <c r="I31" s="17"/>
      <c r="J31" s="5"/>
      <c r="K31" s="5"/>
      <c r="L31" s="6"/>
      <c r="M31" s="64"/>
      <c r="N31" s="4"/>
      <c r="O31" s="5"/>
      <c r="P31" s="5"/>
      <c r="Q31" s="5"/>
      <c r="R31" s="5"/>
      <c r="S31" s="5"/>
      <c r="T31" s="17"/>
      <c r="U31" s="17"/>
      <c r="V31" s="6"/>
    </row>
    <row r="32" spans="1:22" x14ac:dyDescent="0.25">
      <c r="A32" s="4"/>
      <c r="B32" s="5"/>
      <c r="C32" s="5"/>
      <c r="D32" s="5"/>
      <c r="E32" s="11"/>
      <c r="F32" s="11"/>
      <c r="G32" s="14"/>
      <c r="H32" s="17"/>
      <c r="I32" s="17"/>
      <c r="J32" s="5"/>
      <c r="K32" s="5"/>
      <c r="L32" s="6"/>
      <c r="M32" s="64"/>
      <c r="N32" s="4"/>
      <c r="O32" s="5"/>
      <c r="P32" s="5"/>
      <c r="Q32" s="5"/>
      <c r="R32" s="5"/>
      <c r="S32" s="5"/>
      <c r="T32" s="17"/>
      <c r="U32" s="17"/>
      <c r="V32" s="6"/>
    </row>
    <row r="33" spans="1:22" x14ac:dyDescent="0.25">
      <c r="A33" s="4"/>
      <c r="B33" s="5"/>
      <c r="C33" s="5"/>
      <c r="D33" s="5"/>
      <c r="E33" s="11"/>
      <c r="F33" s="11"/>
      <c r="G33" s="14"/>
      <c r="H33" s="17"/>
      <c r="I33" s="17"/>
      <c r="J33" s="5"/>
      <c r="K33" s="5"/>
      <c r="L33" s="6"/>
      <c r="M33" s="64"/>
      <c r="N33" s="4"/>
      <c r="O33" s="5"/>
      <c r="P33" s="5"/>
      <c r="Q33" s="5"/>
      <c r="R33" s="5"/>
      <c r="S33" s="5"/>
      <c r="T33" s="17"/>
      <c r="U33" s="17"/>
      <c r="V33" s="6"/>
    </row>
    <row r="34" spans="1:22" x14ac:dyDescent="0.25">
      <c r="A34" s="4"/>
      <c r="B34" s="5"/>
      <c r="C34" s="5"/>
      <c r="D34" s="5"/>
      <c r="E34" s="11"/>
      <c r="F34" s="11"/>
      <c r="G34" s="14"/>
      <c r="H34" s="17"/>
      <c r="I34" s="17"/>
      <c r="J34" s="5"/>
      <c r="K34" s="5"/>
      <c r="L34" s="6"/>
      <c r="M34" s="64"/>
      <c r="N34" s="4"/>
      <c r="O34" s="5"/>
      <c r="P34" s="5"/>
      <c r="Q34" s="5"/>
      <c r="R34" s="5"/>
      <c r="S34" s="5"/>
      <c r="T34" s="17"/>
      <c r="U34" s="17"/>
      <c r="V34" s="6"/>
    </row>
    <row r="35" spans="1:22" x14ac:dyDescent="0.25">
      <c r="A35" s="4"/>
      <c r="B35" s="5"/>
      <c r="C35" s="5"/>
      <c r="D35" s="5"/>
      <c r="E35" s="11"/>
      <c r="F35" s="11"/>
      <c r="G35" s="14"/>
      <c r="H35" s="17"/>
      <c r="I35" s="17"/>
      <c r="J35" s="5"/>
      <c r="K35" s="5"/>
      <c r="L35" s="6"/>
      <c r="M35" s="64"/>
      <c r="N35" s="4"/>
      <c r="O35" s="5"/>
      <c r="P35" s="5"/>
      <c r="Q35" s="5"/>
      <c r="R35" s="5"/>
      <c r="S35" s="5"/>
      <c r="T35" s="17"/>
      <c r="U35" s="17"/>
      <c r="V35" s="6"/>
    </row>
    <row r="36" spans="1:22" x14ac:dyDescent="0.25">
      <c r="A36" s="4"/>
      <c r="B36" s="5"/>
      <c r="C36" s="5"/>
      <c r="D36" s="5"/>
      <c r="E36" s="11"/>
      <c r="F36" s="11"/>
      <c r="G36" s="14"/>
      <c r="H36" s="17"/>
      <c r="I36" s="17"/>
      <c r="J36" s="5"/>
      <c r="K36" s="5"/>
      <c r="L36" s="6"/>
      <c r="M36" s="64"/>
      <c r="N36" s="4"/>
      <c r="O36" s="5"/>
      <c r="P36" s="5"/>
      <c r="Q36" s="5"/>
      <c r="R36" s="5"/>
      <c r="S36" s="5"/>
      <c r="T36" s="17"/>
      <c r="U36" s="17"/>
      <c r="V36" s="6"/>
    </row>
    <row r="37" spans="1:22" x14ac:dyDescent="0.25">
      <c r="A37" s="4"/>
      <c r="B37" s="5"/>
      <c r="C37" s="5"/>
      <c r="D37" s="5"/>
      <c r="E37" s="11"/>
      <c r="F37" s="11"/>
      <c r="G37" s="14"/>
      <c r="H37" s="17"/>
      <c r="I37" s="17"/>
      <c r="J37" s="5"/>
      <c r="K37" s="5"/>
      <c r="L37" s="6"/>
      <c r="M37" s="64"/>
      <c r="N37" s="7"/>
      <c r="O37" s="8"/>
      <c r="P37" s="8"/>
      <c r="Q37" s="8"/>
      <c r="R37" s="8"/>
      <c r="S37" s="8"/>
      <c r="T37" s="18"/>
      <c r="U37" s="18"/>
      <c r="V37" s="9"/>
    </row>
    <row r="38" spans="1:22" x14ac:dyDescent="0.25">
      <c r="A38" s="4"/>
      <c r="B38" s="5"/>
      <c r="C38" s="5"/>
      <c r="D38" s="5"/>
      <c r="E38" s="11"/>
      <c r="F38" s="11"/>
      <c r="G38" s="14"/>
      <c r="H38" s="17"/>
      <c r="I38" s="17"/>
      <c r="J38" s="5"/>
      <c r="K38" s="5"/>
      <c r="L38" s="6"/>
      <c r="M38" s="64"/>
      <c r="N38" s="64"/>
      <c r="O38" s="64"/>
      <c r="P38" s="64"/>
      <c r="Q38" s="64"/>
      <c r="R38" s="64"/>
      <c r="S38" s="64"/>
      <c r="T38" s="64"/>
      <c r="U38" s="64"/>
      <c r="V38" s="64"/>
    </row>
    <row r="39" spans="1:22" x14ac:dyDescent="0.25">
      <c r="A39" s="4"/>
      <c r="B39" s="5"/>
      <c r="C39" s="5"/>
      <c r="D39" s="5"/>
      <c r="E39" s="11"/>
      <c r="F39" s="11"/>
      <c r="G39" s="14"/>
      <c r="H39" s="17"/>
      <c r="I39" s="17"/>
      <c r="J39" s="5"/>
      <c r="K39" s="5"/>
      <c r="L39" s="6"/>
      <c r="M39" s="64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5">
      <c r="A40" s="4"/>
      <c r="B40" s="5"/>
      <c r="C40" s="5"/>
      <c r="D40" s="5"/>
      <c r="E40" s="11"/>
      <c r="F40" s="11"/>
      <c r="G40" s="14"/>
      <c r="H40" s="17"/>
      <c r="I40" s="17"/>
      <c r="J40" s="5"/>
      <c r="K40" s="5"/>
      <c r="L40" s="6"/>
      <c r="M40" s="64"/>
      <c r="N40" s="64"/>
      <c r="O40" s="64"/>
      <c r="P40" s="64"/>
      <c r="Q40" s="64"/>
      <c r="R40" s="64"/>
      <c r="S40" s="64"/>
      <c r="T40" s="64"/>
      <c r="U40" s="64"/>
      <c r="V40" s="64"/>
    </row>
    <row r="41" spans="1:22" x14ac:dyDescent="0.25">
      <c r="A41" s="4"/>
      <c r="B41" s="5"/>
      <c r="C41" s="5"/>
      <c r="D41" s="5"/>
      <c r="E41" s="11"/>
      <c r="F41" s="11"/>
      <c r="G41" s="14"/>
      <c r="H41" s="17"/>
      <c r="I41" s="17"/>
      <c r="J41" s="5"/>
      <c r="K41" s="5"/>
      <c r="L41" s="6"/>
      <c r="M41" s="64"/>
      <c r="N41" s="64"/>
      <c r="O41" s="64"/>
      <c r="P41" s="64"/>
      <c r="Q41" s="64"/>
      <c r="R41" s="64"/>
      <c r="S41" s="64"/>
      <c r="T41" s="64"/>
      <c r="U41" s="64"/>
      <c r="V41" s="64"/>
    </row>
    <row r="42" spans="1:22" x14ac:dyDescent="0.25">
      <c r="A42" s="4"/>
      <c r="B42" s="5"/>
      <c r="C42" s="5"/>
      <c r="D42" s="5"/>
      <c r="E42" s="11"/>
      <c r="F42" s="11"/>
      <c r="G42" s="14"/>
      <c r="H42" s="17"/>
      <c r="I42" s="17"/>
      <c r="J42" s="5"/>
      <c r="K42" s="5"/>
      <c r="L42" s="6"/>
      <c r="M42" s="64"/>
      <c r="N42" s="64"/>
      <c r="O42" s="64"/>
      <c r="P42" s="64"/>
      <c r="Q42" s="64"/>
      <c r="R42" s="64"/>
      <c r="S42" s="64"/>
      <c r="T42" s="64"/>
      <c r="U42" s="64"/>
      <c r="V42" s="64"/>
    </row>
    <row r="43" spans="1:22" x14ac:dyDescent="0.25">
      <c r="A43" s="4"/>
      <c r="B43" s="5"/>
      <c r="C43" s="5"/>
      <c r="D43" s="5"/>
      <c r="E43" s="11"/>
      <c r="F43" s="11"/>
      <c r="G43" s="14"/>
      <c r="H43" s="17"/>
      <c r="I43" s="17"/>
      <c r="J43" s="5"/>
      <c r="K43" s="5"/>
      <c r="L43" s="6"/>
      <c r="M43" s="64"/>
      <c r="N43" s="64"/>
      <c r="O43" s="64"/>
      <c r="P43" s="64"/>
      <c r="Q43" s="64"/>
      <c r="R43" s="64"/>
      <c r="S43" s="64"/>
      <c r="T43" s="64"/>
      <c r="U43" s="64"/>
      <c r="V43" s="64"/>
    </row>
    <row r="44" spans="1:22" x14ac:dyDescent="0.25">
      <c r="A44" s="4"/>
      <c r="B44" s="5"/>
      <c r="C44" s="5"/>
      <c r="D44" s="5"/>
      <c r="E44" s="11"/>
      <c r="F44" s="11"/>
      <c r="G44" s="14"/>
      <c r="H44" s="17"/>
      <c r="I44" s="17"/>
      <c r="J44" s="5"/>
      <c r="K44" s="5"/>
      <c r="L44" s="6"/>
      <c r="M44" s="64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5">
      <c r="A45" s="4"/>
      <c r="B45" s="5"/>
      <c r="C45" s="5"/>
      <c r="D45" s="5"/>
      <c r="E45" s="11"/>
      <c r="F45" s="11"/>
      <c r="G45" s="14"/>
      <c r="H45" s="17"/>
      <c r="I45" s="17"/>
      <c r="J45" s="5"/>
      <c r="K45" s="5"/>
      <c r="L45" s="6"/>
      <c r="M45" s="64"/>
      <c r="N45" s="64"/>
      <c r="O45" s="64"/>
      <c r="P45" s="64"/>
      <c r="Q45" s="64"/>
      <c r="R45" s="64"/>
      <c r="S45" s="64"/>
      <c r="T45" s="64"/>
      <c r="U45" s="64"/>
      <c r="V45" s="64"/>
    </row>
    <row r="46" spans="1:22" x14ac:dyDescent="0.25">
      <c r="A46" s="4"/>
      <c r="B46" s="5"/>
      <c r="C46" s="5"/>
      <c r="D46" s="5"/>
      <c r="E46" s="11"/>
      <c r="F46" s="11"/>
      <c r="G46" s="14"/>
      <c r="H46" s="17"/>
      <c r="I46" s="17"/>
      <c r="J46" s="5"/>
      <c r="K46" s="5"/>
      <c r="L46" s="6"/>
      <c r="M46" s="64"/>
      <c r="N46" s="64"/>
      <c r="O46" s="64"/>
      <c r="P46" s="64"/>
      <c r="Q46" s="64"/>
      <c r="R46" s="64"/>
      <c r="S46" s="64"/>
      <c r="T46" s="64"/>
      <c r="U46" s="64"/>
      <c r="V46" s="64"/>
    </row>
    <row r="47" spans="1:22" x14ac:dyDescent="0.25">
      <c r="A47" s="4"/>
      <c r="B47" s="5"/>
      <c r="C47" s="5"/>
      <c r="D47" s="5"/>
      <c r="E47" s="11"/>
      <c r="F47" s="11"/>
      <c r="G47" s="14"/>
      <c r="H47" s="17"/>
      <c r="I47" s="17"/>
      <c r="J47" s="5"/>
      <c r="K47" s="5"/>
      <c r="L47" s="6"/>
      <c r="M47" s="64"/>
      <c r="N47" s="64"/>
      <c r="O47" s="64"/>
      <c r="P47" s="64"/>
      <c r="Q47" s="64"/>
      <c r="R47" s="64"/>
      <c r="S47" s="64"/>
      <c r="T47" s="64"/>
      <c r="U47" s="64"/>
      <c r="V47" s="64"/>
    </row>
    <row r="48" spans="1:22" x14ac:dyDescent="0.25">
      <c r="A48" s="4"/>
      <c r="B48" s="5"/>
      <c r="C48" s="5"/>
      <c r="D48" s="5"/>
      <c r="E48" s="11"/>
      <c r="F48" s="11"/>
      <c r="G48" s="14"/>
      <c r="H48" s="17"/>
      <c r="I48" s="17"/>
      <c r="J48" s="5"/>
      <c r="K48" s="5"/>
      <c r="L48" s="6"/>
      <c r="M48" s="64"/>
      <c r="N48" s="64"/>
      <c r="O48" s="64"/>
      <c r="P48" s="64"/>
      <c r="Q48" s="64"/>
      <c r="R48" s="64"/>
      <c r="S48" s="64"/>
      <c r="T48" s="64"/>
      <c r="U48" s="64"/>
      <c r="V48" s="64"/>
    </row>
    <row r="49" spans="1:22" x14ac:dyDescent="0.25">
      <c r="A49" s="4"/>
      <c r="B49" s="5"/>
      <c r="C49" s="5"/>
      <c r="D49" s="5"/>
      <c r="E49" s="11"/>
      <c r="F49" s="11"/>
      <c r="G49" s="14"/>
      <c r="H49" s="17"/>
      <c r="I49" s="17"/>
      <c r="J49" s="5"/>
      <c r="K49" s="5"/>
      <c r="L49" s="6"/>
      <c r="M49" s="64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5">
      <c r="A50" s="4"/>
      <c r="B50" s="5"/>
      <c r="C50" s="5"/>
      <c r="D50" s="5"/>
      <c r="E50" s="11"/>
      <c r="F50" s="11"/>
      <c r="G50" s="14"/>
      <c r="H50" s="17"/>
      <c r="I50" s="17"/>
      <c r="J50" s="5"/>
      <c r="K50" s="5"/>
      <c r="L50" s="6"/>
      <c r="M50" s="64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5">
      <c r="A51" s="4"/>
      <c r="B51" s="5"/>
      <c r="C51" s="5"/>
      <c r="D51" s="5"/>
      <c r="E51" s="11"/>
      <c r="F51" s="11"/>
      <c r="G51" s="14"/>
      <c r="H51" s="17"/>
      <c r="I51" s="17"/>
      <c r="J51" s="5"/>
      <c r="K51" s="5"/>
      <c r="L51" s="6"/>
      <c r="M51" s="64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5">
      <c r="A52" s="4"/>
      <c r="B52" s="5"/>
      <c r="C52" s="5"/>
      <c r="D52" s="5"/>
      <c r="E52" s="11"/>
      <c r="F52" s="11"/>
      <c r="G52" s="14"/>
      <c r="H52" s="17"/>
      <c r="I52" s="17"/>
      <c r="J52" s="5"/>
      <c r="K52" s="5"/>
      <c r="L52" s="6"/>
      <c r="M52" s="64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5">
      <c r="A53" s="4"/>
      <c r="B53" s="5"/>
      <c r="C53" s="5"/>
      <c r="D53" s="5"/>
      <c r="E53" s="11"/>
      <c r="F53" s="11"/>
      <c r="G53" s="14"/>
      <c r="H53" s="17"/>
      <c r="I53" s="17"/>
      <c r="J53" s="5"/>
      <c r="K53" s="5"/>
      <c r="L53" s="6"/>
      <c r="M53" s="64"/>
      <c r="N53" s="64"/>
      <c r="O53" s="64"/>
      <c r="P53" s="64"/>
      <c r="Q53" s="64"/>
      <c r="R53" s="64"/>
      <c r="S53" s="64"/>
      <c r="T53" s="64"/>
      <c r="U53" s="64"/>
      <c r="V53" s="64"/>
    </row>
    <row r="54" spans="1:22" x14ac:dyDescent="0.25">
      <c r="A54" s="4"/>
      <c r="B54" s="5"/>
      <c r="C54" s="5"/>
      <c r="D54" s="5"/>
      <c r="E54" s="11"/>
      <c r="F54" s="11"/>
      <c r="G54" s="14"/>
      <c r="H54" s="17"/>
      <c r="I54" s="17"/>
      <c r="J54" s="5"/>
      <c r="K54" s="5"/>
      <c r="L54" s="6"/>
      <c r="M54" s="64"/>
      <c r="N54" s="64"/>
      <c r="O54" s="64"/>
      <c r="P54" s="64"/>
      <c r="Q54" s="64"/>
      <c r="R54" s="64"/>
      <c r="S54" s="64"/>
      <c r="T54" s="64"/>
      <c r="U54" s="64"/>
      <c r="V54" s="64"/>
    </row>
    <row r="55" spans="1:22" x14ac:dyDescent="0.25">
      <c r="A55" s="4"/>
      <c r="B55" s="5"/>
      <c r="C55" s="5"/>
      <c r="D55" s="5"/>
      <c r="E55" s="11"/>
      <c r="F55" s="11"/>
      <c r="G55" s="14"/>
      <c r="H55" s="17"/>
      <c r="I55" s="17"/>
      <c r="J55" s="5"/>
      <c r="K55" s="5"/>
      <c r="L55" s="6"/>
      <c r="M55" s="64"/>
      <c r="N55" s="64"/>
      <c r="O55" s="64"/>
      <c r="P55" s="64"/>
      <c r="Q55" s="64"/>
      <c r="R55" s="64"/>
      <c r="S55" s="64"/>
      <c r="T55" s="64"/>
      <c r="U55" s="64"/>
      <c r="V55" s="64"/>
    </row>
    <row r="56" spans="1:22" x14ac:dyDescent="0.25">
      <c r="A56" s="4"/>
      <c r="B56" s="5"/>
      <c r="C56" s="5"/>
      <c r="D56" s="5"/>
      <c r="E56" s="11"/>
      <c r="F56" s="11"/>
      <c r="G56" s="14"/>
      <c r="H56" s="17"/>
      <c r="I56" s="17"/>
      <c r="J56" s="5"/>
      <c r="K56" s="5"/>
      <c r="L56" s="6"/>
      <c r="M56" s="64"/>
      <c r="N56" s="64"/>
      <c r="O56" s="64"/>
      <c r="P56" s="64"/>
      <c r="Q56" s="64"/>
      <c r="R56" s="64"/>
      <c r="S56" s="64"/>
      <c r="T56" s="64"/>
      <c r="U56" s="64"/>
      <c r="V56" s="64"/>
    </row>
    <row r="57" spans="1:22" x14ac:dyDescent="0.25">
      <c r="A57" s="7"/>
      <c r="B57" s="8"/>
      <c r="C57" s="8"/>
      <c r="D57" s="8"/>
      <c r="E57" s="12"/>
      <c r="F57" s="12"/>
      <c r="G57" s="15"/>
      <c r="H57" s="18"/>
      <c r="I57" s="18"/>
      <c r="J57" s="8"/>
      <c r="K57" s="8"/>
      <c r="L57" s="9"/>
      <c r="M57" s="64"/>
      <c r="N57" s="64"/>
      <c r="O57" s="64"/>
      <c r="P57" s="64"/>
      <c r="Q57" s="64"/>
      <c r="R57" s="64"/>
      <c r="S57" s="64"/>
      <c r="T57" s="64"/>
      <c r="U57" s="64"/>
      <c r="V57" s="64"/>
    </row>
  </sheetData>
  <mergeCells count="4">
    <mergeCell ref="A1:V2"/>
    <mergeCell ref="A3:V3"/>
    <mergeCell ref="A5:L5"/>
    <mergeCell ref="N5:V5"/>
  </mergeCells>
  <conditionalFormatting sqref="L8:L57">
    <cfRule type="expression" dxfId="9" priority="1">
      <formula>L8="Nein"</formula>
    </cfRule>
  </conditionalFormatting>
  <conditionalFormatting sqref="V8:V37">
    <cfRule type="expression" dxfId="8" priority="2">
      <formula>V8="Nein"</formula>
    </cfRule>
  </conditionalFormatting>
  <dataValidations count="4">
    <dataValidation type="list" sqref="D8:D57" xr:uid="{00000000-0002-0000-0100-000000000000}">
      <formula1>"Stk.,Pkg.,Karton,Set,Rolle,Liter,kg,Paar"</formula1>
    </dataValidation>
    <dataValidation type="list" sqref="G8:G57" xr:uid="{00000000-0002-0000-0100-000001000000}">
      <formula1>"0,0.07,0.19"</formula1>
    </dataValidation>
    <dataValidation type="list" sqref="L8:L57 V8:V37" xr:uid="{00000000-0002-0000-0100-000002000000}">
      <formula1>"Ja,Nein"</formula1>
    </dataValidation>
    <dataValidation type="list" sqref="O8:O37" xr:uid="{00000000-0002-0000-0100-000003000000}">
      <formula1>"Lieferant,Kunde,Beides"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7"/>
  <sheetViews>
    <sheetView workbookViewId="0"/>
  </sheetViews>
  <sheetFormatPr baseColWidth="10" defaultColWidth="9" defaultRowHeight="15" x14ac:dyDescent="0.25"/>
  <cols>
    <col min="1" max="1" width="16" customWidth="1"/>
    <col min="2" max="2" width="12" customWidth="1"/>
    <col min="3" max="3" width="16" customWidth="1"/>
    <col min="4" max="4" width="13" customWidth="1"/>
    <col min="5" max="5" width="27" customWidth="1"/>
    <col min="6" max="6" width="10" customWidth="1"/>
    <col min="7" max="8" width="14" customWidth="1"/>
    <col min="9" max="9" width="16" customWidth="1"/>
    <col min="10" max="10" width="13" customWidth="1"/>
    <col min="11" max="11" width="25" customWidth="1"/>
    <col min="12" max="12" width="12" customWidth="1"/>
    <col min="13" max="13" width="28" customWidth="1"/>
    <col min="14" max="14" width="14" customWidth="1"/>
    <col min="15" max="17" width="15" customWidth="1"/>
  </cols>
  <sheetData>
    <row r="1" spans="1:17" ht="32.1" customHeight="1" x14ac:dyDescent="0.25">
      <c r="A1" s="74" t="s">
        <v>153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32.1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21.95" customHeight="1" x14ac:dyDescent="0.25">
      <c r="A3" s="76" t="s">
        <v>154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x14ac:dyDescent="0.25">
      <c r="A5" s="77" t="s">
        <v>155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7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ht="33.950000000000003" customHeight="1" x14ac:dyDescent="0.25">
      <c r="A7" s="67" t="s">
        <v>156</v>
      </c>
      <c r="B7" s="68" t="s">
        <v>157</v>
      </c>
      <c r="C7" s="68" t="s">
        <v>158</v>
      </c>
      <c r="D7" s="68" t="s">
        <v>13</v>
      </c>
      <c r="E7" s="68" t="s">
        <v>14</v>
      </c>
      <c r="F7" s="68" t="s">
        <v>159</v>
      </c>
      <c r="G7" s="68" t="s">
        <v>54</v>
      </c>
      <c r="H7" s="68" t="s">
        <v>55</v>
      </c>
      <c r="I7" s="68" t="s">
        <v>160</v>
      </c>
      <c r="J7" s="68" t="s">
        <v>60</v>
      </c>
      <c r="K7" s="68" t="s">
        <v>161</v>
      </c>
      <c r="L7" s="68" t="s">
        <v>57</v>
      </c>
      <c r="M7" s="68" t="s">
        <v>162</v>
      </c>
      <c r="N7" s="68" t="s">
        <v>163</v>
      </c>
      <c r="O7" s="68" t="s">
        <v>164</v>
      </c>
      <c r="P7" s="68" t="s">
        <v>7</v>
      </c>
      <c r="Q7" s="69" t="s">
        <v>29</v>
      </c>
    </row>
    <row r="8" spans="1:17" x14ac:dyDescent="0.25">
      <c r="A8" s="1" t="s">
        <v>165</v>
      </c>
      <c r="B8" s="34">
        <v>46024</v>
      </c>
      <c r="C8" s="2" t="s">
        <v>166</v>
      </c>
      <c r="D8" s="3" t="s">
        <v>68</v>
      </c>
      <c r="E8" s="22" t="str">
        <f>IF(D8="","",IFERROR(VLOOKUP(D8,Stammdaten!$A$8:$L$57,2,FALSE),"Artikel-ID prüfen"))</f>
        <v>Mehrzweckbox M</v>
      </c>
      <c r="F8" s="37">
        <v>25</v>
      </c>
      <c r="G8" s="40">
        <f>IF(D8="","",IFERROR(VLOOKUP(D8,Stammdaten!$A$8:$L$57,5,FALSE),0))</f>
        <v>6.8</v>
      </c>
      <c r="H8" s="41">
        <f>IF(D8="","",IFERROR(VLOOKUP(D8,Stammdaten!$A$8:$L$57,6,FALSE),0))</f>
        <v>12.9</v>
      </c>
      <c r="I8" s="1"/>
      <c r="J8" s="3"/>
      <c r="K8" s="25" t="str">
        <f>IF(J8="","",IFERROR(VLOOKUP(J8,Stammdaten!$N$8:$V$37,3,FALSE),"Partner-ID prüfen"))</f>
        <v/>
      </c>
      <c r="L8" s="26" t="str">
        <f>IF(D8="","",IFERROR(VLOOKUP(D8,Stammdaten!$A$8:$L$57,10,FALSE),""))</f>
        <v>A-01</v>
      </c>
      <c r="M8" s="19" t="s">
        <v>167</v>
      </c>
      <c r="N8" s="46">
        <f t="shared" ref="N8:N39" si="0">IF(OR(C8="",F8=""),"",IF(OR(C8="Wareneingang",C8="Korrektur +"),F8,-F8))</f>
        <v>25</v>
      </c>
      <c r="O8" s="49">
        <f t="shared" ref="O8:O39" si="1">IF(N8="","",N8*G8)</f>
        <v>170</v>
      </c>
      <c r="P8" s="49">
        <f t="shared" ref="P8:P39" si="2">IF(C8="","",IF(C8="Warenausgang",F8*H8,0))</f>
        <v>0</v>
      </c>
      <c r="Q8" s="41">
        <f t="shared" ref="Q8:Q39" si="3">IF(C8="","",IF(C8="Warenausgang",F8*G8,0))</f>
        <v>0</v>
      </c>
    </row>
    <row r="9" spans="1:17" x14ac:dyDescent="0.25">
      <c r="A9" s="4" t="s">
        <v>168</v>
      </c>
      <c r="B9" s="35">
        <v>46024</v>
      </c>
      <c r="C9" s="5" t="s">
        <v>166</v>
      </c>
      <c r="D9" s="6" t="s">
        <v>80</v>
      </c>
      <c r="E9" s="23" t="str">
        <f>IF(D9="","",IFERROR(VLOOKUP(D9,Stammdaten!$A$8:$L$57,2,FALSE),"Artikel-ID prüfen"))</f>
        <v>Versandkarton S</v>
      </c>
      <c r="F9" s="38">
        <v>40</v>
      </c>
      <c r="G9" s="42">
        <f>IF(D9="","",IFERROR(VLOOKUP(D9,Stammdaten!$A$8:$L$57,5,FALSE),0))</f>
        <v>0.72</v>
      </c>
      <c r="H9" s="43">
        <f>IF(D9="","",IFERROR(VLOOKUP(D9,Stammdaten!$A$8:$L$57,6,FALSE),0))</f>
        <v>1.45</v>
      </c>
      <c r="I9" s="4"/>
      <c r="J9" s="6"/>
      <c r="K9" s="27" t="str">
        <f>IF(J9="","",IFERROR(VLOOKUP(J9,Stammdaten!$N$8:$V$37,3,FALSE),"Partner-ID prüfen"))</f>
        <v/>
      </c>
      <c r="L9" s="28" t="str">
        <f>IF(D9="","",IFERROR(VLOOKUP(D9,Stammdaten!$A$8:$L$57,10,FALSE),""))</f>
        <v>A-02</v>
      </c>
      <c r="M9" s="20" t="s">
        <v>167</v>
      </c>
      <c r="N9" s="47">
        <f t="shared" si="0"/>
        <v>40</v>
      </c>
      <c r="O9" s="50">
        <f t="shared" si="1"/>
        <v>28.799999999999997</v>
      </c>
      <c r="P9" s="50">
        <f t="shared" si="2"/>
        <v>0</v>
      </c>
      <c r="Q9" s="43">
        <f t="shared" si="3"/>
        <v>0</v>
      </c>
    </row>
    <row r="10" spans="1:17" x14ac:dyDescent="0.25">
      <c r="A10" s="4" t="s">
        <v>169</v>
      </c>
      <c r="B10" s="35">
        <v>46024</v>
      </c>
      <c r="C10" s="5" t="s">
        <v>166</v>
      </c>
      <c r="D10" s="6" t="s">
        <v>87</v>
      </c>
      <c r="E10" s="23" t="str">
        <f>IF(D10="","",IFERROR(VLOOKUP(D10,Stammdaten!$A$8:$L$57,2,FALSE),"Artikel-ID prüfen"))</f>
        <v>Etikettenrolle 100 × 150</v>
      </c>
      <c r="F10" s="38">
        <v>8</v>
      </c>
      <c r="G10" s="42">
        <f>IF(D10="","",IFERROR(VLOOKUP(D10,Stammdaten!$A$8:$L$57,5,FALSE),0))</f>
        <v>8.4</v>
      </c>
      <c r="H10" s="43">
        <f>IF(D10="","",IFERROR(VLOOKUP(D10,Stammdaten!$A$8:$L$57,6,FALSE),0))</f>
        <v>15.9</v>
      </c>
      <c r="I10" s="4"/>
      <c r="J10" s="6"/>
      <c r="K10" s="27" t="str">
        <f>IF(J10="","",IFERROR(VLOOKUP(J10,Stammdaten!$N$8:$V$37,3,FALSE),"Partner-ID prüfen"))</f>
        <v/>
      </c>
      <c r="L10" s="28" t="str">
        <f>IF(D10="","",IFERROR(VLOOKUP(D10,Stammdaten!$A$8:$L$57,10,FALSE),""))</f>
        <v>B-01</v>
      </c>
      <c r="M10" s="20" t="s">
        <v>167</v>
      </c>
      <c r="N10" s="47">
        <f t="shared" si="0"/>
        <v>8</v>
      </c>
      <c r="O10" s="50">
        <f t="shared" si="1"/>
        <v>67.2</v>
      </c>
      <c r="P10" s="50">
        <f t="shared" si="2"/>
        <v>0</v>
      </c>
      <c r="Q10" s="43">
        <f t="shared" si="3"/>
        <v>0</v>
      </c>
    </row>
    <row r="11" spans="1:17" x14ac:dyDescent="0.25">
      <c r="A11" s="4" t="s">
        <v>170</v>
      </c>
      <c r="B11" s="35">
        <v>46024</v>
      </c>
      <c r="C11" s="5" t="s">
        <v>166</v>
      </c>
      <c r="D11" s="6" t="s">
        <v>96</v>
      </c>
      <c r="E11" s="23" t="str">
        <f>IF(D11="","",IFERROR(VLOOKUP(D11,Stammdaten!$A$8:$L$57,2,FALSE),"Artikel-ID prüfen"))</f>
        <v>Reinigungskonzentrat 1 L</v>
      </c>
      <c r="F11" s="38">
        <v>18</v>
      </c>
      <c r="G11" s="42">
        <f>IF(D11="","",IFERROR(VLOOKUP(D11,Stammdaten!$A$8:$L$57,5,FALSE),0))</f>
        <v>4.9000000000000004</v>
      </c>
      <c r="H11" s="43">
        <f>IF(D11="","",IFERROR(VLOOKUP(D11,Stammdaten!$A$8:$L$57,6,FALSE),0))</f>
        <v>9.8000000000000007</v>
      </c>
      <c r="I11" s="4"/>
      <c r="J11" s="6"/>
      <c r="K11" s="27" t="str">
        <f>IF(J11="","",IFERROR(VLOOKUP(J11,Stammdaten!$N$8:$V$37,3,FALSE),"Partner-ID prüfen"))</f>
        <v/>
      </c>
      <c r="L11" s="28" t="str">
        <f>IF(D11="","",IFERROR(VLOOKUP(D11,Stammdaten!$A$8:$L$57,10,FALSE),""))</f>
        <v>B-02</v>
      </c>
      <c r="M11" s="20" t="s">
        <v>167</v>
      </c>
      <c r="N11" s="47">
        <f t="shared" si="0"/>
        <v>18</v>
      </c>
      <c r="O11" s="50">
        <f t="shared" si="1"/>
        <v>88.2</v>
      </c>
      <c r="P11" s="50">
        <f t="shared" si="2"/>
        <v>0</v>
      </c>
      <c r="Q11" s="43">
        <f t="shared" si="3"/>
        <v>0</v>
      </c>
    </row>
    <row r="12" spans="1:17" x14ac:dyDescent="0.25">
      <c r="A12" s="4" t="s">
        <v>171</v>
      </c>
      <c r="B12" s="35">
        <v>46024</v>
      </c>
      <c r="C12" s="5" t="s">
        <v>166</v>
      </c>
      <c r="D12" s="6" t="s">
        <v>105</v>
      </c>
      <c r="E12" s="23" t="str">
        <f>IF(D12="","",IFERROR(VLOOKUP(D12,Stammdaten!$A$8:$L$57,2,FALSE),"Artikel-ID prüfen"))</f>
        <v>Arbeitshandschuhe Größe L</v>
      </c>
      <c r="F12" s="38">
        <v>20</v>
      </c>
      <c r="G12" s="42">
        <f>IF(D12="","",IFERROR(VLOOKUP(D12,Stammdaten!$A$8:$L$57,5,FALSE),0))</f>
        <v>2.6</v>
      </c>
      <c r="H12" s="43">
        <f>IF(D12="","",IFERROR(VLOOKUP(D12,Stammdaten!$A$8:$L$57,6,FALSE),0))</f>
        <v>5.4</v>
      </c>
      <c r="I12" s="4"/>
      <c r="J12" s="6"/>
      <c r="K12" s="27" t="str">
        <f>IF(J12="","",IFERROR(VLOOKUP(J12,Stammdaten!$N$8:$V$37,3,FALSE),"Partner-ID prüfen"))</f>
        <v/>
      </c>
      <c r="L12" s="28" t="str">
        <f>IF(D12="","",IFERROR(VLOOKUP(D12,Stammdaten!$A$8:$L$57,10,FALSE),""))</f>
        <v>C-01</v>
      </c>
      <c r="M12" s="20" t="s">
        <v>167</v>
      </c>
      <c r="N12" s="47">
        <f t="shared" si="0"/>
        <v>20</v>
      </c>
      <c r="O12" s="50">
        <f t="shared" si="1"/>
        <v>52</v>
      </c>
      <c r="P12" s="50">
        <f t="shared" si="2"/>
        <v>0</v>
      </c>
      <c r="Q12" s="43">
        <f t="shared" si="3"/>
        <v>0</v>
      </c>
    </row>
    <row r="13" spans="1:17" x14ac:dyDescent="0.25">
      <c r="A13" s="4" t="s">
        <v>172</v>
      </c>
      <c r="B13" s="35">
        <v>46024</v>
      </c>
      <c r="C13" s="5" t="s">
        <v>166</v>
      </c>
      <c r="D13" s="6" t="s">
        <v>115</v>
      </c>
      <c r="E13" s="23" t="str">
        <f>IF(D13="","",IFERROR(VLOOKUP(D13,Stammdaten!$A$8:$L$57,2,FALSE),"Artikel-ID prüfen"))</f>
        <v>USB-C-Ladekabel 1 m</v>
      </c>
      <c r="F13" s="38">
        <v>18</v>
      </c>
      <c r="G13" s="42">
        <f>IF(D13="","",IFERROR(VLOOKUP(D13,Stammdaten!$A$8:$L$57,5,FALSE),0))</f>
        <v>3.9</v>
      </c>
      <c r="H13" s="43">
        <f>IF(D13="","",IFERROR(VLOOKUP(D13,Stammdaten!$A$8:$L$57,6,FALSE),0))</f>
        <v>9.9</v>
      </c>
      <c r="I13" s="4"/>
      <c r="J13" s="6"/>
      <c r="K13" s="27" t="str">
        <f>IF(J13="","",IFERROR(VLOOKUP(J13,Stammdaten!$N$8:$V$37,3,FALSE),"Partner-ID prüfen"))</f>
        <v/>
      </c>
      <c r="L13" s="28" t="str">
        <f>IF(D13="","",IFERROR(VLOOKUP(D13,Stammdaten!$A$8:$L$57,10,FALSE),""))</f>
        <v>C-02</v>
      </c>
      <c r="M13" s="20" t="s">
        <v>167</v>
      </c>
      <c r="N13" s="47">
        <f t="shared" si="0"/>
        <v>18</v>
      </c>
      <c r="O13" s="50">
        <f t="shared" si="1"/>
        <v>70.2</v>
      </c>
      <c r="P13" s="50">
        <f t="shared" si="2"/>
        <v>0</v>
      </c>
      <c r="Q13" s="43">
        <f t="shared" si="3"/>
        <v>0</v>
      </c>
    </row>
    <row r="14" spans="1:17" x14ac:dyDescent="0.25">
      <c r="A14" s="4" t="s">
        <v>173</v>
      </c>
      <c r="B14" s="35">
        <v>46024</v>
      </c>
      <c r="C14" s="5" t="s">
        <v>166</v>
      </c>
      <c r="D14" s="6" t="s">
        <v>123</v>
      </c>
      <c r="E14" s="23" t="str">
        <f>IF(D14="","",IFERROR(VLOOKUP(D14,Stammdaten!$A$8:$L$57,2,FALSE),"Artikel-ID prüfen"))</f>
        <v>LED-Arbeitsleuchte</v>
      </c>
      <c r="F14" s="38">
        <v>10</v>
      </c>
      <c r="G14" s="42">
        <f>IF(D14="","",IFERROR(VLOOKUP(D14,Stammdaten!$A$8:$L$57,5,FALSE),0))</f>
        <v>18.5</v>
      </c>
      <c r="H14" s="43">
        <f>IF(D14="","",IFERROR(VLOOKUP(D14,Stammdaten!$A$8:$L$57,6,FALSE),0))</f>
        <v>34.9</v>
      </c>
      <c r="I14" s="4"/>
      <c r="J14" s="6"/>
      <c r="K14" s="27" t="str">
        <f>IF(J14="","",IFERROR(VLOOKUP(J14,Stammdaten!$N$8:$V$37,3,FALSE),"Partner-ID prüfen"))</f>
        <v/>
      </c>
      <c r="L14" s="28" t="str">
        <f>IF(D14="","",IFERROR(VLOOKUP(D14,Stammdaten!$A$8:$L$57,10,FALSE),""))</f>
        <v>C-03</v>
      </c>
      <c r="M14" s="20" t="s">
        <v>167</v>
      </c>
      <c r="N14" s="47">
        <f t="shared" si="0"/>
        <v>10</v>
      </c>
      <c r="O14" s="50">
        <f t="shared" si="1"/>
        <v>185</v>
      </c>
      <c r="P14" s="50">
        <f t="shared" si="2"/>
        <v>0</v>
      </c>
      <c r="Q14" s="43">
        <f t="shared" si="3"/>
        <v>0</v>
      </c>
    </row>
    <row r="15" spans="1:17" x14ac:dyDescent="0.25">
      <c r="A15" s="4" t="s">
        <v>174</v>
      </c>
      <c r="B15" s="35">
        <v>46024</v>
      </c>
      <c r="C15" s="5" t="s">
        <v>166</v>
      </c>
      <c r="D15" s="6" t="s">
        <v>131</v>
      </c>
      <c r="E15" s="23" t="str">
        <f>IF(D15="","",IFERROR(VLOOKUP(D15,Stammdaten!$A$8:$L$57,2,FALSE),"Artikel-ID prüfen"))</f>
        <v>Kopierpapier A4</v>
      </c>
      <c r="F15" s="38">
        <v>60</v>
      </c>
      <c r="G15" s="42">
        <f>IF(D15="","",IFERROR(VLOOKUP(D15,Stammdaten!$A$8:$L$57,5,FALSE),0))</f>
        <v>3.85</v>
      </c>
      <c r="H15" s="43">
        <f>IF(D15="","",IFERROR(VLOOKUP(D15,Stammdaten!$A$8:$L$57,6,FALSE),0))</f>
        <v>6.7</v>
      </c>
      <c r="I15" s="4"/>
      <c r="J15" s="6"/>
      <c r="K15" s="27" t="str">
        <f>IF(J15="","",IFERROR(VLOOKUP(J15,Stammdaten!$N$8:$V$37,3,FALSE),"Partner-ID prüfen"))</f>
        <v/>
      </c>
      <c r="L15" s="28" t="str">
        <f>IF(D15="","",IFERROR(VLOOKUP(D15,Stammdaten!$A$8:$L$57,10,FALSE),""))</f>
        <v>D-01</v>
      </c>
      <c r="M15" s="20" t="s">
        <v>167</v>
      </c>
      <c r="N15" s="47">
        <f t="shared" si="0"/>
        <v>60</v>
      </c>
      <c r="O15" s="50">
        <f t="shared" si="1"/>
        <v>231</v>
      </c>
      <c r="P15" s="50">
        <f t="shared" si="2"/>
        <v>0</v>
      </c>
      <c r="Q15" s="43">
        <f t="shared" si="3"/>
        <v>0</v>
      </c>
    </row>
    <row r="16" spans="1:17" x14ac:dyDescent="0.25">
      <c r="A16" s="4" t="s">
        <v>175</v>
      </c>
      <c r="B16" s="35">
        <v>46024</v>
      </c>
      <c r="C16" s="5" t="s">
        <v>166</v>
      </c>
      <c r="D16" s="6" t="s">
        <v>141</v>
      </c>
      <c r="E16" s="23" t="str">
        <f>IF(D16="","",IFERROR(VLOOKUP(D16,Stammdaten!$A$8:$L$57,2,FALSE),"Artikel-ID prüfen"))</f>
        <v>Klebeband transparent</v>
      </c>
      <c r="F16" s="38">
        <v>35</v>
      </c>
      <c r="G16" s="42">
        <f>IF(D16="","",IFERROR(VLOOKUP(D16,Stammdaten!$A$8:$L$57,5,FALSE),0))</f>
        <v>1.1000000000000001</v>
      </c>
      <c r="H16" s="43">
        <f>IF(D16="","",IFERROR(VLOOKUP(D16,Stammdaten!$A$8:$L$57,6,FALSE),0))</f>
        <v>2.75</v>
      </c>
      <c r="I16" s="4"/>
      <c r="J16" s="6"/>
      <c r="K16" s="27" t="str">
        <f>IF(J16="","",IFERROR(VLOOKUP(J16,Stammdaten!$N$8:$V$37,3,FALSE),"Partner-ID prüfen"))</f>
        <v/>
      </c>
      <c r="L16" s="28" t="str">
        <f>IF(D16="","",IFERROR(VLOOKUP(D16,Stammdaten!$A$8:$L$57,10,FALSE),""))</f>
        <v>D-02</v>
      </c>
      <c r="M16" s="20" t="s">
        <v>167</v>
      </c>
      <c r="N16" s="47">
        <f t="shared" si="0"/>
        <v>35</v>
      </c>
      <c r="O16" s="50">
        <f t="shared" si="1"/>
        <v>38.5</v>
      </c>
      <c r="P16" s="50">
        <f t="shared" si="2"/>
        <v>0</v>
      </c>
      <c r="Q16" s="43">
        <f t="shared" si="3"/>
        <v>0</v>
      </c>
    </row>
    <row r="17" spans="1:17" x14ac:dyDescent="0.25">
      <c r="A17" s="4" t="s">
        <v>176</v>
      </c>
      <c r="B17" s="35">
        <v>46024</v>
      </c>
      <c r="C17" s="5" t="s">
        <v>166</v>
      </c>
      <c r="D17" s="6" t="s">
        <v>144</v>
      </c>
      <c r="E17" s="23" t="str">
        <f>IF(D17="","",IFERROR(VLOOKUP(D17,Stammdaten!$A$8:$L$57,2,FALSE),"Artikel-ID prüfen"))</f>
        <v>Mehrfachsteckdose 6-fach</v>
      </c>
      <c r="F17" s="38">
        <v>12</v>
      </c>
      <c r="G17" s="42">
        <f>IF(D17="","",IFERROR(VLOOKUP(D17,Stammdaten!$A$8:$L$57,5,FALSE),0))</f>
        <v>9.8000000000000007</v>
      </c>
      <c r="H17" s="43">
        <f>IF(D17="","",IFERROR(VLOOKUP(D17,Stammdaten!$A$8:$L$57,6,FALSE),0))</f>
        <v>19.899999999999999</v>
      </c>
      <c r="I17" s="4"/>
      <c r="J17" s="6"/>
      <c r="K17" s="27" t="str">
        <f>IF(J17="","",IFERROR(VLOOKUP(J17,Stammdaten!$N$8:$V$37,3,FALSE),"Partner-ID prüfen"))</f>
        <v/>
      </c>
      <c r="L17" s="28" t="str">
        <f>IF(D17="","",IFERROR(VLOOKUP(D17,Stammdaten!$A$8:$L$57,10,FALSE),""))</f>
        <v>E-01</v>
      </c>
      <c r="M17" s="20" t="s">
        <v>167</v>
      </c>
      <c r="N17" s="47">
        <f t="shared" si="0"/>
        <v>12</v>
      </c>
      <c r="O17" s="50">
        <f t="shared" si="1"/>
        <v>117.60000000000001</v>
      </c>
      <c r="P17" s="50">
        <f t="shared" si="2"/>
        <v>0</v>
      </c>
      <c r="Q17" s="43">
        <f t="shared" si="3"/>
        <v>0</v>
      </c>
    </row>
    <row r="18" spans="1:17" x14ac:dyDescent="0.25">
      <c r="A18" s="4" t="s">
        <v>177</v>
      </c>
      <c r="B18" s="35">
        <v>46024</v>
      </c>
      <c r="C18" s="5" t="s">
        <v>166</v>
      </c>
      <c r="D18" s="6" t="s">
        <v>147</v>
      </c>
      <c r="E18" s="23" t="str">
        <f>IF(D18="","",IFERROR(VLOOKUP(D18,Stammdaten!$A$8:$L$57,2,FALSE),"Artikel-ID prüfen"))</f>
        <v>Schutzbrille klar</v>
      </c>
      <c r="F18" s="38">
        <v>25</v>
      </c>
      <c r="G18" s="42">
        <f>IF(D18="","",IFERROR(VLOOKUP(D18,Stammdaten!$A$8:$L$57,5,FALSE),0))</f>
        <v>3.2</v>
      </c>
      <c r="H18" s="43">
        <f>IF(D18="","",IFERROR(VLOOKUP(D18,Stammdaten!$A$8:$L$57,6,FALSE),0))</f>
        <v>7.5</v>
      </c>
      <c r="I18" s="4"/>
      <c r="J18" s="6"/>
      <c r="K18" s="27" t="str">
        <f>IF(J18="","",IFERROR(VLOOKUP(J18,Stammdaten!$N$8:$V$37,3,FALSE),"Partner-ID prüfen"))</f>
        <v/>
      </c>
      <c r="L18" s="28" t="str">
        <f>IF(D18="","",IFERROR(VLOOKUP(D18,Stammdaten!$A$8:$L$57,10,FALSE),""))</f>
        <v>E-02</v>
      </c>
      <c r="M18" s="20" t="s">
        <v>167</v>
      </c>
      <c r="N18" s="47">
        <f t="shared" si="0"/>
        <v>25</v>
      </c>
      <c r="O18" s="50">
        <f t="shared" si="1"/>
        <v>80</v>
      </c>
      <c r="P18" s="50">
        <f t="shared" si="2"/>
        <v>0</v>
      </c>
      <c r="Q18" s="43">
        <f t="shared" si="3"/>
        <v>0</v>
      </c>
    </row>
    <row r="19" spans="1:17" x14ac:dyDescent="0.25">
      <c r="A19" s="4" t="s">
        <v>178</v>
      </c>
      <c r="B19" s="35">
        <v>46024</v>
      </c>
      <c r="C19" s="5" t="s">
        <v>166</v>
      </c>
      <c r="D19" s="6" t="s">
        <v>150</v>
      </c>
      <c r="E19" s="23" t="str">
        <f>IF(D19="","",IFERROR(VLOOKUP(D19,Stammdaten!$A$8:$L$57,2,FALSE),"Artikel-ID prüfen"))</f>
        <v>Notizblock A5</v>
      </c>
      <c r="F19" s="38">
        <v>70</v>
      </c>
      <c r="G19" s="42">
        <f>IF(D19="","",IFERROR(VLOOKUP(D19,Stammdaten!$A$8:$L$57,5,FALSE),0))</f>
        <v>1.1499999999999999</v>
      </c>
      <c r="H19" s="43">
        <f>IF(D19="","",IFERROR(VLOOKUP(D19,Stammdaten!$A$8:$L$57,6,FALSE),0))</f>
        <v>2.9</v>
      </c>
      <c r="I19" s="4"/>
      <c r="J19" s="6"/>
      <c r="K19" s="27" t="str">
        <f>IF(J19="","",IFERROR(VLOOKUP(J19,Stammdaten!$N$8:$V$37,3,FALSE),"Partner-ID prüfen"))</f>
        <v/>
      </c>
      <c r="L19" s="28" t="str">
        <f>IF(D19="","",IFERROR(VLOOKUP(D19,Stammdaten!$A$8:$L$57,10,FALSE),""))</f>
        <v>E-03</v>
      </c>
      <c r="M19" s="20" t="s">
        <v>167</v>
      </c>
      <c r="N19" s="47">
        <f t="shared" si="0"/>
        <v>70</v>
      </c>
      <c r="O19" s="50">
        <f t="shared" si="1"/>
        <v>80.5</v>
      </c>
      <c r="P19" s="50">
        <f t="shared" si="2"/>
        <v>0</v>
      </c>
      <c r="Q19" s="43">
        <f t="shared" si="3"/>
        <v>0</v>
      </c>
    </row>
    <row r="20" spans="1:17" x14ac:dyDescent="0.25">
      <c r="A20" s="4" t="s">
        <v>179</v>
      </c>
      <c r="B20" s="35">
        <v>46040</v>
      </c>
      <c r="C20" s="5" t="s">
        <v>180</v>
      </c>
      <c r="D20" s="6" t="s">
        <v>68</v>
      </c>
      <c r="E20" s="23" t="str">
        <f>IF(D20="","",IFERROR(VLOOKUP(D20,Stammdaten!$A$8:$L$57,2,FALSE),"Artikel-ID prüfen"))</f>
        <v>Mehrzweckbox M</v>
      </c>
      <c r="F20" s="38">
        <v>80</v>
      </c>
      <c r="G20" s="42">
        <f>IF(D20="","",IFERROR(VLOOKUP(D20,Stammdaten!$A$8:$L$57,5,FALSE),0))</f>
        <v>6.8</v>
      </c>
      <c r="H20" s="43">
        <f>IF(D20="","",IFERROR(VLOOKUP(D20,Stammdaten!$A$8:$L$57,6,FALSE),0))</f>
        <v>12.9</v>
      </c>
      <c r="I20" s="4" t="s">
        <v>181</v>
      </c>
      <c r="J20" s="6" t="s">
        <v>72</v>
      </c>
      <c r="K20" s="27" t="str">
        <f>IF(J20="","",IFERROR(VLOOKUP(J20,Stammdaten!$N$8:$V$37,3,FALSE),"Partner-ID prüfen"))</f>
        <v>PackForm Logistikbedarf</v>
      </c>
      <c r="L20" s="28" t="str">
        <f>IF(D20="","",IFERROR(VLOOKUP(D20,Stammdaten!$A$8:$L$57,10,FALSE),""))</f>
        <v>A-01</v>
      </c>
      <c r="M20" s="20" t="s">
        <v>182</v>
      </c>
      <c r="N20" s="47">
        <f t="shared" si="0"/>
        <v>80</v>
      </c>
      <c r="O20" s="50">
        <f t="shared" si="1"/>
        <v>544</v>
      </c>
      <c r="P20" s="50">
        <f t="shared" si="2"/>
        <v>0</v>
      </c>
      <c r="Q20" s="43">
        <f t="shared" si="3"/>
        <v>0</v>
      </c>
    </row>
    <row r="21" spans="1:17" x14ac:dyDescent="0.25">
      <c r="A21" s="4" t="s">
        <v>183</v>
      </c>
      <c r="B21" s="35">
        <v>46040</v>
      </c>
      <c r="C21" s="5" t="s">
        <v>180</v>
      </c>
      <c r="D21" s="6" t="s">
        <v>80</v>
      </c>
      <c r="E21" s="23" t="str">
        <f>IF(D21="","",IFERROR(VLOOKUP(D21,Stammdaten!$A$8:$L$57,2,FALSE),"Artikel-ID prüfen"))</f>
        <v>Versandkarton S</v>
      </c>
      <c r="F21" s="38">
        <v>120</v>
      </c>
      <c r="G21" s="42">
        <f>IF(D21="","",IFERROR(VLOOKUP(D21,Stammdaten!$A$8:$L$57,5,FALSE),0))</f>
        <v>0.72</v>
      </c>
      <c r="H21" s="43">
        <f>IF(D21="","",IFERROR(VLOOKUP(D21,Stammdaten!$A$8:$L$57,6,FALSE),0))</f>
        <v>1.45</v>
      </c>
      <c r="I21" s="4" t="s">
        <v>181</v>
      </c>
      <c r="J21" s="6" t="s">
        <v>72</v>
      </c>
      <c r="K21" s="27" t="str">
        <f>IF(J21="","",IFERROR(VLOOKUP(J21,Stammdaten!$N$8:$V$37,3,FALSE),"Partner-ID prüfen"))</f>
        <v>PackForm Logistikbedarf</v>
      </c>
      <c r="L21" s="28" t="str">
        <f>IF(D21="","",IFERROR(VLOOKUP(D21,Stammdaten!$A$8:$L$57,10,FALSE),""))</f>
        <v>A-02</v>
      </c>
      <c r="M21" s="20" t="s">
        <v>182</v>
      </c>
      <c r="N21" s="47">
        <f t="shared" si="0"/>
        <v>120</v>
      </c>
      <c r="O21" s="50">
        <f t="shared" si="1"/>
        <v>86.399999999999991</v>
      </c>
      <c r="P21" s="50">
        <f t="shared" si="2"/>
        <v>0</v>
      </c>
      <c r="Q21" s="43">
        <f t="shared" si="3"/>
        <v>0</v>
      </c>
    </row>
    <row r="22" spans="1:17" x14ac:dyDescent="0.25">
      <c r="A22" s="4" t="s">
        <v>184</v>
      </c>
      <c r="B22" s="35">
        <v>46060</v>
      </c>
      <c r="C22" s="5" t="s">
        <v>185</v>
      </c>
      <c r="D22" s="6" t="s">
        <v>68</v>
      </c>
      <c r="E22" s="23" t="str">
        <f>IF(D22="","",IFERROR(VLOOKUP(D22,Stammdaten!$A$8:$L$57,2,FALSE),"Artikel-ID prüfen"))</f>
        <v>Mehrzweckbox M</v>
      </c>
      <c r="F22" s="38">
        <v>24</v>
      </c>
      <c r="G22" s="42">
        <f>IF(D22="","",IFERROR(VLOOKUP(D22,Stammdaten!$A$8:$L$57,5,FALSE),0))</f>
        <v>6.8</v>
      </c>
      <c r="H22" s="43">
        <f>IF(D22="","",IFERROR(VLOOKUP(D22,Stammdaten!$A$8:$L$57,6,FALSE),0))</f>
        <v>12.9</v>
      </c>
      <c r="I22" s="4" t="s">
        <v>186</v>
      </c>
      <c r="J22" s="6" t="s">
        <v>109</v>
      </c>
      <c r="K22" s="27" t="str">
        <f>IF(J22="","",IFERROR(VLOOKUP(J22,Stammdaten!$N$8:$V$37,3,FALSE),"Partner-ID prüfen"))</f>
        <v>Elbblick Service GmbH</v>
      </c>
      <c r="L22" s="28" t="str">
        <f>IF(D22="","",IFERROR(VLOOKUP(D22,Stammdaten!$A$8:$L$57,10,FALSE),""))</f>
        <v>A-01</v>
      </c>
      <c r="M22" s="20" t="s">
        <v>187</v>
      </c>
      <c r="N22" s="47">
        <f t="shared" si="0"/>
        <v>-24</v>
      </c>
      <c r="O22" s="50">
        <f t="shared" si="1"/>
        <v>-163.19999999999999</v>
      </c>
      <c r="P22" s="50">
        <f t="shared" si="2"/>
        <v>309.60000000000002</v>
      </c>
      <c r="Q22" s="43">
        <f t="shared" si="3"/>
        <v>163.19999999999999</v>
      </c>
    </row>
    <row r="23" spans="1:17" x14ac:dyDescent="0.25">
      <c r="A23" s="4" t="s">
        <v>188</v>
      </c>
      <c r="B23" s="35">
        <v>46060</v>
      </c>
      <c r="C23" s="5" t="s">
        <v>185</v>
      </c>
      <c r="D23" s="6" t="s">
        <v>141</v>
      </c>
      <c r="E23" s="23" t="str">
        <f>IF(D23="","",IFERROR(VLOOKUP(D23,Stammdaten!$A$8:$L$57,2,FALSE),"Artikel-ID prüfen"))</f>
        <v>Klebeband transparent</v>
      </c>
      <c r="F23" s="38">
        <v>20</v>
      </c>
      <c r="G23" s="42">
        <f>IF(D23="","",IFERROR(VLOOKUP(D23,Stammdaten!$A$8:$L$57,5,FALSE),0))</f>
        <v>1.1000000000000001</v>
      </c>
      <c r="H23" s="43">
        <f>IF(D23="","",IFERROR(VLOOKUP(D23,Stammdaten!$A$8:$L$57,6,FALSE),0))</f>
        <v>2.75</v>
      </c>
      <c r="I23" s="4" t="s">
        <v>186</v>
      </c>
      <c r="J23" s="6" t="s">
        <v>109</v>
      </c>
      <c r="K23" s="27" t="str">
        <f>IF(J23="","",IFERROR(VLOOKUP(J23,Stammdaten!$N$8:$V$37,3,FALSE),"Partner-ID prüfen"))</f>
        <v>Elbblick Service GmbH</v>
      </c>
      <c r="L23" s="28" t="str">
        <f>IF(D23="","",IFERROR(VLOOKUP(D23,Stammdaten!$A$8:$L$57,10,FALSE),""))</f>
        <v>D-02</v>
      </c>
      <c r="M23" s="20" t="s">
        <v>189</v>
      </c>
      <c r="N23" s="47">
        <f t="shared" si="0"/>
        <v>-20</v>
      </c>
      <c r="O23" s="50">
        <f t="shared" si="1"/>
        <v>-22</v>
      </c>
      <c r="P23" s="50">
        <f t="shared" si="2"/>
        <v>55</v>
      </c>
      <c r="Q23" s="43">
        <f t="shared" si="3"/>
        <v>22</v>
      </c>
    </row>
    <row r="24" spans="1:17" x14ac:dyDescent="0.25">
      <c r="A24" s="4" t="s">
        <v>190</v>
      </c>
      <c r="B24" s="35">
        <v>46072</v>
      </c>
      <c r="C24" s="5" t="s">
        <v>185</v>
      </c>
      <c r="D24" s="6" t="s">
        <v>68</v>
      </c>
      <c r="E24" s="23" t="str">
        <f>IF(D24="","",IFERROR(VLOOKUP(D24,Stammdaten!$A$8:$L$57,2,FALSE),"Artikel-ID prüfen"))</f>
        <v>Mehrzweckbox M</v>
      </c>
      <c r="F24" s="38">
        <v>16</v>
      </c>
      <c r="G24" s="42">
        <f>IF(D24="","",IFERROR(VLOOKUP(D24,Stammdaten!$A$8:$L$57,5,FALSE),0))</f>
        <v>6.8</v>
      </c>
      <c r="H24" s="43">
        <f>IF(D24="","",IFERROR(VLOOKUP(D24,Stammdaten!$A$8:$L$57,6,FALSE),0))</f>
        <v>12.9</v>
      </c>
      <c r="I24" s="4" t="s">
        <v>186</v>
      </c>
      <c r="J24" s="6" t="s">
        <v>109</v>
      </c>
      <c r="K24" s="27" t="str">
        <f>IF(J24="","",IFERROR(VLOOKUP(J24,Stammdaten!$N$8:$V$37,3,FALSE),"Partner-ID prüfen"))</f>
        <v>Elbblick Service GmbH</v>
      </c>
      <c r="L24" s="28" t="str">
        <f>IF(D24="","",IFERROR(VLOOKUP(D24,Stammdaten!$A$8:$L$57,10,FALSE),""))</f>
        <v>A-01</v>
      </c>
      <c r="M24" s="20" t="s">
        <v>191</v>
      </c>
      <c r="N24" s="47">
        <f t="shared" si="0"/>
        <v>-16</v>
      </c>
      <c r="O24" s="50">
        <f t="shared" si="1"/>
        <v>-108.8</v>
      </c>
      <c r="P24" s="50">
        <f t="shared" si="2"/>
        <v>206.4</v>
      </c>
      <c r="Q24" s="43">
        <f t="shared" si="3"/>
        <v>108.8</v>
      </c>
    </row>
    <row r="25" spans="1:17" x14ac:dyDescent="0.25">
      <c r="A25" s="4" t="s">
        <v>192</v>
      </c>
      <c r="B25" s="35">
        <v>46085</v>
      </c>
      <c r="C25" s="5" t="s">
        <v>180</v>
      </c>
      <c r="D25" s="6" t="s">
        <v>115</v>
      </c>
      <c r="E25" s="23" t="str">
        <f>IF(D25="","",IFERROR(VLOOKUP(D25,Stammdaten!$A$8:$L$57,2,FALSE),"Artikel-ID prüfen"))</f>
        <v>USB-C-Ladekabel 1 m</v>
      </c>
      <c r="F25" s="38">
        <v>50</v>
      </c>
      <c r="G25" s="42">
        <f>IF(D25="","",IFERROR(VLOOKUP(D25,Stammdaten!$A$8:$L$57,5,FALSE),0))</f>
        <v>3.9</v>
      </c>
      <c r="H25" s="43">
        <f>IF(D25="","",IFERROR(VLOOKUP(D25,Stammdaten!$A$8:$L$57,6,FALSE),0))</f>
        <v>9.9</v>
      </c>
      <c r="I25" s="4" t="s">
        <v>193</v>
      </c>
      <c r="J25" s="6" t="s">
        <v>91</v>
      </c>
      <c r="K25" s="27" t="str">
        <f>IF(J25="","",IFERROR(VLOOKUP(J25,Stammdaten!$N$8:$V$37,3,FALSE),"Partner-ID prüfen"))</f>
        <v>Technikquelle GmbH</v>
      </c>
      <c r="L25" s="28" t="str">
        <f>IF(D25="","",IFERROR(VLOOKUP(D25,Stammdaten!$A$8:$L$57,10,FALSE),""))</f>
        <v>C-02</v>
      </c>
      <c r="M25" s="20" t="s">
        <v>194</v>
      </c>
      <c r="N25" s="47">
        <f t="shared" si="0"/>
        <v>50</v>
      </c>
      <c r="O25" s="50">
        <f t="shared" si="1"/>
        <v>195</v>
      </c>
      <c r="P25" s="50">
        <f t="shared" si="2"/>
        <v>0</v>
      </c>
      <c r="Q25" s="43">
        <f t="shared" si="3"/>
        <v>0</v>
      </c>
    </row>
    <row r="26" spans="1:17" x14ac:dyDescent="0.25">
      <c r="A26" s="4" t="s">
        <v>195</v>
      </c>
      <c r="B26" s="35">
        <v>46085</v>
      </c>
      <c r="C26" s="5" t="s">
        <v>180</v>
      </c>
      <c r="D26" s="6" t="s">
        <v>123</v>
      </c>
      <c r="E26" s="23" t="str">
        <f>IF(D26="","",IFERROR(VLOOKUP(D26,Stammdaten!$A$8:$L$57,2,FALSE),"Artikel-ID prüfen"))</f>
        <v>LED-Arbeitsleuchte</v>
      </c>
      <c r="F26" s="38">
        <v>12</v>
      </c>
      <c r="G26" s="42">
        <f>IF(D26="","",IFERROR(VLOOKUP(D26,Stammdaten!$A$8:$L$57,5,FALSE),0))</f>
        <v>18.5</v>
      </c>
      <c r="H26" s="43">
        <f>IF(D26="","",IFERROR(VLOOKUP(D26,Stammdaten!$A$8:$L$57,6,FALSE),0))</f>
        <v>34.9</v>
      </c>
      <c r="I26" s="4" t="s">
        <v>193</v>
      </c>
      <c r="J26" s="6" t="s">
        <v>91</v>
      </c>
      <c r="K26" s="27" t="str">
        <f>IF(J26="","",IFERROR(VLOOKUP(J26,Stammdaten!$N$8:$V$37,3,FALSE),"Partner-ID prüfen"))</f>
        <v>Technikquelle GmbH</v>
      </c>
      <c r="L26" s="28" t="str">
        <f>IF(D26="","",IFERROR(VLOOKUP(D26,Stammdaten!$A$8:$L$57,10,FALSE),""))</f>
        <v>C-03</v>
      </c>
      <c r="M26" s="20" t="s">
        <v>196</v>
      </c>
      <c r="N26" s="47">
        <f t="shared" si="0"/>
        <v>12</v>
      </c>
      <c r="O26" s="50">
        <f t="shared" si="1"/>
        <v>222</v>
      </c>
      <c r="P26" s="50">
        <f t="shared" si="2"/>
        <v>0</v>
      </c>
      <c r="Q26" s="43">
        <f t="shared" si="3"/>
        <v>0</v>
      </c>
    </row>
    <row r="27" spans="1:17" x14ac:dyDescent="0.25">
      <c r="A27" s="4" t="s">
        <v>197</v>
      </c>
      <c r="B27" s="35">
        <v>46101</v>
      </c>
      <c r="C27" s="5" t="s">
        <v>185</v>
      </c>
      <c r="D27" s="6" t="s">
        <v>123</v>
      </c>
      <c r="E27" s="23" t="str">
        <f>IF(D27="","",IFERROR(VLOOKUP(D27,Stammdaten!$A$8:$L$57,2,FALSE),"Artikel-ID prüfen"))</f>
        <v>LED-Arbeitsleuchte</v>
      </c>
      <c r="F27" s="38">
        <v>5</v>
      </c>
      <c r="G27" s="42">
        <f>IF(D27="","",IFERROR(VLOOKUP(D27,Stammdaten!$A$8:$L$57,5,FALSE),0))</f>
        <v>18.5</v>
      </c>
      <c r="H27" s="43">
        <f>IF(D27="","",IFERROR(VLOOKUP(D27,Stammdaten!$A$8:$L$57,6,FALSE),0))</f>
        <v>34.9</v>
      </c>
      <c r="I27" s="4" t="s">
        <v>198</v>
      </c>
      <c r="J27" s="6" t="s">
        <v>118</v>
      </c>
      <c r="K27" s="27" t="str">
        <f>IF(J27="","",IFERROR(VLOOKUP(J27,Stammdaten!$N$8:$V$37,3,FALSE),"Partner-ID prüfen"))</f>
        <v>Rhein-Main Projektbüro</v>
      </c>
      <c r="L27" s="28" t="str">
        <f>IF(D27="","",IFERROR(VLOOKUP(D27,Stammdaten!$A$8:$L$57,10,FALSE),""))</f>
        <v>C-03</v>
      </c>
      <c r="M27" s="20" t="s">
        <v>189</v>
      </c>
      <c r="N27" s="47">
        <f t="shared" si="0"/>
        <v>-5</v>
      </c>
      <c r="O27" s="50">
        <f t="shared" si="1"/>
        <v>-92.5</v>
      </c>
      <c r="P27" s="50">
        <f t="shared" si="2"/>
        <v>174.5</v>
      </c>
      <c r="Q27" s="43">
        <f t="shared" si="3"/>
        <v>92.5</v>
      </c>
    </row>
    <row r="28" spans="1:17" x14ac:dyDescent="0.25">
      <c r="A28" s="4" t="s">
        <v>199</v>
      </c>
      <c r="B28" s="35">
        <v>46101</v>
      </c>
      <c r="C28" s="5" t="s">
        <v>185</v>
      </c>
      <c r="D28" s="6" t="s">
        <v>144</v>
      </c>
      <c r="E28" s="23" t="str">
        <f>IF(D28="","",IFERROR(VLOOKUP(D28,Stammdaten!$A$8:$L$57,2,FALSE),"Artikel-ID prüfen"))</f>
        <v>Mehrfachsteckdose 6-fach</v>
      </c>
      <c r="F28" s="38">
        <v>6</v>
      </c>
      <c r="G28" s="42">
        <f>IF(D28="","",IFERROR(VLOOKUP(D28,Stammdaten!$A$8:$L$57,5,FALSE),0))</f>
        <v>9.8000000000000007</v>
      </c>
      <c r="H28" s="43">
        <f>IF(D28="","",IFERROR(VLOOKUP(D28,Stammdaten!$A$8:$L$57,6,FALSE),0))</f>
        <v>19.899999999999999</v>
      </c>
      <c r="I28" s="4" t="s">
        <v>198</v>
      </c>
      <c r="J28" s="6" t="s">
        <v>118</v>
      </c>
      <c r="K28" s="27" t="str">
        <f>IF(J28="","",IFERROR(VLOOKUP(J28,Stammdaten!$N$8:$V$37,3,FALSE),"Partner-ID prüfen"))</f>
        <v>Rhein-Main Projektbüro</v>
      </c>
      <c r="L28" s="28" t="str">
        <f>IF(D28="","",IFERROR(VLOOKUP(D28,Stammdaten!$A$8:$L$57,10,FALSE),""))</f>
        <v>E-01</v>
      </c>
      <c r="M28" s="20" t="s">
        <v>200</v>
      </c>
      <c r="N28" s="47">
        <f t="shared" si="0"/>
        <v>-6</v>
      </c>
      <c r="O28" s="50">
        <f t="shared" si="1"/>
        <v>-58.800000000000004</v>
      </c>
      <c r="P28" s="50">
        <f t="shared" si="2"/>
        <v>119.39999999999999</v>
      </c>
      <c r="Q28" s="43">
        <f t="shared" si="3"/>
        <v>58.800000000000004</v>
      </c>
    </row>
    <row r="29" spans="1:17" x14ac:dyDescent="0.25">
      <c r="A29" s="4" t="s">
        <v>201</v>
      </c>
      <c r="B29" s="35">
        <v>46121</v>
      </c>
      <c r="C29" s="5" t="s">
        <v>180</v>
      </c>
      <c r="D29" s="6" t="s">
        <v>96</v>
      </c>
      <c r="E29" s="23" t="str">
        <f>IF(D29="","",IFERROR(VLOOKUP(D29,Stammdaten!$A$8:$L$57,2,FALSE),"Artikel-ID prüfen"))</f>
        <v>Reinigungskonzentrat 1 L</v>
      </c>
      <c r="F29" s="38">
        <v>40</v>
      </c>
      <c r="G29" s="42">
        <f>IF(D29="","",IFERROR(VLOOKUP(D29,Stammdaten!$A$8:$L$57,5,FALSE),0))</f>
        <v>4.9000000000000004</v>
      </c>
      <c r="H29" s="43">
        <f>IF(D29="","",IFERROR(VLOOKUP(D29,Stammdaten!$A$8:$L$57,6,FALSE),0))</f>
        <v>9.8000000000000007</v>
      </c>
      <c r="I29" s="4" t="s">
        <v>202</v>
      </c>
      <c r="J29" s="6" t="s">
        <v>100</v>
      </c>
      <c r="K29" s="27" t="str">
        <f>IF(J29="","",IFERROR(VLOOKUP(J29,Stammdaten!$N$8:$V$37,3,FALSE),"Partner-ID prüfen"))</f>
        <v>SauberPro Handel</v>
      </c>
      <c r="L29" s="28" t="str">
        <f>IF(D29="","",IFERROR(VLOOKUP(D29,Stammdaten!$A$8:$L$57,10,FALSE),""))</f>
        <v>B-02</v>
      </c>
      <c r="M29" s="20" t="s">
        <v>194</v>
      </c>
      <c r="N29" s="47">
        <f t="shared" si="0"/>
        <v>40</v>
      </c>
      <c r="O29" s="50">
        <f t="shared" si="1"/>
        <v>196</v>
      </c>
      <c r="P29" s="50">
        <f t="shared" si="2"/>
        <v>0</v>
      </c>
      <c r="Q29" s="43">
        <f t="shared" si="3"/>
        <v>0</v>
      </c>
    </row>
    <row r="30" spans="1:17" x14ac:dyDescent="0.25">
      <c r="A30" s="4" t="s">
        <v>203</v>
      </c>
      <c r="B30" s="35">
        <v>46134</v>
      </c>
      <c r="C30" s="5" t="s">
        <v>185</v>
      </c>
      <c r="D30" s="6" t="s">
        <v>96</v>
      </c>
      <c r="E30" s="23" t="str">
        <f>IF(D30="","",IFERROR(VLOOKUP(D30,Stammdaten!$A$8:$L$57,2,FALSE),"Artikel-ID prüfen"))</f>
        <v>Reinigungskonzentrat 1 L</v>
      </c>
      <c r="F30" s="38">
        <v>15</v>
      </c>
      <c r="G30" s="42">
        <f>IF(D30="","",IFERROR(VLOOKUP(D30,Stammdaten!$A$8:$L$57,5,FALSE),0))</f>
        <v>4.9000000000000004</v>
      </c>
      <c r="H30" s="43">
        <f>IF(D30="","",IFERROR(VLOOKUP(D30,Stammdaten!$A$8:$L$57,6,FALSE),0))</f>
        <v>9.8000000000000007</v>
      </c>
      <c r="I30" s="4" t="s">
        <v>204</v>
      </c>
      <c r="J30" s="6" t="s">
        <v>126</v>
      </c>
      <c r="K30" s="27" t="str">
        <f>IF(J30="","",IFERROR(VLOOKUP(J30,Stammdaten!$N$8:$V$37,3,FALSE),"Partner-ID prüfen"))</f>
        <v>Weser Betriebsservice</v>
      </c>
      <c r="L30" s="28" t="str">
        <f>IF(D30="","",IFERROR(VLOOKUP(D30,Stammdaten!$A$8:$L$57,10,FALSE),""))</f>
        <v>B-02</v>
      </c>
      <c r="M30" s="20" t="s">
        <v>189</v>
      </c>
      <c r="N30" s="47">
        <f t="shared" si="0"/>
        <v>-15</v>
      </c>
      <c r="O30" s="50">
        <f t="shared" si="1"/>
        <v>-73.5</v>
      </c>
      <c r="P30" s="50">
        <f t="shared" si="2"/>
        <v>147</v>
      </c>
      <c r="Q30" s="43">
        <f t="shared" si="3"/>
        <v>73.5</v>
      </c>
    </row>
    <row r="31" spans="1:17" x14ac:dyDescent="0.25">
      <c r="A31" s="4" t="s">
        <v>205</v>
      </c>
      <c r="B31" s="35">
        <v>46155</v>
      </c>
      <c r="C31" s="5" t="s">
        <v>180</v>
      </c>
      <c r="D31" s="6" t="s">
        <v>87</v>
      </c>
      <c r="E31" s="23" t="str">
        <f>IF(D31="","",IFERROR(VLOOKUP(D31,Stammdaten!$A$8:$L$57,2,FALSE),"Artikel-ID prüfen"))</f>
        <v>Etikettenrolle 100 × 150</v>
      </c>
      <c r="F31" s="38">
        <v>30</v>
      </c>
      <c r="G31" s="42">
        <f>IF(D31="","",IFERROR(VLOOKUP(D31,Stammdaten!$A$8:$L$57,5,FALSE),0))</f>
        <v>8.4</v>
      </c>
      <c r="H31" s="43">
        <f>IF(D31="","",IFERROR(VLOOKUP(D31,Stammdaten!$A$8:$L$57,6,FALSE),0))</f>
        <v>15.9</v>
      </c>
      <c r="I31" s="4" t="s">
        <v>206</v>
      </c>
      <c r="J31" s="6" t="s">
        <v>72</v>
      </c>
      <c r="K31" s="27" t="str">
        <f>IF(J31="","",IFERROR(VLOOKUP(J31,Stammdaten!$N$8:$V$37,3,FALSE),"Partner-ID prüfen"))</f>
        <v>PackForm Logistikbedarf</v>
      </c>
      <c r="L31" s="28" t="str">
        <f>IF(D31="","",IFERROR(VLOOKUP(D31,Stammdaten!$A$8:$L$57,10,FALSE),""))</f>
        <v>B-01</v>
      </c>
      <c r="M31" s="20" t="s">
        <v>194</v>
      </c>
      <c r="N31" s="47">
        <f t="shared" si="0"/>
        <v>30</v>
      </c>
      <c r="O31" s="50">
        <f t="shared" si="1"/>
        <v>252</v>
      </c>
      <c r="P31" s="50">
        <f t="shared" si="2"/>
        <v>0</v>
      </c>
      <c r="Q31" s="43">
        <f t="shared" si="3"/>
        <v>0</v>
      </c>
    </row>
    <row r="32" spans="1:17" x14ac:dyDescent="0.25">
      <c r="A32" s="4" t="s">
        <v>207</v>
      </c>
      <c r="B32" s="35">
        <v>46155</v>
      </c>
      <c r="C32" s="5" t="s">
        <v>180</v>
      </c>
      <c r="D32" s="6" t="s">
        <v>141</v>
      </c>
      <c r="E32" s="23" t="str">
        <f>IF(D32="","",IFERROR(VLOOKUP(D32,Stammdaten!$A$8:$L$57,2,FALSE),"Artikel-ID prüfen"))</f>
        <v>Klebeband transparent</v>
      </c>
      <c r="F32" s="38">
        <v>72</v>
      </c>
      <c r="G32" s="42">
        <f>IF(D32="","",IFERROR(VLOOKUP(D32,Stammdaten!$A$8:$L$57,5,FALSE),0))</f>
        <v>1.1000000000000001</v>
      </c>
      <c r="H32" s="43">
        <f>IF(D32="","",IFERROR(VLOOKUP(D32,Stammdaten!$A$8:$L$57,6,FALSE),0))</f>
        <v>2.75</v>
      </c>
      <c r="I32" s="4" t="s">
        <v>206</v>
      </c>
      <c r="J32" s="6" t="s">
        <v>72</v>
      </c>
      <c r="K32" s="27" t="str">
        <f>IF(J32="","",IFERROR(VLOOKUP(J32,Stammdaten!$N$8:$V$37,3,FALSE),"Partner-ID prüfen"))</f>
        <v>PackForm Logistikbedarf</v>
      </c>
      <c r="L32" s="28" t="str">
        <f>IF(D32="","",IFERROR(VLOOKUP(D32,Stammdaten!$A$8:$L$57,10,FALSE),""))</f>
        <v>D-02</v>
      </c>
      <c r="M32" s="20" t="s">
        <v>194</v>
      </c>
      <c r="N32" s="47">
        <f t="shared" si="0"/>
        <v>72</v>
      </c>
      <c r="O32" s="50">
        <f t="shared" si="1"/>
        <v>79.2</v>
      </c>
      <c r="P32" s="50">
        <f t="shared" si="2"/>
        <v>0</v>
      </c>
      <c r="Q32" s="43">
        <f t="shared" si="3"/>
        <v>0</v>
      </c>
    </row>
    <row r="33" spans="1:17" x14ac:dyDescent="0.25">
      <c r="A33" s="4" t="s">
        <v>208</v>
      </c>
      <c r="B33" s="35">
        <v>46178</v>
      </c>
      <c r="C33" s="5" t="s">
        <v>185</v>
      </c>
      <c r="D33" s="6" t="s">
        <v>115</v>
      </c>
      <c r="E33" s="23" t="str">
        <f>IF(D33="","",IFERROR(VLOOKUP(D33,Stammdaten!$A$8:$L$57,2,FALSE),"Artikel-ID prüfen"))</f>
        <v>USB-C-Ladekabel 1 m</v>
      </c>
      <c r="F33" s="38">
        <v>12</v>
      </c>
      <c r="G33" s="42">
        <f>IF(D33="","",IFERROR(VLOOKUP(D33,Stammdaten!$A$8:$L$57,5,FALSE),0))</f>
        <v>3.9</v>
      </c>
      <c r="H33" s="43">
        <f>IF(D33="","",IFERROR(VLOOKUP(D33,Stammdaten!$A$8:$L$57,6,FALSE),0))</f>
        <v>9.9</v>
      </c>
      <c r="I33" s="4" t="s">
        <v>209</v>
      </c>
      <c r="J33" s="6" t="s">
        <v>135</v>
      </c>
      <c r="K33" s="27" t="str">
        <f>IF(J33="","",IFERROR(VLOOKUP(J33,Stammdaten!$N$8:$V$37,3,FALSE),"Partner-ID prüfen"))</f>
        <v>Hanseatic Warenpartner</v>
      </c>
      <c r="L33" s="28" t="str">
        <f>IF(D33="","",IFERROR(VLOOKUP(D33,Stammdaten!$A$8:$L$57,10,FALSE),""))</f>
        <v>C-02</v>
      </c>
      <c r="M33" s="20" t="s">
        <v>210</v>
      </c>
      <c r="N33" s="47">
        <f t="shared" si="0"/>
        <v>-12</v>
      </c>
      <c r="O33" s="50">
        <f t="shared" si="1"/>
        <v>-46.8</v>
      </c>
      <c r="P33" s="50">
        <f t="shared" si="2"/>
        <v>118.80000000000001</v>
      </c>
      <c r="Q33" s="43">
        <f t="shared" si="3"/>
        <v>46.8</v>
      </c>
    </row>
    <row r="34" spans="1:17" x14ac:dyDescent="0.25">
      <c r="A34" s="4"/>
      <c r="B34" s="35"/>
      <c r="C34" s="5"/>
      <c r="D34" s="6"/>
      <c r="E34" s="23" t="str">
        <f>IF(D34="","",IFERROR(VLOOKUP(D34,Stammdaten!$A$8:$L$57,2,FALSE),"Artikel-ID prüfen"))</f>
        <v/>
      </c>
      <c r="F34" s="38"/>
      <c r="G34" s="42" t="str">
        <f>IF(D34="","",IFERROR(VLOOKUP(D34,Stammdaten!$A$8:$L$57,5,FALSE),0))</f>
        <v/>
      </c>
      <c r="H34" s="43" t="str">
        <f>IF(D34="","",IFERROR(VLOOKUP(D34,Stammdaten!$A$8:$L$57,6,FALSE),0))</f>
        <v/>
      </c>
      <c r="I34" s="4"/>
      <c r="J34" s="6"/>
      <c r="K34" s="27" t="str">
        <f>IF(J34="","",IFERROR(VLOOKUP(J34,Stammdaten!$N$8:$V$37,3,FALSE),"Partner-ID prüfen"))</f>
        <v/>
      </c>
      <c r="L34" s="28" t="str">
        <f>IF(D34="","",IFERROR(VLOOKUP(D34,Stammdaten!$A$8:$L$57,10,FALSE),""))</f>
        <v/>
      </c>
      <c r="M34" s="20"/>
      <c r="N34" s="47" t="str">
        <f t="shared" si="0"/>
        <v/>
      </c>
      <c r="O34" s="50" t="str">
        <f t="shared" si="1"/>
        <v/>
      </c>
      <c r="P34" s="50" t="str">
        <f t="shared" si="2"/>
        <v/>
      </c>
      <c r="Q34" s="43" t="str">
        <f t="shared" si="3"/>
        <v/>
      </c>
    </row>
    <row r="35" spans="1:17" x14ac:dyDescent="0.25">
      <c r="A35" s="4"/>
      <c r="B35" s="35"/>
      <c r="C35" s="5"/>
      <c r="D35" s="6"/>
      <c r="E35" s="23" t="str">
        <f>IF(D35="","",IFERROR(VLOOKUP(D35,Stammdaten!$A$8:$L$57,2,FALSE),"Artikel-ID prüfen"))</f>
        <v/>
      </c>
      <c r="F35" s="38"/>
      <c r="G35" s="42" t="str">
        <f>IF(D35="","",IFERROR(VLOOKUP(D35,Stammdaten!$A$8:$L$57,5,FALSE),0))</f>
        <v/>
      </c>
      <c r="H35" s="43" t="str">
        <f>IF(D35="","",IFERROR(VLOOKUP(D35,Stammdaten!$A$8:$L$57,6,FALSE),0))</f>
        <v/>
      </c>
      <c r="I35" s="4"/>
      <c r="J35" s="6"/>
      <c r="K35" s="27" t="str">
        <f>IF(J35="","",IFERROR(VLOOKUP(J35,Stammdaten!$N$8:$V$37,3,FALSE),"Partner-ID prüfen"))</f>
        <v/>
      </c>
      <c r="L35" s="28" t="str">
        <f>IF(D35="","",IFERROR(VLOOKUP(D35,Stammdaten!$A$8:$L$57,10,FALSE),""))</f>
        <v/>
      </c>
      <c r="M35" s="20"/>
      <c r="N35" s="47" t="str">
        <f t="shared" si="0"/>
        <v/>
      </c>
      <c r="O35" s="50" t="str">
        <f t="shared" si="1"/>
        <v/>
      </c>
      <c r="P35" s="50" t="str">
        <f t="shared" si="2"/>
        <v/>
      </c>
      <c r="Q35" s="43" t="str">
        <f t="shared" si="3"/>
        <v/>
      </c>
    </row>
    <row r="36" spans="1:17" x14ac:dyDescent="0.25">
      <c r="A36" s="4"/>
      <c r="B36" s="35"/>
      <c r="C36" s="5"/>
      <c r="D36" s="6"/>
      <c r="E36" s="23" t="str">
        <f>IF(D36="","",IFERROR(VLOOKUP(D36,Stammdaten!$A$8:$L$57,2,FALSE),"Artikel-ID prüfen"))</f>
        <v/>
      </c>
      <c r="F36" s="38"/>
      <c r="G36" s="42" t="str">
        <f>IF(D36="","",IFERROR(VLOOKUP(D36,Stammdaten!$A$8:$L$57,5,FALSE),0))</f>
        <v/>
      </c>
      <c r="H36" s="43" t="str">
        <f>IF(D36="","",IFERROR(VLOOKUP(D36,Stammdaten!$A$8:$L$57,6,FALSE),0))</f>
        <v/>
      </c>
      <c r="I36" s="4"/>
      <c r="J36" s="6"/>
      <c r="K36" s="27" t="str">
        <f>IF(J36="","",IFERROR(VLOOKUP(J36,Stammdaten!$N$8:$V$37,3,FALSE),"Partner-ID prüfen"))</f>
        <v/>
      </c>
      <c r="L36" s="28" t="str">
        <f>IF(D36="","",IFERROR(VLOOKUP(D36,Stammdaten!$A$8:$L$57,10,FALSE),""))</f>
        <v/>
      </c>
      <c r="M36" s="20"/>
      <c r="N36" s="47" t="str">
        <f t="shared" si="0"/>
        <v/>
      </c>
      <c r="O36" s="50" t="str">
        <f t="shared" si="1"/>
        <v/>
      </c>
      <c r="P36" s="50" t="str">
        <f t="shared" si="2"/>
        <v/>
      </c>
      <c r="Q36" s="43" t="str">
        <f t="shared" si="3"/>
        <v/>
      </c>
    </row>
    <row r="37" spans="1:17" x14ac:dyDescent="0.25">
      <c r="A37" s="4"/>
      <c r="B37" s="35"/>
      <c r="C37" s="5"/>
      <c r="D37" s="6"/>
      <c r="E37" s="23" t="str">
        <f>IF(D37="","",IFERROR(VLOOKUP(D37,Stammdaten!$A$8:$L$57,2,FALSE),"Artikel-ID prüfen"))</f>
        <v/>
      </c>
      <c r="F37" s="38"/>
      <c r="G37" s="42" t="str">
        <f>IF(D37="","",IFERROR(VLOOKUP(D37,Stammdaten!$A$8:$L$57,5,FALSE),0))</f>
        <v/>
      </c>
      <c r="H37" s="43" t="str">
        <f>IF(D37="","",IFERROR(VLOOKUP(D37,Stammdaten!$A$8:$L$57,6,FALSE),0))</f>
        <v/>
      </c>
      <c r="I37" s="4"/>
      <c r="J37" s="6"/>
      <c r="K37" s="27" t="str">
        <f>IF(J37="","",IFERROR(VLOOKUP(J37,Stammdaten!$N$8:$V$37,3,FALSE),"Partner-ID prüfen"))</f>
        <v/>
      </c>
      <c r="L37" s="28" t="str">
        <f>IF(D37="","",IFERROR(VLOOKUP(D37,Stammdaten!$A$8:$L$57,10,FALSE),""))</f>
        <v/>
      </c>
      <c r="M37" s="20"/>
      <c r="N37" s="47" t="str">
        <f t="shared" si="0"/>
        <v/>
      </c>
      <c r="O37" s="50" t="str">
        <f t="shared" si="1"/>
        <v/>
      </c>
      <c r="P37" s="50" t="str">
        <f t="shared" si="2"/>
        <v/>
      </c>
      <c r="Q37" s="43" t="str">
        <f t="shared" si="3"/>
        <v/>
      </c>
    </row>
    <row r="38" spans="1:17" x14ac:dyDescent="0.25">
      <c r="A38" s="4"/>
      <c r="B38" s="35"/>
      <c r="C38" s="5"/>
      <c r="D38" s="6"/>
      <c r="E38" s="23" t="str">
        <f>IF(D38="","",IFERROR(VLOOKUP(D38,Stammdaten!$A$8:$L$57,2,FALSE),"Artikel-ID prüfen"))</f>
        <v/>
      </c>
      <c r="F38" s="38"/>
      <c r="G38" s="42" t="str">
        <f>IF(D38="","",IFERROR(VLOOKUP(D38,Stammdaten!$A$8:$L$57,5,FALSE),0))</f>
        <v/>
      </c>
      <c r="H38" s="43" t="str">
        <f>IF(D38="","",IFERROR(VLOOKUP(D38,Stammdaten!$A$8:$L$57,6,FALSE),0))</f>
        <v/>
      </c>
      <c r="I38" s="4"/>
      <c r="J38" s="6"/>
      <c r="K38" s="27" t="str">
        <f>IF(J38="","",IFERROR(VLOOKUP(J38,Stammdaten!$N$8:$V$37,3,FALSE),"Partner-ID prüfen"))</f>
        <v/>
      </c>
      <c r="L38" s="28" t="str">
        <f>IF(D38="","",IFERROR(VLOOKUP(D38,Stammdaten!$A$8:$L$57,10,FALSE),""))</f>
        <v/>
      </c>
      <c r="M38" s="20"/>
      <c r="N38" s="47" t="str">
        <f t="shared" si="0"/>
        <v/>
      </c>
      <c r="O38" s="50" t="str">
        <f t="shared" si="1"/>
        <v/>
      </c>
      <c r="P38" s="50" t="str">
        <f t="shared" si="2"/>
        <v/>
      </c>
      <c r="Q38" s="43" t="str">
        <f t="shared" si="3"/>
        <v/>
      </c>
    </row>
    <row r="39" spans="1:17" x14ac:dyDescent="0.25">
      <c r="A39" s="4"/>
      <c r="B39" s="35"/>
      <c r="C39" s="5"/>
      <c r="D39" s="6"/>
      <c r="E39" s="23" t="str">
        <f>IF(D39="","",IFERROR(VLOOKUP(D39,Stammdaten!$A$8:$L$57,2,FALSE),"Artikel-ID prüfen"))</f>
        <v/>
      </c>
      <c r="F39" s="38"/>
      <c r="G39" s="42" t="str">
        <f>IF(D39="","",IFERROR(VLOOKUP(D39,Stammdaten!$A$8:$L$57,5,FALSE),0))</f>
        <v/>
      </c>
      <c r="H39" s="43" t="str">
        <f>IF(D39="","",IFERROR(VLOOKUP(D39,Stammdaten!$A$8:$L$57,6,FALSE),0))</f>
        <v/>
      </c>
      <c r="I39" s="4"/>
      <c r="J39" s="6"/>
      <c r="K39" s="27" t="str">
        <f>IF(J39="","",IFERROR(VLOOKUP(J39,Stammdaten!$N$8:$V$37,3,FALSE),"Partner-ID prüfen"))</f>
        <v/>
      </c>
      <c r="L39" s="28" t="str">
        <f>IF(D39="","",IFERROR(VLOOKUP(D39,Stammdaten!$A$8:$L$57,10,FALSE),""))</f>
        <v/>
      </c>
      <c r="M39" s="20"/>
      <c r="N39" s="47" t="str">
        <f t="shared" si="0"/>
        <v/>
      </c>
      <c r="O39" s="50" t="str">
        <f t="shared" si="1"/>
        <v/>
      </c>
      <c r="P39" s="50" t="str">
        <f t="shared" si="2"/>
        <v/>
      </c>
      <c r="Q39" s="43" t="str">
        <f t="shared" si="3"/>
        <v/>
      </c>
    </row>
    <row r="40" spans="1:17" x14ac:dyDescent="0.25">
      <c r="A40" s="4"/>
      <c r="B40" s="35"/>
      <c r="C40" s="5"/>
      <c r="D40" s="6"/>
      <c r="E40" s="23" t="str">
        <f>IF(D40="","",IFERROR(VLOOKUP(D40,Stammdaten!$A$8:$L$57,2,FALSE),"Artikel-ID prüfen"))</f>
        <v/>
      </c>
      <c r="F40" s="38"/>
      <c r="G40" s="42" t="str">
        <f>IF(D40="","",IFERROR(VLOOKUP(D40,Stammdaten!$A$8:$L$57,5,FALSE),0))</f>
        <v/>
      </c>
      <c r="H40" s="43" t="str">
        <f>IF(D40="","",IFERROR(VLOOKUP(D40,Stammdaten!$A$8:$L$57,6,FALSE),0))</f>
        <v/>
      </c>
      <c r="I40" s="4"/>
      <c r="J40" s="6"/>
      <c r="K40" s="27" t="str">
        <f>IF(J40="","",IFERROR(VLOOKUP(J40,Stammdaten!$N$8:$V$37,3,FALSE),"Partner-ID prüfen"))</f>
        <v/>
      </c>
      <c r="L40" s="28" t="str">
        <f>IF(D40="","",IFERROR(VLOOKUP(D40,Stammdaten!$A$8:$L$57,10,FALSE),""))</f>
        <v/>
      </c>
      <c r="M40" s="20"/>
      <c r="N40" s="47" t="str">
        <f t="shared" ref="N40:N71" si="4">IF(OR(C40="",F40=""),"",IF(OR(C40="Wareneingang",C40="Korrektur +"),F40,-F40))</f>
        <v/>
      </c>
      <c r="O40" s="50" t="str">
        <f t="shared" ref="O40:O71" si="5">IF(N40="","",N40*G40)</f>
        <v/>
      </c>
      <c r="P40" s="50" t="str">
        <f t="shared" ref="P40:P71" si="6">IF(C40="","",IF(C40="Warenausgang",F40*H40,0))</f>
        <v/>
      </c>
      <c r="Q40" s="43" t="str">
        <f t="shared" ref="Q40:Q71" si="7">IF(C40="","",IF(C40="Warenausgang",F40*G40,0))</f>
        <v/>
      </c>
    </row>
    <row r="41" spans="1:17" x14ac:dyDescent="0.25">
      <c r="A41" s="4"/>
      <c r="B41" s="35"/>
      <c r="C41" s="5"/>
      <c r="D41" s="6"/>
      <c r="E41" s="23" t="str">
        <f>IF(D41="","",IFERROR(VLOOKUP(D41,Stammdaten!$A$8:$L$57,2,FALSE),"Artikel-ID prüfen"))</f>
        <v/>
      </c>
      <c r="F41" s="38"/>
      <c r="G41" s="42" t="str">
        <f>IF(D41="","",IFERROR(VLOOKUP(D41,Stammdaten!$A$8:$L$57,5,FALSE),0))</f>
        <v/>
      </c>
      <c r="H41" s="43" t="str">
        <f>IF(D41="","",IFERROR(VLOOKUP(D41,Stammdaten!$A$8:$L$57,6,FALSE),0))</f>
        <v/>
      </c>
      <c r="I41" s="4"/>
      <c r="J41" s="6"/>
      <c r="K41" s="27" t="str">
        <f>IF(J41="","",IFERROR(VLOOKUP(J41,Stammdaten!$N$8:$V$37,3,FALSE),"Partner-ID prüfen"))</f>
        <v/>
      </c>
      <c r="L41" s="28" t="str">
        <f>IF(D41="","",IFERROR(VLOOKUP(D41,Stammdaten!$A$8:$L$57,10,FALSE),""))</f>
        <v/>
      </c>
      <c r="M41" s="20"/>
      <c r="N41" s="47" t="str">
        <f t="shared" si="4"/>
        <v/>
      </c>
      <c r="O41" s="50" t="str">
        <f t="shared" si="5"/>
        <v/>
      </c>
      <c r="P41" s="50" t="str">
        <f t="shared" si="6"/>
        <v/>
      </c>
      <c r="Q41" s="43" t="str">
        <f t="shared" si="7"/>
        <v/>
      </c>
    </row>
    <row r="42" spans="1:17" x14ac:dyDescent="0.25">
      <c r="A42" s="4"/>
      <c r="B42" s="35"/>
      <c r="C42" s="5"/>
      <c r="D42" s="6"/>
      <c r="E42" s="23" t="str">
        <f>IF(D42="","",IFERROR(VLOOKUP(D42,Stammdaten!$A$8:$L$57,2,FALSE),"Artikel-ID prüfen"))</f>
        <v/>
      </c>
      <c r="F42" s="38"/>
      <c r="G42" s="42" t="str">
        <f>IF(D42="","",IFERROR(VLOOKUP(D42,Stammdaten!$A$8:$L$57,5,FALSE),0))</f>
        <v/>
      </c>
      <c r="H42" s="43" t="str">
        <f>IF(D42="","",IFERROR(VLOOKUP(D42,Stammdaten!$A$8:$L$57,6,FALSE),0))</f>
        <v/>
      </c>
      <c r="I42" s="4"/>
      <c r="J42" s="6"/>
      <c r="K42" s="27" t="str">
        <f>IF(J42="","",IFERROR(VLOOKUP(J42,Stammdaten!$N$8:$V$37,3,FALSE),"Partner-ID prüfen"))</f>
        <v/>
      </c>
      <c r="L42" s="28" t="str">
        <f>IF(D42="","",IFERROR(VLOOKUP(D42,Stammdaten!$A$8:$L$57,10,FALSE),""))</f>
        <v/>
      </c>
      <c r="M42" s="20"/>
      <c r="N42" s="47" t="str">
        <f t="shared" si="4"/>
        <v/>
      </c>
      <c r="O42" s="50" t="str">
        <f t="shared" si="5"/>
        <v/>
      </c>
      <c r="P42" s="50" t="str">
        <f t="shared" si="6"/>
        <v/>
      </c>
      <c r="Q42" s="43" t="str">
        <f t="shared" si="7"/>
        <v/>
      </c>
    </row>
    <row r="43" spans="1:17" x14ac:dyDescent="0.25">
      <c r="A43" s="4"/>
      <c r="B43" s="35"/>
      <c r="C43" s="5"/>
      <c r="D43" s="6"/>
      <c r="E43" s="23" t="str">
        <f>IF(D43="","",IFERROR(VLOOKUP(D43,Stammdaten!$A$8:$L$57,2,FALSE),"Artikel-ID prüfen"))</f>
        <v/>
      </c>
      <c r="F43" s="38"/>
      <c r="G43" s="42" t="str">
        <f>IF(D43="","",IFERROR(VLOOKUP(D43,Stammdaten!$A$8:$L$57,5,FALSE),0))</f>
        <v/>
      </c>
      <c r="H43" s="43" t="str">
        <f>IF(D43="","",IFERROR(VLOOKUP(D43,Stammdaten!$A$8:$L$57,6,FALSE),0))</f>
        <v/>
      </c>
      <c r="I43" s="4"/>
      <c r="J43" s="6"/>
      <c r="K43" s="27" t="str">
        <f>IF(J43="","",IFERROR(VLOOKUP(J43,Stammdaten!$N$8:$V$37,3,FALSE),"Partner-ID prüfen"))</f>
        <v/>
      </c>
      <c r="L43" s="28" t="str">
        <f>IF(D43="","",IFERROR(VLOOKUP(D43,Stammdaten!$A$8:$L$57,10,FALSE),""))</f>
        <v/>
      </c>
      <c r="M43" s="20"/>
      <c r="N43" s="47" t="str">
        <f t="shared" si="4"/>
        <v/>
      </c>
      <c r="O43" s="50" t="str">
        <f t="shared" si="5"/>
        <v/>
      </c>
      <c r="P43" s="50" t="str">
        <f t="shared" si="6"/>
        <v/>
      </c>
      <c r="Q43" s="43" t="str">
        <f t="shared" si="7"/>
        <v/>
      </c>
    </row>
    <row r="44" spans="1:17" x14ac:dyDescent="0.25">
      <c r="A44" s="4"/>
      <c r="B44" s="35"/>
      <c r="C44" s="5"/>
      <c r="D44" s="6"/>
      <c r="E44" s="23" t="str">
        <f>IF(D44="","",IFERROR(VLOOKUP(D44,Stammdaten!$A$8:$L$57,2,FALSE),"Artikel-ID prüfen"))</f>
        <v/>
      </c>
      <c r="F44" s="38"/>
      <c r="G44" s="42" t="str">
        <f>IF(D44="","",IFERROR(VLOOKUP(D44,Stammdaten!$A$8:$L$57,5,FALSE),0))</f>
        <v/>
      </c>
      <c r="H44" s="43" t="str">
        <f>IF(D44="","",IFERROR(VLOOKUP(D44,Stammdaten!$A$8:$L$57,6,FALSE),0))</f>
        <v/>
      </c>
      <c r="I44" s="4"/>
      <c r="J44" s="6"/>
      <c r="K44" s="27" t="str">
        <f>IF(J44="","",IFERROR(VLOOKUP(J44,Stammdaten!$N$8:$V$37,3,FALSE),"Partner-ID prüfen"))</f>
        <v/>
      </c>
      <c r="L44" s="28" t="str">
        <f>IF(D44="","",IFERROR(VLOOKUP(D44,Stammdaten!$A$8:$L$57,10,FALSE),""))</f>
        <v/>
      </c>
      <c r="M44" s="20"/>
      <c r="N44" s="47" t="str">
        <f t="shared" si="4"/>
        <v/>
      </c>
      <c r="O44" s="50" t="str">
        <f t="shared" si="5"/>
        <v/>
      </c>
      <c r="P44" s="50" t="str">
        <f t="shared" si="6"/>
        <v/>
      </c>
      <c r="Q44" s="43" t="str">
        <f t="shared" si="7"/>
        <v/>
      </c>
    </row>
    <row r="45" spans="1:17" x14ac:dyDescent="0.25">
      <c r="A45" s="4"/>
      <c r="B45" s="35"/>
      <c r="C45" s="5"/>
      <c r="D45" s="6"/>
      <c r="E45" s="23" t="str">
        <f>IF(D45="","",IFERROR(VLOOKUP(D45,Stammdaten!$A$8:$L$57,2,FALSE),"Artikel-ID prüfen"))</f>
        <v/>
      </c>
      <c r="F45" s="38"/>
      <c r="G45" s="42" t="str">
        <f>IF(D45="","",IFERROR(VLOOKUP(D45,Stammdaten!$A$8:$L$57,5,FALSE),0))</f>
        <v/>
      </c>
      <c r="H45" s="43" t="str">
        <f>IF(D45="","",IFERROR(VLOOKUP(D45,Stammdaten!$A$8:$L$57,6,FALSE),0))</f>
        <v/>
      </c>
      <c r="I45" s="4"/>
      <c r="J45" s="6"/>
      <c r="K45" s="27" t="str">
        <f>IF(J45="","",IFERROR(VLOOKUP(J45,Stammdaten!$N$8:$V$37,3,FALSE),"Partner-ID prüfen"))</f>
        <v/>
      </c>
      <c r="L45" s="28" t="str">
        <f>IF(D45="","",IFERROR(VLOOKUP(D45,Stammdaten!$A$8:$L$57,10,FALSE),""))</f>
        <v/>
      </c>
      <c r="M45" s="20"/>
      <c r="N45" s="47" t="str">
        <f t="shared" si="4"/>
        <v/>
      </c>
      <c r="O45" s="50" t="str">
        <f t="shared" si="5"/>
        <v/>
      </c>
      <c r="P45" s="50" t="str">
        <f t="shared" si="6"/>
        <v/>
      </c>
      <c r="Q45" s="43" t="str">
        <f t="shared" si="7"/>
        <v/>
      </c>
    </row>
    <row r="46" spans="1:17" x14ac:dyDescent="0.25">
      <c r="A46" s="4"/>
      <c r="B46" s="35"/>
      <c r="C46" s="5"/>
      <c r="D46" s="6"/>
      <c r="E46" s="23" t="str">
        <f>IF(D46="","",IFERROR(VLOOKUP(D46,Stammdaten!$A$8:$L$57,2,FALSE),"Artikel-ID prüfen"))</f>
        <v/>
      </c>
      <c r="F46" s="38"/>
      <c r="G46" s="42" t="str">
        <f>IF(D46="","",IFERROR(VLOOKUP(D46,Stammdaten!$A$8:$L$57,5,FALSE),0))</f>
        <v/>
      </c>
      <c r="H46" s="43" t="str">
        <f>IF(D46="","",IFERROR(VLOOKUP(D46,Stammdaten!$A$8:$L$57,6,FALSE),0))</f>
        <v/>
      </c>
      <c r="I46" s="4"/>
      <c r="J46" s="6"/>
      <c r="K46" s="27" t="str">
        <f>IF(J46="","",IFERROR(VLOOKUP(J46,Stammdaten!$N$8:$V$37,3,FALSE),"Partner-ID prüfen"))</f>
        <v/>
      </c>
      <c r="L46" s="28" t="str">
        <f>IF(D46="","",IFERROR(VLOOKUP(D46,Stammdaten!$A$8:$L$57,10,FALSE),""))</f>
        <v/>
      </c>
      <c r="M46" s="20"/>
      <c r="N46" s="47" t="str">
        <f t="shared" si="4"/>
        <v/>
      </c>
      <c r="O46" s="50" t="str">
        <f t="shared" si="5"/>
        <v/>
      </c>
      <c r="P46" s="50" t="str">
        <f t="shared" si="6"/>
        <v/>
      </c>
      <c r="Q46" s="43" t="str">
        <f t="shared" si="7"/>
        <v/>
      </c>
    </row>
    <row r="47" spans="1:17" x14ac:dyDescent="0.25">
      <c r="A47" s="4"/>
      <c r="B47" s="35"/>
      <c r="C47" s="5"/>
      <c r="D47" s="6"/>
      <c r="E47" s="23" t="str">
        <f>IF(D47="","",IFERROR(VLOOKUP(D47,Stammdaten!$A$8:$L$57,2,FALSE),"Artikel-ID prüfen"))</f>
        <v/>
      </c>
      <c r="F47" s="38"/>
      <c r="G47" s="42" t="str">
        <f>IF(D47="","",IFERROR(VLOOKUP(D47,Stammdaten!$A$8:$L$57,5,FALSE),0))</f>
        <v/>
      </c>
      <c r="H47" s="43" t="str">
        <f>IF(D47="","",IFERROR(VLOOKUP(D47,Stammdaten!$A$8:$L$57,6,FALSE),0))</f>
        <v/>
      </c>
      <c r="I47" s="4"/>
      <c r="J47" s="6"/>
      <c r="K47" s="27" t="str">
        <f>IF(J47="","",IFERROR(VLOOKUP(J47,Stammdaten!$N$8:$V$37,3,FALSE),"Partner-ID prüfen"))</f>
        <v/>
      </c>
      <c r="L47" s="28" t="str">
        <f>IF(D47="","",IFERROR(VLOOKUP(D47,Stammdaten!$A$8:$L$57,10,FALSE),""))</f>
        <v/>
      </c>
      <c r="M47" s="20"/>
      <c r="N47" s="47" t="str">
        <f t="shared" si="4"/>
        <v/>
      </c>
      <c r="O47" s="50" t="str">
        <f t="shared" si="5"/>
        <v/>
      </c>
      <c r="P47" s="50" t="str">
        <f t="shared" si="6"/>
        <v/>
      </c>
      <c r="Q47" s="43" t="str">
        <f t="shared" si="7"/>
        <v/>
      </c>
    </row>
    <row r="48" spans="1:17" x14ac:dyDescent="0.25">
      <c r="A48" s="4"/>
      <c r="B48" s="35"/>
      <c r="C48" s="5"/>
      <c r="D48" s="6"/>
      <c r="E48" s="23" t="str">
        <f>IF(D48="","",IFERROR(VLOOKUP(D48,Stammdaten!$A$8:$L$57,2,FALSE),"Artikel-ID prüfen"))</f>
        <v/>
      </c>
      <c r="F48" s="38"/>
      <c r="G48" s="42" t="str">
        <f>IF(D48="","",IFERROR(VLOOKUP(D48,Stammdaten!$A$8:$L$57,5,FALSE),0))</f>
        <v/>
      </c>
      <c r="H48" s="43" t="str">
        <f>IF(D48="","",IFERROR(VLOOKUP(D48,Stammdaten!$A$8:$L$57,6,FALSE),0))</f>
        <v/>
      </c>
      <c r="I48" s="4"/>
      <c r="J48" s="6"/>
      <c r="K48" s="27" t="str">
        <f>IF(J48="","",IFERROR(VLOOKUP(J48,Stammdaten!$N$8:$V$37,3,FALSE),"Partner-ID prüfen"))</f>
        <v/>
      </c>
      <c r="L48" s="28" t="str">
        <f>IF(D48="","",IFERROR(VLOOKUP(D48,Stammdaten!$A$8:$L$57,10,FALSE),""))</f>
        <v/>
      </c>
      <c r="M48" s="20"/>
      <c r="N48" s="47" t="str">
        <f t="shared" si="4"/>
        <v/>
      </c>
      <c r="O48" s="50" t="str">
        <f t="shared" si="5"/>
        <v/>
      </c>
      <c r="P48" s="50" t="str">
        <f t="shared" si="6"/>
        <v/>
      </c>
      <c r="Q48" s="43" t="str">
        <f t="shared" si="7"/>
        <v/>
      </c>
    </row>
    <row r="49" spans="1:17" x14ac:dyDescent="0.25">
      <c r="A49" s="4"/>
      <c r="B49" s="35"/>
      <c r="C49" s="5"/>
      <c r="D49" s="6"/>
      <c r="E49" s="23" t="str">
        <f>IF(D49="","",IFERROR(VLOOKUP(D49,Stammdaten!$A$8:$L$57,2,FALSE),"Artikel-ID prüfen"))</f>
        <v/>
      </c>
      <c r="F49" s="38"/>
      <c r="G49" s="42" t="str">
        <f>IF(D49="","",IFERROR(VLOOKUP(D49,Stammdaten!$A$8:$L$57,5,FALSE),0))</f>
        <v/>
      </c>
      <c r="H49" s="43" t="str">
        <f>IF(D49="","",IFERROR(VLOOKUP(D49,Stammdaten!$A$8:$L$57,6,FALSE),0))</f>
        <v/>
      </c>
      <c r="I49" s="4"/>
      <c r="J49" s="6"/>
      <c r="K49" s="27" t="str">
        <f>IF(J49="","",IFERROR(VLOOKUP(J49,Stammdaten!$N$8:$V$37,3,FALSE),"Partner-ID prüfen"))</f>
        <v/>
      </c>
      <c r="L49" s="28" t="str">
        <f>IF(D49="","",IFERROR(VLOOKUP(D49,Stammdaten!$A$8:$L$57,10,FALSE),""))</f>
        <v/>
      </c>
      <c r="M49" s="20"/>
      <c r="N49" s="47" t="str">
        <f t="shared" si="4"/>
        <v/>
      </c>
      <c r="O49" s="50" t="str">
        <f t="shared" si="5"/>
        <v/>
      </c>
      <c r="P49" s="50" t="str">
        <f t="shared" si="6"/>
        <v/>
      </c>
      <c r="Q49" s="43" t="str">
        <f t="shared" si="7"/>
        <v/>
      </c>
    </row>
    <row r="50" spans="1:17" x14ac:dyDescent="0.25">
      <c r="A50" s="4"/>
      <c r="B50" s="35"/>
      <c r="C50" s="5"/>
      <c r="D50" s="6"/>
      <c r="E50" s="23" t="str">
        <f>IF(D50="","",IFERROR(VLOOKUP(D50,Stammdaten!$A$8:$L$57,2,FALSE),"Artikel-ID prüfen"))</f>
        <v/>
      </c>
      <c r="F50" s="38"/>
      <c r="G50" s="42" t="str">
        <f>IF(D50="","",IFERROR(VLOOKUP(D50,Stammdaten!$A$8:$L$57,5,FALSE),0))</f>
        <v/>
      </c>
      <c r="H50" s="43" t="str">
        <f>IF(D50="","",IFERROR(VLOOKUP(D50,Stammdaten!$A$8:$L$57,6,FALSE),0))</f>
        <v/>
      </c>
      <c r="I50" s="4"/>
      <c r="J50" s="6"/>
      <c r="K50" s="27" t="str">
        <f>IF(J50="","",IFERROR(VLOOKUP(J50,Stammdaten!$N$8:$V$37,3,FALSE),"Partner-ID prüfen"))</f>
        <v/>
      </c>
      <c r="L50" s="28" t="str">
        <f>IF(D50="","",IFERROR(VLOOKUP(D50,Stammdaten!$A$8:$L$57,10,FALSE),""))</f>
        <v/>
      </c>
      <c r="M50" s="20"/>
      <c r="N50" s="47" t="str">
        <f t="shared" si="4"/>
        <v/>
      </c>
      <c r="O50" s="50" t="str">
        <f t="shared" si="5"/>
        <v/>
      </c>
      <c r="P50" s="50" t="str">
        <f t="shared" si="6"/>
        <v/>
      </c>
      <c r="Q50" s="43" t="str">
        <f t="shared" si="7"/>
        <v/>
      </c>
    </row>
    <row r="51" spans="1:17" x14ac:dyDescent="0.25">
      <c r="A51" s="4"/>
      <c r="B51" s="35"/>
      <c r="C51" s="5"/>
      <c r="D51" s="6"/>
      <c r="E51" s="23" t="str">
        <f>IF(D51="","",IFERROR(VLOOKUP(D51,Stammdaten!$A$8:$L$57,2,FALSE),"Artikel-ID prüfen"))</f>
        <v/>
      </c>
      <c r="F51" s="38"/>
      <c r="G51" s="42" t="str">
        <f>IF(D51="","",IFERROR(VLOOKUP(D51,Stammdaten!$A$8:$L$57,5,FALSE),0))</f>
        <v/>
      </c>
      <c r="H51" s="43" t="str">
        <f>IF(D51="","",IFERROR(VLOOKUP(D51,Stammdaten!$A$8:$L$57,6,FALSE),0))</f>
        <v/>
      </c>
      <c r="I51" s="4"/>
      <c r="J51" s="6"/>
      <c r="K51" s="27" t="str">
        <f>IF(J51="","",IFERROR(VLOOKUP(J51,Stammdaten!$N$8:$V$37,3,FALSE),"Partner-ID prüfen"))</f>
        <v/>
      </c>
      <c r="L51" s="28" t="str">
        <f>IF(D51="","",IFERROR(VLOOKUP(D51,Stammdaten!$A$8:$L$57,10,FALSE),""))</f>
        <v/>
      </c>
      <c r="M51" s="20"/>
      <c r="N51" s="47" t="str">
        <f t="shared" si="4"/>
        <v/>
      </c>
      <c r="O51" s="50" t="str">
        <f t="shared" si="5"/>
        <v/>
      </c>
      <c r="P51" s="50" t="str">
        <f t="shared" si="6"/>
        <v/>
      </c>
      <c r="Q51" s="43" t="str">
        <f t="shared" si="7"/>
        <v/>
      </c>
    </row>
    <row r="52" spans="1:17" x14ac:dyDescent="0.25">
      <c r="A52" s="4"/>
      <c r="B52" s="35"/>
      <c r="C52" s="5"/>
      <c r="D52" s="6"/>
      <c r="E52" s="23" t="str">
        <f>IF(D52="","",IFERROR(VLOOKUP(D52,Stammdaten!$A$8:$L$57,2,FALSE),"Artikel-ID prüfen"))</f>
        <v/>
      </c>
      <c r="F52" s="38"/>
      <c r="G52" s="42" t="str">
        <f>IF(D52="","",IFERROR(VLOOKUP(D52,Stammdaten!$A$8:$L$57,5,FALSE),0))</f>
        <v/>
      </c>
      <c r="H52" s="43" t="str">
        <f>IF(D52="","",IFERROR(VLOOKUP(D52,Stammdaten!$A$8:$L$57,6,FALSE),0))</f>
        <v/>
      </c>
      <c r="I52" s="4"/>
      <c r="J52" s="6"/>
      <c r="K52" s="27" t="str">
        <f>IF(J52="","",IFERROR(VLOOKUP(J52,Stammdaten!$N$8:$V$37,3,FALSE),"Partner-ID prüfen"))</f>
        <v/>
      </c>
      <c r="L52" s="28" t="str">
        <f>IF(D52="","",IFERROR(VLOOKUP(D52,Stammdaten!$A$8:$L$57,10,FALSE),""))</f>
        <v/>
      </c>
      <c r="M52" s="20"/>
      <c r="N52" s="47" t="str">
        <f t="shared" si="4"/>
        <v/>
      </c>
      <c r="O52" s="50" t="str">
        <f t="shared" si="5"/>
        <v/>
      </c>
      <c r="P52" s="50" t="str">
        <f t="shared" si="6"/>
        <v/>
      </c>
      <c r="Q52" s="43" t="str">
        <f t="shared" si="7"/>
        <v/>
      </c>
    </row>
    <row r="53" spans="1:17" x14ac:dyDescent="0.25">
      <c r="A53" s="4"/>
      <c r="B53" s="35"/>
      <c r="C53" s="5"/>
      <c r="D53" s="6"/>
      <c r="E53" s="23" t="str">
        <f>IF(D53="","",IFERROR(VLOOKUP(D53,Stammdaten!$A$8:$L$57,2,FALSE),"Artikel-ID prüfen"))</f>
        <v/>
      </c>
      <c r="F53" s="38"/>
      <c r="G53" s="42" t="str">
        <f>IF(D53="","",IFERROR(VLOOKUP(D53,Stammdaten!$A$8:$L$57,5,FALSE),0))</f>
        <v/>
      </c>
      <c r="H53" s="43" t="str">
        <f>IF(D53="","",IFERROR(VLOOKUP(D53,Stammdaten!$A$8:$L$57,6,FALSE),0))</f>
        <v/>
      </c>
      <c r="I53" s="4"/>
      <c r="J53" s="6"/>
      <c r="K53" s="27" t="str">
        <f>IF(J53="","",IFERROR(VLOOKUP(J53,Stammdaten!$N$8:$V$37,3,FALSE),"Partner-ID prüfen"))</f>
        <v/>
      </c>
      <c r="L53" s="28" t="str">
        <f>IF(D53="","",IFERROR(VLOOKUP(D53,Stammdaten!$A$8:$L$57,10,FALSE),""))</f>
        <v/>
      </c>
      <c r="M53" s="20"/>
      <c r="N53" s="47" t="str">
        <f t="shared" si="4"/>
        <v/>
      </c>
      <c r="O53" s="50" t="str">
        <f t="shared" si="5"/>
        <v/>
      </c>
      <c r="P53" s="50" t="str">
        <f t="shared" si="6"/>
        <v/>
      </c>
      <c r="Q53" s="43" t="str">
        <f t="shared" si="7"/>
        <v/>
      </c>
    </row>
    <row r="54" spans="1:17" x14ac:dyDescent="0.25">
      <c r="A54" s="4"/>
      <c r="B54" s="35"/>
      <c r="C54" s="5"/>
      <c r="D54" s="6"/>
      <c r="E54" s="23" t="str">
        <f>IF(D54="","",IFERROR(VLOOKUP(D54,Stammdaten!$A$8:$L$57,2,FALSE),"Artikel-ID prüfen"))</f>
        <v/>
      </c>
      <c r="F54" s="38"/>
      <c r="G54" s="42" t="str">
        <f>IF(D54="","",IFERROR(VLOOKUP(D54,Stammdaten!$A$8:$L$57,5,FALSE),0))</f>
        <v/>
      </c>
      <c r="H54" s="43" t="str">
        <f>IF(D54="","",IFERROR(VLOOKUP(D54,Stammdaten!$A$8:$L$57,6,FALSE),0))</f>
        <v/>
      </c>
      <c r="I54" s="4"/>
      <c r="J54" s="6"/>
      <c r="K54" s="27" t="str">
        <f>IF(J54="","",IFERROR(VLOOKUP(J54,Stammdaten!$N$8:$V$37,3,FALSE),"Partner-ID prüfen"))</f>
        <v/>
      </c>
      <c r="L54" s="28" t="str">
        <f>IF(D54="","",IFERROR(VLOOKUP(D54,Stammdaten!$A$8:$L$57,10,FALSE),""))</f>
        <v/>
      </c>
      <c r="M54" s="20"/>
      <c r="N54" s="47" t="str">
        <f t="shared" si="4"/>
        <v/>
      </c>
      <c r="O54" s="50" t="str">
        <f t="shared" si="5"/>
        <v/>
      </c>
      <c r="P54" s="50" t="str">
        <f t="shared" si="6"/>
        <v/>
      </c>
      <c r="Q54" s="43" t="str">
        <f t="shared" si="7"/>
        <v/>
      </c>
    </row>
    <row r="55" spans="1:17" x14ac:dyDescent="0.25">
      <c r="A55" s="4"/>
      <c r="B55" s="35"/>
      <c r="C55" s="5"/>
      <c r="D55" s="6"/>
      <c r="E55" s="23" t="str">
        <f>IF(D55="","",IFERROR(VLOOKUP(D55,Stammdaten!$A$8:$L$57,2,FALSE),"Artikel-ID prüfen"))</f>
        <v/>
      </c>
      <c r="F55" s="38"/>
      <c r="G55" s="42" t="str">
        <f>IF(D55="","",IFERROR(VLOOKUP(D55,Stammdaten!$A$8:$L$57,5,FALSE),0))</f>
        <v/>
      </c>
      <c r="H55" s="43" t="str">
        <f>IF(D55="","",IFERROR(VLOOKUP(D55,Stammdaten!$A$8:$L$57,6,FALSE),0))</f>
        <v/>
      </c>
      <c r="I55" s="4"/>
      <c r="J55" s="6"/>
      <c r="K55" s="27" t="str">
        <f>IF(J55="","",IFERROR(VLOOKUP(J55,Stammdaten!$N$8:$V$37,3,FALSE),"Partner-ID prüfen"))</f>
        <v/>
      </c>
      <c r="L55" s="28" t="str">
        <f>IF(D55="","",IFERROR(VLOOKUP(D55,Stammdaten!$A$8:$L$57,10,FALSE),""))</f>
        <v/>
      </c>
      <c r="M55" s="20"/>
      <c r="N55" s="47" t="str">
        <f t="shared" si="4"/>
        <v/>
      </c>
      <c r="O55" s="50" t="str">
        <f t="shared" si="5"/>
        <v/>
      </c>
      <c r="P55" s="50" t="str">
        <f t="shared" si="6"/>
        <v/>
      </c>
      <c r="Q55" s="43" t="str">
        <f t="shared" si="7"/>
        <v/>
      </c>
    </row>
    <row r="56" spans="1:17" x14ac:dyDescent="0.25">
      <c r="A56" s="4"/>
      <c r="B56" s="35"/>
      <c r="C56" s="5"/>
      <c r="D56" s="6"/>
      <c r="E56" s="23" t="str">
        <f>IF(D56="","",IFERROR(VLOOKUP(D56,Stammdaten!$A$8:$L$57,2,FALSE),"Artikel-ID prüfen"))</f>
        <v/>
      </c>
      <c r="F56" s="38"/>
      <c r="G56" s="42" t="str">
        <f>IF(D56="","",IFERROR(VLOOKUP(D56,Stammdaten!$A$8:$L$57,5,FALSE),0))</f>
        <v/>
      </c>
      <c r="H56" s="43" t="str">
        <f>IF(D56="","",IFERROR(VLOOKUP(D56,Stammdaten!$A$8:$L$57,6,FALSE),0))</f>
        <v/>
      </c>
      <c r="I56" s="4"/>
      <c r="J56" s="6"/>
      <c r="K56" s="27" t="str">
        <f>IF(J56="","",IFERROR(VLOOKUP(J56,Stammdaten!$N$8:$V$37,3,FALSE),"Partner-ID prüfen"))</f>
        <v/>
      </c>
      <c r="L56" s="28" t="str">
        <f>IF(D56="","",IFERROR(VLOOKUP(D56,Stammdaten!$A$8:$L$57,10,FALSE),""))</f>
        <v/>
      </c>
      <c r="M56" s="20"/>
      <c r="N56" s="47" t="str">
        <f t="shared" si="4"/>
        <v/>
      </c>
      <c r="O56" s="50" t="str">
        <f t="shared" si="5"/>
        <v/>
      </c>
      <c r="P56" s="50" t="str">
        <f t="shared" si="6"/>
        <v/>
      </c>
      <c r="Q56" s="43" t="str">
        <f t="shared" si="7"/>
        <v/>
      </c>
    </row>
    <row r="57" spans="1:17" x14ac:dyDescent="0.25">
      <c r="A57" s="4"/>
      <c r="B57" s="35"/>
      <c r="C57" s="5"/>
      <c r="D57" s="6"/>
      <c r="E57" s="23" t="str">
        <f>IF(D57="","",IFERROR(VLOOKUP(D57,Stammdaten!$A$8:$L$57,2,FALSE),"Artikel-ID prüfen"))</f>
        <v/>
      </c>
      <c r="F57" s="38"/>
      <c r="G57" s="42" t="str">
        <f>IF(D57="","",IFERROR(VLOOKUP(D57,Stammdaten!$A$8:$L$57,5,FALSE),0))</f>
        <v/>
      </c>
      <c r="H57" s="43" t="str">
        <f>IF(D57="","",IFERROR(VLOOKUP(D57,Stammdaten!$A$8:$L$57,6,FALSE),0))</f>
        <v/>
      </c>
      <c r="I57" s="4"/>
      <c r="J57" s="6"/>
      <c r="K57" s="27" t="str">
        <f>IF(J57="","",IFERROR(VLOOKUP(J57,Stammdaten!$N$8:$V$37,3,FALSE),"Partner-ID prüfen"))</f>
        <v/>
      </c>
      <c r="L57" s="28" t="str">
        <f>IF(D57="","",IFERROR(VLOOKUP(D57,Stammdaten!$A$8:$L$57,10,FALSE),""))</f>
        <v/>
      </c>
      <c r="M57" s="20"/>
      <c r="N57" s="47" t="str">
        <f t="shared" si="4"/>
        <v/>
      </c>
      <c r="O57" s="50" t="str">
        <f t="shared" si="5"/>
        <v/>
      </c>
      <c r="P57" s="50" t="str">
        <f t="shared" si="6"/>
        <v/>
      </c>
      <c r="Q57" s="43" t="str">
        <f t="shared" si="7"/>
        <v/>
      </c>
    </row>
    <row r="58" spans="1:17" x14ac:dyDescent="0.25">
      <c r="A58" s="4"/>
      <c r="B58" s="35"/>
      <c r="C58" s="5"/>
      <c r="D58" s="6"/>
      <c r="E58" s="23" t="str">
        <f>IF(D58="","",IFERROR(VLOOKUP(D58,Stammdaten!$A$8:$L$57,2,FALSE),"Artikel-ID prüfen"))</f>
        <v/>
      </c>
      <c r="F58" s="38"/>
      <c r="G58" s="42" t="str">
        <f>IF(D58="","",IFERROR(VLOOKUP(D58,Stammdaten!$A$8:$L$57,5,FALSE),0))</f>
        <v/>
      </c>
      <c r="H58" s="43" t="str">
        <f>IF(D58="","",IFERROR(VLOOKUP(D58,Stammdaten!$A$8:$L$57,6,FALSE),0))</f>
        <v/>
      </c>
      <c r="I58" s="4"/>
      <c r="J58" s="6"/>
      <c r="K58" s="27" t="str">
        <f>IF(J58="","",IFERROR(VLOOKUP(J58,Stammdaten!$N$8:$V$37,3,FALSE),"Partner-ID prüfen"))</f>
        <v/>
      </c>
      <c r="L58" s="28" t="str">
        <f>IF(D58="","",IFERROR(VLOOKUP(D58,Stammdaten!$A$8:$L$57,10,FALSE),""))</f>
        <v/>
      </c>
      <c r="M58" s="20"/>
      <c r="N58" s="47" t="str">
        <f t="shared" si="4"/>
        <v/>
      </c>
      <c r="O58" s="50" t="str">
        <f t="shared" si="5"/>
        <v/>
      </c>
      <c r="P58" s="50" t="str">
        <f t="shared" si="6"/>
        <v/>
      </c>
      <c r="Q58" s="43" t="str">
        <f t="shared" si="7"/>
        <v/>
      </c>
    </row>
    <row r="59" spans="1:17" x14ac:dyDescent="0.25">
      <c r="A59" s="4"/>
      <c r="B59" s="35"/>
      <c r="C59" s="5"/>
      <c r="D59" s="6"/>
      <c r="E59" s="23" t="str">
        <f>IF(D59="","",IFERROR(VLOOKUP(D59,Stammdaten!$A$8:$L$57,2,FALSE),"Artikel-ID prüfen"))</f>
        <v/>
      </c>
      <c r="F59" s="38"/>
      <c r="G59" s="42" t="str">
        <f>IF(D59="","",IFERROR(VLOOKUP(D59,Stammdaten!$A$8:$L$57,5,FALSE),0))</f>
        <v/>
      </c>
      <c r="H59" s="43" t="str">
        <f>IF(D59="","",IFERROR(VLOOKUP(D59,Stammdaten!$A$8:$L$57,6,FALSE),0))</f>
        <v/>
      </c>
      <c r="I59" s="4"/>
      <c r="J59" s="6"/>
      <c r="K59" s="27" t="str">
        <f>IF(J59="","",IFERROR(VLOOKUP(J59,Stammdaten!$N$8:$V$37,3,FALSE),"Partner-ID prüfen"))</f>
        <v/>
      </c>
      <c r="L59" s="28" t="str">
        <f>IF(D59="","",IFERROR(VLOOKUP(D59,Stammdaten!$A$8:$L$57,10,FALSE),""))</f>
        <v/>
      </c>
      <c r="M59" s="20"/>
      <c r="N59" s="47" t="str">
        <f t="shared" si="4"/>
        <v/>
      </c>
      <c r="O59" s="50" t="str">
        <f t="shared" si="5"/>
        <v/>
      </c>
      <c r="P59" s="50" t="str">
        <f t="shared" si="6"/>
        <v/>
      </c>
      <c r="Q59" s="43" t="str">
        <f t="shared" si="7"/>
        <v/>
      </c>
    </row>
    <row r="60" spans="1:17" x14ac:dyDescent="0.25">
      <c r="A60" s="4"/>
      <c r="B60" s="35"/>
      <c r="C60" s="5"/>
      <c r="D60" s="6"/>
      <c r="E60" s="23" t="str">
        <f>IF(D60="","",IFERROR(VLOOKUP(D60,Stammdaten!$A$8:$L$57,2,FALSE),"Artikel-ID prüfen"))</f>
        <v/>
      </c>
      <c r="F60" s="38"/>
      <c r="G60" s="42" t="str">
        <f>IF(D60="","",IFERROR(VLOOKUP(D60,Stammdaten!$A$8:$L$57,5,FALSE),0))</f>
        <v/>
      </c>
      <c r="H60" s="43" t="str">
        <f>IF(D60="","",IFERROR(VLOOKUP(D60,Stammdaten!$A$8:$L$57,6,FALSE),0))</f>
        <v/>
      </c>
      <c r="I60" s="4"/>
      <c r="J60" s="6"/>
      <c r="K60" s="27" t="str">
        <f>IF(J60="","",IFERROR(VLOOKUP(J60,Stammdaten!$N$8:$V$37,3,FALSE),"Partner-ID prüfen"))</f>
        <v/>
      </c>
      <c r="L60" s="28" t="str">
        <f>IF(D60="","",IFERROR(VLOOKUP(D60,Stammdaten!$A$8:$L$57,10,FALSE),""))</f>
        <v/>
      </c>
      <c r="M60" s="20"/>
      <c r="N60" s="47" t="str">
        <f t="shared" si="4"/>
        <v/>
      </c>
      <c r="O60" s="50" t="str">
        <f t="shared" si="5"/>
        <v/>
      </c>
      <c r="P60" s="50" t="str">
        <f t="shared" si="6"/>
        <v/>
      </c>
      <c r="Q60" s="43" t="str">
        <f t="shared" si="7"/>
        <v/>
      </c>
    </row>
    <row r="61" spans="1:17" x14ac:dyDescent="0.25">
      <c r="A61" s="4"/>
      <c r="B61" s="35"/>
      <c r="C61" s="5"/>
      <c r="D61" s="6"/>
      <c r="E61" s="23" t="str">
        <f>IF(D61="","",IFERROR(VLOOKUP(D61,Stammdaten!$A$8:$L$57,2,FALSE),"Artikel-ID prüfen"))</f>
        <v/>
      </c>
      <c r="F61" s="38"/>
      <c r="G61" s="42" t="str">
        <f>IF(D61="","",IFERROR(VLOOKUP(D61,Stammdaten!$A$8:$L$57,5,FALSE),0))</f>
        <v/>
      </c>
      <c r="H61" s="43" t="str">
        <f>IF(D61="","",IFERROR(VLOOKUP(D61,Stammdaten!$A$8:$L$57,6,FALSE),0))</f>
        <v/>
      </c>
      <c r="I61" s="4"/>
      <c r="J61" s="6"/>
      <c r="K61" s="27" t="str">
        <f>IF(J61="","",IFERROR(VLOOKUP(J61,Stammdaten!$N$8:$V$37,3,FALSE),"Partner-ID prüfen"))</f>
        <v/>
      </c>
      <c r="L61" s="28" t="str">
        <f>IF(D61="","",IFERROR(VLOOKUP(D61,Stammdaten!$A$8:$L$57,10,FALSE),""))</f>
        <v/>
      </c>
      <c r="M61" s="20"/>
      <c r="N61" s="47" t="str">
        <f t="shared" si="4"/>
        <v/>
      </c>
      <c r="O61" s="50" t="str">
        <f t="shared" si="5"/>
        <v/>
      </c>
      <c r="P61" s="50" t="str">
        <f t="shared" si="6"/>
        <v/>
      </c>
      <c r="Q61" s="43" t="str">
        <f t="shared" si="7"/>
        <v/>
      </c>
    </row>
    <row r="62" spans="1:17" x14ac:dyDescent="0.25">
      <c r="A62" s="4"/>
      <c r="B62" s="35"/>
      <c r="C62" s="5"/>
      <c r="D62" s="6"/>
      <c r="E62" s="23" t="str">
        <f>IF(D62="","",IFERROR(VLOOKUP(D62,Stammdaten!$A$8:$L$57,2,FALSE),"Artikel-ID prüfen"))</f>
        <v/>
      </c>
      <c r="F62" s="38"/>
      <c r="G62" s="42" t="str">
        <f>IF(D62="","",IFERROR(VLOOKUP(D62,Stammdaten!$A$8:$L$57,5,FALSE),0))</f>
        <v/>
      </c>
      <c r="H62" s="43" t="str">
        <f>IF(D62="","",IFERROR(VLOOKUP(D62,Stammdaten!$A$8:$L$57,6,FALSE),0))</f>
        <v/>
      </c>
      <c r="I62" s="4"/>
      <c r="J62" s="6"/>
      <c r="K62" s="27" t="str">
        <f>IF(J62="","",IFERROR(VLOOKUP(J62,Stammdaten!$N$8:$V$37,3,FALSE),"Partner-ID prüfen"))</f>
        <v/>
      </c>
      <c r="L62" s="28" t="str">
        <f>IF(D62="","",IFERROR(VLOOKUP(D62,Stammdaten!$A$8:$L$57,10,FALSE),""))</f>
        <v/>
      </c>
      <c r="M62" s="20"/>
      <c r="N62" s="47" t="str">
        <f t="shared" si="4"/>
        <v/>
      </c>
      <c r="O62" s="50" t="str">
        <f t="shared" si="5"/>
        <v/>
      </c>
      <c r="P62" s="50" t="str">
        <f t="shared" si="6"/>
        <v/>
      </c>
      <c r="Q62" s="43" t="str">
        <f t="shared" si="7"/>
        <v/>
      </c>
    </row>
    <row r="63" spans="1:17" x14ac:dyDescent="0.25">
      <c r="A63" s="4"/>
      <c r="B63" s="35"/>
      <c r="C63" s="5"/>
      <c r="D63" s="6"/>
      <c r="E63" s="23" t="str">
        <f>IF(D63="","",IFERROR(VLOOKUP(D63,Stammdaten!$A$8:$L$57,2,FALSE),"Artikel-ID prüfen"))</f>
        <v/>
      </c>
      <c r="F63" s="38"/>
      <c r="G63" s="42" t="str">
        <f>IF(D63="","",IFERROR(VLOOKUP(D63,Stammdaten!$A$8:$L$57,5,FALSE),0))</f>
        <v/>
      </c>
      <c r="H63" s="43" t="str">
        <f>IF(D63="","",IFERROR(VLOOKUP(D63,Stammdaten!$A$8:$L$57,6,FALSE),0))</f>
        <v/>
      </c>
      <c r="I63" s="4"/>
      <c r="J63" s="6"/>
      <c r="K63" s="27" t="str">
        <f>IF(J63="","",IFERROR(VLOOKUP(J63,Stammdaten!$N$8:$V$37,3,FALSE),"Partner-ID prüfen"))</f>
        <v/>
      </c>
      <c r="L63" s="28" t="str">
        <f>IF(D63="","",IFERROR(VLOOKUP(D63,Stammdaten!$A$8:$L$57,10,FALSE),""))</f>
        <v/>
      </c>
      <c r="M63" s="20"/>
      <c r="N63" s="47" t="str">
        <f t="shared" si="4"/>
        <v/>
      </c>
      <c r="O63" s="50" t="str">
        <f t="shared" si="5"/>
        <v/>
      </c>
      <c r="P63" s="50" t="str">
        <f t="shared" si="6"/>
        <v/>
      </c>
      <c r="Q63" s="43" t="str">
        <f t="shared" si="7"/>
        <v/>
      </c>
    </row>
    <row r="64" spans="1:17" x14ac:dyDescent="0.25">
      <c r="A64" s="4"/>
      <c r="B64" s="35"/>
      <c r="C64" s="5"/>
      <c r="D64" s="6"/>
      <c r="E64" s="23" t="str">
        <f>IF(D64="","",IFERROR(VLOOKUP(D64,Stammdaten!$A$8:$L$57,2,FALSE),"Artikel-ID prüfen"))</f>
        <v/>
      </c>
      <c r="F64" s="38"/>
      <c r="G64" s="42" t="str">
        <f>IF(D64="","",IFERROR(VLOOKUP(D64,Stammdaten!$A$8:$L$57,5,FALSE),0))</f>
        <v/>
      </c>
      <c r="H64" s="43" t="str">
        <f>IF(D64="","",IFERROR(VLOOKUP(D64,Stammdaten!$A$8:$L$57,6,FALSE),0))</f>
        <v/>
      </c>
      <c r="I64" s="4"/>
      <c r="J64" s="6"/>
      <c r="K64" s="27" t="str">
        <f>IF(J64="","",IFERROR(VLOOKUP(J64,Stammdaten!$N$8:$V$37,3,FALSE),"Partner-ID prüfen"))</f>
        <v/>
      </c>
      <c r="L64" s="28" t="str">
        <f>IF(D64="","",IFERROR(VLOOKUP(D64,Stammdaten!$A$8:$L$57,10,FALSE),""))</f>
        <v/>
      </c>
      <c r="M64" s="20"/>
      <c r="N64" s="47" t="str">
        <f t="shared" si="4"/>
        <v/>
      </c>
      <c r="O64" s="50" t="str">
        <f t="shared" si="5"/>
        <v/>
      </c>
      <c r="P64" s="50" t="str">
        <f t="shared" si="6"/>
        <v/>
      </c>
      <c r="Q64" s="43" t="str">
        <f t="shared" si="7"/>
        <v/>
      </c>
    </row>
    <row r="65" spans="1:17" x14ac:dyDescent="0.25">
      <c r="A65" s="4"/>
      <c r="B65" s="35"/>
      <c r="C65" s="5"/>
      <c r="D65" s="6"/>
      <c r="E65" s="23" t="str">
        <f>IF(D65="","",IFERROR(VLOOKUP(D65,Stammdaten!$A$8:$L$57,2,FALSE),"Artikel-ID prüfen"))</f>
        <v/>
      </c>
      <c r="F65" s="38"/>
      <c r="G65" s="42" t="str">
        <f>IF(D65="","",IFERROR(VLOOKUP(D65,Stammdaten!$A$8:$L$57,5,FALSE),0))</f>
        <v/>
      </c>
      <c r="H65" s="43" t="str">
        <f>IF(D65="","",IFERROR(VLOOKUP(D65,Stammdaten!$A$8:$L$57,6,FALSE),0))</f>
        <v/>
      </c>
      <c r="I65" s="4"/>
      <c r="J65" s="6"/>
      <c r="K65" s="27" t="str">
        <f>IF(J65="","",IFERROR(VLOOKUP(J65,Stammdaten!$N$8:$V$37,3,FALSE),"Partner-ID prüfen"))</f>
        <v/>
      </c>
      <c r="L65" s="28" t="str">
        <f>IF(D65="","",IFERROR(VLOOKUP(D65,Stammdaten!$A$8:$L$57,10,FALSE),""))</f>
        <v/>
      </c>
      <c r="M65" s="20"/>
      <c r="N65" s="47" t="str">
        <f t="shared" si="4"/>
        <v/>
      </c>
      <c r="O65" s="50" t="str">
        <f t="shared" si="5"/>
        <v/>
      </c>
      <c r="P65" s="50" t="str">
        <f t="shared" si="6"/>
        <v/>
      </c>
      <c r="Q65" s="43" t="str">
        <f t="shared" si="7"/>
        <v/>
      </c>
    </row>
    <row r="66" spans="1:17" x14ac:dyDescent="0.25">
      <c r="A66" s="4"/>
      <c r="B66" s="35"/>
      <c r="C66" s="5"/>
      <c r="D66" s="6"/>
      <c r="E66" s="23" t="str">
        <f>IF(D66="","",IFERROR(VLOOKUP(D66,Stammdaten!$A$8:$L$57,2,FALSE),"Artikel-ID prüfen"))</f>
        <v/>
      </c>
      <c r="F66" s="38"/>
      <c r="G66" s="42" t="str">
        <f>IF(D66="","",IFERROR(VLOOKUP(D66,Stammdaten!$A$8:$L$57,5,FALSE),0))</f>
        <v/>
      </c>
      <c r="H66" s="43" t="str">
        <f>IF(D66="","",IFERROR(VLOOKUP(D66,Stammdaten!$A$8:$L$57,6,FALSE),0))</f>
        <v/>
      </c>
      <c r="I66" s="4"/>
      <c r="J66" s="6"/>
      <c r="K66" s="27" t="str">
        <f>IF(J66="","",IFERROR(VLOOKUP(J66,Stammdaten!$N$8:$V$37,3,FALSE),"Partner-ID prüfen"))</f>
        <v/>
      </c>
      <c r="L66" s="28" t="str">
        <f>IF(D66="","",IFERROR(VLOOKUP(D66,Stammdaten!$A$8:$L$57,10,FALSE),""))</f>
        <v/>
      </c>
      <c r="M66" s="20"/>
      <c r="N66" s="47" t="str">
        <f t="shared" si="4"/>
        <v/>
      </c>
      <c r="O66" s="50" t="str">
        <f t="shared" si="5"/>
        <v/>
      </c>
      <c r="P66" s="50" t="str">
        <f t="shared" si="6"/>
        <v/>
      </c>
      <c r="Q66" s="43" t="str">
        <f t="shared" si="7"/>
        <v/>
      </c>
    </row>
    <row r="67" spans="1:17" x14ac:dyDescent="0.25">
      <c r="A67" s="4"/>
      <c r="B67" s="35"/>
      <c r="C67" s="5"/>
      <c r="D67" s="6"/>
      <c r="E67" s="23" t="str">
        <f>IF(D67="","",IFERROR(VLOOKUP(D67,Stammdaten!$A$8:$L$57,2,FALSE),"Artikel-ID prüfen"))</f>
        <v/>
      </c>
      <c r="F67" s="38"/>
      <c r="G67" s="42" t="str">
        <f>IF(D67="","",IFERROR(VLOOKUP(D67,Stammdaten!$A$8:$L$57,5,FALSE),0))</f>
        <v/>
      </c>
      <c r="H67" s="43" t="str">
        <f>IF(D67="","",IFERROR(VLOOKUP(D67,Stammdaten!$A$8:$L$57,6,FALSE),0))</f>
        <v/>
      </c>
      <c r="I67" s="4"/>
      <c r="J67" s="6"/>
      <c r="K67" s="27" t="str">
        <f>IF(J67="","",IFERROR(VLOOKUP(J67,Stammdaten!$N$8:$V$37,3,FALSE),"Partner-ID prüfen"))</f>
        <v/>
      </c>
      <c r="L67" s="28" t="str">
        <f>IF(D67="","",IFERROR(VLOOKUP(D67,Stammdaten!$A$8:$L$57,10,FALSE),""))</f>
        <v/>
      </c>
      <c r="M67" s="20"/>
      <c r="N67" s="47" t="str">
        <f t="shared" si="4"/>
        <v/>
      </c>
      <c r="O67" s="50" t="str">
        <f t="shared" si="5"/>
        <v/>
      </c>
      <c r="P67" s="50" t="str">
        <f t="shared" si="6"/>
        <v/>
      </c>
      <c r="Q67" s="43" t="str">
        <f t="shared" si="7"/>
        <v/>
      </c>
    </row>
    <row r="68" spans="1:17" x14ac:dyDescent="0.25">
      <c r="A68" s="4"/>
      <c r="B68" s="35"/>
      <c r="C68" s="5"/>
      <c r="D68" s="6"/>
      <c r="E68" s="23" t="str">
        <f>IF(D68="","",IFERROR(VLOOKUP(D68,Stammdaten!$A$8:$L$57,2,FALSE),"Artikel-ID prüfen"))</f>
        <v/>
      </c>
      <c r="F68" s="38"/>
      <c r="G68" s="42" t="str">
        <f>IF(D68="","",IFERROR(VLOOKUP(D68,Stammdaten!$A$8:$L$57,5,FALSE),0))</f>
        <v/>
      </c>
      <c r="H68" s="43" t="str">
        <f>IF(D68="","",IFERROR(VLOOKUP(D68,Stammdaten!$A$8:$L$57,6,FALSE),0))</f>
        <v/>
      </c>
      <c r="I68" s="4"/>
      <c r="J68" s="6"/>
      <c r="K68" s="27" t="str">
        <f>IF(J68="","",IFERROR(VLOOKUP(J68,Stammdaten!$N$8:$V$37,3,FALSE),"Partner-ID prüfen"))</f>
        <v/>
      </c>
      <c r="L68" s="28" t="str">
        <f>IF(D68="","",IFERROR(VLOOKUP(D68,Stammdaten!$A$8:$L$57,10,FALSE),""))</f>
        <v/>
      </c>
      <c r="M68" s="20"/>
      <c r="N68" s="47" t="str">
        <f t="shared" si="4"/>
        <v/>
      </c>
      <c r="O68" s="50" t="str">
        <f t="shared" si="5"/>
        <v/>
      </c>
      <c r="P68" s="50" t="str">
        <f t="shared" si="6"/>
        <v/>
      </c>
      <c r="Q68" s="43" t="str">
        <f t="shared" si="7"/>
        <v/>
      </c>
    </row>
    <row r="69" spans="1:17" x14ac:dyDescent="0.25">
      <c r="A69" s="4"/>
      <c r="B69" s="35"/>
      <c r="C69" s="5"/>
      <c r="D69" s="6"/>
      <c r="E69" s="23" t="str">
        <f>IF(D69="","",IFERROR(VLOOKUP(D69,Stammdaten!$A$8:$L$57,2,FALSE),"Artikel-ID prüfen"))</f>
        <v/>
      </c>
      <c r="F69" s="38"/>
      <c r="G69" s="42" t="str">
        <f>IF(D69="","",IFERROR(VLOOKUP(D69,Stammdaten!$A$8:$L$57,5,FALSE),0))</f>
        <v/>
      </c>
      <c r="H69" s="43" t="str">
        <f>IF(D69="","",IFERROR(VLOOKUP(D69,Stammdaten!$A$8:$L$57,6,FALSE),0))</f>
        <v/>
      </c>
      <c r="I69" s="4"/>
      <c r="J69" s="6"/>
      <c r="K69" s="27" t="str">
        <f>IF(J69="","",IFERROR(VLOOKUP(J69,Stammdaten!$N$8:$V$37,3,FALSE),"Partner-ID prüfen"))</f>
        <v/>
      </c>
      <c r="L69" s="28" t="str">
        <f>IF(D69="","",IFERROR(VLOOKUP(D69,Stammdaten!$A$8:$L$57,10,FALSE),""))</f>
        <v/>
      </c>
      <c r="M69" s="20"/>
      <c r="N69" s="47" t="str">
        <f t="shared" si="4"/>
        <v/>
      </c>
      <c r="O69" s="50" t="str">
        <f t="shared" si="5"/>
        <v/>
      </c>
      <c r="P69" s="50" t="str">
        <f t="shared" si="6"/>
        <v/>
      </c>
      <c r="Q69" s="43" t="str">
        <f t="shared" si="7"/>
        <v/>
      </c>
    </row>
    <row r="70" spans="1:17" x14ac:dyDescent="0.25">
      <c r="A70" s="4"/>
      <c r="B70" s="35"/>
      <c r="C70" s="5"/>
      <c r="D70" s="6"/>
      <c r="E70" s="23" t="str">
        <f>IF(D70="","",IFERROR(VLOOKUP(D70,Stammdaten!$A$8:$L$57,2,FALSE),"Artikel-ID prüfen"))</f>
        <v/>
      </c>
      <c r="F70" s="38"/>
      <c r="G70" s="42" t="str">
        <f>IF(D70="","",IFERROR(VLOOKUP(D70,Stammdaten!$A$8:$L$57,5,FALSE),0))</f>
        <v/>
      </c>
      <c r="H70" s="43" t="str">
        <f>IF(D70="","",IFERROR(VLOOKUP(D70,Stammdaten!$A$8:$L$57,6,FALSE),0))</f>
        <v/>
      </c>
      <c r="I70" s="4"/>
      <c r="J70" s="6"/>
      <c r="K70" s="27" t="str">
        <f>IF(J70="","",IFERROR(VLOOKUP(J70,Stammdaten!$N$8:$V$37,3,FALSE),"Partner-ID prüfen"))</f>
        <v/>
      </c>
      <c r="L70" s="28" t="str">
        <f>IF(D70="","",IFERROR(VLOOKUP(D70,Stammdaten!$A$8:$L$57,10,FALSE),""))</f>
        <v/>
      </c>
      <c r="M70" s="20"/>
      <c r="N70" s="47" t="str">
        <f t="shared" si="4"/>
        <v/>
      </c>
      <c r="O70" s="50" t="str">
        <f t="shared" si="5"/>
        <v/>
      </c>
      <c r="P70" s="50" t="str">
        <f t="shared" si="6"/>
        <v/>
      </c>
      <c r="Q70" s="43" t="str">
        <f t="shared" si="7"/>
        <v/>
      </c>
    </row>
    <row r="71" spans="1:17" x14ac:dyDescent="0.25">
      <c r="A71" s="4"/>
      <c r="B71" s="35"/>
      <c r="C71" s="5"/>
      <c r="D71" s="6"/>
      <c r="E71" s="23" t="str">
        <f>IF(D71="","",IFERROR(VLOOKUP(D71,Stammdaten!$A$8:$L$57,2,FALSE),"Artikel-ID prüfen"))</f>
        <v/>
      </c>
      <c r="F71" s="38"/>
      <c r="G71" s="42" t="str">
        <f>IF(D71="","",IFERROR(VLOOKUP(D71,Stammdaten!$A$8:$L$57,5,FALSE),0))</f>
        <v/>
      </c>
      <c r="H71" s="43" t="str">
        <f>IF(D71="","",IFERROR(VLOOKUP(D71,Stammdaten!$A$8:$L$57,6,FALSE),0))</f>
        <v/>
      </c>
      <c r="I71" s="4"/>
      <c r="J71" s="6"/>
      <c r="K71" s="27" t="str">
        <f>IF(J71="","",IFERROR(VLOOKUP(J71,Stammdaten!$N$8:$V$37,3,FALSE),"Partner-ID prüfen"))</f>
        <v/>
      </c>
      <c r="L71" s="28" t="str">
        <f>IF(D71="","",IFERROR(VLOOKUP(D71,Stammdaten!$A$8:$L$57,10,FALSE),""))</f>
        <v/>
      </c>
      <c r="M71" s="20"/>
      <c r="N71" s="47" t="str">
        <f t="shared" si="4"/>
        <v/>
      </c>
      <c r="O71" s="50" t="str">
        <f t="shared" si="5"/>
        <v/>
      </c>
      <c r="P71" s="50" t="str">
        <f t="shared" si="6"/>
        <v/>
      </c>
      <c r="Q71" s="43" t="str">
        <f t="shared" si="7"/>
        <v/>
      </c>
    </row>
    <row r="72" spans="1:17" x14ac:dyDescent="0.25">
      <c r="A72" s="4"/>
      <c r="B72" s="35"/>
      <c r="C72" s="5"/>
      <c r="D72" s="6"/>
      <c r="E72" s="23" t="str">
        <f>IF(D72="","",IFERROR(VLOOKUP(D72,Stammdaten!$A$8:$L$57,2,FALSE),"Artikel-ID prüfen"))</f>
        <v/>
      </c>
      <c r="F72" s="38"/>
      <c r="G72" s="42" t="str">
        <f>IF(D72="","",IFERROR(VLOOKUP(D72,Stammdaten!$A$8:$L$57,5,FALSE),0))</f>
        <v/>
      </c>
      <c r="H72" s="43" t="str">
        <f>IF(D72="","",IFERROR(VLOOKUP(D72,Stammdaten!$A$8:$L$57,6,FALSE),0))</f>
        <v/>
      </c>
      <c r="I72" s="4"/>
      <c r="J72" s="6"/>
      <c r="K72" s="27" t="str">
        <f>IF(J72="","",IFERROR(VLOOKUP(J72,Stammdaten!$N$8:$V$37,3,FALSE),"Partner-ID prüfen"))</f>
        <v/>
      </c>
      <c r="L72" s="28" t="str">
        <f>IF(D72="","",IFERROR(VLOOKUP(D72,Stammdaten!$A$8:$L$57,10,FALSE),""))</f>
        <v/>
      </c>
      <c r="M72" s="20"/>
      <c r="N72" s="47" t="str">
        <f t="shared" ref="N72:N103" si="8">IF(OR(C72="",F72=""),"",IF(OR(C72="Wareneingang",C72="Korrektur +"),F72,-F72))</f>
        <v/>
      </c>
      <c r="O72" s="50" t="str">
        <f t="shared" ref="O72:O103" si="9">IF(N72="","",N72*G72)</f>
        <v/>
      </c>
      <c r="P72" s="50" t="str">
        <f t="shared" ref="P72:P103" si="10">IF(C72="","",IF(C72="Warenausgang",F72*H72,0))</f>
        <v/>
      </c>
      <c r="Q72" s="43" t="str">
        <f t="shared" ref="Q72:Q103" si="11">IF(C72="","",IF(C72="Warenausgang",F72*G72,0))</f>
        <v/>
      </c>
    </row>
    <row r="73" spans="1:17" x14ac:dyDescent="0.25">
      <c r="A73" s="4"/>
      <c r="B73" s="35"/>
      <c r="C73" s="5"/>
      <c r="D73" s="6"/>
      <c r="E73" s="23" t="str">
        <f>IF(D73="","",IFERROR(VLOOKUP(D73,Stammdaten!$A$8:$L$57,2,FALSE),"Artikel-ID prüfen"))</f>
        <v/>
      </c>
      <c r="F73" s="38"/>
      <c r="G73" s="42" t="str">
        <f>IF(D73="","",IFERROR(VLOOKUP(D73,Stammdaten!$A$8:$L$57,5,FALSE),0))</f>
        <v/>
      </c>
      <c r="H73" s="43" t="str">
        <f>IF(D73="","",IFERROR(VLOOKUP(D73,Stammdaten!$A$8:$L$57,6,FALSE),0))</f>
        <v/>
      </c>
      <c r="I73" s="4"/>
      <c r="J73" s="6"/>
      <c r="K73" s="27" t="str">
        <f>IF(J73="","",IFERROR(VLOOKUP(J73,Stammdaten!$N$8:$V$37,3,FALSE),"Partner-ID prüfen"))</f>
        <v/>
      </c>
      <c r="L73" s="28" t="str">
        <f>IF(D73="","",IFERROR(VLOOKUP(D73,Stammdaten!$A$8:$L$57,10,FALSE),""))</f>
        <v/>
      </c>
      <c r="M73" s="20"/>
      <c r="N73" s="47" t="str">
        <f t="shared" si="8"/>
        <v/>
      </c>
      <c r="O73" s="50" t="str">
        <f t="shared" si="9"/>
        <v/>
      </c>
      <c r="P73" s="50" t="str">
        <f t="shared" si="10"/>
        <v/>
      </c>
      <c r="Q73" s="43" t="str">
        <f t="shared" si="11"/>
        <v/>
      </c>
    </row>
    <row r="74" spans="1:17" x14ac:dyDescent="0.25">
      <c r="A74" s="4"/>
      <c r="B74" s="35"/>
      <c r="C74" s="5"/>
      <c r="D74" s="6"/>
      <c r="E74" s="23" t="str">
        <f>IF(D74="","",IFERROR(VLOOKUP(D74,Stammdaten!$A$8:$L$57,2,FALSE),"Artikel-ID prüfen"))</f>
        <v/>
      </c>
      <c r="F74" s="38"/>
      <c r="G74" s="42" t="str">
        <f>IF(D74="","",IFERROR(VLOOKUP(D74,Stammdaten!$A$8:$L$57,5,FALSE),0))</f>
        <v/>
      </c>
      <c r="H74" s="43" t="str">
        <f>IF(D74="","",IFERROR(VLOOKUP(D74,Stammdaten!$A$8:$L$57,6,FALSE),0))</f>
        <v/>
      </c>
      <c r="I74" s="4"/>
      <c r="J74" s="6"/>
      <c r="K74" s="27" t="str">
        <f>IF(J74="","",IFERROR(VLOOKUP(J74,Stammdaten!$N$8:$V$37,3,FALSE),"Partner-ID prüfen"))</f>
        <v/>
      </c>
      <c r="L74" s="28" t="str">
        <f>IF(D74="","",IFERROR(VLOOKUP(D74,Stammdaten!$A$8:$L$57,10,FALSE),""))</f>
        <v/>
      </c>
      <c r="M74" s="20"/>
      <c r="N74" s="47" t="str">
        <f t="shared" si="8"/>
        <v/>
      </c>
      <c r="O74" s="50" t="str">
        <f t="shared" si="9"/>
        <v/>
      </c>
      <c r="P74" s="50" t="str">
        <f t="shared" si="10"/>
        <v/>
      </c>
      <c r="Q74" s="43" t="str">
        <f t="shared" si="11"/>
        <v/>
      </c>
    </row>
    <row r="75" spans="1:17" x14ac:dyDescent="0.25">
      <c r="A75" s="4"/>
      <c r="B75" s="35"/>
      <c r="C75" s="5"/>
      <c r="D75" s="6"/>
      <c r="E75" s="23" t="str">
        <f>IF(D75="","",IFERROR(VLOOKUP(D75,Stammdaten!$A$8:$L$57,2,FALSE),"Artikel-ID prüfen"))</f>
        <v/>
      </c>
      <c r="F75" s="38"/>
      <c r="G75" s="42" t="str">
        <f>IF(D75="","",IFERROR(VLOOKUP(D75,Stammdaten!$A$8:$L$57,5,FALSE),0))</f>
        <v/>
      </c>
      <c r="H75" s="43" t="str">
        <f>IF(D75="","",IFERROR(VLOOKUP(D75,Stammdaten!$A$8:$L$57,6,FALSE),0))</f>
        <v/>
      </c>
      <c r="I75" s="4"/>
      <c r="J75" s="6"/>
      <c r="K75" s="27" t="str">
        <f>IF(J75="","",IFERROR(VLOOKUP(J75,Stammdaten!$N$8:$V$37,3,FALSE),"Partner-ID prüfen"))</f>
        <v/>
      </c>
      <c r="L75" s="28" t="str">
        <f>IF(D75="","",IFERROR(VLOOKUP(D75,Stammdaten!$A$8:$L$57,10,FALSE),""))</f>
        <v/>
      </c>
      <c r="M75" s="20"/>
      <c r="N75" s="47" t="str">
        <f t="shared" si="8"/>
        <v/>
      </c>
      <c r="O75" s="50" t="str">
        <f t="shared" si="9"/>
        <v/>
      </c>
      <c r="P75" s="50" t="str">
        <f t="shared" si="10"/>
        <v/>
      </c>
      <c r="Q75" s="43" t="str">
        <f t="shared" si="11"/>
        <v/>
      </c>
    </row>
    <row r="76" spans="1:17" x14ac:dyDescent="0.25">
      <c r="A76" s="4"/>
      <c r="B76" s="35"/>
      <c r="C76" s="5"/>
      <c r="D76" s="6"/>
      <c r="E76" s="23" t="str">
        <f>IF(D76="","",IFERROR(VLOOKUP(D76,Stammdaten!$A$8:$L$57,2,FALSE),"Artikel-ID prüfen"))</f>
        <v/>
      </c>
      <c r="F76" s="38"/>
      <c r="G76" s="42" t="str">
        <f>IF(D76="","",IFERROR(VLOOKUP(D76,Stammdaten!$A$8:$L$57,5,FALSE),0))</f>
        <v/>
      </c>
      <c r="H76" s="43" t="str">
        <f>IF(D76="","",IFERROR(VLOOKUP(D76,Stammdaten!$A$8:$L$57,6,FALSE),0))</f>
        <v/>
      </c>
      <c r="I76" s="4"/>
      <c r="J76" s="6"/>
      <c r="K76" s="27" t="str">
        <f>IF(J76="","",IFERROR(VLOOKUP(J76,Stammdaten!$N$8:$V$37,3,FALSE),"Partner-ID prüfen"))</f>
        <v/>
      </c>
      <c r="L76" s="28" t="str">
        <f>IF(D76="","",IFERROR(VLOOKUP(D76,Stammdaten!$A$8:$L$57,10,FALSE),""))</f>
        <v/>
      </c>
      <c r="M76" s="20"/>
      <c r="N76" s="47" t="str">
        <f t="shared" si="8"/>
        <v/>
      </c>
      <c r="O76" s="50" t="str">
        <f t="shared" si="9"/>
        <v/>
      </c>
      <c r="P76" s="50" t="str">
        <f t="shared" si="10"/>
        <v/>
      </c>
      <c r="Q76" s="43" t="str">
        <f t="shared" si="11"/>
        <v/>
      </c>
    </row>
    <row r="77" spans="1:17" x14ac:dyDescent="0.25">
      <c r="A77" s="4"/>
      <c r="B77" s="35"/>
      <c r="C77" s="5"/>
      <c r="D77" s="6"/>
      <c r="E77" s="23" t="str">
        <f>IF(D77="","",IFERROR(VLOOKUP(D77,Stammdaten!$A$8:$L$57,2,FALSE),"Artikel-ID prüfen"))</f>
        <v/>
      </c>
      <c r="F77" s="38"/>
      <c r="G77" s="42" t="str">
        <f>IF(D77="","",IFERROR(VLOOKUP(D77,Stammdaten!$A$8:$L$57,5,FALSE),0))</f>
        <v/>
      </c>
      <c r="H77" s="43" t="str">
        <f>IF(D77="","",IFERROR(VLOOKUP(D77,Stammdaten!$A$8:$L$57,6,FALSE),0))</f>
        <v/>
      </c>
      <c r="I77" s="4"/>
      <c r="J77" s="6"/>
      <c r="K77" s="27" t="str">
        <f>IF(J77="","",IFERROR(VLOOKUP(J77,Stammdaten!$N$8:$V$37,3,FALSE),"Partner-ID prüfen"))</f>
        <v/>
      </c>
      <c r="L77" s="28" t="str">
        <f>IF(D77="","",IFERROR(VLOOKUP(D77,Stammdaten!$A$8:$L$57,10,FALSE),""))</f>
        <v/>
      </c>
      <c r="M77" s="20"/>
      <c r="N77" s="47" t="str">
        <f t="shared" si="8"/>
        <v/>
      </c>
      <c r="O77" s="50" t="str">
        <f t="shared" si="9"/>
        <v/>
      </c>
      <c r="P77" s="50" t="str">
        <f t="shared" si="10"/>
        <v/>
      </c>
      <c r="Q77" s="43" t="str">
        <f t="shared" si="11"/>
        <v/>
      </c>
    </row>
    <row r="78" spans="1:17" x14ac:dyDescent="0.25">
      <c r="A78" s="4"/>
      <c r="B78" s="35"/>
      <c r="C78" s="5"/>
      <c r="D78" s="6"/>
      <c r="E78" s="23" t="str">
        <f>IF(D78="","",IFERROR(VLOOKUP(D78,Stammdaten!$A$8:$L$57,2,FALSE),"Artikel-ID prüfen"))</f>
        <v/>
      </c>
      <c r="F78" s="38"/>
      <c r="G78" s="42" t="str">
        <f>IF(D78="","",IFERROR(VLOOKUP(D78,Stammdaten!$A$8:$L$57,5,FALSE),0))</f>
        <v/>
      </c>
      <c r="H78" s="43" t="str">
        <f>IF(D78="","",IFERROR(VLOOKUP(D78,Stammdaten!$A$8:$L$57,6,FALSE),0))</f>
        <v/>
      </c>
      <c r="I78" s="4"/>
      <c r="J78" s="6"/>
      <c r="K78" s="27" t="str">
        <f>IF(J78="","",IFERROR(VLOOKUP(J78,Stammdaten!$N$8:$V$37,3,FALSE),"Partner-ID prüfen"))</f>
        <v/>
      </c>
      <c r="L78" s="28" t="str">
        <f>IF(D78="","",IFERROR(VLOOKUP(D78,Stammdaten!$A$8:$L$57,10,FALSE),""))</f>
        <v/>
      </c>
      <c r="M78" s="20"/>
      <c r="N78" s="47" t="str">
        <f t="shared" si="8"/>
        <v/>
      </c>
      <c r="O78" s="50" t="str">
        <f t="shared" si="9"/>
        <v/>
      </c>
      <c r="P78" s="50" t="str">
        <f t="shared" si="10"/>
        <v/>
      </c>
      <c r="Q78" s="43" t="str">
        <f t="shared" si="11"/>
        <v/>
      </c>
    </row>
    <row r="79" spans="1:17" x14ac:dyDescent="0.25">
      <c r="A79" s="4"/>
      <c r="B79" s="35"/>
      <c r="C79" s="5"/>
      <c r="D79" s="6"/>
      <c r="E79" s="23" t="str">
        <f>IF(D79="","",IFERROR(VLOOKUP(D79,Stammdaten!$A$8:$L$57,2,FALSE),"Artikel-ID prüfen"))</f>
        <v/>
      </c>
      <c r="F79" s="38"/>
      <c r="G79" s="42" t="str">
        <f>IF(D79="","",IFERROR(VLOOKUP(D79,Stammdaten!$A$8:$L$57,5,FALSE),0))</f>
        <v/>
      </c>
      <c r="H79" s="43" t="str">
        <f>IF(D79="","",IFERROR(VLOOKUP(D79,Stammdaten!$A$8:$L$57,6,FALSE),0))</f>
        <v/>
      </c>
      <c r="I79" s="4"/>
      <c r="J79" s="6"/>
      <c r="K79" s="27" t="str">
        <f>IF(J79="","",IFERROR(VLOOKUP(J79,Stammdaten!$N$8:$V$37,3,FALSE),"Partner-ID prüfen"))</f>
        <v/>
      </c>
      <c r="L79" s="28" t="str">
        <f>IF(D79="","",IFERROR(VLOOKUP(D79,Stammdaten!$A$8:$L$57,10,FALSE),""))</f>
        <v/>
      </c>
      <c r="M79" s="20"/>
      <c r="N79" s="47" t="str">
        <f t="shared" si="8"/>
        <v/>
      </c>
      <c r="O79" s="50" t="str">
        <f t="shared" si="9"/>
        <v/>
      </c>
      <c r="P79" s="50" t="str">
        <f t="shared" si="10"/>
        <v/>
      </c>
      <c r="Q79" s="43" t="str">
        <f t="shared" si="11"/>
        <v/>
      </c>
    </row>
    <row r="80" spans="1:17" x14ac:dyDescent="0.25">
      <c r="A80" s="4"/>
      <c r="B80" s="35"/>
      <c r="C80" s="5"/>
      <c r="D80" s="6"/>
      <c r="E80" s="23" t="str">
        <f>IF(D80="","",IFERROR(VLOOKUP(D80,Stammdaten!$A$8:$L$57,2,FALSE),"Artikel-ID prüfen"))</f>
        <v/>
      </c>
      <c r="F80" s="38"/>
      <c r="G80" s="42" t="str">
        <f>IF(D80="","",IFERROR(VLOOKUP(D80,Stammdaten!$A$8:$L$57,5,FALSE),0))</f>
        <v/>
      </c>
      <c r="H80" s="43" t="str">
        <f>IF(D80="","",IFERROR(VLOOKUP(D80,Stammdaten!$A$8:$L$57,6,FALSE),0))</f>
        <v/>
      </c>
      <c r="I80" s="4"/>
      <c r="J80" s="6"/>
      <c r="K80" s="27" t="str">
        <f>IF(J80="","",IFERROR(VLOOKUP(J80,Stammdaten!$N$8:$V$37,3,FALSE),"Partner-ID prüfen"))</f>
        <v/>
      </c>
      <c r="L80" s="28" t="str">
        <f>IF(D80="","",IFERROR(VLOOKUP(D80,Stammdaten!$A$8:$L$57,10,FALSE),""))</f>
        <v/>
      </c>
      <c r="M80" s="20"/>
      <c r="N80" s="47" t="str">
        <f t="shared" si="8"/>
        <v/>
      </c>
      <c r="O80" s="50" t="str">
        <f t="shared" si="9"/>
        <v/>
      </c>
      <c r="P80" s="50" t="str">
        <f t="shared" si="10"/>
        <v/>
      </c>
      <c r="Q80" s="43" t="str">
        <f t="shared" si="11"/>
        <v/>
      </c>
    </row>
    <row r="81" spans="1:17" x14ac:dyDescent="0.25">
      <c r="A81" s="4"/>
      <c r="B81" s="35"/>
      <c r="C81" s="5"/>
      <c r="D81" s="6"/>
      <c r="E81" s="23" t="str">
        <f>IF(D81="","",IFERROR(VLOOKUP(D81,Stammdaten!$A$8:$L$57,2,FALSE),"Artikel-ID prüfen"))</f>
        <v/>
      </c>
      <c r="F81" s="38"/>
      <c r="G81" s="42" t="str">
        <f>IF(D81="","",IFERROR(VLOOKUP(D81,Stammdaten!$A$8:$L$57,5,FALSE),0))</f>
        <v/>
      </c>
      <c r="H81" s="43" t="str">
        <f>IF(D81="","",IFERROR(VLOOKUP(D81,Stammdaten!$A$8:$L$57,6,FALSE),0))</f>
        <v/>
      </c>
      <c r="I81" s="4"/>
      <c r="J81" s="6"/>
      <c r="K81" s="27" t="str">
        <f>IF(J81="","",IFERROR(VLOOKUP(J81,Stammdaten!$N$8:$V$37,3,FALSE),"Partner-ID prüfen"))</f>
        <v/>
      </c>
      <c r="L81" s="28" t="str">
        <f>IF(D81="","",IFERROR(VLOOKUP(D81,Stammdaten!$A$8:$L$57,10,FALSE),""))</f>
        <v/>
      </c>
      <c r="M81" s="20"/>
      <c r="N81" s="47" t="str">
        <f t="shared" si="8"/>
        <v/>
      </c>
      <c r="O81" s="50" t="str">
        <f t="shared" si="9"/>
        <v/>
      </c>
      <c r="P81" s="50" t="str">
        <f t="shared" si="10"/>
        <v/>
      </c>
      <c r="Q81" s="43" t="str">
        <f t="shared" si="11"/>
        <v/>
      </c>
    </row>
    <row r="82" spans="1:17" x14ac:dyDescent="0.25">
      <c r="A82" s="4"/>
      <c r="B82" s="35"/>
      <c r="C82" s="5"/>
      <c r="D82" s="6"/>
      <c r="E82" s="23" t="str">
        <f>IF(D82="","",IFERROR(VLOOKUP(D82,Stammdaten!$A$8:$L$57,2,FALSE),"Artikel-ID prüfen"))</f>
        <v/>
      </c>
      <c r="F82" s="38"/>
      <c r="G82" s="42" t="str">
        <f>IF(D82="","",IFERROR(VLOOKUP(D82,Stammdaten!$A$8:$L$57,5,FALSE),0))</f>
        <v/>
      </c>
      <c r="H82" s="43" t="str">
        <f>IF(D82="","",IFERROR(VLOOKUP(D82,Stammdaten!$A$8:$L$57,6,FALSE),0))</f>
        <v/>
      </c>
      <c r="I82" s="4"/>
      <c r="J82" s="6"/>
      <c r="K82" s="27" t="str">
        <f>IF(J82="","",IFERROR(VLOOKUP(J82,Stammdaten!$N$8:$V$37,3,FALSE),"Partner-ID prüfen"))</f>
        <v/>
      </c>
      <c r="L82" s="28" t="str">
        <f>IF(D82="","",IFERROR(VLOOKUP(D82,Stammdaten!$A$8:$L$57,10,FALSE),""))</f>
        <v/>
      </c>
      <c r="M82" s="20"/>
      <c r="N82" s="47" t="str">
        <f t="shared" si="8"/>
        <v/>
      </c>
      <c r="O82" s="50" t="str">
        <f t="shared" si="9"/>
        <v/>
      </c>
      <c r="P82" s="50" t="str">
        <f t="shared" si="10"/>
        <v/>
      </c>
      <c r="Q82" s="43" t="str">
        <f t="shared" si="11"/>
        <v/>
      </c>
    </row>
    <row r="83" spans="1:17" x14ac:dyDescent="0.25">
      <c r="A83" s="4"/>
      <c r="B83" s="35"/>
      <c r="C83" s="5"/>
      <c r="D83" s="6"/>
      <c r="E83" s="23" t="str">
        <f>IF(D83="","",IFERROR(VLOOKUP(D83,Stammdaten!$A$8:$L$57,2,FALSE),"Artikel-ID prüfen"))</f>
        <v/>
      </c>
      <c r="F83" s="38"/>
      <c r="G83" s="42" t="str">
        <f>IF(D83="","",IFERROR(VLOOKUP(D83,Stammdaten!$A$8:$L$57,5,FALSE),0))</f>
        <v/>
      </c>
      <c r="H83" s="43" t="str">
        <f>IF(D83="","",IFERROR(VLOOKUP(D83,Stammdaten!$A$8:$L$57,6,FALSE),0))</f>
        <v/>
      </c>
      <c r="I83" s="4"/>
      <c r="J83" s="6"/>
      <c r="K83" s="27" t="str">
        <f>IF(J83="","",IFERROR(VLOOKUP(J83,Stammdaten!$N$8:$V$37,3,FALSE),"Partner-ID prüfen"))</f>
        <v/>
      </c>
      <c r="L83" s="28" t="str">
        <f>IF(D83="","",IFERROR(VLOOKUP(D83,Stammdaten!$A$8:$L$57,10,FALSE),""))</f>
        <v/>
      </c>
      <c r="M83" s="20"/>
      <c r="N83" s="47" t="str">
        <f t="shared" si="8"/>
        <v/>
      </c>
      <c r="O83" s="50" t="str">
        <f t="shared" si="9"/>
        <v/>
      </c>
      <c r="P83" s="50" t="str">
        <f t="shared" si="10"/>
        <v/>
      </c>
      <c r="Q83" s="43" t="str">
        <f t="shared" si="11"/>
        <v/>
      </c>
    </row>
    <row r="84" spans="1:17" x14ac:dyDescent="0.25">
      <c r="A84" s="4"/>
      <c r="B84" s="35"/>
      <c r="C84" s="5"/>
      <c r="D84" s="6"/>
      <c r="E84" s="23" t="str">
        <f>IF(D84="","",IFERROR(VLOOKUP(D84,Stammdaten!$A$8:$L$57,2,FALSE),"Artikel-ID prüfen"))</f>
        <v/>
      </c>
      <c r="F84" s="38"/>
      <c r="G84" s="42" t="str">
        <f>IF(D84="","",IFERROR(VLOOKUP(D84,Stammdaten!$A$8:$L$57,5,FALSE),0))</f>
        <v/>
      </c>
      <c r="H84" s="43" t="str">
        <f>IF(D84="","",IFERROR(VLOOKUP(D84,Stammdaten!$A$8:$L$57,6,FALSE),0))</f>
        <v/>
      </c>
      <c r="I84" s="4"/>
      <c r="J84" s="6"/>
      <c r="K84" s="27" t="str">
        <f>IF(J84="","",IFERROR(VLOOKUP(J84,Stammdaten!$N$8:$V$37,3,FALSE),"Partner-ID prüfen"))</f>
        <v/>
      </c>
      <c r="L84" s="28" t="str">
        <f>IF(D84="","",IFERROR(VLOOKUP(D84,Stammdaten!$A$8:$L$57,10,FALSE),""))</f>
        <v/>
      </c>
      <c r="M84" s="20"/>
      <c r="N84" s="47" t="str">
        <f t="shared" si="8"/>
        <v/>
      </c>
      <c r="O84" s="50" t="str">
        <f t="shared" si="9"/>
        <v/>
      </c>
      <c r="P84" s="50" t="str">
        <f t="shared" si="10"/>
        <v/>
      </c>
      <c r="Q84" s="43" t="str">
        <f t="shared" si="11"/>
        <v/>
      </c>
    </row>
    <row r="85" spans="1:17" x14ac:dyDescent="0.25">
      <c r="A85" s="4"/>
      <c r="B85" s="35"/>
      <c r="C85" s="5"/>
      <c r="D85" s="6"/>
      <c r="E85" s="23" t="str">
        <f>IF(D85="","",IFERROR(VLOOKUP(D85,Stammdaten!$A$8:$L$57,2,FALSE),"Artikel-ID prüfen"))</f>
        <v/>
      </c>
      <c r="F85" s="38"/>
      <c r="G85" s="42" t="str">
        <f>IF(D85="","",IFERROR(VLOOKUP(D85,Stammdaten!$A$8:$L$57,5,FALSE),0))</f>
        <v/>
      </c>
      <c r="H85" s="43" t="str">
        <f>IF(D85="","",IFERROR(VLOOKUP(D85,Stammdaten!$A$8:$L$57,6,FALSE),0))</f>
        <v/>
      </c>
      <c r="I85" s="4"/>
      <c r="J85" s="6"/>
      <c r="K85" s="27" t="str">
        <f>IF(J85="","",IFERROR(VLOOKUP(J85,Stammdaten!$N$8:$V$37,3,FALSE),"Partner-ID prüfen"))</f>
        <v/>
      </c>
      <c r="L85" s="28" t="str">
        <f>IF(D85="","",IFERROR(VLOOKUP(D85,Stammdaten!$A$8:$L$57,10,FALSE),""))</f>
        <v/>
      </c>
      <c r="M85" s="20"/>
      <c r="N85" s="47" t="str">
        <f t="shared" si="8"/>
        <v/>
      </c>
      <c r="O85" s="50" t="str">
        <f t="shared" si="9"/>
        <v/>
      </c>
      <c r="P85" s="50" t="str">
        <f t="shared" si="10"/>
        <v/>
      </c>
      <c r="Q85" s="43" t="str">
        <f t="shared" si="11"/>
        <v/>
      </c>
    </row>
    <row r="86" spans="1:17" x14ac:dyDescent="0.25">
      <c r="A86" s="4"/>
      <c r="B86" s="35"/>
      <c r="C86" s="5"/>
      <c r="D86" s="6"/>
      <c r="E86" s="23" t="str">
        <f>IF(D86="","",IFERROR(VLOOKUP(D86,Stammdaten!$A$8:$L$57,2,FALSE),"Artikel-ID prüfen"))</f>
        <v/>
      </c>
      <c r="F86" s="38"/>
      <c r="G86" s="42" t="str">
        <f>IF(D86="","",IFERROR(VLOOKUP(D86,Stammdaten!$A$8:$L$57,5,FALSE),0))</f>
        <v/>
      </c>
      <c r="H86" s="43" t="str">
        <f>IF(D86="","",IFERROR(VLOOKUP(D86,Stammdaten!$A$8:$L$57,6,FALSE),0))</f>
        <v/>
      </c>
      <c r="I86" s="4"/>
      <c r="J86" s="6"/>
      <c r="K86" s="27" t="str">
        <f>IF(J86="","",IFERROR(VLOOKUP(J86,Stammdaten!$N$8:$V$37,3,FALSE),"Partner-ID prüfen"))</f>
        <v/>
      </c>
      <c r="L86" s="28" t="str">
        <f>IF(D86="","",IFERROR(VLOOKUP(D86,Stammdaten!$A$8:$L$57,10,FALSE),""))</f>
        <v/>
      </c>
      <c r="M86" s="20"/>
      <c r="N86" s="47" t="str">
        <f t="shared" si="8"/>
        <v/>
      </c>
      <c r="O86" s="50" t="str">
        <f t="shared" si="9"/>
        <v/>
      </c>
      <c r="P86" s="50" t="str">
        <f t="shared" si="10"/>
        <v/>
      </c>
      <c r="Q86" s="43" t="str">
        <f t="shared" si="11"/>
        <v/>
      </c>
    </row>
    <row r="87" spans="1:17" x14ac:dyDescent="0.25">
      <c r="A87" s="4"/>
      <c r="B87" s="35"/>
      <c r="C87" s="5"/>
      <c r="D87" s="6"/>
      <c r="E87" s="23" t="str">
        <f>IF(D87="","",IFERROR(VLOOKUP(D87,Stammdaten!$A$8:$L$57,2,FALSE),"Artikel-ID prüfen"))</f>
        <v/>
      </c>
      <c r="F87" s="38"/>
      <c r="G87" s="42" t="str">
        <f>IF(D87="","",IFERROR(VLOOKUP(D87,Stammdaten!$A$8:$L$57,5,FALSE),0))</f>
        <v/>
      </c>
      <c r="H87" s="43" t="str">
        <f>IF(D87="","",IFERROR(VLOOKUP(D87,Stammdaten!$A$8:$L$57,6,FALSE),0))</f>
        <v/>
      </c>
      <c r="I87" s="4"/>
      <c r="J87" s="6"/>
      <c r="K87" s="27" t="str">
        <f>IF(J87="","",IFERROR(VLOOKUP(J87,Stammdaten!$N$8:$V$37,3,FALSE),"Partner-ID prüfen"))</f>
        <v/>
      </c>
      <c r="L87" s="28" t="str">
        <f>IF(D87="","",IFERROR(VLOOKUP(D87,Stammdaten!$A$8:$L$57,10,FALSE),""))</f>
        <v/>
      </c>
      <c r="M87" s="20"/>
      <c r="N87" s="47" t="str">
        <f t="shared" si="8"/>
        <v/>
      </c>
      <c r="O87" s="50" t="str">
        <f t="shared" si="9"/>
        <v/>
      </c>
      <c r="P87" s="50" t="str">
        <f t="shared" si="10"/>
        <v/>
      </c>
      <c r="Q87" s="43" t="str">
        <f t="shared" si="11"/>
        <v/>
      </c>
    </row>
    <row r="88" spans="1:17" x14ac:dyDescent="0.25">
      <c r="A88" s="4"/>
      <c r="B88" s="35"/>
      <c r="C88" s="5"/>
      <c r="D88" s="6"/>
      <c r="E88" s="23" t="str">
        <f>IF(D88="","",IFERROR(VLOOKUP(D88,Stammdaten!$A$8:$L$57,2,FALSE),"Artikel-ID prüfen"))</f>
        <v/>
      </c>
      <c r="F88" s="38"/>
      <c r="G88" s="42" t="str">
        <f>IF(D88="","",IFERROR(VLOOKUP(D88,Stammdaten!$A$8:$L$57,5,FALSE),0))</f>
        <v/>
      </c>
      <c r="H88" s="43" t="str">
        <f>IF(D88="","",IFERROR(VLOOKUP(D88,Stammdaten!$A$8:$L$57,6,FALSE),0))</f>
        <v/>
      </c>
      <c r="I88" s="4"/>
      <c r="J88" s="6"/>
      <c r="K88" s="27" t="str">
        <f>IF(J88="","",IFERROR(VLOOKUP(J88,Stammdaten!$N$8:$V$37,3,FALSE),"Partner-ID prüfen"))</f>
        <v/>
      </c>
      <c r="L88" s="28" t="str">
        <f>IF(D88="","",IFERROR(VLOOKUP(D88,Stammdaten!$A$8:$L$57,10,FALSE),""))</f>
        <v/>
      </c>
      <c r="M88" s="20"/>
      <c r="N88" s="47" t="str">
        <f t="shared" si="8"/>
        <v/>
      </c>
      <c r="O88" s="50" t="str">
        <f t="shared" si="9"/>
        <v/>
      </c>
      <c r="P88" s="50" t="str">
        <f t="shared" si="10"/>
        <v/>
      </c>
      <c r="Q88" s="43" t="str">
        <f t="shared" si="11"/>
        <v/>
      </c>
    </row>
    <row r="89" spans="1:17" x14ac:dyDescent="0.25">
      <c r="A89" s="4"/>
      <c r="B89" s="35"/>
      <c r="C89" s="5"/>
      <c r="D89" s="6"/>
      <c r="E89" s="23" t="str">
        <f>IF(D89="","",IFERROR(VLOOKUP(D89,Stammdaten!$A$8:$L$57,2,FALSE),"Artikel-ID prüfen"))</f>
        <v/>
      </c>
      <c r="F89" s="38"/>
      <c r="G89" s="42" t="str">
        <f>IF(D89="","",IFERROR(VLOOKUP(D89,Stammdaten!$A$8:$L$57,5,FALSE),0))</f>
        <v/>
      </c>
      <c r="H89" s="43" t="str">
        <f>IF(D89="","",IFERROR(VLOOKUP(D89,Stammdaten!$A$8:$L$57,6,FALSE),0))</f>
        <v/>
      </c>
      <c r="I89" s="4"/>
      <c r="J89" s="6"/>
      <c r="K89" s="27" t="str">
        <f>IF(J89="","",IFERROR(VLOOKUP(J89,Stammdaten!$N$8:$V$37,3,FALSE),"Partner-ID prüfen"))</f>
        <v/>
      </c>
      <c r="L89" s="28" t="str">
        <f>IF(D89="","",IFERROR(VLOOKUP(D89,Stammdaten!$A$8:$L$57,10,FALSE),""))</f>
        <v/>
      </c>
      <c r="M89" s="20"/>
      <c r="N89" s="47" t="str">
        <f t="shared" si="8"/>
        <v/>
      </c>
      <c r="O89" s="50" t="str">
        <f t="shared" si="9"/>
        <v/>
      </c>
      <c r="P89" s="50" t="str">
        <f t="shared" si="10"/>
        <v/>
      </c>
      <c r="Q89" s="43" t="str">
        <f t="shared" si="11"/>
        <v/>
      </c>
    </row>
    <row r="90" spans="1:17" x14ac:dyDescent="0.25">
      <c r="A90" s="4"/>
      <c r="B90" s="35"/>
      <c r="C90" s="5"/>
      <c r="D90" s="6"/>
      <c r="E90" s="23" t="str">
        <f>IF(D90="","",IFERROR(VLOOKUP(D90,Stammdaten!$A$8:$L$57,2,FALSE),"Artikel-ID prüfen"))</f>
        <v/>
      </c>
      <c r="F90" s="38"/>
      <c r="G90" s="42" t="str">
        <f>IF(D90="","",IFERROR(VLOOKUP(D90,Stammdaten!$A$8:$L$57,5,FALSE),0))</f>
        <v/>
      </c>
      <c r="H90" s="43" t="str">
        <f>IF(D90="","",IFERROR(VLOOKUP(D90,Stammdaten!$A$8:$L$57,6,FALSE),0))</f>
        <v/>
      </c>
      <c r="I90" s="4"/>
      <c r="J90" s="6"/>
      <c r="K90" s="27" t="str">
        <f>IF(J90="","",IFERROR(VLOOKUP(J90,Stammdaten!$N$8:$V$37,3,FALSE),"Partner-ID prüfen"))</f>
        <v/>
      </c>
      <c r="L90" s="28" t="str">
        <f>IF(D90="","",IFERROR(VLOOKUP(D90,Stammdaten!$A$8:$L$57,10,FALSE),""))</f>
        <v/>
      </c>
      <c r="M90" s="20"/>
      <c r="N90" s="47" t="str">
        <f t="shared" si="8"/>
        <v/>
      </c>
      <c r="O90" s="50" t="str">
        <f t="shared" si="9"/>
        <v/>
      </c>
      <c r="P90" s="50" t="str">
        <f t="shared" si="10"/>
        <v/>
      </c>
      <c r="Q90" s="43" t="str">
        <f t="shared" si="11"/>
        <v/>
      </c>
    </row>
    <row r="91" spans="1:17" x14ac:dyDescent="0.25">
      <c r="A91" s="4"/>
      <c r="B91" s="35"/>
      <c r="C91" s="5"/>
      <c r="D91" s="6"/>
      <c r="E91" s="23" t="str">
        <f>IF(D91="","",IFERROR(VLOOKUP(D91,Stammdaten!$A$8:$L$57,2,FALSE),"Artikel-ID prüfen"))</f>
        <v/>
      </c>
      <c r="F91" s="38"/>
      <c r="G91" s="42" t="str">
        <f>IF(D91="","",IFERROR(VLOOKUP(D91,Stammdaten!$A$8:$L$57,5,FALSE),0))</f>
        <v/>
      </c>
      <c r="H91" s="43" t="str">
        <f>IF(D91="","",IFERROR(VLOOKUP(D91,Stammdaten!$A$8:$L$57,6,FALSE),0))</f>
        <v/>
      </c>
      <c r="I91" s="4"/>
      <c r="J91" s="6"/>
      <c r="K91" s="27" t="str">
        <f>IF(J91="","",IFERROR(VLOOKUP(J91,Stammdaten!$N$8:$V$37,3,FALSE),"Partner-ID prüfen"))</f>
        <v/>
      </c>
      <c r="L91" s="28" t="str">
        <f>IF(D91="","",IFERROR(VLOOKUP(D91,Stammdaten!$A$8:$L$57,10,FALSE),""))</f>
        <v/>
      </c>
      <c r="M91" s="20"/>
      <c r="N91" s="47" t="str">
        <f t="shared" si="8"/>
        <v/>
      </c>
      <c r="O91" s="50" t="str">
        <f t="shared" si="9"/>
        <v/>
      </c>
      <c r="P91" s="50" t="str">
        <f t="shared" si="10"/>
        <v/>
      </c>
      <c r="Q91" s="43" t="str">
        <f t="shared" si="11"/>
        <v/>
      </c>
    </row>
    <row r="92" spans="1:17" x14ac:dyDescent="0.25">
      <c r="A92" s="4"/>
      <c r="B92" s="35"/>
      <c r="C92" s="5"/>
      <c r="D92" s="6"/>
      <c r="E92" s="23" t="str">
        <f>IF(D92="","",IFERROR(VLOOKUP(D92,Stammdaten!$A$8:$L$57,2,FALSE),"Artikel-ID prüfen"))</f>
        <v/>
      </c>
      <c r="F92" s="38"/>
      <c r="G92" s="42" t="str">
        <f>IF(D92="","",IFERROR(VLOOKUP(D92,Stammdaten!$A$8:$L$57,5,FALSE),0))</f>
        <v/>
      </c>
      <c r="H92" s="43" t="str">
        <f>IF(D92="","",IFERROR(VLOOKUP(D92,Stammdaten!$A$8:$L$57,6,FALSE),0))</f>
        <v/>
      </c>
      <c r="I92" s="4"/>
      <c r="J92" s="6"/>
      <c r="K92" s="27" t="str">
        <f>IF(J92="","",IFERROR(VLOOKUP(J92,Stammdaten!$N$8:$V$37,3,FALSE),"Partner-ID prüfen"))</f>
        <v/>
      </c>
      <c r="L92" s="28" t="str">
        <f>IF(D92="","",IFERROR(VLOOKUP(D92,Stammdaten!$A$8:$L$57,10,FALSE),""))</f>
        <v/>
      </c>
      <c r="M92" s="20"/>
      <c r="N92" s="47" t="str">
        <f t="shared" si="8"/>
        <v/>
      </c>
      <c r="O92" s="50" t="str">
        <f t="shared" si="9"/>
        <v/>
      </c>
      <c r="P92" s="50" t="str">
        <f t="shared" si="10"/>
        <v/>
      </c>
      <c r="Q92" s="43" t="str">
        <f t="shared" si="11"/>
        <v/>
      </c>
    </row>
    <row r="93" spans="1:17" x14ac:dyDescent="0.25">
      <c r="A93" s="4"/>
      <c r="B93" s="35"/>
      <c r="C93" s="5"/>
      <c r="D93" s="6"/>
      <c r="E93" s="23" t="str">
        <f>IF(D93="","",IFERROR(VLOOKUP(D93,Stammdaten!$A$8:$L$57,2,FALSE),"Artikel-ID prüfen"))</f>
        <v/>
      </c>
      <c r="F93" s="38"/>
      <c r="G93" s="42" t="str">
        <f>IF(D93="","",IFERROR(VLOOKUP(D93,Stammdaten!$A$8:$L$57,5,FALSE),0))</f>
        <v/>
      </c>
      <c r="H93" s="43" t="str">
        <f>IF(D93="","",IFERROR(VLOOKUP(D93,Stammdaten!$A$8:$L$57,6,FALSE),0))</f>
        <v/>
      </c>
      <c r="I93" s="4"/>
      <c r="J93" s="6"/>
      <c r="K93" s="27" t="str">
        <f>IF(J93="","",IFERROR(VLOOKUP(J93,Stammdaten!$N$8:$V$37,3,FALSE),"Partner-ID prüfen"))</f>
        <v/>
      </c>
      <c r="L93" s="28" t="str">
        <f>IF(D93="","",IFERROR(VLOOKUP(D93,Stammdaten!$A$8:$L$57,10,FALSE),""))</f>
        <v/>
      </c>
      <c r="M93" s="20"/>
      <c r="N93" s="47" t="str">
        <f t="shared" si="8"/>
        <v/>
      </c>
      <c r="O93" s="50" t="str">
        <f t="shared" si="9"/>
        <v/>
      </c>
      <c r="P93" s="50" t="str">
        <f t="shared" si="10"/>
        <v/>
      </c>
      <c r="Q93" s="43" t="str">
        <f t="shared" si="11"/>
        <v/>
      </c>
    </row>
    <row r="94" spans="1:17" x14ac:dyDescent="0.25">
      <c r="A94" s="4"/>
      <c r="B94" s="35"/>
      <c r="C94" s="5"/>
      <c r="D94" s="6"/>
      <c r="E94" s="23" t="str">
        <f>IF(D94="","",IFERROR(VLOOKUP(D94,Stammdaten!$A$8:$L$57,2,FALSE),"Artikel-ID prüfen"))</f>
        <v/>
      </c>
      <c r="F94" s="38"/>
      <c r="G94" s="42" t="str">
        <f>IF(D94="","",IFERROR(VLOOKUP(D94,Stammdaten!$A$8:$L$57,5,FALSE),0))</f>
        <v/>
      </c>
      <c r="H94" s="43" t="str">
        <f>IF(D94="","",IFERROR(VLOOKUP(D94,Stammdaten!$A$8:$L$57,6,FALSE),0))</f>
        <v/>
      </c>
      <c r="I94" s="4"/>
      <c r="J94" s="6"/>
      <c r="K94" s="27" t="str">
        <f>IF(J94="","",IFERROR(VLOOKUP(J94,Stammdaten!$N$8:$V$37,3,FALSE),"Partner-ID prüfen"))</f>
        <v/>
      </c>
      <c r="L94" s="28" t="str">
        <f>IF(D94="","",IFERROR(VLOOKUP(D94,Stammdaten!$A$8:$L$57,10,FALSE),""))</f>
        <v/>
      </c>
      <c r="M94" s="20"/>
      <c r="N94" s="47" t="str">
        <f t="shared" si="8"/>
        <v/>
      </c>
      <c r="O94" s="50" t="str">
        <f t="shared" si="9"/>
        <v/>
      </c>
      <c r="P94" s="50" t="str">
        <f t="shared" si="10"/>
        <v/>
      </c>
      <c r="Q94" s="43" t="str">
        <f t="shared" si="11"/>
        <v/>
      </c>
    </row>
    <row r="95" spans="1:17" x14ac:dyDescent="0.25">
      <c r="A95" s="4"/>
      <c r="B95" s="35"/>
      <c r="C95" s="5"/>
      <c r="D95" s="6"/>
      <c r="E95" s="23" t="str">
        <f>IF(D95="","",IFERROR(VLOOKUP(D95,Stammdaten!$A$8:$L$57,2,FALSE),"Artikel-ID prüfen"))</f>
        <v/>
      </c>
      <c r="F95" s="38"/>
      <c r="G95" s="42" t="str">
        <f>IF(D95="","",IFERROR(VLOOKUP(D95,Stammdaten!$A$8:$L$57,5,FALSE),0))</f>
        <v/>
      </c>
      <c r="H95" s="43" t="str">
        <f>IF(D95="","",IFERROR(VLOOKUP(D95,Stammdaten!$A$8:$L$57,6,FALSE),0))</f>
        <v/>
      </c>
      <c r="I95" s="4"/>
      <c r="J95" s="6"/>
      <c r="K95" s="27" t="str">
        <f>IF(J95="","",IFERROR(VLOOKUP(J95,Stammdaten!$N$8:$V$37,3,FALSE),"Partner-ID prüfen"))</f>
        <v/>
      </c>
      <c r="L95" s="28" t="str">
        <f>IF(D95="","",IFERROR(VLOOKUP(D95,Stammdaten!$A$8:$L$57,10,FALSE),""))</f>
        <v/>
      </c>
      <c r="M95" s="20"/>
      <c r="N95" s="47" t="str">
        <f t="shared" si="8"/>
        <v/>
      </c>
      <c r="O95" s="50" t="str">
        <f t="shared" si="9"/>
        <v/>
      </c>
      <c r="P95" s="50" t="str">
        <f t="shared" si="10"/>
        <v/>
      </c>
      <c r="Q95" s="43" t="str">
        <f t="shared" si="11"/>
        <v/>
      </c>
    </row>
    <row r="96" spans="1:17" x14ac:dyDescent="0.25">
      <c r="A96" s="4"/>
      <c r="B96" s="35"/>
      <c r="C96" s="5"/>
      <c r="D96" s="6"/>
      <c r="E96" s="23" t="str">
        <f>IF(D96="","",IFERROR(VLOOKUP(D96,Stammdaten!$A$8:$L$57,2,FALSE),"Artikel-ID prüfen"))</f>
        <v/>
      </c>
      <c r="F96" s="38"/>
      <c r="G96" s="42" t="str">
        <f>IF(D96="","",IFERROR(VLOOKUP(D96,Stammdaten!$A$8:$L$57,5,FALSE),0))</f>
        <v/>
      </c>
      <c r="H96" s="43" t="str">
        <f>IF(D96="","",IFERROR(VLOOKUP(D96,Stammdaten!$A$8:$L$57,6,FALSE),0))</f>
        <v/>
      </c>
      <c r="I96" s="4"/>
      <c r="J96" s="6"/>
      <c r="K96" s="27" t="str">
        <f>IF(J96="","",IFERROR(VLOOKUP(J96,Stammdaten!$N$8:$V$37,3,FALSE),"Partner-ID prüfen"))</f>
        <v/>
      </c>
      <c r="L96" s="28" t="str">
        <f>IF(D96="","",IFERROR(VLOOKUP(D96,Stammdaten!$A$8:$L$57,10,FALSE),""))</f>
        <v/>
      </c>
      <c r="M96" s="20"/>
      <c r="N96" s="47" t="str">
        <f t="shared" si="8"/>
        <v/>
      </c>
      <c r="O96" s="50" t="str">
        <f t="shared" si="9"/>
        <v/>
      </c>
      <c r="P96" s="50" t="str">
        <f t="shared" si="10"/>
        <v/>
      </c>
      <c r="Q96" s="43" t="str">
        <f t="shared" si="11"/>
        <v/>
      </c>
    </row>
    <row r="97" spans="1:17" x14ac:dyDescent="0.25">
      <c r="A97" s="4"/>
      <c r="B97" s="35"/>
      <c r="C97" s="5"/>
      <c r="D97" s="6"/>
      <c r="E97" s="23" t="str">
        <f>IF(D97="","",IFERROR(VLOOKUP(D97,Stammdaten!$A$8:$L$57,2,FALSE),"Artikel-ID prüfen"))</f>
        <v/>
      </c>
      <c r="F97" s="38"/>
      <c r="G97" s="42" t="str">
        <f>IF(D97="","",IFERROR(VLOOKUP(D97,Stammdaten!$A$8:$L$57,5,FALSE),0))</f>
        <v/>
      </c>
      <c r="H97" s="43" t="str">
        <f>IF(D97="","",IFERROR(VLOOKUP(D97,Stammdaten!$A$8:$L$57,6,FALSE),0))</f>
        <v/>
      </c>
      <c r="I97" s="4"/>
      <c r="J97" s="6"/>
      <c r="K97" s="27" t="str">
        <f>IF(J97="","",IFERROR(VLOOKUP(J97,Stammdaten!$N$8:$V$37,3,FALSE),"Partner-ID prüfen"))</f>
        <v/>
      </c>
      <c r="L97" s="28" t="str">
        <f>IF(D97="","",IFERROR(VLOOKUP(D97,Stammdaten!$A$8:$L$57,10,FALSE),""))</f>
        <v/>
      </c>
      <c r="M97" s="20"/>
      <c r="N97" s="47" t="str">
        <f t="shared" si="8"/>
        <v/>
      </c>
      <c r="O97" s="50" t="str">
        <f t="shared" si="9"/>
        <v/>
      </c>
      <c r="P97" s="50" t="str">
        <f t="shared" si="10"/>
        <v/>
      </c>
      <c r="Q97" s="43" t="str">
        <f t="shared" si="11"/>
        <v/>
      </c>
    </row>
    <row r="98" spans="1:17" x14ac:dyDescent="0.25">
      <c r="A98" s="4"/>
      <c r="B98" s="35"/>
      <c r="C98" s="5"/>
      <c r="D98" s="6"/>
      <c r="E98" s="23" t="str">
        <f>IF(D98="","",IFERROR(VLOOKUP(D98,Stammdaten!$A$8:$L$57,2,FALSE),"Artikel-ID prüfen"))</f>
        <v/>
      </c>
      <c r="F98" s="38"/>
      <c r="G98" s="42" t="str">
        <f>IF(D98="","",IFERROR(VLOOKUP(D98,Stammdaten!$A$8:$L$57,5,FALSE),0))</f>
        <v/>
      </c>
      <c r="H98" s="43" t="str">
        <f>IF(D98="","",IFERROR(VLOOKUP(D98,Stammdaten!$A$8:$L$57,6,FALSE),0))</f>
        <v/>
      </c>
      <c r="I98" s="4"/>
      <c r="J98" s="6"/>
      <c r="K98" s="27" t="str">
        <f>IF(J98="","",IFERROR(VLOOKUP(J98,Stammdaten!$N$8:$V$37,3,FALSE),"Partner-ID prüfen"))</f>
        <v/>
      </c>
      <c r="L98" s="28" t="str">
        <f>IF(D98="","",IFERROR(VLOOKUP(D98,Stammdaten!$A$8:$L$57,10,FALSE),""))</f>
        <v/>
      </c>
      <c r="M98" s="20"/>
      <c r="N98" s="47" t="str">
        <f t="shared" si="8"/>
        <v/>
      </c>
      <c r="O98" s="50" t="str">
        <f t="shared" si="9"/>
        <v/>
      </c>
      <c r="P98" s="50" t="str">
        <f t="shared" si="10"/>
        <v/>
      </c>
      <c r="Q98" s="43" t="str">
        <f t="shared" si="11"/>
        <v/>
      </c>
    </row>
    <row r="99" spans="1:17" x14ac:dyDescent="0.25">
      <c r="A99" s="4"/>
      <c r="B99" s="35"/>
      <c r="C99" s="5"/>
      <c r="D99" s="6"/>
      <c r="E99" s="23" t="str">
        <f>IF(D99="","",IFERROR(VLOOKUP(D99,Stammdaten!$A$8:$L$57,2,FALSE),"Artikel-ID prüfen"))</f>
        <v/>
      </c>
      <c r="F99" s="38"/>
      <c r="G99" s="42" t="str">
        <f>IF(D99="","",IFERROR(VLOOKUP(D99,Stammdaten!$A$8:$L$57,5,FALSE),0))</f>
        <v/>
      </c>
      <c r="H99" s="43" t="str">
        <f>IF(D99="","",IFERROR(VLOOKUP(D99,Stammdaten!$A$8:$L$57,6,FALSE),0))</f>
        <v/>
      </c>
      <c r="I99" s="4"/>
      <c r="J99" s="6"/>
      <c r="K99" s="27" t="str">
        <f>IF(J99="","",IFERROR(VLOOKUP(J99,Stammdaten!$N$8:$V$37,3,FALSE),"Partner-ID prüfen"))</f>
        <v/>
      </c>
      <c r="L99" s="28" t="str">
        <f>IF(D99="","",IFERROR(VLOOKUP(D99,Stammdaten!$A$8:$L$57,10,FALSE),""))</f>
        <v/>
      </c>
      <c r="M99" s="20"/>
      <c r="N99" s="47" t="str">
        <f t="shared" si="8"/>
        <v/>
      </c>
      <c r="O99" s="50" t="str">
        <f t="shared" si="9"/>
        <v/>
      </c>
      <c r="P99" s="50" t="str">
        <f t="shared" si="10"/>
        <v/>
      </c>
      <c r="Q99" s="43" t="str">
        <f t="shared" si="11"/>
        <v/>
      </c>
    </row>
    <row r="100" spans="1:17" x14ac:dyDescent="0.25">
      <c r="A100" s="4"/>
      <c r="B100" s="35"/>
      <c r="C100" s="5"/>
      <c r="D100" s="6"/>
      <c r="E100" s="23" t="str">
        <f>IF(D100="","",IFERROR(VLOOKUP(D100,Stammdaten!$A$8:$L$57,2,FALSE),"Artikel-ID prüfen"))</f>
        <v/>
      </c>
      <c r="F100" s="38"/>
      <c r="G100" s="42" t="str">
        <f>IF(D100="","",IFERROR(VLOOKUP(D100,Stammdaten!$A$8:$L$57,5,FALSE),0))</f>
        <v/>
      </c>
      <c r="H100" s="43" t="str">
        <f>IF(D100="","",IFERROR(VLOOKUP(D100,Stammdaten!$A$8:$L$57,6,FALSE),0))</f>
        <v/>
      </c>
      <c r="I100" s="4"/>
      <c r="J100" s="6"/>
      <c r="K100" s="27" t="str">
        <f>IF(J100="","",IFERROR(VLOOKUP(J100,Stammdaten!$N$8:$V$37,3,FALSE),"Partner-ID prüfen"))</f>
        <v/>
      </c>
      <c r="L100" s="28" t="str">
        <f>IF(D100="","",IFERROR(VLOOKUP(D100,Stammdaten!$A$8:$L$57,10,FALSE),""))</f>
        <v/>
      </c>
      <c r="M100" s="20"/>
      <c r="N100" s="47" t="str">
        <f t="shared" si="8"/>
        <v/>
      </c>
      <c r="O100" s="50" t="str">
        <f t="shared" si="9"/>
        <v/>
      </c>
      <c r="P100" s="50" t="str">
        <f t="shared" si="10"/>
        <v/>
      </c>
      <c r="Q100" s="43" t="str">
        <f t="shared" si="11"/>
        <v/>
      </c>
    </row>
    <row r="101" spans="1:17" x14ac:dyDescent="0.25">
      <c r="A101" s="4"/>
      <c r="B101" s="35"/>
      <c r="C101" s="5"/>
      <c r="D101" s="6"/>
      <c r="E101" s="23" t="str">
        <f>IF(D101="","",IFERROR(VLOOKUP(D101,Stammdaten!$A$8:$L$57,2,FALSE),"Artikel-ID prüfen"))</f>
        <v/>
      </c>
      <c r="F101" s="38"/>
      <c r="G101" s="42" t="str">
        <f>IF(D101="","",IFERROR(VLOOKUP(D101,Stammdaten!$A$8:$L$57,5,FALSE),0))</f>
        <v/>
      </c>
      <c r="H101" s="43" t="str">
        <f>IF(D101="","",IFERROR(VLOOKUP(D101,Stammdaten!$A$8:$L$57,6,FALSE),0))</f>
        <v/>
      </c>
      <c r="I101" s="4"/>
      <c r="J101" s="6"/>
      <c r="K101" s="27" t="str">
        <f>IF(J101="","",IFERROR(VLOOKUP(J101,Stammdaten!$N$8:$V$37,3,FALSE),"Partner-ID prüfen"))</f>
        <v/>
      </c>
      <c r="L101" s="28" t="str">
        <f>IF(D101="","",IFERROR(VLOOKUP(D101,Stammdaten!$A$8:$L$57,10,FALSE),""))</f>
        <v/>
      </c>
      <c r="M101" s="20"/>
      <c r="N101" s="47" t="str">
        <f t="shared" si="8"/>
        <v/>
      </c>
      <c r="O101" s="50" t="str">
        <f t="shared" si="9"/>
        <v/>
      </c>
      <c r="P101" s="50" t="str">
        <f t="shared" si="10"/>
        <v/>
      </c>
      <c r="Q101" s="43" t="str">
        <f t="shared" si="11"/>
        <v/>
      </c>
    </row>
    <row r="102" spans="1:17" x14ac:dyDescent="0.25">
      <c r="A102" s="4"/>
      <c r="B102" s="35"/>
      <c r="C102" s="5"/>
      <c r="D102" s="6"/>
      <c r="E102" s="23" t="str">
        <f>IF(D102="","",IFERROR(VLOOKUP(D102,Stammdaten!$A$8:$L$57,2,FALSE),"Artikel-ID prüfen"))</f>
        <v/>
      </c>
      <c r="F102" s="38"/>
      <c r="G102" s="42" t="str">
        <f>IF(D102="","",IFERROR(VLOOKUP(D102,Stammdaten!$A$8:$L$57,5,FALSE),0))</f>
        <v/>
      </c>
      <c r="H102" s="43" t="str">
        <f>IF(D102="","",IFERROR(VLOOKUP(D102,Stammdaten!$A$8:$L$57,6,FALSE),0))</f>
        <v/>
      </c>
      <c r="I102" s="4"/>
      <c r="J102" s="6"/>
      <c r="K102" s="27" t="str">
        <f>IF(J102="","",IFERROR(VLOOKUP(J102,Stammdaten!$N$8:$V$37,3,FALSE),"Partner-ID prüfen"))</f>
        <v/>
      </c>
      <c r="L102" s="28" t="str">
        <f>IF(D102="","",IFERROR(VLOOKUP(D102,Stammdaten!$A$8:$L$57,10,FALSE),""))</f>
        <v/>
      </c>
      <c r="M102" s="20"/>
      <c r="N102" s="47" t="str">
        <f t="shared" si="8"/>
        <v/>
      </c>
      <c r="O102" s="50" t="str">
        <f t="shared" si="9"/>
        <v/>
      </c>
      <c r="P102" s="50" t="str">
        <f t="shared" si="10"/>
        <v/>
      </c>
      <c r="Q102" s="43" t="str">
        <f t="shared" si="11"/>
        <v/>
      </c>
    </row>
    <row r="103" spans="1:17" x14ac:dyDescent="0.25">
      <c r="A103" s="4"/>
      <c r="B103" s="35"/>
      <c r="C103" s="5"/>
      <c r="D103" s="6"/>
      <c r="E103" s="23" t="str">
        <f>IF(D103="","",IFERROR(VLOOKUP(D103,Stammdaten!$A$8:$L$57,2,FALSE),"Artikel-ID prüfen"))</f>
        <v/>
      </c>
      <c r="F103" s="38"/>
      <c r="G103" s="42" t="str">
        <f>IF(D103="","",IFERROR(VLOOKUP(D103,Stammdaten!$A$8:$L$57,5,FALSE),0))</f>
        <v/>
      </c>
      <c r="H103" s="43" t="str">
        <f>IF(D103="","",IFERROR(VLOOKUP(D103,Stammdaten!$A$8:$L$57,6,FALSE),0))</f>
        <v/>
      </c>
      <c r="I103" s="4"/>
      <c r="J103" s="6"/>
      <c r="K103" s="27" t="str">
        <f>IF(J103="","",IFERROR(VLOOKUP(J103,Stammdaten!$N$8:$V$37,3,FALSE),"Partner-ID prüfen"))</f>
        <v/>
      </c>
      <c r="L103" s="28" t="str">
        <f>IF(D103="","",IFERROR(VLOOKUP(D103,Stammdaten!$A$8:$L$57,10,FALSE),""))</f>
        <v/>
      </c>
      <c r="M103" s="20"/>
      <c r="N103" s="47" t="str">
        <f t="shared" si="8"/>
        <v/>
      </c>
      <c r="O103" s="50" t="str">
        <f t="shared" si="9"/>
        <v/>
      </c>
      <c r="P103" s="50" t="str">
        <f t="shared" si="10"/>
        <v/>
      </c>
      <c r="Q103" s="43" t="str">
        <f t="shared" si="11"/>
        <v/>
      </c>
    </row>
    <row r="104" spans="1:17" x14ac:dyDescent="0.25">
      <c r="A104" s="4"/>
      <c r="B104" s="35"/>
      <c r="C104" s="5"/>
      <c r="D104" s="6"/>
      <c r="E104" s="23" t="str">
        <f>IF(D104="","",IFERROR(VLOOKUP(D104,Stammdaten!$A$8:$L$57,2,FALSE),"Artikel-ID prüfen"))</f>
        <v/>
      </c>
      <c r="F104" s="38"/>
      <c r="G104" s="42" t="str">
        <f>IF(D104="","",IFERROR(VLOOKUP(D104,Stammdaten!$A$8:$L$57,5,FALSE),0))</f>
        <v/>
      </c>
      <c r="H104" s="43" t="str">
        <f>IF(D104="","",IFERROR(VLOOKUP(D104,Stammdaten!$A$8:$L$57,6,FALSE),0))</f>
        <v/>
      </c>
      <c r="I104" s="4"/>
      <c r="J104" s="6"/>
      <c r="K104" s="27" t="str">
        <f>IF(J104="","",IFERROR(VLOOKUP(J104,Stammdaten!$N$8:$V$37,3,FALSE),"Partner-ID prüfen"))</f>
        <v/>
      </c>
      <c r="L104" s="28" t="str">
        <f>IF(D104="","",IFERROR(VLOOKUP(D104,Stammdaten!$A$8:$L$57,10,FALSE),""))</f>
        <v/>
      </c>
      <c r="M104" s="20"/>
      <c r="N104" s="47" t="str">
        <f t="shared" ref="N104:N135" si="12">IF(OR(C104="",F104=""),"",IF(OR(C104="Wareneingang",C104="Korrektur +"),F104,-F104))</f>
        <v/>
      </c>
      <c r="O104" s="50" t="str">
        <f t="shared" ref="O104:O135" si="13">IF(N104="","",N104*G104)</f>
        <v/>
      </c>
      <c r="P104" s="50" t="str">
        <f t="shared" ref="P104:P135" si="14">IF(C104="","",IF(C104="Warenausgang",F104*H104,0))</f>
        <v/>
      </c>
      <c r="Q104" s="43" t="str">
        <f t="shared" ref="Q104:Q135" si="15">IF(C104="","",IF(C104="Warenausgang",F104*G104,0))</f>
        <v/>
      </c>
    </row>
    <row r="105" spans="1:17" x14ac:dyDescent="0.25">
      <c r="A105" s="4"/>
      <c r="B105" s="35"/>
      <c r="C105" s="5"/>
      <c r="D105" s="6"/>
      <c r="E105" s="23" t="str">
        <f>IF(D105="","",IFERROR(VLOOKUP(D105,Stammdaten!$A$8:$L$57,2,FALSE),"Artikel-ID prüfen"))</f>
        <v/>
      </c>
      <c r="F105" s="38"/>
      <c r="G105" s="42" t="str">
        <f>IF(D105="","",IFERROR(VLOOKUP(D105,Stammdaten!$A$8:$L$57,5,FALSE),0))</f>
        <v/>
      </c>
      <c r="H105" s="43" t="str">
        <f>IF(D105="","",IFERROR(VLOOKUP(D105,Stammdaten!$A$8:$L$57,6,FALSE),0))</f>
        <v/>
      </c>
      <c r="I105" s="4"/>
      <c r="J105" s="6"/>
      <c r="K105" s="27" t="str">
        <f>IF(J105="","",IFERROR(VLOOKUP(J105,Stammdaten!$N$8:$V$37,3,FALSE),"Partner-ID prüfen"))</f>
        <v/>
      </c>
      <c r="L105" s="28" t="str">
        <f>IF(D105="","",IFERROR(VLOOKUP(D105,Stammdaten!$A$8:$L$57,10,FALSE),""))</f>
        <v/>
      </c>
      <c r="M105" s="20"/>
      <c r="N105" s="47" t="str">
        <f t="shared" si="12"/>
        <v/>
      </c>
      <c r="O105" s="50" t="str">
        <f t="shared" si="13"/>
        <v/>
      </c>
      <c r="P105" s="50" t="str">
        <f t="shared" si="14"/>
        <v/>
      </c>
      <c r="Q105" s="43" t="str">
        <f t="shared" si="15"/>
        <v/>
      </c>
    </row>
    <row r="106" spans="1:17" x14ac:dyDescent="0.25">
      <c r="A106" s="4"/>
      <c r="B106" s="35"/>
      <c r="C106" s="5"/>
      <c r="D106" s="6"/>
      <c r="E106" s="23" t="str">
        <f>IF(D106="","",IFERROR(VLOOKUP(D106,Stammdaten!$A$8:$L$57,2,FALSE),"Artikel-ID prüfen"))</f>
        <v/>
      </c>
      <c r="F106" s="38"/>
      <c r="G106" s="42" t="str">
        <f>IF(D106="","",IFERROR(VLOOKUP(D106,Stammdaten!$A$8:$L$57,5,FALSE),0))</f>
        <v/>
      </c>
      <c r="H106" s="43" t="str">
        <f>IF(D106="","",IFERROR(VLOOKUP(D106,Stammdaten!$A$8:$L$57,6,FALSE),0))</f>
        <v/>
      </c>
      <c r="I106" s="4"/>
      <c r="J106" s="6"/>
      <c r="K106" s="27" t="str">
        <f>IF(J106="","",IFERROR(VLOOKUP(J106,Stammdaten!$N$8:$V$37,3,FALSE),"Partner-ID prüfen"))</f>
        <v/>
      </c>
      <c r="L106" s="28" t="str">
        <f>IF(D106="","",IFERROR(VLOOKUP(D106,Stammdaten!$A$8:$L$57,10,FALSE),""))</f>
        <v/>
      </c>
      <c r="M106" s="20"/>
      <c r="N106" s="47" t="str">
        <f t="shared" si="12"/>
        <v/>
      </c>
      <c r="O106" s="50" t="str">
        <f t="shared" si="13"/>
        <v/>
      </c>
      <c r="P106" s="50" t="str">
        <f t="shared" si="14"/>
        <v/>
      </c>
      <c r="Q106" s="43" t="str">
        <f t="shared" si="15"/>
        <v/>
      </c>
    </row>
    <row r="107" spans="1:17" x14ac:dyDescent="0.25">
      <c r="A107" s="4"/>
      <c r="B107" s="35"/>
      <c r="C107" s="5"/>
      <c r="D107" s="6"/>
      <c r="E107" s="23" t="str">
        <f>IF(D107="","",IFERROR(VLOOKUP(D107,Stammdaten!$A$8:$L$57,2,FALSE),"Artikel-ID prüfen"))</f>
        <v/>
      </c>
      <c r="F107" s="38"/>
      <c r="G107" s="42" t="str">
        <f>IF(D107="","",IFERROR(VLOOKUP(D107,Stammdaten!$A$8:$L$57,5,FALSE),0))</f>
        <v/>
      </c>
      <c r="H107" s="43" t="str">
        <f>IF(D107="","",IFERROR(VLOOKUP(D107,Stammdaten!$A$8:$L$57,6,FALSE),0))</f>
        <v/>
      </c>
      <c r="I107" s="4"/>
      <c r="J107" s="6"/>
      <c r="K107" s="27" t="str">
        <f>IF(J107="","",IFERROR(VLOOKUP(J107,Stammdaten!$N$8:$V$37,3,FALSE),"Partner-ID prüfen"))</f>
        <v/>
      </c>
      <c r="L107" s="28" t="str">
        <f>IF(D107="","",IFERROR(VLOOKUP(D107,Stammdaten!$A$8:$L$57,10,FALSE),""))</f>
        <v/>
      </c>
      <c r="M107" s="20"/>
      <c r="N107" s="47" t="str">
        <f t="shared" si="12"/>
        <v/>
      </c>
      <c r="O107" s="50" t="str">
        <f t="shared" si="13"/>
        <v/>
      </c>
      <c r="P107" s="50" t="str">
        <f t="shared" si="14"/>
        <v/>
      </c>
      <c r="Q107" s="43" t="str">
        <f t="shared" si="15"/>
        <v/>
      </c>
    </row>
    <row r="108" spans="1:17" x14ac:dyDescent="0.25">
      <c r="A108" s="4"/>
      <c r="B108" s="35"/>
      <c r="C108" s="5"/>
      <c r="D108" s="6"/>
      <c r="E108" s="23" t="str">
        <f>IF(D108="","",IFERROR(VLOOKUP(D108,Stammdaten!$A$8:$L$57,2,FALSE),"Artikel-ID prüfen"))</f>
        <v/>
      </c>
      <c r="F108" s="38"/>
      <c r="G108" s="42" t="str">
        <f>IF(D108="","",IFERROR(VLOOKUP(D108,Stammdaten!$A$8:$L$57,5,FALSE),0))</f>
        <v/>
      </c>
      <c r="H108" s="43" t="str">
        <f>IF(D108="","",IFERROR(VLOOKUP(D108,Stammdaten!$A$8:$L$57,6,FALSE),0))</f>
        <v/>
      </c>
      <c r="I108" s="4"/>
      <c r="J108" s="6"/>
      <c r="K108" s="27" t="str">
        <f>IF(J108="","",IFERROR(VLOOKUP(J108,Stammdaten!$N$8:$V$37,3,FALSE),"Partner-ID prüfen"))</f>
        <v/>
      </c>
      <c r="L108" s="28" t="str">
        <f>IF(D108="","",IFERROR(VLOOKUP(D108,Stammdaten!$A$8:$L$57,10,FALSE),""))</f>
        <v/>
      </c>
      <c r="M108" s="20"/>
      <c r="N108" s="47" t="str">
        <f t="shared" si="12"/>
        <v/>
      </c>
      <c r="O108" s="50" t="str">
        <f t="shared" si="13"/>
        <v/>
      </c>
      <c r="P108" s="50" t="str">
        <f t="shared" si="14"/>
        <v/>
      </c>
      <c r="Q108" s="43" t="str">
        <f t="shared" si="15"/>
        <v/>
      </c>
    </row>
    <row r="109" spans="1:17" x14ac:dyDescent="0.25">
      <c r="A109" s="4"/>
      <c r="B109" s="35"/>
      <c r="C109" s="5"/>
      <c r="D109" s="6"/>
      <c r="E109" s="23" t="str">
        <f>IF(D109="","",IFERROR(VLOOKUP(D109,Stammdaten!$A$8:$L$57,2,FALSE),"Artikel-ID prüfen"))</f>
        <v/>
      </c>
      <c r="F109" s="38"/>
      <c r="G109" s="42" t="str">
        <f>IF(D109="","",IFERROR(VLOOKUP(D109,Stammdaten!$A$8:$L$57,5,FALSE),0))</f>
        <v/>
      </c>
      <c r="H109" s="43" t="str">
        <f>IF(D109="","",IFERROR(VLOOKUP(D109,Stammdaten!$A$8:$L$57,6,FALSE),0))</f>
        <v/>
      </c>
      <c r="I109" s="4"/>
      <c r="J109" s="6"/>
      <c r="K109" s="27" t="str">
        <f>IF(J109="","",IFERROR(VLOOKUP(J109,Stammdaten!$N$8:$V$37,3,FALSE),"Partner-ID prüfen"))</f>
        <v/>
      </c>
      <c r="L109" s="28" t="str">
        <f>IF(D109="","",IFERROR(VLOOKUP(D109,Stammdaten!$A$8:$L$57,10,FALSE),""))</f>
        <v/>
      </c>
      <c r="M109" s="20"/>
      <c r="N109" s="47" t="str">
        <f t="shared" si="12"/>
        <v/>
      </c>
      <c r="O109" s="50" t="str">
        <f t="shared" si="13"/>
        <v/>
      </c>
      <c r="P109" s="50" t="str">
        <f t="shared" si="14"/>
        <v/>
      </c>
      <c r="Q109" s="43" t="str">
        <f t="shared" si="15"/>
        <v/>
      </c>
    </row>
    <row r="110" spans="1:17" x14ac:dyDescent="0.25">
      <c r="A110" s="4"/>
      <c r="B110" s="35"/>
      <c r="C110" s="5"/>
      <c r="D110" s="6"/>
      <c r="E110" s="23" t="str">
        <f>IF(D110="","",IFERROR(VLOOKUP(D110,Stammdaten!$A$8:$L$57,2,FALSE),"Artikel-ID prüfen"))</f>
        <v/>
      </c>
      <c r="F110" s="38"/>
      <c r="G110" s="42" t="str">
        <f>IF(D110="","",IFERROR(VLOOKUP(D110,Stammdaten!$A$8:$L$57,5,FALSE),0))</f>
        <v/>
      </c>
      <c r="H110" s="43" t="str">
        <f>IF(D110="","",IFERROR(VLOOKUP(D110,Stammdaten!$A$8:$L$57,6,FALSE),0))</f>
        <v/>
      </c>
      <c r="I110" s="4"/>
      <c r="J110" s="6"/>
      <c r="K110" s="27" t="str">
        <f>IF(J110="","",IFERROR(VLOOKUP(J110,Stammdaten!$N$8:$V$37,3,FALSE),"Partner-ID prüfen"))</f>
        <v/>
      </c>
      <c r="L110" s="28" t="str">
        <f>IF(D110="","",IFERROR(VLOOKUP(D110,Stammdaten!$A$8:$L$57,10,FALSE),""))</f>
        <v/>
      </c>
      <c r="M110" s="20"/>
      <c r="N110" s="47" t="str">
        <f t="shared" si="12"/>
        <v/>
      </c>
      <c r="O110" s="50" t="str">
        <f t="shared" si="13"/>
        <v/>
      </c>
      <c r="P110" s="50" t="str">
        <f t="shared" si="14"/>
        <v/>
      </c>
      <c r="Q110" s="43" t="str">
        <f t="shared" si="15"/>
        <v/>
      </c>
    </row>
    <row r="111" spans="1:17" x14ac:dyDescent="0.25">
      <c r="A111" s="4"/>
      <c r="B111" s="35"/>
      <c r="C111" s="5"/>
      <c r="D111" s="6"/>
      <c r="E111" s="23" t="str">
        <f>IF(D111="","",IFERROR(VLOOKUP(D111,Stammdaten!$A$8:$L$57,2,FALSE),"Artikel-ID prüfen"))</f>
        <v/>
      </c>
      <c r="F111" s="38"/>
      <c r="G111" s="42" t="str">
        <f>IF(D111="","",IFERROR(VLOOKUP(D111,Stammdaten!$A$8:$L$57,5,FALSE),0))</f>
        <v/>
      </c>
      <c r="H111" s="43" t="str">
        <f>IF(D111="","",IFERROR(VLOOKUP(D111,Stammdaten!$A$8:$L$57,6,FALSE),0))</f>
        <v/>
      </c>
      <c r="I111" s="4"/>
      <c r="J111" s="6"/>
      <c r="K111" s="27" t="str">
        <f>IF(J111="","",IFERROR(VLOOKUP(J111,Stammdaten!$N$8:$V$37,3,FALSE),"Partner-ID prüfen"))</f>
        <v/>
      </c>
      <c r="L111" s="28" t="str">
        <f>IF(D111="","",IFERROR(VLOOKUP(D111,Stammdaten!$A$8:$L$57,10,FALSE),""))</f>
        <v/>
      </c>
      <c r="M111" s="20"/>
      <c r="N111" s="47" t="str">
        <f t="shared" si="12"/>
        <v/>
      </c>
      <c r="O111" s="50" t="str">
        <f t="shared" si="13"/>
        <v/>
      </c>
      <c r="P111" s="50" t="str">
        <f t="shared" si="14"/>
        <v/>
      </c>
      <c r="Q111" s="43" t="str">
        <f t="shared" si="15"/>
        <v/>
      </c>
    </row>
    <row r="112" spans="1:17" x14ac:dyDescent="0.25">
      <c r="A112" s="4"/>
      <c r="B112" s="35"/>
      <c r="C112" s="5"/>
      <c r="D112" s="6"/>
      <c r="E112" s="23" t="str">
        <f>IF(D112="","",IFERROR(VLOOKUP(D112,Stammdaten!$A$8:$L$57,2,FALSE),"Artikel-ID prüfen"))</f>
        <v/>
      </c>
      <c r="F112" s="38"/>
      <c r="G112" s="42" t="str">
        <f>IF(D112="","",IFERROR(VLOOKUP(D112,Stammdaten!$A$8:$L$57,5,FALSE),0))</f>
        <v/>
      </c>
      <c r="H112" s="43" t="str">
        <f>IF(D112="","",IFERROR(VLOOKUP(D112,Stammdaten!$A$8:$L$57,6,FALSE),0))</f>
        <v/>
      </c>
      <c r="I112" s="4"/>
      <c r="J112" s="6"/>
      <c r="K112" s="27" t="str">
        <f>IF(J112="","",IFERROR(VLOOKUP(J112,Stammdaten!$N$8:$V$37,3,FALSE),"Partner-ID prüfen"))</f>
        <v/>
      </c>
      <c r="L112" s="28" t="str">
        <f>IF(D112="","",IFERROR(VLOOKUP(D112,Stammdaten!$A$8:$L$57,10,FALSE),""))</f>
        <v/>
      </c>
      <c r="M112" s="20"/>
      <c r="N112" s="47" t="str">
        <f t="shared" si="12"/>
        <v/>
      </c>
      <c r="O112" s="50" t="str">
        <f t="shared" si="13"/>
        <v/>
      </c>
      <c r="P112" s="50" t="str">
        <f t="shared" si="14"/>
        <v/>
      </c>
      <c r="Q112" s="43" t="str">
        <f t="shared" si="15"/>
        <v/>
      </c>
    </row>
    <row r="113" spans="1:17" x14ac:dyDescent="0.25">
      <c r="A113" s="4"/>
      <c r="B113" s="35"/>
      <c r="C113" s="5"/>
      <c r="D113" s="6"/>
      <c r="E113" s="23" t="str">
        <f>IF(D113="","",IFERROR(VLOOKUP(D113,Stammdaten!$A$8:$L$57,2,FALSE),"Artikel-ID prüfen"))</f>
        <v/>
      </c>
      <c r="F113" s="38"/>
      <c r="G113" s="42" t="str">
        <f>IF(D113="","",IFERROR(VLOOKUP(D113,Stammdaten!$A$8:$L$57,5,FALSE),0))</f>
        <v/>
      </c>
      <c r="H113" s="43" t="str">
        <f>IF(D113="","",IFERROR(VLOOKUP(D113,Stammdaten!$A$8:$L$57,6,FALSE),0))</f>
        <v/>
      </c>
      <c r="I113" s="4"/>
      <c r="J113" s="6"/>
      <c r="K113" s="27" t="str">
        <f>IF(J113="","",IFERROR(VLOOKUP(J113,Stammdaten!$N$8:$V$37,3,FALSE),"Partner-ID prüfen"))</f>
        <v/>
      </c>
      <c r="L113" s="28" t="str">
        <f>IF(D113="","",IFERROR(VLOOKUP(D113,Stammdaten!$A$8:$L$57,10,FALSE),""))</f>
        <v/>
      </c>
      <c r="M113" s="20"/>
      <c r="N113" s="47" t="str">
        <f t="shared" si="12"/>
        <v/>
      </c>
      <c r="O113" s="50" t="str">
        <f t="shared" si="13"/>
        <v/>
      </c>
      <c r="P113" s="50" t="str">
        <f t="shared" si="14"/>
        <v/>
      </c>
      <c r="Q113" s="43" t="str">
        <f t="shared" si="15"/>
        <v/>
      </c>
    </row>
    <row r="114" spans="1:17" x14ac:dyDescent="0.25">
      <c r="A114" s="4"/>
      <c r="B114" s="35"/>
      <c r="C114" s="5"/>
      <c r="D114" s="6"/>
      <c r="E114" s="23" t="str">
        <f>IF(D114="","",IFERROR(VLOOKUP(D114,Stammdaten!$A$8:$L$57,2,FALSE),"Artikel-ID prüfen"))</f>
        <v/>
      </c>
      <c r="F114" s="38"/>
      <c r="G114" s="42" t="str">
        <f>IF(D114="","",IFERROR(VLOOKUP(D114,Stammdaten!$A$8:$L$57,5,FALSE),0))</f>
        <v/>
      </c>
      <c r="H114" s="43" t="str">
        <f>IF(D114="","",IFERROR(VLOOKUP(D114,Stammdaten!$A$8:$L$57,6,FALSE),0))</f>
        <v/>
      </c>
      <c r="I114" s="4"/>
      <c r="J114" s="6"/>
      <c r="K114" s="27" t="str">
        <f>IF(J114="","",IFERROR(VLOOKUP(J114,Stammdaten!$N$8:$V$37,3,FALSE),"Partner-ID prüfen"))</f>
        <v/>
      </c>
      <c r="L114" s="28" t="str">
        <f>IF(D114="","",IFERROR(VLOOKUP(D114,Stammdaten!$A$8:$L$57,10,FALSE),""))</f>
        <v/>
      </c>
      <c r="M114" s="20"/>
      <c r="N114" s="47" t="str">
        <f t="shared" si="12"/>
        <v/>
      </c>
      <c r="O114" s="50" t="str">
        <f t="shared" si="13"/>
        <v/>
      </c>
      <c r="P114" s="50" t="str">
        <f t="shared" si="14"/>
        <v/>
      </c>
      <c r="Q114" s="43" t="str">
        <f t="shared" si="15"/>
        <v/>
      </c>
    </row>
    <row r="115" spans="1:17" x14ac:dyDescent="0.25">
      <c r="A115" s="4"/>
      <c r="B115" s="35"/>
      <c r="C115" s="5"/>
      <c r="D115" s="6"/>
      <c r="E115" s="23" t="str">
        <f>IF(D115="","",IFERROR(VLOOKUP(D115,Stammdaten!$A$8:$L$57,2,FALSE),"Artikel-ID prüfen"))</f>
        <v/>
      </c>
      <c r="F115" s="38"/>
      <c r="G115" s="42" t="str">
        <f>IF(D115="","",IFERROR(VLOOKUP(D115,Stammdaten!$A$8:$L$57,5,FALSE),0))</f>
        <v/>
      </c>
      <c r="H115" s="43" t="str">
        <f>IF(D115="","",IFERROR(VLOOKUP(D115,Stammdaten!$A$8:$L$57,6,FALSE),0))</f>
        <v/>
      </c>
      <c r="I115" s="4"/>
      <c r="J115" s="6"/>
      <c r="K115" s="27" t="str">
        <f>IF(J115="","",IFERROR(VLOOKUP(J115,Stammdaten!$N$8:$V$37,3,FALSE),"Partner-ID prüfen"))</f>
        <v/>
      </c>
      <c r="L115" s="28" t="str">
        <f>IF(D115="","",IFERROR(VLOOKUP(D115,Stammdaten!$A$8:$L$57,10,FALSE),""))</f>
        <v/>
      </c>
      <c r="M115" s="20"/>
      <c r="N115" s="47" t="str">
        <f t="shared" si="12"/>
        <v/>
      </c>
      <c r="O115" s="50" t="str">
        <f t="shared" si="13"/>
        <v/>
      </c>
      <c r="P115" s="50" t="str">
        <f t="shared" si="14"/>
        <v/>
      </c>
      <c r="Q115" s="43" t="str">
        <f t="shared" si="15"/>
        <v/>
      </c>
    </row>
    <row r="116" spans="1:17" x14ac:dyDescent="0.25">
      <c r="A116" s="4"/>
      <c r="B116" s="35"/>
      <c r="C116" s="5"/>
      <c r="D116" s="6"/>
      <c r="E116" s="23" t="str">
        <f>IF(D116="","",IFERROR(VLOOKUP(D116,Stammdaten!$A$8:$L$57,2,FALSE),"Artikel-ID prüfen"))</f>
        <v/>
      </c>
      <c r="F116" s="38"/>
      <c r="G116" s="42" t="str">
        <f>IF(D116="","",IFERROR(VLOOKUP(D116,Stammdaten!$A$8:$L$57,5,FALSE),0))</f>
        <v/>
      </c>
      <c r="H116" s="43" t="str">
        <f>IF(D116="","",IFERROR(VLOOKUP(D116,Stammdaten!$A$8:$L$57,6,FALSE),0))</f>
        <v/>
      </c>
      <c r="I116" s="4"/>
      <c r="J116" s="6"/>
      <c r="K116" s="27" t="str">
        <f>IF(J116="","",IFERROR(VLOOKUP(J116,Stammdaten!$N$8:$V$37,3,FALSE),"Partner-ID prüfen"))</f>
        <v/>
      </c>
      <c r="L116" s="28" t="str">
        <f>IF(D116="","",IFERROR(VLOOKUP(D116,Stammdaten!$A$8:$L$57,10,FALSE),""))</f>
        <v/>
      </c>
      <c r="M116" s="20"/>
      <c r="N116" s="47" t="str">
        <f t="shared" si="12"/>
        <v/>
      </c>
      <c r="O116" s="50" t="str">
        <f t="shared" si="13"/>
        <v/>
      </c>
      <c r="P116" s="50" t="str">
        <f t="shared" si="14"/>
        <v/>
      </c>
      <c r="Q116" s="43" t="str">
        <f t="shared" si="15"/>
        <v/>
      </c>
    </row>
    <row r="117" spans="1:17" x14ac:dyDescent="0.25">
      <c r="A117" s="4"/>
      <c r="B117" s="35"/>
      <c r="C117" s="5"/>
      <c r="D117" s="6"/>
      <c r="E117" s="23" t="str">
        <f>IF(D117="","",IFERROR(VLOOKUP(D117,Stammdaten!$A$8:$L$57,2,FALSE),"Artikel-ID prüfen"))</f>
        <v/>
      </c>
      <c r="F117" s="38"/>
      <c r="G117" s="42" t="str">
        <f>IF(D117="","",IFERROR(VLOOKUP(D117,Stammdaten!$A$8:$L$57,5,FALSE),0))</f>
        <v/>
      </c>
      <c r="H117" s="43" t="str">
        <f>IF(D117="","",IFERROR(VLOOKUP(D117,Stammdaten!$A$8:$L$57,6,FALSE),0))</f>
        <v/>
      </c>
      <c r="I117" s="4"/>
      <c r="J117" s="6"/>
      <c r="K117" s="27" t="str">
        <f>IF(J117="","",IFERROR(VLOOKUP(J117,Stammdaten!$N$8:$V$37,3,FALSE),"Partner-ID prüfen"))</f>
        <v/>
      </c>
      <c r="L117" s="28" t="str">
        <f>IF(D117="","",IFERROR(VLOOKUP(D117,Stammdaten!$A$8:$L$57,10,FALSE),""))</f>
        <v/>
      </c>
      <c r="M117" s="20"/>
      <c r="N117" s="47" t="str">
        <f t="shared" si="12"/>
        <v/>
      </c>
      <c r="O117" s="50" t="str">
        <f t="shared" si="13"/>
        <v/>
      </c>
      <c r="P117" s="50" t="str">
        <f t="shared" si="14"/>
        <v/>
      </c>
      <c r="Q117" s="43" t="str">
        <f t="shared" si="15"/>
        <v/>
      </c>
    </row>
    <row r="118" spans="1:17" x14ac:dyDescent="0.25">
      <c r="A118" s="4"/>
      <c r="B118" s="35"/>
      <c r="C118" s="5"/>
      <c r="D118" s="6"/>
      <c r="E118" s="23" t="str">
        <f>IF(D118="","",IFERROR(VLOOKUP(D118,Stammdaten!$A$8:$L$57,2,FALSE),"Artikel-ID prüfen"))</f>
        <v/>
      </c>
      <c r="F118" s="38"/>
      <c r="G118" s="42" t="str">
        <f>IF(D118="","",IFERROR(VLOOKUP(D118,Stammdaten!$A$8:$L$57,5,FALSE),0))</f>
        <v/>
      </c>
      <c r="H118" s="43" t="str">
        <f>IF(D118="","",IFERROR(VLOOKUP(D118,Stammdaten!$A$8:$L$57,6,FALSE),0))</f>
        <v/>
      </c>
      <c r="I118" s="4"/>
      <c r="J118" s="6"/>
      <c r="K118" s="27" t="str">
        <f>IF(J118="","",IFERROR(VLOOKUP(J118,Stammdaten!$N$8:$V$37,3,FALSE),"Partner-ID prüfen"))</f>
        <v/>
      </c>
      <c r="L118" s="28" t="str">
        <f>IF(D118="","",IFERROR(VLOOKUP(D118,Stammdaten!$A$8:$L$57,10,FALSE),""))</f>
        <v/>
      </c>
      <c r="M118" s="20"/>
      <c r="N118" s="47" t="str">
        <f t="shared" si="12"/>
        <v/>
      </c>
      <c r="O118" s="50" t="str">
        <f t="shared" si="13"/>
        <v/>
      </c>
      <c r="P118" s="50" t="str">
        <f t="shared" si="14"/>
        <v/>
      </c>
      <c r="Q118" s="43" t="str">
        <f t="shared" si="15"/>
        <v/>
      </c>
    </row>
    <row r="119" spans="1:17" x14ac:dyDescent="0.25">
      <c r="A119" s="4"/>
      <c r="B119" s="35"/>
      <c r="C119" s="5"/>
      <c r="D119" s="6"/>
      <c r="E119" s="23" t="str">
        <f>IF(D119="","",IFERROR(VLOOKUP(D119,Stammdaten!$A$8:$L$57,2,FALSE),"Artikel-ID prüfen"))</f>
        <v/>
      </c>
      <c r="F119" s="38"/>
      <c r="G119" s="42" t="str">
        <f>IF(D119="","",IFERROR(VLOOKUP(D119,Stammdaten!$A$8:$L$57,5,FALSE),0))</f>
        <v/>
      </c>
      <c r="H119" s="43" t="str">
        <f>IF(D119="","",IFERROR(VLOOKUP(D119,Stammdaten!$A$8:$L$57,6,FALSE),0))</f>
        <v/>
      </c>
      <c r="I119" s="4"/>
      <c r="J119" s="6"/>
      <c r="K119" s="27" t="str">
        <f>IF(J119="","",IFERROR(VLOOKUP(J119,Stammdaten!$N$8:$V$37,3,FALSE),"Partner-ID prüfen"))</f>
        <v/>
      </c>
      <c r="L119" s="28" t="str">
        <f>IF(D119="","",IFERROR(VLOOKUP(D119,Stammdaten!$A$8:$L$57,10,FALSE),""))</f>
        <v/>
      </c>
      <c r="M119" s="20"/>
      <c r="N119" s="47" t="str">
        <f t="shared" si="12"/>
        <v/>
      </c>
      <c r="O119" s="50" t="str">
        <f t="shared" si="13"/>
        <v/>
      </c>
      <c r="P119" s="50" t="str">
        <f t="shared" si="14"/>
        <v/>
      </c>
      <c r="Q119" s="43" t="str">
        <f t="shared" si="15"/>
        <v/>
      </c>
    </row>
    <row r="120" spans="1:17" x14ac:dyDescent="0.25">
      <c r="A120" s="4"/>
      <c r="B120" s="35"/>
      <c r="C120" s="5"/>
      <c r="D120" s="6"/>
      <c r="E120" s="23" t="str">
        <f>IF(D120="","",IFERROR(VLOOKUP(D120,Stammdaten!$A$8:$L$57,2,FALSE),"Artikel-ID prüfen"))</f>
        <v/>
      </c>
      <c r="F120" s="38"/>
      <c r="G120" s="42" t="str">
        <f>IF(D120="","",IFERROR(VLOOKUP(D120,Stammdaten!$A$8:$L$57,5,FALSE),0))</f>
        <v/>
      </c>
      <c r="H120" s="43" t="str">
        <f>IF(D120="","",IFERROR(VLOOKUP(D120,Stammdaten!$A$8:$L$57,6,FALSE),0))</f>
        <v/>
      </c>
      <c r="I120" s="4"/>
      <c r="J120" s="6"/>
      <c r="K120" s="27" t="str">
        <f>IF(J120="","",IFERROR(VLOOKUP(J120,Stammdaten!$N$8:$V$37,3,FALSE),"Partner-ID prüfen"))</f>
        <v/>
      </c>
      <c r="L120" s="28" t="str">
        <f>IF(D120="","",IFERROR(VLOOKUP(D120,Stammdaten!$A$8:$L$57,10,FALSE),""))</f>
        <v/>
      </c>
      <c r="M120" s="20"/>
      <c r="N120" s="47" t="str">
        <f t="shared" si="12"/>
        <v/>
      </c>
      <c r="O120" s="50" t="str">
        <f t="shared" si="13"/>
        <v/>
      </c>
      <c r="P120" s="50" t="str">
        <f t="shared" si="14"/>
        <v/>
      </c>
      <c r="Q120" s="43" t="str">
        <f t="shared" si="15"/>
        <v/>
      </c>
    </row>
    <row r="121" spans="1:17" x14ac:dyDescent="0.25">
      <c r="A121" s="4"/>
      <c r="B121" s="35"/>
      <c r="C121" s="5"/>
      <c r="D121" s="6"/>
      <c r="E121" s="23" t="str">
        <f>IF(D121="","",IFERROR(VLOOKUP(D121,Stammdaten!$A$8:$L$57,2,FALSE),"Artikel-ID prüfen"))</f>
        <v/>
      </c>
      <c r="F121" s="38"/>
      <c r="G121" s="42" t="str">
        <f>IF(D121="","",IFERROR(VLOOKUP(D121,Stammdaten!$A$8:$L$57,5,FALSE),0))</f>
        <v/>
      </c>
      <c r="H121" s="43" t="str">
        <f>IF(D121="","",IFERROR(VLOOKUP(D121,Stammdaten!$A$8:$L$57,6,FALSE),0))</f>
        <v/>
      </c>
      <c r="I121" s="4"/>
      <c r="J121" s="6"/>
      <c r="K121" s="27" t="str">
        <f>IF(J121="","",IFERROR(VLOOKUP(J121,Stammdaten!$N$8:$V$37,3,FALSE),"Partner-ID prüfen"))</f>
        <v/>
      </c>
      <c r="L121" s="28" t="str">
        <f>IF(D121="","",IFERROR(VLOOKUP(D121,Stammdaten!$A$8:$L$57,10,FALSE),""))</f>
        <v/>
      </c>
      <c r="M121" s="20"/>
      <c r="N121" s="47" t="str">
        <f t="shared" si="12"/>
        <v/>
      </c>
      <c r="O121" s="50" t="str">
        <f t="shared" si="13"/>
        <v/>
      </c>
      <c r="P121" s="50" t="str">
        <f t="shared" si="14"/>
        <v/>
      </c>
      <c r="Q121" s="43" t="str">
        <f t="shared" si="15"/>
        <v/>
      </c>
    </row>
    <row r="122" spans="1:17" x14ac:dyDescent="0.25">
      <c r="A122" s="4"/>
      <c r="B122" s="35"/>
      <c r="C122" s="5"/>
      <c r="D122" s="6"/>
      <c r="E122" s="23" t="str">
        <f>IF(D122="","",IFERROR(VLOOKUP(D122,Stammdaten!$A$8:$L$57,2,FALSE),"Artikel-ID prüfen"))</f>
        <v/>
      </c>
      <c r="F122" s="38"/>
      <c r="G122" s="42" t="str">
        <f>IF(D122="","",IFERROR(VLOOKUP(D122,Stammdaten!$A$8:$L$57,5,FALSE),0))</f>
        <v/>
      </c>
      <c r="H122" s="43" t="str">
        <f>IF(D122="","",IFERROR(VLOOKUP(D122,Stammdaten!$A$8:$L$57,6,FALSE),0))</f>
        <v/>
      </c>
      <c r="I122" s="4"/>
      <c r="J122" s="6"/>
      <c r="K122" s="27" t="str">
        <f>IF(J122="","",IFERROR(VLOOKUP(J122,Stammdaten!$N$8:$V$37,3,FALSE),"Partner-ID prüfen"))</f>
        <v/>
      </c>
      <c r="L122" s="28" t="str">
        <f>IF(D122="","",IFERROR(VLOOKUP(D122,Stammdaten!$A$8:$L$57,10,FALSE),""))</f>
        <v/>
      </c>
      <c r="M122" s="20"/>
      <c r="N122" s="47" t="str">
        <f t="shared" si="12"/>
        <v/>
      </c>
      <c r="O122" s="50" t="str">
        <f t="shared" si="13"/>
        <v/>
      </c>
      <c r="P122" s="50" t="str">
        <f t="shared" si="14"/>
        <v/>
      </c>
      <c r="Q122" s="43" t="str">
        <f t="shared" si="15"/>
        <v/>
      </c>
    </row>
    <row r="123" spans="1:17" x14ac:dyDescent="0.25">
      <c r="A123" s="4"/>
      <c r="B123" s="35"/>
      <c r="C123" s="5"/>
      <c r="D123" s="6"/>
      <c r="E123" s="23" t="str">
        <f>IF(D123="","",IFERROR(VLOOKUP(D123,Stammdaten!$A$8:$L$57,2,FALSE),"Artikel-ID prüfen"))</f>
        <v/>
      </c>
      <c r="F123" s="38"/>
      <c r="G123" s="42" t="str">
        <f>IF(D123="","",IFERROR(VLOOKUP(D123,Stammdaten!$A$8:$L$57,5,FALSE),0))</f>
        <v/>
      </c>
      <c r="H123" s="43" t="str">
        <f>IF(D123="","",IFERROR(VLOOKUP(D123,Stammdaten!$A$8:$L$57,6,FALSE),0))</f>
        <v/>
      </c>
      <c r="I123" s="4"/>
      <c r="J123" s="6"/>
      <c r="K123" s="27" t="str">
        <f>IF(J123="","",IFERROR(VLOOKUP(J123,Stammdaten!$N$8:$V$37,3,FALSE),"Partner-ID prüfen"))</f>
        <v/>
      </c>
      <c r="L123" s="28" t="str">
        <f>IF(D123="","",IFERROR(VLOOKUP(D123,Stammdaten!$A$8:$L$57,10,FALSE),""))</f>
        <v/>
      </c>
      <c r="M123" s="20"/>
      <c r="N123" s="47" t="str">
        <f t="shared" si="12"/>
        <v/>
      </c>
      <c r="O123" s="50" t="str">
        <f t="shared" si="13"/>
        <v/>
      </c>
      <c r="P123" s="50" t="str">
        <f t="shared" si="14"/>
        <v/>
      </c>
      <c r="Q123" s="43" t="str">
        <f t="shared" si="15"/>
        <v/>
      </c>
    </row>
    <row r="124" spans="1:17" x14ac:dyDescent="0.25">
      <c r="A124" s="4"/>
      <c r="B124" s="35"/>
      <c r="C124" s="5"/>
      <c r="D124" s="6"/>
      <c r="E124" s="23" t="str">
        <f>IF(D124="","",IFERROR(VLOOKUP(D124,Stammdaten!$A$8:$L$57,2,FALSE),"Artikel-ID prüfen"))</f>
        <v/>
      </c>
      <c r="F124" s="38"/>
      <c r="G124" s="42" t="str">
        <f>IF(D124="","",IFERROR(VLOOKUP(D124,Stammdaten!$A$8:$L$57,5,FALSE),0))</f>
        <v/>
      </c>
      <c r="H124" s="43" t="str">
        <f>IF(D124="","",IFERROR(VLOOKUP(D124,Stammdaten!$A$8:$L$57,6,FALSE),0))</f>
        <v/>
      </c>
      <c r="I124" s="4"/>
      <c r="J124" s="6"/>
      <c r="K124" s="27" t="str">
        <f>IF(J124="","",IFERROR(VLOOKUP(J124,Stammdaten!$N$8:$V$37,3,FALSE),"Partner-ID prüfen"))</f>
        <v/>
      </c>
      <c r="L124" s="28" t="str">
        <f>IF(D124="","",IFERROR(VLOOKUP(D124,Stammdaten!$A$8:$L$57,10,FALSE),""))</f>
        <v/>
      </c>
      <c r="M124" s="20"/>
      <c r="N124" s="47" t="str">
        <f t="shared" si="12"/>
        <v/>
      </c>
      <c r="O124" s="50" t="str">
        <f t="shared" si="13"/>
        <v/>
      </c>
      <c r="P124" s="50" t="str">
        <f t="shared" si="14"/>
        <v/>
      </c>
      <c r="Q124" s="43" t="str">
        <f t="shared" si="15"/>
        <v/>
      </c>
    </row>
    <row r="125" spans="1:17" x14ac:dyDescent="0.25">
      <c r="A125" s="4"/>
      <c r="B125" s="35"/>
      <c r="C125" s="5"/>
      <c r="D125" s="6"/>
      <c r="E125" s="23" t="str">
        <f>IF(D125="","",IFERROR(VLOOKUP(D125,Stammdaten!$A$8:$L$57,2,FALSE),"Artikel-ID prüfen"))</f>
        <v/>
      </c>
      <c r="F125" s="38"/>
      <c r="G125" s="42" t="str">
        <f>IF(D125="","",IFERROR(VLOOKUP(D125,Stammdaten!$A$8:$L$57,5,FALSE),0))</f>
        <v/>
      </c>
      <c r="H125" s="43" t="str">
        <f>IF(D125="","",IFERROR(VLOOKUP(D125,Stammdaten!$A$8:$L$57,6,FALSE),0))</f>
        <v/>
      </c>
      <c r="I125" s="4"/>
      <c r="J125" s="6"/>
      <c r="K125" s="27" t="str">
        <f>IF(J125="","",IFERROR(VLOOKUP(J125,Stammdaten!$N$8:$V$37,3,FALSE),"Partner-ID prüfen"))</f>
        <v/>
      </c>
      <c r="L125" s="28" t="str">
        <f>IF(D125="","",IFERROR(VLOOKUP(D125,Stammdaten!$A$8:$L$57,10,FALSE),""))</f>
        <v/>
      </c>
      <c r="M125" s="20"/>
      <c r="N125" s="47" t="str">
        <f t="shared" si="12"/>
        <v/>
      </c>
      <c r="O125" s="50" t="str">
        <f t="shared" si="13"/>
        <v/>
      </c>
      <c r="P125" s="50" t="str">
        <f t="shared" si="14"/>
        <v/>
      </c>
      <c r="Q125" s="43" t="str">
        <f t="shared" si="15"/>
        <v/>
      </c>
    </row>
    <row r="126" spans="1:17" x14ac:dyDescent="0.25">
      <c r="A126" s="4"/>
      <c r="B126" s="35"/>
      <c r="C126" s="5"/>
      <c r="D126" s="6"/>
      <c r="E126" s="23" t="str">
        <f>IF(D126="","",IFERROR(VLOOKUP(D126,Stammdaten!$A$8:$L$57,2,FALSE),"Artikel-ID prüfen"))</f>
        <v/>
      </c>
      <c r="F126" s="38"/>
      <c r="G126" s="42" t="str">
        <f>IF(D126="","",IFERROR(VLOOKUP(D126,Stammdaten!$A$8:$L$57,5,FALSE),0))</f>
        <v/>
      </c>
      <c r="H126" s="43" t="str">
        <f>IF(D126="","",IFERROR(VLOOKUP(D126,Stammdaten!$A$8:$L$57,6,FALSE),0))</f>
        <v/>
      </c>
      <c r="I126" s="4"/>
      <c r="J126" s="6"/>
      <c r="K126" s="27" t="str">
        <f>IF(J126="","",IFERROR(VLOOKUP(J126,Stammdaten!$N$8:$V$37,3,FALSE),"Partner-ID prüfen"))</f>
        <v/>
      </c>
      <c r="L126" s="28" t="str">
        <f>IF(D126="","",IFERROR(VLOOKUP(D126,Stammdaten!$A$8:$L$57,10,FALSE),""))</f>
        <v/>
      </c>
      <c r="M126" s="20"/>
      <c r="N126" s="47" t="str">
        <f t="shared" si="12"/>
        <v/>
      </c>
      <c r="O126" s="50" t="str">
        <f t="shared" si="13"/>
        <v/>
      </c>
      <c r="P126" s="50" t="str">
        <f t="shared" si="14"/>
        <v/>
      </c>
      <c r="Q126" s="43" t="str">
        <f t="shared" si="15"/>
        <v/>
      </c>
    </row>
    <row r="127" spans="1:17" x14ac:dyDescent="0.25">
      <c r="A127" s="4"/>
      <c r="B127" s="35"/>
      <c r="C127" s="5"/>
      <c r="D127" s="6"/>
      <c r="E127" s="23" t="str">
        <f>IF(D127="","",IFERROR(VLOOKUP(D127,Stammdaten!$A$8:$L$57,2,FALSE),"Artikel-ID prüfen"))</f>
        <v/>
      </c>
      <c r="F127" s="38"/>
      <c r="G127" s="42" t="str">
        <f>IF(D127="","",IFERROR(VLOOKUP(D127,Stammdaten!$A$8:$L$57,5,FALSE),0))</f>
        <v/>
      </c>
      <c r="H127" s="43" t="str">
        <f>IF(D127="","",IFERROR(VLOOKUP(D127,Stammdaten!$A$8:$L$57,6,FALSE),0))</f>
        <v/>
      </c>
      <c r="I127" s="4"/>
      <c r="J127" s="6"/>
      <c r="K127" s="27" t="str">
        <f>IF(J127="","",IFERROR(VLOOKUP(J127,Stammdaten!$N$8:$V$37,3,FALSE),"Partner-ID prüfen"))</f>
        <v/>
      </c>
      <c r="L127" s="28" t="str">
        <f>IF(D127="","",IFERROR(VLOOKUP(D127,Stammdaten!$A$8:$L$57,10,FALSE),""))</f>
        <v/>
      </c>
      <c r="M127" s="20"/>
      <c r="N127" s="47" t="str">
        <f t="shared" si="12"/>
        <v/>
      </c>
      <c r="O127" s="50" t="str">
        <f t="shared" si="13"/>
        <v/>
      </c>
      <c r="P127" s="50" t="str">
        <f t="shared" si="14"/>
        <v/>
      </c>
      <c r="Q127" s="43" t="str">
        <f t="shared" si="15"/>
        <v/>
      </c>
    </row>
    <row r="128" spans="1:17" x14ac:dyDescent="0.25">
      <c r="A128" s="4"/>
      <c r="B128" s="35"/>
      <c r="C128" s="5"/>
      <c r="D128" s="6"/>
      <c r="E128" s="23" t="str">
        <f>IF(D128="","",IFERROR(VLOOKUP(D128,Stammdaten!$A$8:$L$57,2,FALSE),"Artikel-ID prüfen"))</f>
        <v/>
      </c>
      <c r="F128" s="38"/>
      <c r="G128" s="42" t="str">
        <f>IF(D128="","",IFERROR(VLOOKUP(D128,Stammdaten!$A$8:$L$57,5,FALSE),0))</f>
        <v/>
      </c>
      <c r="H128" s="43" t="str">
        <f>IF(D128="","",IFERROR(VLOOKUP(D128,Stammdaten!$A$8:$L$57,6,FALSE),0))</f>
        <v/>
      </c>
      <c r="I128" s="4"/>
      <c r="J128" s="6"/>
      <c r="K128" s="27" t="str">
        <f>IF(J128="","",IFERROR(VLOOKUP(J128,Stammdaten!$N$8:$V$37,3,FALSE),"Partner-ID prüfen"))</f>
        <v/>
      </c>
      <c r="L128" s="28" t="str">
        <f>IF(D128="","",IFERROR(VLOOKUP(D128,Stammdaten!$A$8:$L$57,10,FALSE),""))</f>
        <v/>
      </c>
      <c r="M128" s="20"/>
      <c r="N128" s="47" t="str">
        <f t="shared" si="12"/>
        <v/>
      </c>
      <c r="O128" s="50" t="str">
        <f t="shared" si="13"/>
        <v/>
      </c>
      <c r="P128" s="50" t="str">
        <f t="shared" si="14"/>
        <v/>
      </c>
      <c r="Q128" s="43" t="str">
        <f t="shared" si="15"/>
        <v/>
      </c>
    </row>
    <row r="129" spans="1:17" x14ac:dyDescent="0.25">
      <c r="A129" s="4"/>
      <c r="B129" s="35"/>
      <c r="C129" s="5"/>
      <c r="D129" s="6"/>
      <c r="E129" s="23" t="str">
        <f>IF(D129="","",IFERROR(VLOOKUP(D129,Stammdaten!$A$8:$L$57,2,FALSE),"Artikel-ID prüfen"))</f>
        <v/>
      </c>
      <c r="F129" s="38"/>
      <c r="G129" s="42" t="str">
        <f>IF(D129="","",IFERROR(VLOOKUP(D129,Stammdaten!$A$8:$L$57,5,FALSE),0))</f>
        <v/>
      </c>
      <c r="H129" s="43" t="str">
        <f>IF(D129="","",IFERROR(VLOOKUP(D129,Stammdaten!$A$8:$L$57,6,FALSE),0))</f>
        <v/>
      </c>
      <c r="I129" s="4"/>
      <c r="J129" s="6"/>
      <c r="K129" s="27" t="str">
        <f>IF(J129="","",IFERROR(VLOOKUP(J129,Stammdaten!$N$8:$V$37,3,FALSE),"Partner-ID prüfen"))</f>
        <v/>
      </c>
      <c r="L129" s="28" t="str">
        <f>IF(D129="","",IFERROR(VLOOKUP(D129,Stammdaten!$A$8:$L$57,10,FALSE),""))</f>
        <v/>
      </c>
      <c r="M129" s="20"/>
      <c r="N129" s="47" t="str">
        <f t="shared" si="12"/>
        <v/>
      </c>
      <c r="O129" s="50" t="str">
        <f t="shared" si="13"/>
        <v/>
      </c>
      <c r="P129" s="50" t="str">
        <f t="shared" si="14"/>
        <v/>
      </c>
      <c r="Q129" s="43" t="str">
        <f t="shared" si="15"/>
        <v/>
      </c>
    </row>
    <row r="130" spans="1:17" x14ac:dyDescent="0.25">
      <c r="A130" s="4"/>
      <c r="B130" s="35"/>
      <c r="C130" s="5"/>
      <c r="D130" s="6"/>
      <c r="E130" s="23" t="str">
        <f>IF(D130="","",IFERROR(VLOOKUP(D130,Stammdaten!$A$8:$L$57,2,FALSE),"Artikel-ID prüfen"))</f>
        <v/>
      </c>
      <c r="F130" s="38"/>
      <c r="G130" s="42" t="str">
        <f>IF(D130="","",IFERROR(VLOOKUP(D130,Stammdaten!$A$8:$L$57,5,FALSE),0))</f>
        <v/>
      </c>
      <c r="H130" s="43" t="str">
        <f>IF(D130="","",IFERROR(VLOOKUP(D130,Stammdaten!$A$8:$L$57,6,FALSE),0))</f>
        <v/>
      </c>
      <c r="I130" s="4"/>
      <c r="J130" s="6"/>
      <c r="K130" s="27" t="str">
        <f>IF(J130="","",IFERROR(VLOOKUP(J130,Stammdaten!$N$8:$V$37,3,FALSE),"Partner-ID prüfen"))</f>
        <v/>
      </c>
      <c r="L130" s="28" t="str">
        <f>IF(D130="","",IFERROR(VLOOKUP(D130,Stammdaten!$A$8:$L$57,10,FALSE),""))</f>
        <v/>
      </c>
      <c r="M130" s="20"/>
      <c r="N130" s="47" t="str">
        <f t="shared" si="12"/>
        <v/>
      </c>
      <c r="O130" s="50" t="str">
        <f t="shared" si="13"/>
        <v/>
      </c>
      <c r="P130" s="50" t="str">
        <f t="shared" si="14"/>
        <v/>
      </c>
      <c r="Q130" s="43" t="str">
        <f t="shared" si="15"/>
        <v/>
      </c>
    </row>
    <row r="131" spans="1:17" x14ac:dyDescent="0.25">
      <c r="A131" s="4"/>
      <c r="B131" s="35"/>
      <c r="C131" s="5"/>
      <c r="D131" s="6"/>
      <c r="E131" s="23" t="str">
        <f>IF(D131="","",IFERROR(VLOOKUP(D131,Stammdaten!$A$8:$L$57,2,FALSE),"Artikel-ID prüfen"))</f>
        <v/>
      </c>
      <c r="F131" s="38"/>
      <c r="G131" s="42" t="str">
        <f>IF(D131="","",IFERROR(VLOOKUP(D131,Stammdaten!$A$8:$L$57,5,FALSE),0))</f>
        <v/>
      </c>
      <c r="H131" s="43" t="str">
        <f>IF(D131="","",IFERROR(VLOOKUP(D131,Stammdaten!$A$8:$L$57,6,FALSE),0))</f>
        <v/>
      </c>
      <c r="I131" s="4"/>
      <c r="J131" s="6"/>
      <c r="K131" s="27" t="str">
        <f>IF(J131="","",IFERROR(VLOOKUP(J131,Stammdaten!$N$8:$V$37,3,FALSE),"Partner-ID prüfen"))</f>
        <v/>
      </c>
      <c r="L131" s="28" t="str">
        <f>IF(D131="","",IFERROR(VLOOKUP(D131,Stammdaten!$A$8:$L$57,10,FALSE),""))</f>
        <v/>
      </c>
      <c r="M131" s="20"/>
      <c r="N131" s="47" t="str">
        <f t="shared" si="12"/>
        <v/>
      </c>
      <c r="O131" s="50" t="str">
        <f t="shared" si="13"/>
        <v/>
      </c>
      <c r="P131" s="50" t="str">
        <f t="shared" si="14"/>
        <v/>
      </c>
      <c r="Q131" s="43" t="str">
        <f t="shared" si="15"/>
        <v/>
      </c>
    </row>
    <row r="132" spans="1:17" x14ac:dyDescent="0.25">
      <c r="A132" s="4"/>
      <c r="B132" s="35"/>
      <c r="C132" s="5"/>
      <c r="D132" s="6"/>
      <c r="E132" s="23" t="str">
        <f>IF(D132="","",IFERROR(VLOOKUP(D132,Stammdaten!$A$8:$L$57,2,FALSE),"Artikel-ID prüfen"))</f>
        <v/>
      </c>
      <c r="F132" s="38"/>
      <c r="G132" s="42" t="str">
        <f>IF(D132="","",IFERROR(VLOOKUP(D132,Stammdaten!$A$8:$L$57,5,FALSE),0))</f>
        <v/>
      </c>
      <c r="H132" s="43" t="str">
        <f>IF(D132="","",IFERROR(VLOOKUP(D132,Stammdaten!$A$8:$L$57,6,FALSE),0))</f>
        <v/>
      </c>
      <c r="I132" s="4"/>
      <c r="J132" s="6"/>
      <c r="K132" s="27" t="str">
        <f>IF(J132="","",IFERROR(VLOOKUP(J132,Stammdaten!$N$8:$V$37,3,FALSE),"Partner-ID prüfen"))</f>
        <v/>
      </c>
      <c r="L132" s="28" t="str">
        <f>IF(D132="","",IFERROR(VLOOKUP(D132,Stammdaten!$A$8:$L$57,10,FALSE),""))</f>
        <v/>
      </c>
      <c r="M132" s="20"/>
      <c r="N132" s="47" t="str">
        <f t="shared" si="12"/>
        <v/>
      </c>
      <c r="O132" s="50" t="str">
        <f t="shared" si="13"/>
        <v/>
      </c>
      <c r="P132" s="50" t="str">
        <f t="shared" si="14"/>
        <v/>
      </c>
      <c r="Q132" s="43" t="str">
        <f t="shared" si="15"/>
        <v/>
      </c>
    </row>
    <row r="133" spans="1:17" x14ac:dyDescent="0.25">
      <c r="A133" s="4"/>
      <c r="B133" s="35"/>
      <c r="C133" s="5"/>
      <c r="D133" s="6"/>
      <c r="E133" s="23" t="str">
        <f>IF(D133="","",IFERROR(VLOOKUP(D133,Stammdaten!$A$8:$L$57,2,FALSE),"Artikel-ID prüfen"))</f>
        <v/>
      </c>
      <c r="F133" s="38"/>
      <c r="G133" s="42" t="str">
        <f>IF(D133="","",IFERROR(VLOOKUP(D133,Stammdaten!$A$8:$L$57,5,FALSE),0))</f>
        <v/>
      </c>
      <c r="H133" s="43" t="str">
        <f>IF(D133="","",IFERROR(VLOOKUP(D133,Stammdaten!$A$8:$L$57,6,FALSE),0))</f>
        <v/>
      </c>
      <c r="I133" s="4"/>
      <c r="J133" s="6"/>
      <c r="K133" s="27" t="str">
        <f>IF(J133="","",IFERROR(VLOOKUP(J133,Stammdaten!$N$8:$V$37,3,FALSE),"Partner-ID prüfen"))</f>
        <v/>
      </c>
      <c r="L133" s="28" t="str">
        <f>IF(D133="","",IFERROR(VLOOKUP(D133,Stammdaten!$A$8:$L$57,10,FALSE),""))</f>
        <v/>
      </c>
      <c r="M133" s="20"/>
      <c r="N133" s="47" t="str">
        <f t="shared" si="12"/>
        <v/>
      </c>
      <c r="O133" s="50" t="str">
        <f t="shared" si="13"/>
        <v/>
      </c>
      <c r="P133" s="50" t="str">
        <f t="shared" si="14"/>
        <v/>
      </c>
      <c r="Q133" s="43" t="str">
        <f t="shared" si="15"/>
        <v/>
      </c>
    </row>
    <row r="134" spans="1:17" x14ac:dyDescent="0.25">
      <c r="A134" s="4"/>
      <c r="B134" s="35"/>
      <c r="C134" s="5"/>
      <c r="D134" s="6"/>
      <c r="E134" s="23" t="str">
        <f>IF(D134="","",IFERROR(VLOOKUP(D134,Stammdaten!$A$8:$L$57,2,FALSE),"Artikel-ID prüfen"))</f>
        <v/>
      </c>
      <c r="F134" s="38"/>
      <c r="G134" s="42" t="str">
        <f>IF(D134="","",IFERROR(VLOOKUP(D134,Stammdaten!$A$8:$L$57,5,FALSE),0))</f>
        <v/>
      </c>
      <c r="H134" s="43" t="str">
        <f>IF(D134="","",IFERROR(VLOOKUP(D134,Stammdaten!$A$8:$L$57,6,FALSE),0))</f>
        <v/>
      </c>
      <c r="I134" s="4"/>
      <c r="J134" s="6"/>
      <c r="K134" s="27" t="str">
        <f>IF(J134="","",IFERROR(VLOOKUP(J134,Stammdaten!$N$8:$V$37,3,FALSE),"Partner-ID prüfen"))</f>
        <v/>
      </c>
      <c r="L134" s="28" t="str">
        <f>IF(D134="","",IFERROR(VLOOKUP(D134,Stammdaten!$A$8:$L$57,10,FALSE),""))</f>
        <v/>
      </c>
      <c r="M134" s="20"/>
      <c r="N134" s="47" t="str">
        <f t="shared" si="12"/>
        <v/>
      </c>
      <c r="O134" s="50" t="str">
        <f t="shared" si="13"/>
        <v/>
      </c>
      <c r="P134" s="50" t="str">
        <f t="shared" si="14"/>
        <v/>
      </c>
      <c r="Q134" s="43" t="str">
        <f t="shared" si="15"/>
        <v/>
      </c>
    </row>
    <row r="135" spans="1:17" x14ac:dyDescent="0.25">
      <c r="A135" s="4"/>
      <c r="B135" s="35"/>
      <c r="C135" s="5"/>
      <c r="D135" s="6"/>
      <c r="E135" s="23" t="str">
        <f>IF(D135="","",IFERROR(VLOOKUP(D135,Stammdaten!$A$8:$L$57,2,FALSE),"Artikel-ID prüfen"))</f>
        <v/>
      </c>
      <c r="F135" s="38"/>
      <c r="G135" s="42" t="str">
        <f>IF(D135="","",IFERROR(VLOOKUP(D135,Stammdaten!$A$8:$L$57,5,FALSE),0))</f>
        <v/>
      </c>
      <c r="H135" s="43" t="str">
        <f>IF(D135="","",IFERROR(VLOOKUP(D135,Stammdaten!$A$8:$L$57,6,FALSE),0))</f>
        <v/>
      </c>
      <c r="I135" s="4"/>
      <c r="J135" s="6"/>
      <c r="K135" s="27" t="str">
        <f>IF(J135="","",IFERROR(VLOOKUP(J135,Stammdaten!$N$8:$V$37,3,FALSE),"Partner-ID prüfen"))</f>
        <v/>
      </c>
      <c r="L135" s="28" t="str">
        <f>IF(D135="","",IFERROR(VLOOKUP(D135,Stammdaten!$A$8:$L$57,10,FALSE),""))</f>
        <v/>
      </c>
      <c r="M135" s="20"/>
      <c r="N135" s="47" t="str">
        <f t="shared" si="12"/>
        <v/>
      </c>
      <c r="O135" s="50" t="str">
        <f t="shared" si="13"/>
        <v/>
      </c>
      <c r="P135" s="50" t="str">
        <f t="shared" si="14"/>
        <v/>
      </c>
      <c r="Q135" s="43" t="str">
        <f t="shared" si="15"/>
        <v/>
      </c>
    </row>
    <row r="136" spans="1:17" x14ac:dyDescent="0.25">
      <c r="A136" s="4"/>
      <c r="B136" s="35"/>
      <c r="C136" s="5"/>
      <c r="D136" s="6"/>
      <c r="E136" s="23" t="str">
        <f>IF(D136="","",IFERROR(VLOOKUP(D136,Stammdaten!$A$8:$L$57,2,FALSE),"Artikel-ID prüfen"))</f>
        <v/>
      </c>
      <c r="F136" s="38"/>
      <c r="G136" s="42" t="str">
        <f>IF(D136="","",IFERROR(VLOOKUP(D136,Stammdaten!$A$8:$L$57,5,FALSE),0))</f>
        <v/>
      </c>
      <c r="H136" s="43" t="str">
        <f>IF(D136="","",IFERROR(VLOOKUP(D136,Stammdaten!$A$8:$L$57,6,FALSE),0))</f>
        <v/>
      </c>
      <c r="I136" s="4"/>
      <c r="J136" s="6"/>
      <c r="K136" s="27" t="str">
        <f>IF(J136="","",IFERROR(VLOOKUP(J136,Stammdaten!$N$8:$V$37,3,FALSE),"Partner-ID prüfen"))</f>
        <v/>
      </c>
      <c r="L136" s="28" t="str">
        <f>IF(D136="","",IFERROR(VLOOKUP(D136,Stammdaten!$A$8:$L$57,10,FALSE),""))</f>
        <v/>
      </c>
      <c r="M136" s="20"/>
      <c r="N136" s="47" t="str">
        <f t="shared" ref="N136:N167" si="16">IF(OR(C136="",F136=""),"",IF(OR(C136="Wareneingang",C136="Korrektur +"),F136,-F136))</f>
        <v/>
      </c>
      <c r="O136" s="50" t="str">
        <f t="shared" ref="O136:O167" si="17">IF(N136="","",N136*G136)</f>
        <v/>
      </c>
      <c r="P136" s="50" t="str">
        <f t="shared" ref="P136:P167" si="18">IF(C136="","",IF(C136="Warenausgang",F136*H136,0))</f>
        <v/>
      </c>
      <c r="Q136" s="43" t="str">
        <f t="shared" ref="Q136:Q167" si="19">IF(C136="","",IF(C136="Warenausgang",F136*G136,0))</f>
        <v/>
      </c>
    </row>
    <row r="137" spans="1:17" x14ac:dyDescent="0.25">
      <c r="A137" s="4"/>
      <c r="B137" s="35"/>
      <c r="C137" s="5"/>
      <c r="D137" s="6"/>
      <c r="E137" s="23" t="str">
        <f>IF(D137="","",IFERROR(VLOOKUP(D137,Stammdaten!$A$8:$L$57,2,FALSE),"Artikel-ID prüfen"))</f>
        <v/>
      </c>
      <c r="F137" s="38"/>
      <c r="G137" s="42" t="str">
        <f>IF(D137="","",IFERROR(VLOOKUP(D137,Stammdaten!$A$8:$L$57,5,FALSE),0))</f>
        <v/>
      </c>
      <c r="H137" s="43" t="str">
        <f>IF(D137="","",IFERROR(VLOOKUP(D137,Stammdaten!$A$8:$L$57,6,FALSE),0))</f>
        <v/>
      </c>
      <c r="I137" s="4"/>
      <c r="J137" s="6"/>
      <c r="K137" s="27" t="str">
        <f>IF(J137="","",IFERROR(VLOOKUP(J137,Stammdaten!$N$8:$V$37,3,FALSE),"Partner-ID prüfen"))</f>
        <v/>
      </c>
      <c r="L137" s="28" t="str">
        <f>IF(D137="","",IFERROR(VLOOKUP(D137,Stammdaten!$A$8:$L$57,10,FALSE),""))</f>
        <v/>
      </c>
      <c r="M137" s="20"/>
      <c r="N137" s="47" t="str">
        <f t="shared" si="16"/>
        <v/>
      </c>
      <c r="O137" s="50" t="str">
        <f t="shared" si="17"/>
        <v/>
      </c>
      <c r="P137" s="50" t="str">
        <f t="shared" si="18"/>
        <v/>
      </c>
      <c r="Q137" s="43" t="str">
        <f t="shared" si="19"/>
        <v/>
      </c>
    </row>
    <row r="138" spans="1:17" x14ac:dyDescent="0.25">
      <c r="A138" s="4"/>
      <c r="B138" s="35"/>
      <c r="C138" s="5"/>
      <c r="D138" s="6"/>
      <c r="E138" s="23" t="str">
        <f>IF(D138="","",IFERROR(VLOOKUP(D138,Stammdaten!$A$8:$L$57,2,FALSE),"Artikel-ID prüfen"))</f>
        <v/>
      </c>
      <c r="F138" s="38"/>
      <c r="G138" s="42" t="str">
        <f>IF(D138="","",IFERROR(VLOOKUP(D138,Stammdaten!$A$8:$L$57,5,FALSE),0))</f>
        <v/>
      </c>
      <c r="H138" s="43" t="str">
        <f>IF(D138="","",IFERROR(VLOOKUP(D138,Stammdaten!$A$8:$L$57,6,FALSE),0))</f>
        <v/>
      </c>
      <c r="I138" s="4"/>
      <c r="J138" s="6"/>
      <c r="K138" s="27" t="str">
        <f>IF(J138="","",IFERROR(VLOOKUP(J138,Stammdaten!$N$8:$V$37,3,FALSE),"Partner-ID prüfen"))</f>
        <v/>
      </c>
      <c r="L138" s="28" t="str">
        <f>IF(D138="","",IFERROR(VLOOKUP(D138,Stammdaten!$A$8:$L$57,10,FALSE),""))</f>
        <v/>
      </c>
      <c r="M138" s="20"/>
      <c r="N138" s="47" t="str">
        <f t="shared" si="16"/>
        <v/>
      </c>
      <c r="O138" s="50" t="str">
        <f t="shared" si="17"/>
        <v/>
      </c>
      <c r="P138" s="50" t="str">
        <f t="shared" si="18"/>
        <v/>
      </c>
      <c r="Q138" s="43" t="str">
        <f t="shared" si="19"/>
        <v/>
      </c>
    </row>
    <row r="139" spans="1:17" x14ac:dyDescent="0.25">
      <c r="A139" s="4"/>
      <c r="B139" s="35"/>
      <c r="C139" s="5"/>
      <c r="D139" s="6"/>
      <c r="E139" s="23" t="str">
        <f>IF(D139="","",IFERROR(VLOOKUP(D139,Stammdaten!$A$8:$L$57,2,FALSE),"Artikel-ID prüfen"))</f>
        <v/>
      </c>
      <c r="F139" s="38"/>
      <c r="G139" s="42" t="str">
        <f>IF(D139="","",IFERROR(VLOOKUP(D139,Stammdaten!$A$8:$L$57,5,FALSE),0))</f>
        <v/>
      </c>
      <c r="H139" s="43" t="str">
        <f>IF(D139="","",IFERROR(VLOOKUP(D139,Stammdaten!$A$8:$L$57,6,FALSE),0))</f>
        <v/>
      </c>
      <c r="I139" s="4"/>
      <c r="J139" s="6"/>
      <c r="K139" s="27" t="str">
        <f>IF(J139="","",IFERROR(VLOOKUP(J139,Stammdaten!$N$8:$V$37,3,FALSE),"Partner-ID prüfen"))</f>
        <v/>
      </c>
      <c r="L139" s="28" t="str">
        <f>IF(D139="","",IFERROR(VLOOKUP(D139,Stammdaten!$A$8:$L$57,10,FALSE),""))</f>
        <v/>
      </c>
      <c r="M139" s="20"/>
      <c r="N139" s="47" t="str">
        <f t="shared" si="16"/>
        <v/>
      </c>
      <c r="O139" s="50" t="str">
        <f t="shared" si="17"/>
        <v/>
      </c>
      <c r="P139" s="50" t="str">
        <f t="shared" si="18"/>
        <v/>
      </c>
      <c r="Q139" s="43" t="str">
        <f t="shared" si="19"/>
        <v/>
      </c>
    </row>
    <row r="140" spans="1:17" x14ac:dyDescent="0.25">
      <c r="A140" s="4"/>
      <c r="B140" s="35"/>
      <c r="C140" s="5"/>
      <c r="D140" s="6"/>
      <c r="E140" s="23" t="str">
        <f>IF(D140="","",IFERROR(VLOOKUP(D140,Stammdaten!$A$8:$L$57,2,FALSE),"Artikel-ID prüfen"))</f>
        <v/>
      </c>
      <c r="F140" s="38"/>
      <c r="G140" s="42" t="str">
        <f>IF(D140="","",IFERROR(VLOOKUP(D140,Stammdaten!$A$8:$L$57,5,FALSE),0))</f>
        <v/>
      </c>
      <c r="H140" s="43" t="str">
        <f>IF(D140="","",IFERROR(VLOOKUP(D140,Stammdaten!$A$8:$L$57,6,FALSE),0))</f>
        <v/>
      </c>
      <c r="I140" s="4"/>
      <c r="J140" s="6"/>
      <c r="K140" s="27" t="str">
        <f>IF(J140="","",IFERROR(VLOOKUP(J140,Stammdaten!$N$8:$V$37,3,FALSE),"Partner-ID prüfen"))</f>
        <v/>
      </c>
      <c r="L140" s="28" t="str">
        <f>IF(D140="","",IFERROR(VLOOKUP(D140,Stammdaten!$A$8:$L$57,10,FALSE),""))</f>
        <v/>
      </c>
      <c r="M140" s="20"/>
      <c r="N140" s="47" t="str">
        <f t="shared" si="16"/>
        <v/>
      </c>
      <c r="O140" s="50" t="str">
        <f t="shared" si="17"/>
        <v/>
      </c>
      <c r="P140" s="50" t="str">
        <f t="shared" si="18"/>
        <v/>
      </c>
      <c r="Q140" s="43" t="str">
        <f t="shared" si="19"/>
        <v/>
      </c>
    </row>
    <row r="141" spans="1:17" x14ac:dyDescent="0.25">
      <c r="A141" s="4"/>
      <c r="B141" s="35"/>
      <c r="C141" s="5"/>
      <c r="D141" s="6"/>
      <c r="E141" s="23" t="str">
        <f>IF(D141="","",IFERROR(VLOOKUP(D141,Stammdaten!$A$8:$L$57,2,FALSE),"Artikel-ID prüfen"))</f>
        <v/>
      </c>
      <c r="F141" s="38"/>
      <c r="G141" s="42" t="str">
        <f>IF(D141="","",IFERROR(VLOOKUP(D141,Stammdaten!$A$8:$L$57,5,FALSE),0))</f>
        <v/>
      </c>
      <c r="H141" s="43" t="str">
        <f>IF(D141="","",IFERROR(VLOOKUP(D141,Stammdaten!$A$8:$L$57,6,FALSE),0))</f>
        <v/>
      </c>
      <c r="I141" s="4"/>
      <c r="J141" s="6"/>
      <c r="K141" s="27" t="str">
        <f>IF(J141="","",IFERROR(VLOOKUP(J141,Stammdaten!$N$8:$V$37,3,FALSE),"Partner-ID prüfen"))</f>
        <v/>
      </c>
      <c r="L141" s="28" t="str">
        <f>IF(D141="","",IFERROR(VLOOKUP(D141,Stammdaten!$A$8:$L$57,10,FALSE),""))</f>
        <v/>
      </c>
      <c r="M141" s="20"/>
      <c r="N141" s="47" t="str">
        <f t="shared" si="16"/>
        <v/>
      </c>
      <c r="O141" s="50" t="str">
        <f t="shared" si="17"/>
        <v/>
      </c>
      <c r="P141" s="50" t="str">
        <f t="shared" si="18"/>
        <v/>
      </c>
      <c r="Q141" s="43" t="str">
        <f t="shared" si="19"/>
        <v/>
      </c>
    </row>
    <row r="142" spans="1:17" x14ac:dyDescent="0.25">
      <c r="A142" s="4"/>
      <c r="B142" s="35"/>
      <c r="C142" s="5"/>
      <c r="D142" s="6"/>
      <c r="E142" s="23" t="str">
        <f>IF(D142="","",IFERROR(VLOOKUP(D142,Stammdaten!$A$8:$L$57,2,FALSE),"Artikel-ID prüfen"))</f>
        <v/>
      </c>
      <c r="F142" s="38"/>
      <c r="G142" s="42" t="str">
        <f>IF(D142="","",IFERROR(VLOOKUP(D142,Stammdaten!$A$8:$L$57,5,FALSE),0))</f>
        <v/>
      </c>
      <c r="H142" s="43" t="str">
        <f>IF(D142="","",IFERROR(VLOOKUP(D142,Stammdaten!$A$8:$L$57,6,FALSE),0))</f>
        <v/>
      </c>
      <c r="I142" s="4"/>
      <c r="J142" s="6"/>
      <c r="K142" s="27" t="str">
        <f>IF(J142="","",IFERROR(VLOOKUP(J142,Stammdaten!$N$8:$V$37,3,FALSE),"Partner-ID prüfen"))</f>
        <v/>
      </c>
      <c r="L142" s="28" t="str">
        <f>IF(D142="","",IFERROR(VLOOKUP(D142,Stammdaten!$A$8:$L$57,10,FALSE),""))</f>
        <v/>
      </c>
      <c r="M142" s="20"/>
      <c r="N142" s="47" t="str">
        <f t="shared" si="16"/>
        <v/>
      </c>
      <c r="O142" s="50" t="str">
        <f t="shared" si="17"/>
        <v/>
      </c>
      <c r="P142" s="50" t="str">
        <f t="shared" si="18"/>
        <v/>
      </c>
      <c r="Q142" s="43" t="str">
        <f t="shared" si="19"/>
        <v/>
      </c>
    </row>
    <row r="143" spans="1:17" x14ac:dyDescent="0.25">
      <c r="A143" s="4"/>
      <c r="B143" s="35"/>
      <c r="C143" s="5"/>
      <c r="D143" s="6"/>
      <c r="E143" s="23" t="str">
        <f>IF(D143="","",IFERROR(VLOOKUP(D143,Stammdaten!$A$8:$L$57,2,FALSE),"Artikel-ID prüfen"))</f>
        <v/>
      </c>
      <c r="F143" s="38"/>
      <c r="G143" s="42" t="str">
        <f>IF(D143="","",IFERROR(VLOOKUP(D143,Stammdaten!$A$8:$L$57,5,FALSE),0))</f>
        <v/>
      </c>
      <c r="H143" s="43" t="str">
        <f>IF(D143="","",IFERROR(VLOOKUP(D143,Stammdaten!$A$8:$L$57,6,FALSE),0))</f>
        <v/>
      </c>
      <c r="I143" s="4"/>
      <c r="J143" s="6"/>
      <c r="K143" s="27" t="str">
        <f>IF(J143="","",IFERROR(VLOOKUP(J143,Stammdaten!$N$8:$V$37,3,FALSE),"Partner-ID prüfen"))</f>
        <v/>
      </c>
      <c r="L143" s="28" t="str">
        <f>IF(D143="","",IFERROR(VLOOKUP(D143,Stammdaten!$A$8:$L$57,10,FALSE),""))</f>
        <v/>
      </c>
      <c r="M143" s="20"/>
      <c r="N143" s="47" t="str">
        <f t="shared" si="16"/>
        <v/>
      </c>
      <c r="O143" s="50" t="str">
        <f t="shared" si="17"/>
        <v/>
      </c>
      <c r="P143" s="50" t="str">
        <f t="shared" si="18"/>
        <v/>
      </c>
      <c r="Q143" s="43" t="str">
        <f t="shared" si="19"/>
        <v/>
      </c>
    </row>
    <row r="144" spans="1:17" x14ac:dyDescent="0.25">
      <c r="A144" s="4"/>
      <c r="B144" s="35"/>
      <c r="C144" s="5"/>
      <c r="D144" s="6"/>
      <c r="E144" s="23" t="str">
        <f>IF(D144="","",IFERROR(VLOOKUP(D144,Stammdaten!$A$8:$L$57,2,FALSE),"Artikel-ID prüfen"))</f>
        <v/>
      </c>
      <c r="F144" s="38"/>
      <c r="G144" s="42" t="str">
        <f>IF(D144="","",IFERROR(VLOOKUP(D144,Stammdaten!$A$8:$L$57,5,FALSE),0))</f>
        <v/>
      </c>
      <c r="H144" s="43" t="str">
        <f>IF(D144="","",IFERROR(VLOOKUP(D144,Stammdaten!$A$8:$L$57,6,FALSE),0))</f>
        <v/>
      </c>
      <c r="I144" s="4"/>
      <c r="J144" s="6"/>
      <c r="K144" s="27" t="str">
        <f>IF(J144="","",IFERROR(VLOOKUP(J144,Stammdaten!$N$8:$V$37,3,FALSE),"Partner-ID prüfen"))</f>
        <v/>
      </c>
      <c r="L144" s="28" t="str">
        <f>IF(D144="","",IFERROR(VLOOKUP(D144,Stammdaten!$A$8:$L$57,10,FALSE),""))</f>
        <v/>
      </c>
      <c r="M144" s="20"/>
      <c r="N144" s="47" t="str">
        <f t="shared" si="16"/>
        <v/>
      </c>
      <c r="O144" s="50" t="str">
        <f t="shared" si="17"/>
        <v/>
      </c>
      <c r="P144" s="50" t="str">
        <f t="shared" si="18"/>
        <v/>
      </c>
      <c r="Q144" s="43" t="str">
        <f t="shared" si="19"/>
        <v/>
      </c>
    </row>
    <row r="145" spans="1:17" x14ac:dyDescent="0.25">
      <c r="A145" s="4"/>
      <c r="B145" s="35"/>
      <c r="C145" s="5"/>
      <c r="D145" s="6"/>
      <c r="E145" s="23" t="str">
        <f>IF(D145="","",IFERROR(VLOOKUP(D145,Stammdaten!$A$8:$L$57,2,FALSE),"Artikel-ID prüfen"))</f>
        <v/>
      </c>
      <c r="F145" s="38"/>
      <c r="G145" s="42" t="str">
        <f>IF(D145="","",IFERROR(VLOOKUP(D145,Stammdaten!$A$8:$L$57,5,FALSE),0))</f>
        <v/>
      </c>
      <c r="H145" s="43" t="str">
        <f>IF(D145="","",IFERROR(VLOOKUP(D145,Stammdaten!$A$8:$L$57,6,FALSE),0))</f>
        <v/>
      </c>
      <c r="I145" s="4"/>
      <c r="J145" s="6"/>
      <c r="K145" s="27" t="str">
        <f>IF(J145="","",IFERROR(VLOOKUP(J145,Stammdaten!$N$8:$V$37,3,FALSE),"Partner-ID prüfen"))</f>
        <v/>
      </c>
      <c r="L145" s="28" t="str">
        <f>IF(D145="","",IFERROR(VLOOKUP(D145,Stammdaten!$A$8:$L$57,10,FALSE),""))</f>
        <v/>
      </c>
      <c r="M145" s="20"/>
      <c r="N145" s="47" t="str">
        <f t="shared" si="16"/>
        <v/>
      </c>
      <c r="O145" s="50" t="str">
        <f t="shared" si="17"/>
        <v/>
      </c>
      <c r="P145" s="50" t="str">
        <f t="shared" si="18"/>
        <v/>
      </c>
      <c r="Q145" s="43" t="str">
        <f t="shared" si="19"/>
        <v/>
      </c>
    </row>
    <row r="146" spans="1:17" x14ac:dyDescent="0.25">
      <c r="A146" s="4"/>
      <c r="B146" s="35"/>
      <c r="C146" s="5"/>
      <c r="D146" s="6"/>
      <c r="E146" s="23" t="str">
        <f>IF(D146="","",IFERROR(VLOOKUP(D146,Stammdaten!$A$8:$L$57,2,FALSE),"Artikel-ID prüfen"))</f>
        <v/>
      </c>
      <c r="F146" s="38"/>
      <c r="G146" s="42" t="str">
        <f>IF(D146="","",IFERROR(VLOOKUP(D146,Stammdaten!$A$8:$L$57,5,FALSE),0))</f>
        <v/>
      </c>
      <c r="H146" s="43" t="str">
        <f>IF(D146="","",IFERROR(VLOOKUP(D146,Stammdaten!$A$8:$L$57,6,FALSE),0))</f>
        <v/>
      </c>
      <c r="I146" s="4"/>
      <c r="J146" s="6"/>
      <c r="K146" s="27" t="str">
        <f>IF(J146="","",IFERROR(VLOOKUP(J146,Stammdaten!$N$8:$V$37,3,FALSE),"Partner-ID prüfen"))</f>
        <v/>
      </c>
      <c r="L146" s="28" t="str">
        <f>IF(D146="","",IFERROR(VLOOKUP(D146,Stammdaten!$A$8:$L$57,10,FALSE),""))</f>
        <v/>
      </c>
      <c r="M146" s="20"/>
      <c r="N146" s="47" t="str">
        <f t="shared" si="16"/>
        <v/>
      </c>
      <c r="O146" s="50" t="str">
        <f t="shared" si="17"/>
        <v/>
      </c>
      <c r="P146" s="50" t="str">
        <f t="shared" si="18"/>
        <v/>
      </c>
      <c r="Q146" s="43" t="str">
        <f t="shared" si="19"/>
        <v/>
      </c>
    </row>
    <row r="147" spans="1:17" x14ac:dyDescent="0.25">
      <c r="A147" s="4"/>
      <c r="B147" s="35"/>
      <c r="C147" s="5"/>
      <c r="D147" s="6"/>
      <c r="E147" s="23" t="str">
        <f>IF(D147="","",IFERROR(VLOOKUP(D147,Stammdaten!$A$8:$L$57,2,FALSE),"Artikel-ID prüfen"))</f>
        <v/>
      </c>
      <c r="F147" s="38"/>
      <c r="G147" s="42" t="str">
        <f>IF(D147="","",IFERROR(VLOOKUP(D147,Stammdaten!$A$8:$L$57,5,FALSE),0))</f>
        <v/>
      </c>
      <c r="H147" s="43" t="str">
        <f>IF(D147="","",IFERROR(VLOOKUP(D147,Stammdaten!$A$8:$L$57,6,FALSE),0))</f>
        <v/>
      </c>
      <c r="I147" s="4"/>
      <c r="J147" s="6"/>
      <c r="K147" s="27" t="str">
        <f>IF(J147="","",IFERROR(VLOOKUP(J147,Stammdaten!$N$8:$V$37,3,FALSE),"Partner-ID prüfen"))</f>
        <v/>
      </c>
      <c r="L147" s="28" t="str">
        <f>IF(D147="","",IFERROR(VLOOKUP(D147,Stammdaten!$A$8:$L$57,10,FALSE),""))</f>
        <v/>
      </c>
      <c r="M147" s="20"/>
      <c r="N147" s="47" t="str">
        <f t="shared" si="16"/>
        <v/>
      </c>
      <c r="O147" s="50" t="str">
        <f t="shared" si="17"/>
        <v/>
      </c>
      <c r="P147" s="50" t="str">
        <f t="shared" si="18"/>
        <v/>
      </c>
      <c r="Q147" s="43" t="str">
        <f t="shared" si="19"/>
        <v/>
      </c>
    </row>
    <row r="148" spans="1:17" x14ac:dyDescent="0.25">
      <c r="A148" s="4"/>
      <c r="B148" s="35"/>
      <c r="C148" s="5"/>
      <c r="D148" s="6"/>
      <c r="E148" s="23" t="str">
        <f>IF(D148="","",IFERROR(VLOOKUP(D148,Stammdaten!$A$8:$L$57,2,FALSE),"Artikel-ID prüfen"))</f>
        <v/>
      </c>
      <c r="F148" s="38"/>
      <c r="G148" s="42" t="str">
        <f>IF(D148="","",IFERROR(VLOOKUP(D148,Stammdaten!$A$8:$L$57,5,FALSE),0))</f>
        <v/>
      </c>
      <c r="H148" s="43" t="str">
        <f>IF(D148="","",IFERROR(VLOOKUP(D148,Stammdaten!$A$8:$L$57,6,FALSE),0))</f>
        <v/>
      </c>
      <c r="I148" s="4"/>
      <c r="J148" s="6"/>
      <c r="K148" s="27" t="str">
        <f>IF(J148="","",IFERROR(VLOOKUP(J148,Stammdaten!$N$8:$V$37,3,FALSE),"Partner-ID prüfen"))</f>
        <v/>
      </c>
      <c r="L148" s="28" t="str">
        <f>IF(D148="","",IFERROR(VLOOKUP(D148,Stammdaten!$A$8:$L$57,10,FALSE),""))</f>
        <v/>
      </c>
      <c r="M148" s="20"/>
      <c r="N148" s="47" t="str">
        <f t="shared" si="16"/>
        <v/>
      </c>
      <c r="O148" s="50" t="str">
        <f t="shared" si="17"/>
        <v/>
      </c>
      <c r="P148" s="50" t="str">
        <f t="shared" si="18"/>
        <v/>
      </c>
      <c r="Q148" s="43" t="str">
        <f t="shared" si="19"/>
        <v/>
      </c>
    </row>
    <row r="149" spans="1:17" x14ac:dyDescent="0.25">
      <c r="A149" s="4"/>
      <c r="B149" s="35"/>
      <c r="C149" s="5"/>
      <c r="D149" s="6"/>
      <c r="E149" s="23" t="str">
        <f>IF(D149="","",IFERROR(VLOOKUP(D149,Stammdaten!$A$8:$L$57,2,FALSE),"Artikel-ID prüfen"))</f>
        <v/>
      </c>
      <c r="F149" s="38"/>
      <c r="G149" s="42" t="str">
        <f>IF(D149="","",IFERROR(VLOOKUP(D149,Stammdaten!$A$8:$L$57,5,FALSE),0))</f>
        <v/>
      </c>
      <c r="H149" s="43" t="str">
        <f>IF(D149="","",IFERROR(VLOOKUP(D149,Stammdaten!$A$8:$L$57,6,FALSE),0))</f>
        <v/>
      </c>
      <c r="I149" s="4"/>
      <c r="J149" s="6"/>
      <c r="K149" s="27" t="str">
        <f>IF(J149="","",IFERROR(VLOOKUP(J149,Stammdaten!$N$8:$V$37,3,FALSE),"Partner-ID prüfen"))</f>
        <v/>
      </c>
      <c r="L149" s="28" t="str">
        <f>IF(D149="","",IFERROR(VLOOKUP(D149,Stammdaten!$A$8:$L$57,10,FALSE),""))</f>
        <v/>
      </c>
      <c r="M149" s="20"/>
      <c r="N149" s="47" t="str">
        <f t="shared" si="16"/>
        <v/>
      </c>
      <c r="O149" s="50" t="str">
        <f t="shared" si="17"/>
        <v/>
      </c>
      <c r="P149" s="50" t="str">
        <f t="shared" si="18"/>
        <v/>
      </c>
      <c r="Q149" s="43" t="str">
        <f t="shared" si="19"/>
        <v/>
      </c>
    </row>
    <row r="150" spans="1:17" x14ac:dyDescent="0.25">
      <c r="A150" s="4"/>
      <c r="B150" s="35"/>
      <c r="C150" s="5"/>
      <c r="D150" s="6"/>
      <c r="E150" s="23" t="str">
        <f>IF(D150="","",IFERROR(VLOOKUP(D150,Stammdaten!$A$8:$L$57,2,FALSE),"Artikel-ID prüfen"))</f>
        <v/>
      </c>
      <c r="F150" s="38"/>
      <c r="G150" s="42" t="str">
        <f>IF(D150="","",IFERROR(VLOOKUP(D150,Stammdaten!$A$8:$L$57,5,FALSE),0))</f>
        <v/>
      </c>
      <c r="H150" s="43" t="str">
        <f>IF(D150="","",IFERROR(VLOOKUP(D150,Stammdaten!$A$8:$L$57,6,FALSE),0))</f>
        <v/>
      </c>
      <c r="I150" s="4"/>
      <c r="J150" s="6"/>
      <c r="K150" s="27" t="str">
        <f>IF(J150="","",IFERROR(VLOOKUP(J150,Stammdaten!$N$8:$V$37,3,FALSE),"Partner-ID prüfen"))</f>
        <v/>
      </c>
      <c r="L150" s="28" t="str">
        <f>IF(D150="","",IFERROR(VLOOKUP(D150,Stammdaten!$A$8:$L$57,10,FALSE),""))</f>
        <v/>
      </c>
      <c r="M150" s="20"/>
      <c r="N150" s="47" t="str">
        <f t="shared" si="16"/>
        <v/>
      </c>
      <c r="O150" s="50" t="str">
        <f t="shared" si="17"/>
        <v/>
      </c>
      <c r="P150" s="50" t="str">
        <f t="shared" si="18"/>
        <v/>
      </c>
      <c r="Q150" s="43" t="str">
        <f t="shared" si="19"/>
        <v/>
      </c>
    </row>
    <row r="151" spans="1:17" x14ac:dyDescent="0.25">
      <c r="A151" s="4"/>
      <c r="B151" s="35"/>
      <c r="C151" s="5"/>
      <c r="D151" s="6"/>
      <c r="E151" s="23" t="str">
        <f>IF(D151="","",IFERROR(VLOOKUP(D151,Stammdaten!$A$8:$L$57,2,FALSE),"Artikel-ID prüfen"))</f>
        <v/>
      </c>
      <c r="F151" s="38"/>
      <c r="G151" s="42" t="str">
        <f>IF(D151="","",IFERROR(VLOOKUP(D151,Stammdaten!$A$8:$L$57,5,FALSE),0))</f>
        <v/>
      </c>
      <c r="H151" s="43" t="str">
        <f>IF(D151="","",IFERROR(VLOOKUP(D151,Stammdaten!$A$8:$L$57,6,FALSE),0))</f>
        <v/>
      </c>
      <c r="I151" s="4"/>
      <c r="J151" s="6"/>
      <c r="K151" s="27" t="str">
        <f>IF(J151="","",IFERROR(VLOOKUP(J151,Stammdaten!$N$8:$V$37,3,FALSE),"Partner-ID prüfen"))</f>
        <v/>
      </c>
      <c r="L151" s="28" t="str">
        <f>IF(D151="","",IFERROR(VLOOKUP(D151,Stammdaten!$A$8:$L$57,10,FALSE),""))</f>
        <v/>
      </c>
      <c r="M151" s="20"/>
      <c r="N151" s="47" t="str">
        <f t="shared" si="16"/>
        <v/>
      </c>
      <c r="O151" s="50" t="str">
        <f t="shared" si="17"/>
        <v/>
      </c>
      <c r="P151" s="50" t="str">
        <f t="shared" si="18"/>
        <v/>
      </c>
      <c r="Q151" s="43" t="str">
        <f t="shared" si="19"/>
        <v/>
      </c>
    </row>
    <row r="152" spans="1:17" x14ac:dyDescent="0.25">
      <c r="A152" s="4"/>
      <c r="B152" s="35"/>
      <c r="C152" s="5"/>
      <c r="D152" s="6"/>
      <c r="E152" s="23" t="str">
        <f>IF(D152="","",IFERROR(VLOOKUP(D152,Stammdaten!$A$8:$L$57,2,FALSE),"Artikel-ID prüfen"))</f>
        <v/>
      </c>
      <c r="F152" s="38"/>
      <c r="G152" s="42" t="str">
        <f>IF(D152="","",IFERROR(VLOOKUP(D152,Stammdaten!$A$8:$L$57,5,FALSE),0))</f>
        <v/>
      </c>
      <c r="H152" s="43" t="str">
        <f>IF(D152="","",IFERROR(VLOOKUP(D152,Stammdaten!$A$8:$L$57,6,FALSE),0))</f>
        <v/>
      </c>
      <c r="I152" s="4"/>
      <c r="J152" s="6"/>
      <c r="K152" s="27" t="str">
        <f>IF(J152="","",IFERROR(VLOOKUP(J152,Stammdaten!$N$8:$V$37,3,FALSE),"Partner-ID prüfen"))</f>
        <v/>
      </c>
      <c r="L152" s="28" t="str">
        <f>IF(D152="","",IFERROR(VLOOKUP(D152,Stammdaten!$A$8:$L$57,10,FALSE),""))</f>
        <v/>
      </c>
      <c r="M152" s="20"/>
      <c r="N152" s="47" t="str">
        <f t="shared" si="16"/>
        <v/>
      </c>
      <c r="O152" s="50" t="str">
        <f t="shared" si="17"/>
        <v/>
      </c>
      <c r="P152" s="50" t="str">
        <f t="shared" si="18"/>
        <v/>
      </c>
      <c r="Q152" s="43" t="str">
        <f t="shared" si="19"/>
        <v/>
      </c>
    </row>
    <row r="153" spans="1:17" x14ac:dyDescent="0.25">
      <c r="A153" s="4"/>
      <c r="B153" s="35"/>
      <c r="C153" s="5"/>
      <c r="D153" s="6"/>
      <c r="E153" s="23" t="str">
        <f>IF(D153="","",IFERROR(VLOOKUP(D153,Stammdaten!$A$8:$L$57,2,FALSE),"Artikel-ID prüfen"))</f>
        <v/>
      </c>
      <c r="F153" s="38"/>
      <c r="G153" s="42" t="str">
        <f>IF(D153="","",IFERROR(VLOOKUP(D153,Stammdaten!$A$8:$L$57,5,FALSE),0))</f>
        <v/>
      </c>
      <c r="H153" s="43" t="str">
        <f>IF(D153="","",IFERROR(VLOOKUP(D153,Stammdaten!$A$8:$L$57,6,FALSE),0))</f>
        <v/>
      </c>
      <c r="I153" s="4"/>
      <c r="J153" s="6"/>
      <c r="K153" s="27" t="str">
        <f>IF(J153="","",IFERROR(VLOOKUP(J153,Stammdaten!$N$8:$V$37,3,FALSE),"Partner-ID prüfen"))</f>
        <v/>
      </c>
      <c r="L153" s="28" t="str">
        <f>IF(D153="","",IFERROR(VLOOKUP(D153,Stammdaten!$A$8:$L$57,10,FALSE),""))</f>
        <v/>
      </c>
      <c r="M153" s="20"/>
      <c r="N153" s="47" t="str">
        <f t="shared" si="16"/>
        <v/>
      </c>
      <c r="O153" s="50" t="str">
        <f t="shared" si="17"/>
        <v/>
      </c>
      <c r="P153" s="50" t="str">
        <f t="shared" si="18"/>
        <v/>
      </c>
      <c r="Q153" s="43" t="str">
        <f t="shared" si="19"/>
        <v/>
      </c>
    </row>
    <row r="154" spans="1:17" x14ac:dyDescent="0.25">
      <c r="A154" s="4"/>
      <c r="B154" s="35"/>
      <c r="C154" s="5"/>
      <c r="D154" s="6"/>
      <c r="E154" s="23" t="str">
        <f>IF(D154="","",IFERROR(VLOOKUP(D154,Stammdaten!$A$8:$L$57,2,FALSE),"Artikel-ID prüfen"))</f>
        <v/>
      </c>
      <c r="F154" s="38"/>
      <c r="G154" s="42" t="str">
        <f>IF(D154="","",IFERROR(VLOOKUP(D154,Stammdaten!$A$8:$L$57,5,FALSE),0))</f>
        <v/>
      </c>
      <c r="H154" s="43" t="str">
        <f>IF(D154="","",IFERROR(VLOOKUP(D154,Stammdaten!$A$8:$L$57,6,FALSE),0))</f>
        <v/>
      </c>
      <c r="I154" s="4"/>
      <c r="J154" s="6"/>
      <c r="K154" s="27" t="str">
        <f>IF(J154="","",IFERROR(VLOOKUP(J154,Stammdaten!$N$8:$V$37,3,FALSE),"Partner-ID prüfen"))</f>
        <v/>
      </c>
      <c r="L154" s="28" t="str">
        <f>IF(D154="","",IFERROR(VLOOKUP(D154,Stammdaten!$A$8:$L$57,10,FALSE),""))</f>
        <v/>
      </c>
      <c r="M154" s="20"/>
      <c r="N154" s="47" t="str">
        <f t="shared" si="16"/>
        <v/>
      </c>
      <c r="O154" s="50" t="str">
        <f t="shared" si="17"/>
        <v/>
      </c>
      <c r="P154" s="50" t="str">
        <f t="shared" si="18"/>
        <v/>
      </c>
      <c r="Q154" s="43" t="str">
        <f t="shared" si="19"/>
        <v/>
      </c>
    </row>
    <row r="155" spans="1:17" x14ac:dyDescent="0.25">
      <c r="A155" s="4"/>
      <c r="B155" s="35"/>
      <c r="C155" s="5"/>
      <c r="D155" s="6"/>
      <c r="E155" s="23" t="str">
        <f>IF(D155="","",IFERROR(VLOOKUP(D155,Stammdaten!$A$8:$L$57,2,FALSE),"Artikel-ID prüfen"))</f>
        <v/>
      </c>
      <c r="F155" s="38"/>
      <c r="G155" s="42" t="str">
        <f>IF(D155="","",IFERROR(VLOOKUP(D155,Stammdaten!$A$8:$L$57,5,FALSE),0))</f>
        <v/>
      </c>
      <c r="H155" s="43" t="str">
        <f>IF(D155="","",IFERROR(VLOOKUP(D155,Stammdaten!$A$8:$L$57,6,FALSE),0))</f>
        <v/>
      </c>
      <c r="I155" s="4"/>
      <c r="J155" s="6"/>
      <c r="K155" s="27" t="str">
        <f>IF(J155="","",IFERROR(VLOOKUP(J155,Stammdaten!$N$8:$V$37,3,FALSE),"Partner-ID prüfen"))</f>
        <v/>
      </c>
      <c r="L155" s="28" t="str">
        <f>IF(D155="","",IFERROR(VLOOKUP(D155,Stammdaten!$A$8:$L$57,10,FALSE),""))</f>
        <v/>
      </c>
      <c r="M155" s="20"/>
      <c r="N155" s="47" t="str">
        <f t="shared" si="16"/>
        <v/>
      </c>
      <c r="O155" s="50" t="str">
        <f t="shared" si="17"/>
        <v/>
      </c>
      <c r="P155" s="50" t="str">
        <f t="shared" si="18"/>
        <v/>
      </c>
      <c r="Q155" s="43" t="str">
        <f t="shared" si="19"/>
        <v/>
      </c>
    </row>
    <row r="156" spans="1:17" x14ac:dyDescent="0.25">
      <c r="A156" s="4"/>
      <c r="B156" s="35"/>
      <c r="C156" s="5"/>
      <c r="D156" s="6"/>
      <c r="E156" s="23" t="str">
        <f>IF(D156="","",IFERROR(VLOOKUP(D156,Stammdaten!$A$8:$L$57,2,FALSE),"Artikel-ID prüfen"))</f>
        <v/>
      </c>
      <c r="F156" s="38"/>
      <c r="G156" s="42" t="str">
        <f>IF(D156="","",IFERROR(VLOOKUP(D156,Stammdaten!$A$8:$L$57,5,FALSE),0))</f>
        <v/>
      </c>
      <c r="H156" s="43" t="str">
        <f>IF(D156="","",IFERROR(VLOOKUP(D156,Stammdaten!$A$8:$L$57,6,FALSE),0))</f>
        <v/>
      </c>
      <c r="I156" s="4"/>
      <c r="J156" s="6"/>
      <c r="K156" s="27" t="str">
        <f>IF(J156="","",IFERROR(VLOOKUP(J156,Stammdaten!$N$8:$V$37,3,FALSE),"Partner-ID prüfen"))</f>
        <v/>
      </c>
      <c r="L156" s="28" t="str">
        <f>IF(D156="","",IFERROR(VLOOKUP(D156,Stammdaten!$A$8:$L$57,10,FALSE),""))</f>
        <v/>
      </c>
      <c r="M156" s="20"/>
      <c r="N156" s="47" t="str">
        <f t="shared" si="16"/>
        <v/>
      </c>
      <c r="O156" s="50" t="str">
        <f t="shared" si="17"/>
        <v/>
      </c>
      <c r="P156" s="50" t="str">
        <f t="shared" si="18"/>
        <v/>
      </c>
      <c r="Q156" s="43" t="str">
        <f t="shared" si="19"/>
        <v/>
      </c>
    </row>
    <row r="157" spans="1:17" x14ac:dyDescent="0.25">
      <c r="A157" s="4"/>
      <c r="B157" s="35"/>
      <c r="C157" s="5"/>
      <c r="D157" s="6"/>
      <c r="E157" s="23" t="str">
        <f>IF(D157="","",IFERROR(VLOOKUP(D157,Stammdaten!$A$8:$L$57,2,FALSE),"Artikel-ID prüfen"))</f>
        <v/>
      </c>
      <c r="F157" s="38"/>
      <c r="G157" s="42" t="str">
        <f>IF(D157="","",IFERROR(VLOOKUP(D157,Stammdaten!$A$8:$L$57,5,FALSE),0))</f>
        <v/>
      </c>
      <c r="H157" s="43" t="str">
        <f>IF(D157="","",IFERROR(VLOOKUP(D157,Stammdaten!$A$8:$L$57,6,FALSE),0))</f>
        <v/>
      </c>
      <c r="I157" s="4"/>
      <c r="J157" s="6"/>
      <c r="K157" s="27" t="str">
        <f>IF(J157="","",IFERROR(VLOOKUP(J157,Stammdaten!$N$8:$V$37,3,FALSE),"Partner-ID prüfen"))</f>
        <v/>
      </c>
      <c r="L157" s="28" t="str">
        <f>IF(D157="","",IFERROR(VLOOKUP(D157,Stammdaten!$A$8:$L$57,10,FALSE),""))</f>
        <v/>
      </c>
      <c r="M157" s="20"/>
      <c r="N157" s="47" t="str">
        <f t="shared" si="16"/>
        <v/>
      </c>
      <c r="O157" s="50" t="str">
        <f t="shared" si="17"/>
        <v/>
      </c>
      <c r="P157" s="50" t="str">
        <f t="shared" si="18"/>
        <v/>
      </c>
      <c r="Q157" s="43" t="str">
        <f t="shared" si="19"/>
        <v/>
      </c>
    </row>
    <row r="158" spans="1:17" x14ac:dyDescent="0.25">
      <c r="A158" s="4"/>
      <c r="B158" s="35"/>
      <c r="C158" s="5"/>
      <c r="D158" s="6"/>
      <c r="E158" s="23" t="str">
        <f>IF(D158="","",IFERROR(VLOOKUP(D158,Stammdaten!$A$8:$L$57,2,FALSE),"Artikel-ID prüfen"))</f>
        <v/>
      </c>
      <c r="F158" s="38"/>
      <c r="G158" s="42" t="str">
        <f>IF(D158="","",IFERROR(VLOOKUP(D158,Stammdaten!$A$8:$L$57,5,FALSE),0))</f>
        <v/>
      </c>
      <c r="H158" s="43" t="str">
        <f>IF(D158="","",IFERROR(VLOOKUP(D158,Stammdaten!$A$8:$L$57,6,FALSE),0))</f>
        <v/>
      </c>
      <c r="I158" s="4"/>
      <c r="J158" s="6"/>
      <c r="K158" s="27" t="str">
        <f>IF(J158="","",IFERROR(VLOOKUP(J158,Stammdaten!$N$8:$V$37,3,FALSE),"Partner-ID prüfen"))</f>
        <v/>
      </c>
      <c r="L158" s="28" t="str">
        <f>IF(D158="","",IFERROR(VLOOKUP(D158,Stammdaten!$A$8:$L$57,10,FALSE),""))</f>
        <v/>
      </c>
      <c r="M158" s="20"/>
      <c r="N158" s="47" t="str">
        <f t="shared" si="16"/>
        <v/>
      </c>
      <c r="O158" s="50" t="str">
        <f t="shared" si="17"/>
        <v/>
      </c>
      <c r="P158" s="50" t="str">
        <f t="shared" si="18"/>
        <v/>
      </c>
      <c r="Q158" s="43" t="str">
        <f t="shared" si="19"/>
        <v/>
      </c>
    </row>
    <row r="159" spans="1:17" x14ac:dyDescent="0.25">
      <c r="A159" s="4"/>
      <c r="B159" s="35"/>
      <c r="C159" s="5"/>
      <c r="D159" s="6"/>
      <c r="E159" s="23" t="str">
        <f>IF(D159="","",IFERROR(VLOOKUP(D159,Stammdaten!$A$8:$L$57,2,FALSE),"Artikel-ID prüfen"))</f>
        <v/>
      </c>
      <c r="F159" s="38"/>
      <c r="G159" s="42" t="str">
        <f>IF(D159="","",IFERROR(VLOOKUP(D159,Stammdaten!$A$8:$L$57,5,FALSE),0))</f>
        <v/>
      </c>
      <c r="H159" s="43" t="str">
        <f>IF(D159="","",IFERROR(VLOOKUP(D159,Stammdaten!$A$8:$L$57,6,FALSE),0))</f>
        <v/>
      </c>
      <c r="I159" s="4"/>
      <c r="J159" s="6"/>
      <c r="K159" s="27" t="str">
        <f>IF(J159="","",IFERROR(VLOOKUP(J159,Stammdaten!$N$8:$V$37,3,FALSE),"Partner-ID prüfen"))</f>
        <v/>
      </c>
      <c r="L159" s="28" t="str">
        <f>IF(D159="","",IFERROR(VLOOKUP(D159,Stammdaten!$A$8:$L$57,10,FALSE),""))</f>
        <v/>
      </c>
      <c r="M159" s="20"/>
      <c r="N159" s="47" t="str">
        <f t="shared" si="16"/>
        <v/>
      </c>
      <c r="O159" s="50" t="str">
        <f t="shared" si="17"/>
        <v/>
      </c>
      <c r="P159" s="50" t="str">
        <f t="shared" si="18"/>
        <v/>
      </c>
      <c r="Q159" s="43" t="str">
        <f t="shared" si="19"/>
        <v/>
      </c>
    </row>
    <row r="160" spans="1:17" x14ac:dyDescent="0.25">
      <c r="A160" s="4"/>
      <c r="B160" s="35"/>
      <c r="C160" s="5"/>
      <c r="D160" s="6"/>
      <c r="E160" s="23" t="str">
        <f>IF(D160="","",IFERROR(VLOOKUP(D160,Stammdaten!$A$8:$L$57,2,FALSE),"Artikel-ID prüfen"))</f>
        <v/>
      </c>
      <c r="F160" s="38"/>
      <c r="G160" s="42" t="str">
        <f>IF(D160="","",IFERROR(VLOOKUP(D160,Stammdaten!$A$8:$L$57,5,FALSE),0))</f>
        <v/>
      </c>
      <c r="H160" s="43" t="str">
        <f>IF(D160="","",IFERROR(VLOOKUP(D160,Stammdaten!$A$8:$L$57,6,FALSE),0))</f>
        <v/>
      </c>
      <c r="I160" s="4"/>
      <c r="J160" s="6"/>
      <c r="K160" s="27" t="str">
        <f>IF(J160="","",IFERROR(VLOOKUP(J160,Stammdaten!$N$8:$V$37,3,FALSE),"Partner-ID prüfen"))</f>
        <v/>
      </c>
      <c r="L160" s="28" t="str">
        <f>IF(D160="","",IFERROR(VLOOKUP(D160,Stammdaten!$A$8:$L$57,10,FALSE),""))</f>
        <v/>
      </c>
      <c r="M160" s="20"/>
      <c r="N160" s="47" t="str">
        <f t="shared" si="16"/>
        <v/>
      </c>
      <c r="O160" s="50" t="str">
        <f t="shared" si="17"/>
        <v/>
      </c>
      <c r="P160" s="50" t="str">
        <f t="shared" si="18"/>
        <v/>
      </c>
      <c r="Q160" s="43" t="str">
        <f t="shared" si="19"/>
        <v/>
      </c>
    </row>
    <row r="161" spans="1:17" x14ac:dyDescent="0.25">
      <c r="A161" s="4"/>
      <c r="B161" s="35"/>
      <c r="C161" s="5"/>
      <c r="D161" s="6"/>
      <c r="E161" s="23" t="str">
        <f>IF(D161="","",IFERROR(VLOOKUP(D161,Stammdaten!$A$8:$L$57,2,FALSE),"Artikel-ID prüfen"))</f>
        <v/>
      </c>
      <c r="F161" s="38"/>
      <c r="G161" s="42" t="str">
        <f>IF(D161="","",IFERROR(VLOOKUP(D161,Stammdaten!$A$8:$L$57,5,FALSE),0))</f>
        <v/>
      </c>
      <c r="H161" s="43" t="str">
        <f>IF(D161="","",IFERROR(VLOOKUP(D161,Stammdaten!$A$8:$L$57,6,FALSE),0))</f>
        <v/>
      </c>
      <c r="I161" s="4"/>
      <c r="J161" s="6"/>
      <c r="K161" s="27" t="str">
        <f>IF(J161="","",IFERROR(VLOOKUP(J161,Stammdaten!$N$8:$V$37,3,FALSE),"Partner-ID prüfen"))</f>
        <v/>
      </c>
      <c r="L161" s="28" t="str">
        <f>IF(D161="","",IFERROR(VLOOKUP(D161,Stammdaten!$A$8:$L$57,10,FALSE),""))</f>
        <v/>
      </c>
      <c r="M161" s="20"/>
      <c r="N161" s="47" t="str">
        <f t="shared" si="16"/>
        <v/>
      </c>
      <c r="O161" s="50" t="str">
        <f t="shared" si="17"/>
        <v/>
      </c>
      <c r="P161" s="50" t="str">
        <f t="shared" si="18"/>
        <v/>
      </c>
      <c r="Q161" s="43" t="str">
        <f t="shared" si="19"/>
        <v/>
      </c>
    </row>
    <row r="162" spans="1:17" x14ac:dyDescent="0.25">
      <c r="A162" s="4"/>
      <c r="B162" s="35"/>
      <c r="C162" s="5"/>
      <c r="D162" s="6"/>
      <c r="E162" s="23" t="str">
        <f>IF(D162="","",IFERROR(VLOOKUP(D162,Stammdaten!$A$8:$L$57,2,FALSE),"Artikel-ID prüfen"))</f>
        <v/>
      </c>
      <c r="F162" s="38"/>
      <c r="G162" s="42" t="str">
        <f>IF(D162="","",IFERROR(VLOOKUP(D162,Stammdaten!$A$8:$L$57,5,FALSE),0))</f>
        <v/>
      </c>
      <c r="H162" s="43" t="str">
        <f>IF(D162="","",IFERROR(VLOOKUP(D162,Stammdaten!$A$8:$L$57,6,FALSE),0))</f>
        <v/>
      </c>
      <c r="I162" s="4"/>
      <c r="J162" s="6"/>
      <c r="K162" s="27" t="str">
        <f>IF(J162="","",IFERROR(VLOOKUP(J162,Stammdaten!$N$8:$V$37,3,FALSE),"Partner-ID prüfen"))</f>
        <v/>
      </c>
      <c r="L162" s="28" t="str">
        <f>IF(D162="","",IFERROR(VLOOKUP(D162,Stammdaten!$A$8:$L$57,10,FALSE),""))</f>
        <v/>
      </c>
      <c r="M162" s="20"/>
      <c r="N162" s="47" t="str">
        <f t="shared" si="16"/>
        <v/>
      </c>
      <c r="O162" s="50" t="str">
        <f t="shared" si="17"/>
        <v/>
      </c>
      <c r="P162" s="50" t="str">
        <f t="shared" si="18"/>
        <v/>
      </c>
      <c r="Q162" s="43" t="str">
        <f t="shared" si="19"/>
        <v/>
      </c>
    </row>
    <row r="163" spans="1:17" x14ac:dyDescent="0.25">
      <c r="A163" s="4"/>
      <c r="B163" s="35"/>
      <c r="C163" s="5"/>
      <c r="D163" s="6"/>
      <c r="E163" s="23" t="str">
        <f>IF(D163="","",IFERROR(VLOOKUP(D163,Stammdaten!$A$8:$L$57,2,FALSE),"Artikel-ID prüfen"))</f>
        <v/>
      </c>
      <c r="F163" s="38"/>
      <c r="G163" s="42" t="str">
        <f>IF(D163="","",IFERROR(VLOOKUP(D163,Stammdaten!$A$8:$L$57,5,FALSE),0))</f>
        <v/>
      </c>
      <c r="H163" s="43" t="str">
        <f>IF(D163="","",IFERROR(VLOOKUP(D163,Stammdaten!$A$8:$L$57,6,FALSE),0))</f>
        <v/>
      </c>
      <c r="I163" s="4"/>
      <c r="J163" s="6"/>
      <c r="K163" s="27" t="str">
        <f>IF(J163="","",IFERROR(VLOOKUP(J163,Stammdaten!$N$8:$V$37,3,FALSE),"Partner-ID prüfen"))</f>
        <v/>
      </c>
      <c r="L163" s="28" t="str">
        <f>IF(D163="","",IFERROR(VLOOKUP(D163,Stammdaten!$A$8:$L$57,10,FALSE),""))</f>
        <v/>
      </c>
      <c r="M163" s="20"/>
      <c r="N163" s="47" t="str">
        <f t="shared" si="16"/>
        <v/>
      </c>
      <c r="O163" s="50" t="str">
        <f t="shared" si="17"/>
        <v/>
      </c>
      <c r="P163" s="50" t="str">
        <f t="shared" si="18"/>
        <v/>
      </c>
      <c r="Q163" s="43" t="str">
        <f t="shared" si="19"/>
        <v/>
      </c>
    </row>
    <row r="164" spans="1:17" x14ac:dyDescent="0.25">
      <c r="A164" s="4"/>
      <c r="B164" s="35"/>
      <c r="C164" s="5"/>
      <c r="D164" s="6"/>
      <c r="E164" s="23" t="str">
        <f>IF(D164="","",IFERROR(VLOOKUP(D164,Stammdaten!$A$8:$L$57,2,FALSE),"Artikel-ID prüfen"))</f>
        <v/>
      </c>
      <c r="F164" s="38"/>
      <c r="G164" s="42" t="str">
        <f>IF(D164="","",IFERROR(VLOOKUP(D164,Stammdaten!$A$8:$L$57,5,FALSE),0))</f>
        <v/>
      </c>
      <c r="H164" s="43" t="str">
        <f>IF(D164="","",IFERROR(VLOOKUP(D164,Stammdaten!$A$8:$L$57,6,FALSE),0))</f>
        <v/>
      </c>
      <c r="I164" s="4"/>
      <c r="J164" s="6"/>
      <c r="K164" s="27" t="str">
        <f>IF(J164="","",IFERROR(VLOOKUP(J164,Stammdaten!$N$8:$V$37,3,FALSE),"Partner-ID prüfen"))</f>
        <v/>
      </c>
      <c r="L164" s="28" t="str">
        <f>IF(D164="","",IFERROR(VLOOKUP(D164,Stammdaten!$A$8:$L$57,10,FALSE),""))</f>
        <v/>
      </c>
      <c r="M164" s="20"/>
      <c r="N164" s="47" t="str">
        <f t="shared" si="16"/>
        <v/>
      </c>
      <c r="O164" s="50" t="str">
        <f t="shared" si="17"/>
        <v/>
      </c>
      <c r="P164" s="50" t="str">
        <f t="shared" si="18"/>
        <v/>
      </c>
      <c r="Q164" s="43" t="str">
        <f t="shared" si="19"/>
        <v/>
      </c>
    </row>
    <row r="165" spans="1:17" x14ac:dyDescent="0.25">
      <c r="A165" s="4"/>
      <c r="B165" s="35"/>
      <c r="C165" s="5"/>
      <c r="D165" s="6"/>
      <c r="E165" s="23" t="str">
        <f>IF(D165="","",IFERROR(VLOOKUP(D165,Stammdaten!$A$8:$L$57,2,FALSE),"Artikel-ID prüfen"))</f>
        <v/>
      </c>
      <c r="F165" s="38"/>
      <c r="G165" s="42" t="str">
        <f>IF(D165="","",IFERROR(VLOOKUP(D165,Stammdaten!$A$8:$L$57,5,FALSE),0))</f>
        <v/>
      </c>
      <c r="H165" s="43" t="str">
        <f>IF(D165="","",IFERROR(VLOOKUP(D165,Stammdaten!$A$8:$L$57,6,FALSE),0))</f>
        <v/>
      </c>
      <c r="I165" s="4"/>
      <c r="J165" s="6"/>
      <c r="K165" s="27" t="str">
        <f>IF(J165="","",IFERROR(VLOOKUP(J165,Stammdaten!$N$8:$V$37,3,FALSE),"Partner-ID prüfen"))</f>
        <v/>
      </c>
      <c r="L165" s="28" t="str">
        <f>IF(D165="","",IFERROR(VLOOKUP(D165,Stammdaten!$A$8:$L$57,10,FALSE),""))</f>
        <v/>
      </c>
      <c r="M165" s="20"/>
      <c r="N165" s="47" t="str">
        <f t="shared" si="16"/>
        <v/>
      </c>
      <c r="O165" s="50" t="str">
        <f t="shared" si="17"/>
        <v/>
      </c>
      <c r="P165" s="50" t="str">
        <f t="shared" si="18"/>
        <v/>
      </c>
      <c r="Q165" s="43" t="str">
        <f t="shared" si="19"/>
        <v/>
      </c>
    </row>
    <row r="166" spans="1:17" x14ac:dyDescent="0.25">
      <c r="A166" s="4"/>
      <c r="B166" s="35"/>
      <c r="C166" s="5"/>
      <c r="D166" s="6"/>
      <c r="E166" s="23" t="str">
        <f>IF(D166="","",IFERROR(VLOOKUP(D166,Stammdaten!$A$8:$L$57,2,FALSE),"Artikel-ID prüfen"))</f>
        <v/>
      </c>
      <c r="F166" s="38"/>
      <c r="G166" s="42" t="str">
        <f>IF(D166="","",IFERROR(VLOOKUP(D166,Stammdaten!$A$8:$L$57,5,FALSE),0))</f>
        <v/>
      </c>
      <c r="H166" s="43" t="str">
        <f>IF(D166="","",IFERROR(VLOOKUP(D166,Stammdaten!$A$8:$L$57,6,FALSE),0))</f>
        <v/>
      </c>
      <c r="I166" s="4"/>
      <c r="J166" s="6"/>
      <c r="K166" s="27" t="str">
        <f>IF(J166="","",IFERROR(VLOOKUP(J166,Stammdaten!$N$8:$V$37,3,FALSE),"Partner-ID prüfen"))</f>
        <v/>
      </c>
      <c r="L166" s="28" t="str">
        <f>IF(D166="","",IFERROR(VLOOKUP(D166,Stammdaten!$A$8:$L$57,10,FALSE),""))</f>
        <v/>
      </c>
      <c r="M166" s="20"/>
      <c r="N166" s="47" t="str">
        <f t="shared" si="16"/>
        <v/>
      </c>
      <c r="O166" s="50" t="str">
        <f t="shared" si="17"/>
        <v/>
      </c>
      <c r="P166" s="50" t="str">
        <f t="shared" si="18"/>
        <v/>
      </c>
      <c r="Q166" s="43" t="str">
        <f t="shared" si="19"/>
        <v/>
      </c>
    </row>
    <row r="167" spans="1:17" x14ac:dyDescent="0.25">
      <c r="A167" s="4"/>
      <c r="B167" s="35"/>
      <c r="C167" s="5"/>
      <c r="D167" s="6"/>
      <c r="E167" s="23" t="str">
        <f>IF(D167="","",IFERROR(VLOOKUP(D167,Stammdaten!$A$8:$L$57,2,FALSE),"Artikel-ID prüfen"))</f>
        <v/>
      </c>
      <c r="F167" s="38"/>
      <c r="G167" s="42" t="str">
        <f>IF(D167="","",IFERROR(VLOOKUP(D167,Stammdaten!$A$8:$L$57,5,FALSE),0))</f>
        <v/>
      </c>
      <c r="H167" s="43" t="str">
        <f>IF(D167="","",IFERROR(VLOOKUP(D167,Stammdaten!$A$8:$L$57,6,FALSE),0))</f>
        <v/>
      </c>
      <c r="I167" s="4"/>
      <c r="J167" s="6"/>
      <c r="K167" s="27" t="str">
        <f>IF(J167="","",IFERROR(VLOOKUP(J167,Stammdaten!$N$8:$V$37,3,FALSE),"Partner-ID prüfen"))</f>
        <v/>
      </c>
      <c r="L167" s="28" t="str">
        <f>IF(D167="","",IFERROR(VLOOKUP(D167,Stammdaten!$A$8:$L$57,10,FALSE),""))</f>
        <v/>
      </c>
      <c r="M167" s="20"/>
      <c r="N167" s="47" t="str">
        <f t="shared" si="16"/>
        <v/>
      </c>
      <c r="O167" s="50" t="str">
        <f t="shared" si="17"/>
        <v/>
      </c>
      <c r="P167" s="50" t="str">
        <f t="shared" si="18"/>
        <v/>
      </c>
      <c r="Q167" s="43" t="str">
        <f t="shared" si="19"/>
        <v/>
      </c>
    </row>
    <row r="168" spans="1:17" x14ac:dyDescent="0.25">
      <c r="A168" s="4"/>
      <c r="B168" s="35"/>
      <c r="C168" s="5"/>
      <c r="D168" s="6"/>
      <c r="E168" s="23" t="str">
        <f>IF(D168="","",IFERROR(VLOOKUP(D168,Stammdaten!$A$8:$L$57,2,FALSE),"Artikel-ID prüfen"))</f>
        <v/>
      </c>
      <c r="F168" s="38"/>
      <c r="G168" s="42" t="str">
        <f>IF(D168="","",IFERROR(VLOOKUP(D168,Stammdaten!$A$8:$L$57,5,FALSE),0))</f>
        <v/>
      </c>
      <c r="H168" s="43" t="str">
        <f>IF(D168="","",IFERROR(VLOOKUP(D168,Stammdaten!$A$8:$L$57,6,FALSE),0))</f>
        <v/>
      </c>
      <c r="I168" s="4"/>
      <c r="J168" s="6"/>
      <c r="K168" s="27" t="str">
        <f>IF(J168="","",IFERROR(VLOOKUP(J168,Stammdaten!$N$8:$V$37,3,FALSE),"Partner-ID prüfen"))</f>
        <v/>
      </c>
      <c r="L168" s="28" t="str">
        <f>IF(D168="","",IFERROR(VLOOKUP(D168,Stammdaten!$A$8:$L$57,10,FALSE),""))</f>
        <v/>
      </c>
      <c r="M168" s="20"/>
      <c r="N168" s="47" t="str">
        <f t="shared" ref="N168:N199" si="20">IF(OR(C168="",F168=""),"",IF(OR(C168="Wareneingang",C168="Korrektur +"),F168,-F168))</f>
        <v/>
      </c>
      <c r="O168" s="50" t="str">
        <f t="shared" ref="O168:O199" si="21">IF(N168="","",N168*G168)</f>
        <v/>
      </c>
      <c r="P168" s="50" t="str">
        <f t="shared" ref="P168:P199" si="22">IF(C168="","",IF(C168="Warenausgang",F168*H168,0))</f>
        <v/>
      </c>
      <c r="Q168" s="43" t="str">
        <f t="shared" ref="Q168:Q199" si="23">IF(C168="","",IF(C168="Warenausgang",F168*G168,0))</f>
        <v/>
      </c>
    </row>
    <row r="169" spans="1:17" x14ac:dyDescent="0.25">
      <c r="A169" s="4"/>
      <c r="B169" s="35"/>
      <c r="C169" s="5"/>
      <c r="D169" s="6"/>
      <c r="E169" s="23" t="str">
        <f>IF(D169="","",IFERROR(VLOOKUP(D169,Stammdaten!$A$8:$L$57,2,FALSE),"Artikel-ID prüfen"))</f>
        <v/>
      </c>
      <c r="F169" s="38"/>
      <c r="G169" s="42" t="str">
        <f>IF(D169="","",IFERROR(VLOOKUP(D169,Stammdaten!$A$8:$L$57,5,FALSE),0))</f>
        <v/>
      </c>
      <c r="H169" s="43" t="str">
        <f>IF(D169="","",IFERROR(VLOOKUP(D169,Stammdaten!$A$8:$L$57,6,FALSE),0))</f>
        <v/>
      </c>
      <c r="I169" s="4"/>
      <c r="J169" s="6"/>
      <c r="K169" s="27" t="str">
        <f>IF(J169="","",IFERROR(VLOOKUP(J169,Stammdaten!$N$8:$V$37,3,FALSE),"Partner-ID prüfen"))</f>
        <v/>
      </c>
      <c r="L169" s="28" t="str">
        <f>IF(D169="","",IFERROR(VLOOKUP(D169,Stammdaten!$A$8:$L$57,10,FALSE),""))</f>
        <v/>
      </c>
      <c r="M169" s="20"/>
      <c r="N169" s="47" t="str">
        <f t="shared" si="20"/>
        <v/>
      </c>
      <c r="O169" s="50" t="str">
        <f t="shared" si="21"/>
        <v/>
      </c>
      <c r="P169" s="50" t="str">
        <f t="shared" si="22"/>
        <v/>
      </c>
      <c r="Q169" s="43" t="str">
        <f t="shared" si="23"/>
        <v/>
      </c>
    </row>
    <row r="170" spans="1:17" x14ac:dyDescent="0.25">
      <c r="A170" s="4"/>
      <c r="B170" s="35"/>
      <c r="C170" s="5"/>
      <c r="D170" s="6"/>
      <c r="E170" s="23" t="str">
        <f>IF(D170="","",IFERROR(VLOOKUP(D170,Stammdaten!$A$8:$L$57,2,FALSE),"Artikel-ID prüfen"))</f>
        <v/>
      </c>
      <c r="F170" s="38"/>
      <c r="G170" s="42" t="str">
        <f>IF(D170="","",IFERROR(VLOOKUP(D170,Stammdaten!$A$8:$L$57,5,FALSE),0))</f>
        <v/>
      </c>
      <c r="H170" s="43" t="str">
        <f>IF(D170="","",IFERROR(VLOOKUP(D170,Stammdaten!$A$8:$L$57,6,FALSE),0))</f>
        <v/>
      </c>
      <c r="I170" s="4"/>
      <c r="J170" s="6"/>
      <c r="K170" s="27" t="str">
        <f>IF(J170="","",IFERROR(VLOOKUP(J170,Stammdaten!$N$8:$V$37,3,FALSE),"Partner-ID prüfen"))</f>
        <v/>
      </c>
      <c r="L170" s="28" t="str">
        <f>IF(D170="","",IFERROR(VLOOKUP(D170,Stammdaten!$A$8:$L$57,10,FALSE),""))</f>
        <v/>
      </c>
      <c r="M170" s="20"/>
      <c r="N170" s="47" t="str">
        <f t="shared" si="20"/>
        <v/>
      </c>
      <c r="O170" s="50" t="str">
        <f t="shared" si="21"/>
        <v/>
      </c>
      <c r="P170" s="50" t="str">
        <f t="shared" si="22"/>
        <v/>
      </c>
      <c r="Q170" s="43" t="str">
        <f t="shared" si="23"/>
        <v/>
      </c>
    </row>
    <row r="171" spans="1:17" x14ac:dyDescent="0.25">
      <c r="A171" s="4"/>
      <c r="B171" s="35"/>
      <c r="C171" s="5"/>
      <c r="D171" s="6"/>
      <c r="E171" s="23" t="str">
        <f>IF(D171="","",IFERROR(VLOOKUP(D171,Stammdaten!$A$8:$L$57,2,FALSE),"Artikel-ID prüfen"))</f>
        <v/>
      </c>
      <c r="F171" s="38"/>
      <c r="G171" s="42" t="str">
        <f>IF(D171="","",IFERROR(VLOOKUP(D171,Stammdaten!$A$8:$L$57,5,FALSE),0))</f>
        <v/>
      </c>
      <c r="H171" s="43" t="str">
        <f>IF(D171="","",IFERROR(VLOOKUP(D171,Stammdaten!$A$8:$L$57,6,FALSE),0))</f>
        <v/>
      </c>
      <c r="I171" s="4"/>
      <c r="J171" s="6"/>
      <c r="K171" s="27" t="str">
        <f>IF(J171="","",IFERROR(VLOOKUP(J171,Stammdaten!$N$8:$V$37,3,FALSE),"Partner-ID prüfen"))</f>
        <v/>
      </c>
      <c r="L171" s="28" t="str">
        <f>IF(D171="","",IFERROR(VLOOKUP(D171,Stammdaten!$A$8:$L$57,10,FALSE),""))</f>
        <v/>
      </c>
      <c r="M171" s="20"/>
      <c r="N171" s="47" t="str">
        <f t="shared" si="20"/>
        <v/>
      </c>
      <c r="O171" s="50" t="str">
        <f t="shared" si="21"/>
        <v/>
      </c>
      <c r="P171" s="50" t="str">
        <f t="shared" si="22"/>
        <v/>
      </c>
      <c r="Q171" s="43" t="str">
        <f t="shared" si="23"/>
        <v/>
      </c>
    </row>
    <row r="172" spans="1:17" x14ac:dyDescent="0.25">
      <c r="A172" s="4"/>
      <c r="B172" s="35"/>
      <c r="C172" s="5"/>
      <c r="D172" s="6"/>
      <c r="E172" s="23" t="str">
        <f>IF(D172="","",IFERROR(VLOOKUP(D172,Stammdaten!$A$8:$L$57,2,FALSE),"Artikel-ID prüfen"))</f>
        <v/>
      </c>
      <c r="F172" s="38"/>
      <c r="G172" s="42" t="str">
        <f>IF(D172="","",IFERROR(VLOOKUP(D172,Stammdaten!$A$8:$L$57,5,FALSE),0))</f>
        <v/>
      </c>
      <c r="H172" s="43" t="str">
        <f>IF(D172="","",IFERROR(VLOOKUP(D172,Stammdaten!$A$8:$L$57,6,FALSE),0))</f>
        <v/>
      </c>
      <c r="I172" s="4"/>
      <c r="J172" s="6"/>
      <c r="K172" s="27" t="str">
        <f>IF(J172="","",IFERROR(VLOOKUP(J172,Stammdaten!$N$8:$V$37,3,FALSE),"Partner-ID prüfen"))</f>
        <v/>
      </c>
      <c r="L172" s="28" t="str">
        <f>IF(D172="","",IFERROR(VLOOKUP(D172,Stammdaten!$A$8:$L$57,10,FALSE),""))</f>
        <v/>
      </c>
      <c r="M172" s="20"/>
      <c r="N172" s="47" t="str">
        <f t="shared" si="20"/>
        <v/>
      </c>
      <c r="O172" s="50" t="str">
        <f t="shared" si="21"/>
        <v/>
      </c>
      <c r="P172" s="50" t="str">
        <f t="shared" si="22"/>
        <v/>
      </c>
      <c r="Q172" s="43" t="str">
        <f t="shared" si="23"/>
        <v/>
      </c>
    </row>
    <row r="173" spans="1:17" x14ac:dyDescent="0.25">
      <c r="A173" s="4"/>
      <c r="B173" s="35"/>
      <c r="C173" s="5"/>
      <c r="D173" s="6"/>
      <c r="E173" s="23" t="str">
        <f>IF(D173="","",IFERROR(VLOOKUP(D173,Stammdaten!$A$8:$L$57,2,FALSE),"Artikel-ID prüfen"))</f>
        <v/>
      </c>
      <c r="F173" s="38"/>
      <c r="G173" s="42" t="str">
        <f>IF(D173="","",IFERROR(VLOOKUP(D173,Stammdaten!$A$8:$L$57,5,FALSE),0))</f>
        <v/>
      </c>
      <c r="H173" s="43" t="str">
        <f>IF(D173="","",IFERROR(VLOOKUP(D173,Stammdaten!$A$8:$L$57,6,FALSE),0))</f>
        <v/>
      </c>
      <c r="I173" s="4"/>
      <c r="J173" s="6"/>
      <c r="K173" s="27" t="str">
        <f>IF(J173="","",IFERROR(VLOOKUP(J173,Stammdaten!$N$8:$V$37,3,FALSE),"Partner-ID prüfen"))</f>
        <v/>
      </c>
      <c r="L173" s="28" t="str">
        <f>IF(D173="","",IFERROR(VLOOKUP(D173,Stammdaten!$A$8:$L$57,10,FALSE),""))</f>
        <v/>
      </c>
      <c r="M173" s="20"/>
      <c r="N173" s="47" t="str">
        <f t="shared" si="20"/>
        <v/>
      </c>
      <c r="O173" s="50" t="str">
        <f t="shared" si="21"/>
        <v/>
      </c>
      <c r="P173" s="50" t="str">
        <f t="shared" si="22"/>
        <v/>
      </c>
      <c r="Q173" s="43" t="str">
        <f t="shared" si="23"/>
        <v/>
      </c>
    </row>
    <row r="174" spans="1:17" x14ac:dyDescent="0.25">
      <c r="A174" s="4"/>
      <c r="B174" s="35"/>
      <c r="C174" s="5"/>
      <c r="D174" s="6"/>
      <c r="E174" s="23" t="str">
        <f>IF(D174="","",IFERROR(VLOOKUP(D174,Stammdaten!$A$8:$L$57,2,FALSE),"Artikel-ID prüfen"))</f>
        <v/>
      </c>
      <c r="F174" s="38"/>
      <c r="G174" s="42" t="str">
        <f>IF(D174="","",IFERROR(VLOOKUP(D174,Stammdaten!$A$8:$L$57,5,FALSE),0))</f>
        <v/>
      </c>
      <c r="H174" s="43" t="str">
        <f>IF(D174="","",IFERROR(VLOOKUP(D174,Stammdaten!$A$8:$L$57,6,FALSE),0))</f>
        <v/>
      </c>
      <c r="I174" s="4"/>
      <c r="J174" s="6"/>
      <c r="K174" s="27" t="str">
        <f>IF(J174="","",IFERROR(VLOOKUP(J174,Stammdaten!$N$8:$V$37,3,FALSE),"Partner-ID prüfen"))</f>
        <v/>
      </c>
      <c r="L174" s="28" t="str">
        <f>IF(D174="","",IFERROR(VLOOKUP(D174,Stammdaten!$A$8:$L$57,10,FALSE),""))</f>
        <v/>
      </c>
      <c r="M174" s="20"/>
      <c r="N174" s="47" t="str">
        <f t="shared" si="20"/>
        <v/>
      </c>
      <c r="O174" s="50" t="str">
        <f t="shared" si="21"/>
        <v/>
      </c>
      <c r="P174" s="50" t="str">
        <f t="shared" si="22"/>
        <v/>
      </c>
      <c r="Q174" s="43" t="str">
        <f t="shared" si="23"/>
        <v/>
      </c>
    </row>
    <row r="175" spans="1:17" x14ac:dyDescent="0.25">
      <c r="A175" s="4"/>
      <c r="B175" s="35"/>
      <c r="C175" s="5"/>
      <c r="D175" s="6"/>
      <c r="E175" s="23" t="str">
        <f>IF(D175="","",IFERROR(VLOOKUP(D175,Stammdaten!$A$8:$L$57,2,FALSE),"Artikel-ID prüfen"))</f>
        <v/>
      </c>
      <c r="F175" s="38"/>
      <c r="G175" s="42" t="str">
        <f>IF(D175="","",IFERROR(VLOOKUP(D175,Stammdaten!$A$8:$L$57,5,FALSE),0))</f>
        <v/>
      </c>
      <c r="H175" s="43" t="str">
        <f>IF(D175="","",IFERROR(VLOOKUP(D175,Stammdaten!$A$8:$L$57,6,FALSE),0))</f>
        <v/>
      </c>
      <c r="I175" s="4"/>
      <c r="J175" s="6"/>
      <c r="K175" s="27" t="str">
        <f>IF(J175="","",IFERROR(VLOOKUP(J175,Stammdaten!$N$8:$V$37,3,FALSE),"Partner-ID prüfen"))</f>
        <v/>
      </c>
      <c r="L175" s="28" t="str">
        <f>IF(D175="","",IFERROR(VLOOKUP(D175,Stammdaten!$A$8:$L$57,10,FALSE),""))</f>
        <v/>
      </c>
      <c r="M175" s="20"/>
      <c r="N175" s="47" t="str">
        <f t="shared" si="20"/>
        <v/>
      </c>
      <c r="O175" s="50" t="str">
        <f t="shared" si="21"/>
        <v/>
      </c>
      <c r="P175" s="50" t="str">
        <f t="shared" si="22"/>
        <v/>
      </c>
      <c r="Q175" s="43" t="str">
        <f t="shared" si="23"/>
        <v/>
      </c>
    </row>
    <row r="176" spans="1:17" x14ac:dyDescent="0.25">
      <c r="A176" s="4"/>
      <c r="B176" s="35"/>
      <c r="C176" s="5"/>
      <c r="D176" s="6"/>
      <c r="E176" s="23" t="str">
        <f>IF(D176="","",IFERROR(VLOOKUP(D176,Stammdaten!$A$8:$L$57,2,FALSE),"Artikel-ID prüfen"))</f>
        <v/>
      </c>
      <c r="F176" s="38"/>
      <c r="G176" s="42" t="str">
        <f>IF(D176="","",IFERROR(VLOOKUP(D176,Stammdaten!$A$8:$L$57,5,FALSE),0))</f>
        <v/>
      </c>
      <c r="H176" s="43" t="str">
        <f>IF(D176="","",IFERROR(VLOOKUP(D176,Stammdaten!$A$8:$L$57,6,FALSE),0))</f>
        <v/>
      </c>
      <c r="I176" s="4"/>
      <c r="J176" s="6"/>
      <c r="K176" s="27" t="str">
        <f>IF(J176="","",IFERROR(VLOOKUP(J176,Stammdaten!$N$8:$V$37,3,FALSE),"Partner-ID prüfen"))</f>
        <v/>
      </c>
      <c r="L176" s="28" t="str">
        <f>IF(D176="","",IFERROR(VLOOKUP(D176,Stammdaten!$A$8:$L$57,10,FALSE),""))</f>
        <v/>
      </c>
      <c r="M176" s="20"/>
      <c r="N176" s="47" t="str">
        <f t="shared" si="20"/>
        <v/>
      </c>
      <c r="O176" s="50" t="str">
        <f t="shared" si="21"/>
        <v/>
      </c>
      <c r="P176" s="50" t="str">
        <f t="shared" si="22"/>
        <v/>
      </c>
      <c r="Q176" s="43" t="str">
        <f t="shared" si="23"/>
        <v/>
      </c>
    </row>
    <row r="177" spans="1:17" x14ac:dyDescent="0.25">
      <c r="A177" s="4"/>
      <c r="B177" s="35"/>
      <c r="C177" s="5"/>
      <c r="D177" s="6"/>
      <c r="E177" s="23" t="str">
        <f>IF(D177="","",IFERROR(VLOOKUP(D177,Stammdaten!$A$8:$L$57,2,FALSE),"Artikel-ID prüfen"))</f>
        <v/>
      </c>
      <c r="F177" s="38"/>
      <c r="G177" s="42" t="str">
        <f>IF(D177="","",IFERROR(VLOOKUP(D177,Stammdaten!$A$8:$L$57,5,FALSE),0))</f>
        <v/>
      </c>
      <c r="H177" s="43" t="str">
        <f>IF(D177="","",IFERROR(VLOOKUP(D177,Stammdaten!$A$8:$L$57,6,FALSE),0))</f>
        <v/>
      </c>
      <c r="I177" s="4"/>
      <c r="J177" s="6"/>
      <c r="K177" s="27" t="str">
        <f>IF(J177="","",IFERROR(VLOOKUP(J177,Stammdaten!$N$8:$V$37,3,FALSE),"Partner-ID prüfen"))</f>
        <v/>
      </c>
      <c r="L177" s="28" t="str">
        <f>IF(D177="","",IFERROR(VLOOKUP(D177,Stammdaten!$A$8:$L$57,10,FALSE),""))</f>
        <v/>
      </c>
      <c r="M177" s="20"/>
      <c r="N177" s="47" t="str">
        <f t="shared" si="20"/>
        <v/>
      </c>
      <c r="O177" s="50" t="str">
        <f t="shared" si="21"/>
        <v/>
      </c>
      <c r="P177" s="50" t="str">
        <f t="shared" si="22"/>
        <v/>
      </c>
      <c r="Q177" s="43" t="str">
        <f t="shared" si="23"/>
        <v/>
      </c>
    </row>
    <row r="178" spans="1:17" x14ac:dyDescent="0.25">
      <c r="A178" s="4"/>
      <c r="B178" s="35"/>
      <c r="C178" s="5"/>
      <c r="D178" s="6"/>
      <c r="E178" s="23" t="str">
        <f>IF(D178="","",IFERROR(VLOOKUP(D178,Stammdaten!$A$8:$L$57,2,FALSE),"Artikel-ID prüfen"))</f>
        <v/>
      </c>
      <c r="F178" s="38"/>
      <c r="G178" s="42" t="str">
        <f>IF(D178="","",IFERROR(VLOOKUP(D178,Stammdaten!$A$8:$L$57,5,FALSE),0))</f>
        <v/>
      </c>
      <c r="H178" s="43" t="str">
        <f>IF(D178="","",IFERROR(VLOOKUP(D178,Stammdaten!$A$8:$L$57,6,FALSE),0))</f>
        <v/>
      </c>
      <c r="I178" s="4"/>
      <c r="J178" s="6"/>
      <c r="K178" s="27" t="str">
        <f>IF(J178="","",IFERROR(VLOOKUP(J178,Stammdaten!$N$8:$V$37,3,FALSE),"Partner-ID prüfen"))</f>
        <v/>
      </c>
      <c r="L178" s="28" t="str">
        <f>IF(D178="","",IFERROR(VLOOKUP(D178,Stammdaten!$A$8:$L$57,10,FALSE),""))</f>
        <v/>
      </c>
      <c r="M178" s="20"/>
      <c r="N178" s="47" t="str">
        <f t="shared" si="20"/>
        <v/>
      </c>
      <c r="O178" s="50" t="str">
        <f t="shared" si="21"/>
        <v/>
      </c>
      <c r="P178" s="50" t="str">
        <f t="shared" si="22"/>
        <v/>
      </c>
      <c r="Q178" s="43" t="str">
        <f t="shared" si="23"/>
        <v/>
      </c>
    </row>
    <row r="179" spans="1:17" x14ac:dyDescent="0.25">
      <c r="A179" s="4"/>
      <c r="B179" s="35"/>
      <c r="C179" s="5"/>
      <c r="D179" s="6"/>
      <c r="E179" s="23" t="str">
        <f>IF(D179="","",IFERROR(VLOOKUP(D179,Stammdaten!$A$8:$L$57,2,FALSE),"Artikel-ID prüfen"))</f>
        <v/>
      </c>
      <c r="F179" s="38"/>
      <c r="G179" s="42" t="str">
        <f>IF(D179="","",IFERROR(VLOOKUP(D179,Stammdaten!$A$8:$L$57,5,FALSE),0))</f>
        <v/>
      </c>
      <c r="H179" s="43" t="str">
        <f>IF(D179="","",IFERROR(VLOOKUP(D179,Stammdaten!$A$8:$L$57,6,FALSE),0))</f>
        <v/>
      </c>
      <c r="I179" s="4"/>
      <c r="J179" s="6"/>
      <c r="K179" s="27" t="str">
        <f>IF(J179="","",IFERROR(VLOOKUP(J179,Stammdaten!$N$8:$V$37,3,FALSE),"Partner-ID prüfen"))</f>
        <v/>
      </c>
      <c r="L179" s="28" t="str">
        <f>IF(D179="","",IFERROR(VLOOKUP(D179,Stammdaten!$A$8:$L$57,10,FALSE),""))</f>
        <v/>
      </c>
      <c r="M179" s="20"/>
      <c r="N179" s="47" t="str">
        <f t="shared" si="20"/>
        <v/>
      </c>
      <c r="O179" s="50" t="str">
        <f t="shared" si="21"/>
        <v/>
      </c>
      <c r="P179" s="50" t="str">
        <f t="shared" si="22"/>
        <v/>
      </c>
      <c r="Q179" s="43" t="str">
        <f t="shared" si="23"/>
        <v/>
      </c>
    </row>
    <row r="180" spans="1:17" x14ac:dyDescent="0.25">
      <c r="A180" s="4"/>
      <c r="B180" s="35"/>
      <c r="C180" s="5"/>
      <c r="D180" s="6"/>
      <c r="E180" s="23" t="str">
        <f>IF(D180="","",IFERROR(VLOOKUP(D180,Stammdaten!$A$8:$L$57,2,FALSE),"Artikel-ID prüfen"))</f>
        <v/>
      </c>
      <c r="F180" s="38"/>
      <c r="G180" s="42" t="str">
        <f>IF(D180="","",IFERROR(VLOOKUP(D180,Stammdaten!$A$8:$L$57,5,FALSE),0))</f>
        <v/>
      </c>
      <c r="H180" s="43" t="str">
        <f>IF(D180="","",IFERROR(VLOOKUP(D180,Stammdaten!$A$8:$L$57,6,FALSE),0))</f>
        <v/>
      </c>
      <c r="I180" s="4"/>
      <c r="J180" s="6"/>
      <c r="K180" s="27" t="str">
        <f>IF(J180="","",IFERROR(VLOOKUP(J180,Stammdaten!$N$8:$V$37,3,FALSE),"Partner-ID prüfen"))</f>
        <v/>
      </c>
      <c r="L180" s="28" t="str">
        <f>IF(D180="","",IFERROR(VLOOKUP(D180,Stammdaten!$A$8:$L$57,10,FALSE),""))</f>
        <v/>
      </c>
      <c r="M180" s="20"/>
      <c r="N180" s="47" t="str">
        <f t="shared" si="20"/>
        <v/>
      </c>
      <c r="O180" s="50" t="str">
        <f t="shared" si="21"/>
        <v/>
      </c>
      <c r="P180" s="50" t="str">
        <f t="shared" si="22"/>
        <v/>
      </c>
      <c r="Q180" s="43" t="str">
        <f t="shared" si="23"/>
        <v/>
      </c>
    </row>
    <row r="181" spans="1:17" x14ac:dyDescent="0.25">
      <c r="A181" s="4"/>
      <c r="B181" s="35"/>
      <c r="C181" s="5"/>
      <c r="D181" s="6"/>
      <c r="E181" s="23" t="str">
        <f>IF(D181="","",IFERROR(VLOOKUP(D181,Stammdaten!$A$8:$L$57,2,FALSE),"Artikel-ID prüfen"))</f>
        <v/>
      </c>
      <c r="F181" s="38"/>
      <c r="G181" s="42" t="str">
        <f>IF(D181="","",IFERROR(VLOOKUP(D181,Stammdaten!$A$8:$L$57,5,FALSE),0))</f>
        <v/>
      </c>
      <c r="H181" s="43" t="str">
        <f>IF(D181="","",IFERROR(VLOOKUP(D181,Stammdaten!$A$8:$L$57,6,FALSE),0))</f>
        <v/>
      </c>
      <c r="I181" s="4"/>
      <c r="J181" s="6"/>
      <c r="K181" s="27" t="str">
        <f>IF(J181="","",IFERROR(VLOOKUP(J181,Stammdaten!$N$8:$V$37,3,FALSE),"Partner-ID prüfen"))</f>
        <v/>
      </c>
      <c r="L181" s="28" t="str">
        <f>IF(D181="","",IFERROR(VLOOKUP(D181,Stammdaten!$A$8:$L$57,10,FALSE),""))</f>
        <v/>
      </c>
      <c r="M181" s="20"/>
      <c r="N181" s="47" t="str">
        <f t="shared" si="20"/>
        <v/>
      </c>
      <c r="O181" s="50" t="str">
        <f t="shared" si="21"/>
        <v/>
      </c>
      <c r="P181" s="50" t="str">
        <f t="shared" si="22"/>
        <v/>
      </c>
      <c r="Q181" s="43" t="str">
        <f t="shared" si="23"/>
        <v/>
      </c>
    </row>
    <row r="182" spans="1:17" x14ac:dyDescent="0.25">
      <c r="A182" s="4"/>
      <c r="B182" s="35"/>
      <c r="C182" s="5"/>
      <c r="D182" s="6"/>
      <c r="E182" s="23" t="str">
        <f>IF(D182="","",IFERROR(VLOOKUP(D182,Stammdaten!$A$8:$L$57,2,FALSE),"Artikel-ID prüfen"))</f>
        <v/>
      </c>
      <c r="F182" s="38"/>
      <c r="G182" s="42" t="str">
        <f>IF(D182="","",IFERROR(VLOOKUP(D182,Stammdaten!$A$8:$L$57,5,FALSE),0))</f>
        <v/>
      </c>
      <c r="H182" s="43" t="str">
        <f>IF(D182="","",IFERROR(VLOOKUP(D182,Stammdaten!$A$8:$L$57,6,FALSE),0))</f>
        <v/>
      </c>
      <c r="I182" s="4"/>
      <c r="J182" s="6"/>
      <c r="K182" s="27" t="str">
        <f>IF(J182="","",IFERROR(VLOOKUP(J182,Stammdaten!$N$8:$V$37,3,FALSE),"Partner-ID prüfen"))</f>
        <v/>
      </c>
      <c r="L182" s="28" t="str">
        <f>IF(D182="","",IFERROR(VLOOKUP(D182,Stammdaten!$A$8:$L$57,10,FALSE),""))</f>
        <v/>
      </c>
      <c r="M182" s="20"/>
      <c r="N182" s="47" t="str">
        <f t="shared" si="20"/>
        <v/>
      </c>
      <c r="O182" s="50" t="str">
        <f t="shared" si="21"/>
        <v/>
      </c>
      <c r="P182" s="50" t="str">
        <f t="shared" si="22"/>
        <v/>
      </c>
      <c r="Q182" s="43" t="str">
        <f t="shared" si="23"/>
        <v/>
      </c>
    </row>
    <row r="183" spans="1:17" x14ac:dyDescent="0.25">
      <c r="A183" s="4"/>
      <c r="B183" s="35"/>
      <c r="C183" s="5"/>
      <c r="D183" s="6"/>
      <c r="E183" s="23" t="str">
        <f>IF(D183="","",IFERROR(VLOOKUP(D183,Stammdaten!$A$8:$L$57,2,FALSE),"Artikel-ID prüfen"))</f>
        <v/>
      </c>
      <c r="F183" s="38"/>
      <c r="G183" s="42" t="str">
        <f>IF(D183="","",IFERROR(VLOOKUP(D183,Stammdaten!$A$8:$L$57,5,FALSE),0))</f>
        <v/>
      </c>
      <c r="H183" s="43" t="str">
        <f>IF(D183="","",IFERROR(VLOOKUP(D183,Stammdaten!$A$8:$L$57,6,FALSE),0))</f>
        <v/>
      </c>
      <c r="I183" s="4"/>
      <c r="J183" s="6"/>
      <c r="K183" s="27" t="str">
        <f>IF(J183="","",IFERROR(VLOOKUP(J183,Stammdaten!$N$8:$V$37,3,FALSE),"Partner-ID prüfen"))</f>
        <v/>
      </c>
      <c r="L183" s="28" t="str">
        <f>IF(D183="","",IFERROR(VLOOKUP(D183,Stammdaten!$A$8:$L$57,10,FALSE),""))</f>
        <v/>
      </c>
      <c r="M183" s="20"/>
      <c r="N183" s="47" t="str">
        <f t="shared" si="20"/>
        <v/>
      </c>
      <c r="O183" s="50" t="str">
        <f t="shared" si="21"/>
        <v/>
      </c>
      <c r="P183" s="50" t="str">
        <f t="shared" si="22"/>
        <v/>
      </c>
      <c r="Q183" s="43" t="str">
        <f t="shared" si="23"/>
        <v/>
      </c>
    </row>
    <row r="184" spans="1:17" x14ac:dyDescent="0.25">
      <c r="A184" s="4"/>
      <c r="B184" s="35"/>
      <c r="C184" s="5"/>
      <c r="D184" s="6"/>
      <c r="E184" s="23" t="str">
        <f>IF(D184="","",IFERROR(VLOOKUP(D184,Stammdaten!$A$8:$L$57,2,FALSE),"Artikel-ID prüfen"))</f>
        <v/>
      </c>
      <c r="F184" s="38"/>
      <c r="G184" s="42" t="str">
        <f>IF(D184="","",IFERROR(VLOOKUP(D184,Stammdaten!$A$8:$L$57,5,FALSE),0))</f>
        <v/>
      </c>
      <c r="H184" s="43" t="str">
        <f>IF(D184="","",IFERROR(VLOOKUP(D184,Stammdaten!$A$8:$L$57,6,FALSE),0))</f>
        <v/>
      </c>
      <c r="I184" s="4"/>
      <c r="J184" s="6"/>
      <c r="K184" s="27" t="str">
        <f>IF(J184="","",IFERROR(VLOOKUP(J184,Stammdaten!$N$8:$V$37,3,FALSE),"Partner-ID prüfen"))</f>
        <v/>
      </c>
      <c r="L184" s="28" t="str">
        <f>IF(D184="","",IFERROR(VLOOKUP(D184,Stammdaten!$A$8:$L$57,10,FALSE),""))</f>
        <v/>
      </c>
      <c r="M184" s="20"/>
      <c r="N184" s="47" t="str">
        <f t="shared" si="20"/>
        <v/>
      </c>
      <c r="O184" s="50" t="str">
        <f t="shared" si="21"/>
        <v/>
      </c>
      <c r="P184" s="50" t="str">
        <f t="shared" si="22"/>
        <v/>
      </c>
      <c r="Q184" s="43" t="str">
        <f t="shared" si="23"/>
        <v/>
      </c>
    </row>
    <row r="185" spans="1:17" x14ac:dyDescent="0.25">
      <c r="A185" s="4"/>
      <c r="B185" s="35"/>
      <c r="C185" s="5"/>
      <c r="D185" s="6"/>
      <c r="E185" s="23" t="str">
        <f>IF(D185="","",IFERROR(VLOOKUP(D185,Stammdaten!$A$8:$L$57,2,FALSE),"Artikel-ID prüfen"))</f>
        <v/>
      </c>
      <c r="F185" s="38"/>
      <c r="G185" s="42" t="str">
        <f>IF(D185="","",IFERROR(VLOOKUP(D185,Stammdaten!$A$8:$L$57,5,FALSE),0))</f>
        <v/>
      </c>
      <c r="H185" s="43" t="str">
        <f>IF(D185="","",IFERROR(VLOOKUP(D185,Stammdaten!$A$8:$L$57,6,FALSE),0))</f>
        <v/>
      </c>
      <c r="I185" s="4"/>
      <c r="J185" s="6"/>
      <c r="K185" s="27" t="str">
        <f>IF(J185="","",IFERROR(VLOOKUP(J185,Stammdaten!$N$8:$V$37,3,FALSE),"Partner-ID prüfen"))</f>
        <v/>
      </c>
      <c r="L185" s="28" t="str">
        <f>IF(D185="","",IFERROR(VLOOKUP(D185,Stammdaten!$A$8:$L$57,10,FALSE),""))</f>
        <v/>
      </c>
      <c r="M185" s="20"/>
      <c r="N185" s="47" t="str">
        <f t="shared" si="20"/>
        <v/>
      </c>
      <c r="O185" s="50" t="str">
        <f t="shared" si="21"/>
        <v/>
      </c>
      <c r="P185" s="50" t="str">
        <f t="shared" si="22"/>
        <v/>
      </c>
      <c r="Q185" s="43" t="str">
        <f t="shared" si="23"/>
        <v/>
      </c>
    </row>
    <row r="186" spans="1:17" x14ac:dyDescent="0.25">
      <c r="A186" s="4"/>
      <c r="B186" s="35"/>
      <c r="C186" s="5"/>
      <c r="D186" s="6"/>
      <c r="E186" s="23" t="str">
        <f>IF(D186="","",IFERROR(VLOOKUP(D186,Stammdaten!$A$8:$L$57,2,FALSE),"Artikel-ID prüfen"))</f>
        <v/>
      </c>
      <c r="F186" s="38"/>
      <c r="G186" s="42" t="str">
        <f>IF(D186="","",IFERROR(VLOOKUP(D186,Stammdaten!$A$8:$L$57,5,FALSE),0))</f>
        <v/>
      </c>
      <c r="H186" s="43" t="str">
        <f>IF(D186="","",IFERROR(VLOOKUP(D186,Stammdaten!$A$8:$L$57,6,FALSE),0))</f>
        <v/>
      </c>
      <c r="I186" s="4"/>
      <c r="J186" s="6"/>
      <c r="K186" s="27" t="str">
        <f>IF(J186="","",IFERROR(VLOOKUP(J186,Stammdaten!$N$8:$V$37,3,FALSE),"Partner-ID prüfen"))</f>
        <v/>
      </c>
      <c r="L186" s="28" t="str">
        <f>IF(D186="","",IFERROR(VLOOKUP(D186,Stammdaten!$A$8:$L$57,10,FALSE),""))</f>
        <v/>
      </c>
      <c r="M186" s="20"/>
      <c r="N186" s="47" t="str">
        <f t="shared" si="20"/>
        <v/>
      </c>
      <c r="O186" s="50" t="str">
        <f t="shared" si="21"/>
        <v/>
      </c>
      <c r="P186" s="50" t="str">
        <f t="shared" si="22"/>
        <v/>
      </c>
      <c r="Q186" s="43" t="str">
        <f t="shared" si="23"/>
        <v/>
      </c>
    </row>
    <row r="187" spans="1:17" x14ac:dyDescent="0.25">
      <c r="A187" s="4"/>
      <c r="B187" s="35"/>
      <c r="C187" s="5"/>
      <c r="D187" s="6"/>
      <c r="E187" s="23" t="str">
        <f>IF(D187="","",IFERROR(VLOOKUP(D187,Stammdaten!$A$8:$L$57,2,FALSE),"Artikel-ID prüfen"))</f>
        <v/>
      </c>
      <c r="F187" s="38"/>
      <c r="G187" s="42" t="str">
        <f>IF(D187="","",IFERROR(VLOOKUP(D187,Stammdaten!$A$8:$L$57,5,FALSE),0))</f>
        <v/>
      </c>
      <c r="H187" s="43" t="str">
        <f>IF(D187="","",IFERROR(VLOOKUP(D187,Stammdaten!$A$8:$L$57,6,FALSE),0))</f>
        <v/>
      </c>
      <c r="I187" s="4"/>
      <c r="J187" s="6"/>
      <c r="K187" s="27" t="str">
        <f>IF(J187="","",IFERROR(VLOOKUP(J187,Stammdaten!$N$8:$V$37,3,FALSE),"Partner-ID prüfen"))</f>
        <v/>
      </c>
      <c r="L187" s="28" t="str">
        <f>IF(D187="","",IFERROR(VLOOKUP(D187,Stammdaten!$A$8:$L$57,10,FALSE),""))</f>
        <v/>
      </c>
      <c r="M187" s="20"/>
      <c r="N187" s="47" t="str">
        <f t="shared" si="20"/>
        <v/>
      </c>
      <c r="O187" s="50" t="str">
        <f t="shared" si="21"/>
        <v/>
      </c>
      <c r="P187" s="50" t="str">
        <f t="shared" si="22"/>
        <v/>
      </c>
      <c r="Q187" s="43" t="str">
        <f t="shared" si="23"/>
        <v/>
      </c>
    </row>
    <row r="188" spans="1:17" x14ac:dyDescent="0.25">
      <c r="A188" s="4"/>
      <c r="B188" s="35"/>
      <c r="C188" s="5"/>
      <c r="D188" s="6"/>
      <c r="E188" s="23" t="str">
        <f>IF(D188="","",IFERROR(VLOOKUP(D188,Stammdaten!$A$8:$L$57,2,FALSE),"Artikel-ID prüfen"))</f>
        <v/>
      </c>
      <c r="F188" s="38"/>
      <c r="G188" s="42" t="str">
        <f>IF(D188="","",IFERROR(VLOOKUP(D188,Stammdaten!$A$8:$L$57,5,FALSE),0))</f>
        <v/>
      </c>
      <c r="H188" s="43" t="str">
        <f>IF(D188="","",IFERROR(VLOOKUP(D188,Stammdaten!$A$8:$L$57,6,FALSE),0))</f>
        <v/>
      </c>
      <c r="I188" s="4"/>
      <c r="J188" s="6"/>
      <c r="K188" s="27" t="str">
        <f>IF(J188="","",IFERROR(VLOOKUP(J188,Stammdaten!$N$8:$V$37,3,FALSE),"Partner-ID prüfen"))</f>
        <v/>
      </c>
      <c r="L188" s="28" t="str">
        <f>IF(D188="","",IFERROR(VLOOKUP(D188,Stammdaten!$A$8:$L$57,10,FALSE),""))</f>
        <v/>
      </c>
      <c r="M188" s="20"/>
      <c r="N188" s="47" t="str">
        <f t="shared" si="20"/>
        <v/>
      </c>
      <c r="O188" s="50" t="str">
        <f t="shared" si="21"/>
        <v/>
      </c>
      <c r="P188" s="50" t="str">
        <f t="shared" si="22"/>
        <v/>
      </c>
      <c r="Q188" s="43" t="str">
        <f t="shared" si="23"/>
        <v/>
      </c>
    </row>
    <row r="189" spans="1:17" x14ac:dyDescent="0.25">
      <c r="A189" s="4"/>
      <c r="B189" s="35"/>
      <c r="C189" s="5"/>
      <c r="D189" s="6"/>
      <c r="E189" s="23" t="str">
        <f>IF(D189="","",IFERROR(VLOOKUP(D189,Stammdaten!$A$8:$L$57,2,FALSE),"Artikel-ID prüfen"))</f>
        <v/>
      </c>
      <c r="F189" s="38"/>
      <c r="G189" s="42" t="str">
        <f>IF(D189="","",IFERROR(VLOOKUP(D189,Stammdaten!$A$8:$L$57,5,FALSE),0))</f>
        <v/>
      </c>
      <c r="H189" s="43" t="str">
        <f>IF(D189="","",IFERROR(VLOOKUP(D189,Stammdaten!$A$8:$L$57,6,FALSE),0))</f>
        <v/>
      </c>
      <c r="I189" s="4"/>
      <c r="J189" s="6"/>
      <c r="K189" s="27" t="str">
        <f>IF(J189="","",IFERROR(VLOOKUP(J189,Stammdaten!$N$8:$V$37,3,FALSE),"Partner-ID prüfen"))</f>
        <v/>
      </c>
      <c r="L189" s="28" t="str">
        <f>IF(D189="","",IFERROR(VLOOKUP(D189,Stammdaten!$A$8:$L$57,10,FALSE),""))</f>
        <v/>
      </c>
      <c r="M189" s="20"/>
      <c r="N189" s="47" t="str">
        <f t="shared" si="20"/>
        <v/>
      </c>
      <c r="O189" s="50" t="str">
        <f t="shared" si="21"/>
        <v/>
      </c>
      <c r="P189" s="50" t="str">
        <f t="shared" si="22"/>
        <v/>
      </c>
      <c r="Q189" s="43" t="str">
        <f t="shared" si="23"/>
        <v/>
      </c>
    </row>
    <row r="190" spans="1:17" x14ac:dyDescent="0.25">
      <c r="A190" s="4"/>
      <c r="B190" s="35"/>
      <c r="C190" s="5"/>
      <c r="D190" s="6"/>
      <c r="E190" s="23" t="str">
        <f>IF(D190="","",IFERROR(VLOOKUP(D190,Stammdaten!$A$8:$L$57,2,FALSE),"Artikel-ID prüfen"))</f>
        <v/>
      </c>
      <c r="F190" s="38"/>
      <c r="G190" s="42" t="str">
        <f>IF(D190="","",IFERROR(VLOOKUP(D190,Stammdaten!$A$8:$L$57,5,FALSE),0))</f>
        <v/>
      </c>
      <c r="H190" s="43" t="str">
        <f>IF(D190="","",IFERROR(VLOOKUP(D190,Stammdaten!$A$8:$L$57,6,FALSE),0))</f>
        <v/>
      </c>
      <c r="I190" s="4"/>
      <c r="J190" s="6"/>
      <c r="K190" s="27" t="str">
        <f>IF(J190="","",IFERROR(VLOOKUP(J190,Stammdaten!$N$8:$V$37,3,FALSE),"Partner-ID prüfen"))</f>
        <v/>
      </c>
      <c r="L190" s="28" t="str">
        <f>IF(D190="","",IFERROR(VLOOKUP(D190,Stammdaten!$A$8:$L$57,10,FALSE),""))</f>
        <v/>
      </c>
      <c r="M190" s="20"/>
      <c r="N190" s="47" t="str">
        <f t="shared" si="20"/>
        <v/>
      </c>
      <c r="O190" s="50" t="str">
        <f t="shared" si="21"/>
        <v/>
      </c>
      <c r="P190" s="50" t="str">
        <f t="shared" si="22"/>
        <v/>
      </c>
      <c r="Q190" s="43" t="str">
        <f t="shared" si="23"/>
        <v/>
      </c>
    </row>
    <row r="191" spans="1:17" x14ac:dyDescent="0.25">
      <c r="A191" s="4"/>
      <c r="B191" s="35"/>
      <c r="C191" s="5"/>
      <c r="D191" s="6"/>
      <c r="E191" s="23" t="str">
        <f>IF(D191="","",IFERROR(VLOOKUP(D191,Stammdaten!$A$8:$L$57,2,FALSE),"Artikel-ID prüfen"))</f>
        <v/>
      </c>
      <c r="F191" s="38"/>
      <c r="G191" s="42" t="str">
        <f>IF(D191="","",IFERROR(VLOOKUP(D191,Stammdaten!$A$8:$L$57,5,FALSE),0))</f>
        <v/>
      </c>
      <c r="H191" s="43" t="str">
        <f>IF(D191="","",IFERROR(VLOOKUP(D191,Stammdaten!$A$8:$L$57,6,FALSE),0))</f>
        <v/>
      </c>
      <c r="I191" s="4"/>
      <c r="J191" s="6"/>
      <c r="K191" s="27" t="str">
        <f>IF(J191="","",IFERROR(VLOOKUP(J191,Stammdaten!$N$8:$V$37,3,FALSE),"Partner-ID prüfen"))</f>
        <v/>
      </c>
      <c r="L191" s="28" t="str">
        <f>IF(D191="","",IFERROR(VLOOKUP(D191,Stammdaten!$A$8:$L$57,10,FALSE),""))</f>
        <v/>
      </c>
      <c r="M191" s="20"/>
      <c r="N191" s="47" t="str">
        <f t="shared" si="20"/>
        <v/>
      </c>
      <c r="O191" s="50" t="str">
        <f t="shared" si="21"/>
        <v/>
      </c>
      <c r="P191" s="50" t="str">
        <f t="shared" si="22"/>
        <v/>
      </c>
      <c r="Q191" s="43" t="str">
        <f t="shared" si="23"/>
        <v/>
      </c>
    </row>
    <row r="192" spans="1:17" x14ac:dyDescent="0.25">
      <c r="A192" s="4"/>
      <c r="B192" s="35"/>
      <c r="C192" s="5"/>
      <c r="D192" s="6"/>
      <c r="E192" s="23" t="str">
        <f>IF(D192="","",IFERROR(VLOOKUP(D192,Stammdaten!$A$8:$L$57,2,FALSE),"Artikel-ID prüfen"))</f>
        <v/>
      </c>
      <c r="F192" s="38"/>
      <c r="G192" s="42" t="str">
        <f>IF(D192="","",IFERROR(VLOOKUP(D192,Stammdaten!$A$8:$L$57,5,FALSE),0))</f>
        <v/>
      </c>
      <c r="H192" s="43" t="str">
        <f>IF(D192="","",IFERROR(VLOOKUP(D192,Stammdaten!$A$8:$L$57,6,FALSE),0))</f>
        <v/>
      </c>
      <c r="I192" s="4"/>
      <c r="J192" s="6"/>
      <c r="K192" s="27" t="str">
        <f>IF(J192="","",IFERROR(VLOOKUP(J192,Stammdaten!$N$8:$V$37,3,FALSE),"Partner-ID prüfen"))</f>
        <v/>
      </c>
      <c r="L192" s="28" t="str">
        <f>IF(D192="","",IFERROR(VLOOKUP(D192,Stammdaten!$A$8:$L$57,10,FALSE),""))</f>
        <v/>
      </c>
      <c r="M192" s="20"/>
      <c r="N192" s="47" t="str">
        <f t="shared" si="20"/>
        <v/>
      </c>
      <c r="O192" s="50" t="str">
        <f t="shared" si="21"/>
        <v/>
      </c>
      <c r="P192" s="50" t="str">
        <f t="shared" si="22"/>
        <v/>
      </c>
      <c r="Q192" s="43" t="str">
        <f t="shared" si="23"/>
        <v/>
      </c>
    </row>
    <row r="193" spans="1:17" x14ac:dyDescent="0.25">
      <c r="A193" s="4"/>
      <c r="B193" s="35"/>
      <c r="C193" s="5"/>
      <c r="D193" s="6"/>
      <c r="E193" s="23" t="str">
        <f>IF(D193="","",IFERROR(VLOOKUP(D193,Stammdaten!$A$8:$L$57,2,FALSE),"Artikel-ID prüfen"))</f>
        <v/>
      </c>
      <c r="F193" s="38"/>
      <c r="G193" s="42" t="str">
        <f>IF(D193="","",IFERROR(VLOOKUP(D193,Stammdaten!$A$8:$L$57,5,FALSE),0))</f>
        <v/>
      </c>
      <c r="H193" s="43" t="str">
        <f>IF(D193="","",IFERROR(VLOOKUP(D193,Stammdaten!$A$8:$L$57,6,FALSE),0))</f>
        <v/>
      </c>
      <c r="I193" s="4"/>
      <c r="J193" s="6"/>
      <c r="K193" s="27" t="str">
        <f>IF(J193="","",IFERROR(VLOOKUP(J193,Stammdaten!$N$8:$V$37,3,FALSE),"Partner-ID prüfen"))</f>
        <v/>
      </c>
      <c r="L193" s="28" t="str">
        <f>IF(D193="","",IFERROR(VLOOKUP(D193,Stammdaten!$A$8:$L$57,10,FALSE),""))</f>
        <v/>
      </c>
      <c r="M193" s="20"/>
      <c r="N193" s="47" t="str">
        <f t="shared" si="20"/>
        <v/>
      </c>
      <c r="O193" s="50" t="str">
        <f t="shared" si="21"/>
        <v/>
      </c>
      <c r="P193" s="50" t="str">
        <f t="shared" si="22"/>
        <v/>
      </c>
      <c r="Q193" s="43" t="str">
        <f t="shared" si="23"/>
        <v/>
      </c>
    </row>
    <row r="194" spans="1:17" x14ac:dyDescent="0.25">
      <c r="A194" s="4"/>
      <c r="B194" s="35"/>
      <c r="C194" s="5"/>
      <c r="D194" s="6"/>
      <c r="E194" s="23" t="str">
        <f>IF(D194="","",IFERROR(VLOOKUP(D194,Stammdaten!$A$8:$L$57,2,FALSE),"Artikel-ID prüfen"))</f>
        <v/>
      </c>
      <c r="F194" s="38"/>
      <c r="G194" s="42" t="str">
        <f>IF(D194="","",IFERROR(VLOOKUP(D194,Stammdaten!$A$8:$L$57,5,FALSE),0))</f>
        <v/>
      </c>
      <c r="H194" s="43" t="str">
        <f>IF(D194="","",IFERROR(VLOOKUP(D194,Stammdaten!$A$8:$L$57,6,FALSE),0))</f>
        <v/>
      </c>
      <c r="I194" s="4"/>
      <c r="J194" s="6"/>
      <c r="K194" s="27" t="str">
        <f>IF(J194="","",IFERROR(VLOOKUP(J194,Stammdaten!$N$8:$V$37,3,FALSE),"Partner-ID prüfen"))</f>
        <v/>
      </c>
      <c r="L194" s="28" t="str">
        <f>IF(D194="","",IFERROR(VLOOKUP(D194,Stammdaten!$A$8:$L$57,10,FALSE),""))</f>
        <v/>
      </c>
      <c r="M194" s="20"/>
      <c r="N194" s="47" t="str">
        <f t="shared" si="20"/>
        <v/>
      </c>
      <c r="O194" s="50" t="str">
        <f t="shared" si="21"/>
        <v/>
      </c>
      <c r="P194" s="50" t="str">
        <f t="shared" si="22"/>
        <v/>
      </c>
      <c r="Q194" s="43" t="str">
        <f t="shared" si="23"/>
        <v/>
      </c>
    </row>
    <row r="195" spans="1:17" x14ac:dyDescent="0.25">
      <c r="A195" s="4"/>
      <c r="B195" s="35"/>
      <c r="C195" s="5"/>
      <c r="D195" s="6"/>
      <c r="E195" s="23" t="str">
        <f>IF(D195="","",IFERROR(VLOOKUP(D195,Stammdaten!$A$8:$L$57,2,FALSE),"Artikel-ID prüfen"))</f>
        <v/>
      </c>
      <c r="F195" s="38"/>
      <c r="G195" s="42" t="str">
        <f>IF(D195="","",IFERROR(VLOOKUP(D195,Stammdaten!$A$8:$L$57,5,FALSE),0))</f>
        <v/>
      </c>
      <c r="H195" s="43" t="str">
        <f>IF(D195="","",IFERROR(VLOOKUP(D195,Stammdaten!$A$8:$L$57,6,FALSE),0))</f>
        <v/>
      </c>
      <c r="I195" s="4"/>
      <c r="J195" s="6"/>
      <c r="K195" s="27" t="str">
        <f>IF(J195="","",IFERROR(VLOOKUP(J195,Stammdaten!$N$8:$V$37,3,FALSE),"Partner-ID prüfen"))</f>
        <v/>
      </c>
      <c r="L195" s="28" t="str">
        <f>IF(D195="","",IFERROR(VLOOKUP(D195,Stammdaten!$A$8:$L$57,10,FALSE),""))</f>
        <v/>
      </c>
      <c r="M195" s="20"/>
      <c r="N195" s="47" t="str">
        <f t="shared" si="20"/>
        <v/>
      </c>
      <c r="O195" s="50" t="str">
        <f t="shared" si="21"/>
        <v/>
      </c>
      <c r="P195" s="50" t="str">
        <f t="shared" si="22"/>
        <v/>
      </c>
      <c r="Q195" s="43" t="str">
        <f t="shared" si="23"/>
        <v/>
      </c>
    </row>
    <row r="196" spans="1:17" x14ac:dyDescent="0.25">
      <c r="A196" s="4"/>
      <c r="B196" s="35"/>
      <c r="C196" s="5"/>
      <c r="D196" s="6"/>
      <c r="E196" s="23" t="str">
        <f>IF(D196="","",IFERROR(VLOOKUP(D196,Stammdaten!$A$8:$L$57,2,FALSE),"Artikel-ID prüfen"))</f>
        <v/>
      </c>
      <c r="F196" s="38"/>
      <c r="G196" s="42" t="str">
        <f>IF(D196="","",IFERROR(VLOOKUP(D196,Stammdaten!$A$8:$L$57,5,FALSE),0))</f>
        <v/>
      </c>
      <c r="H196" s="43" t="str">
        <f>IF(D196="","",IFERROR(VLOOKUP(D196,Stammdaten!$A$8:$L$57,6,FALSE),0))</f>
        <v/>
      </c>
      <c r="I196" s="4"/>
      <c r="J196" s="6"/>
      <c r="K196" s="27" t="str">
        <f>IF(J196="","",IFERROR(VLOOKUP(J196,Stammdaten!$N$8:$V$37,3,FALSE),"Partner-ID prüfen"))</f>
        <v/>
      </c>
      <c r="L196" s="28" t="str">
        <f>IF(D196="","",IFERROR(VLOOKUP(D196,Stammdaten!$A$8:$L$57,10,FALSE),""))</f>
        <v/>
      </c>
      <c r="M196" s="20"/>
      <c r="N196" s="47" t="str">
        <f t="shared" si="20"/>
        <v/>
      </c>
      <c r="O196" s="50" t="str">
        <f t="shared" si="21"/>
        <v/>
      </c>
      <c r="P196" s="50" t="str">
        <f t="shared" si="22"/>
        <v/>
      </c>
      <c r="Q196" s="43" t="str">
        <f t="shared" si="23"/>
        <v/>
      </c>
    </row>
    <row r="197" spans="1:17" x14ac:dyDescent="0.25">
      <c r="A197" s="4"/>
      <c r="B197" s="35"/>
      <c r="C197" s="5"/>
      <c r="D197" s="6"/>
      <c r="E197" s="23" t="str">
        <f>IF(D197="","",IFERROR(VLOOKUP(D197,Stammdaten!$A$8:$L$57,2,FALSE),"Artikel-ID prüfen"))</f>
        <v/>
      </c>
      <c r="F197" s="38"/>
      <c r="G197" s="42" t="str">
        <f>IF(D197="","",IFERROR(VLOOKUP(D197,Stammdaten!$A$8:$L$57,5,FALSE),0))</f>
        <v/>
      </c>
      <c r="H197" s="43" t="str">
        <f>IF(D197="","",IFERROR(VLOOKUP(D197,Stammdaten!$A$8:$L$57,6,FALSE),0))</f>
        <v/>
      </c>
      <c r="I197" s="4"/>
      <c r="J197" s="6"/>
      <c r="K197" s="27" t="str">
        <f>IF(J197="","",IFERROR(VLOOKUP(J197,Stammdaten!$N$8:$V$37,3,FALSE),"Partner-ID prüfen"))</f>
        <v/>
      </c>
      <c r="L197" s="28" t="str">
        <f>IF(D197="","",IFERROR(VLOOKUP(D197,Stammdaten!$A$8:$L$57,10,FALSE),""))</f>
        <v/>
      </c>
      <c r="M197" s="20"/>
      <c r="N197" s="47" t="str">
        <f t="shared" si="20"/>
        <v/>
      </c>
      <c r="O197" s="50" t="str">
        <f t="shared" si="21"/>
        <v/>
      </c>
      <c r="P197" s="50" t="str">
        <f t="shared" si="22"/>
        <v/>
      </c>
      <c r="Q197" s="43" t="str">
        <f t="shared" si="23"/>
        <v/>
      </c>
    </row>
    <row r="198" spans="1:17" x14ac:dyDescent="0.25">
      <c r="A198" s="4"/>
      <c r="B198" s="35"/>
      <c r="C198" s="5"/>
      <c r="D198" s="6"/>
      <c r="E198" s="23" t="str">
        <f>IF(D198="","",IFERROR(VLOOKUP(D198,Stammdaten!$A$8:$L$57,2,FALSE),"Artikel-ID prüfen"))</f>
        <v/>
      </c>
      <c r="F198" s="38"/>
      <c r="G198" s="42" t="str">
        <f>IF(D198="","",IFERROR(VLOOKUP(D198,Stammdaten!$A$8:$L$57,5,FALSE),0))</f>
        <v/>
      </c>
      <c r="H198" s="43" t="str">
        <f>IF(D198="","",IFERROR(VLOOKUP(D198,Stammdaten!$A$8:$L$57,6,FALSE),0))</f>
        <v/>
      </c>
      <c r="I198" s="4"/>
      <c r="J198" s="6"/>
      <c r="K198" s="27" t="str">
        <f>IF(J198="","",IFERROR(VLOOKUP(J198,Stammdaten!$N$8:$V$37,3,FALSE),"Partner-ID prüfen"))</f>
        <v/>
      </c>
      <c r="L198" s="28" t="str">
        <f>IF(D198="","",IFERROR(VLOOKUP(D198,Stammdaten!$A$8:$L$57,10,FALSE),""))</f>
        <v/>
      </c>
      <c r="M198" s="20"/>
      <c r="N198" s="47" t="str">
        <f t="shared" si="20"/>
        <v/>
      </c>
      <c r="O198" s="50" t="str">
        <f t="shared" si="21"/>
        <v/>
      </c>
      <c r="P198" s="50" t="str">
        <f t="shared" si="22"/>
        <v/>
      </c>
      <c r="Q198" s="43" t="str">
        <f t="shared" si="23"/>
        <v/>
      </c>
    </row>
    <row r="199" spans="1:17" x14ac:dyDescent="0.25">
      <c r="A199" s="4"/>
      <c r="B199" s="35"/>
      <c r="C199" s="5"/>
      <c r="D199" s="6"/>
      <c r="E199" s="23" t="str">
        <f>IF(D199="","",IFERROR(VLOOKUP(D199,Stammdaten!$A$8:$L$57,2,FALSE),"Artikel-ID prüfen"))</f>
        <v/>
      </c>
      <c r="F199" s="38"/>
      <c r="G199" s="42" t="str">
        <f>IF(D199="","",IFERROR(VLOOKUP(D199,Stammdaten!$A$8:$L$57,5,FALSE),0))</f>
        <v/>
      </c>
      <c r="H199" s="43" t="str">
        <f>IF(D199="","",IFERROR(VLOOKUP(D199,Stammdaten!$A$8:$L$57,6,FALSE),0))</f>
        <v/>
      </c>
      <c r="I199" s="4"/>
      <c r="J199" s="6"/>
      <c r="K199" s="27" t="str">
        <f>IF(J199="","",IFERROR(VLOOKUP(J199,Stammdaten!$N$8:$V$37,3,FALSE),"Partner-ID prüfen"))</f>
        <v/>
      </c>
      <c r="L199" s="28" t="str">
        <f>IF(D199="","",IFERROR(VLOOKUP(D199,Stammdaten!$A$8:$L$57,10,FALSE),""))</f>
        <v/>
      </c>
      <c r="M199" s="20"/>
      <c r="N199" s="47" t="str">
        <f t="shared" si="20"/>
        <v/>
      </c>
      <c r="O199" s="50" t="str">
        <f t="shared" si="21"/>
        <v/>
      </c>
      <c r="P199" s="50" t="str">
        <f t="shared" si="22"/>
        <v/>
      </c>
      <c r="Q199" s="43" t="str">
        <f t="shared" si="23"/>
        <v/>
      </c>
    </row>
    <row r="200" spans="1:17" x14ac:dyDescent="0.25">
      <c r="A200" s="4"/>
      <c r="B200" s="35"/>
      <c r="C200" s="5"/>
      <c r="D200" s="6"/>
      <c r="E200" s="23" t="str">
        <f>IF(D200="","",IFERROR(VLOOKUP(D200,Stammdaten!$A$8:$L$57,2,FALSE),"Artikel-ID prüfen"))</f>
        <v/>
      </c>
      <c r="F200" s="38"/>
      <c r="G200" s="42" t="str">
        <f>IF(D200="","",IFERROR(VLOOKUP(D200,Stammdaten!$A$8:$L$57,5,FALSE),0))</f>
        <v/>
      </c>
      <c r="H200" s="43" t="str">
        <f>IF(D200="","",IFERROR(VLOOKUP(D200,Stammdaten!$A$8:$L$57,6,FALSE),0))</f>
        <v/>
      </c>
      <c r="I200" s="4"/>
      <c r="J200" s="6"/>
      <c r="K200" s="27" t="str">
        <f>IF(J200="","",IFERROR(VLOOKUP(J200,Stammdaten!$N$8:$V$37,3,FALSE),"Partner-ID prüfen"))</f>
        <v/>
      </c>
      <c r="L200" s="28" t="str">
        <f>IF(D200="","",IFERROR(VLOOKUP(D200,Stammdaten!$A$8:$L$57,10,FALSE),""))</f>
        <v/>
      </c>
      <c r="M200" s="20"/>
      <c r="N200" s="47" t="str">
        <f t="shared" ref="N200:N207" si="24">IF(OR(C200="",F200=""),"",IF(OR(C200="Wareneingang",C200="Korrektur +"),F200,-F200))</f>
        <v/>
      </c>
      <c r="O200" s="50" t="str">
        <f t="shared" ref="O200:O231" si="25">IF(N200="","",N200*G200)</f>
        <v/>
      </c>
      <c r="P200" s="50" t="str">
        <f t="shared" ref="P200:P207" si="26">IF(C200="","",IF(C200="Warenausgang",F200*H200,0))</f>
        <v/>
      </c>
      <c r="Q200" s="43" t="str">
        <f t="shared" ref="Q200:Q207" si="27">IF(C200="","",IF(C200="Warenausgang",F200*G200,0))</f>
        <v/>
      </c>
    </row>
    <row r="201" spans="1:17" x14ac:dyDescent="0.25">
      <c r="A201" s="4"/>
      <c r="B201" s="35"/>
      <c r="C201" s="5"/>
      <c r="D201" s="6"/>
      <c r="E201" s="23" t="str">
        <f>IF(D201="","",IFERROR(VLOOKUP(D201,Stammdaten!$A$8:$L$57,2,FALSE),"Artikel-ID prüfen"))</f>
        <v/>
      </c>
      <c r="F201" s="38"/>
      <c r="G201" s="42" t="str">
        <f>IF(D201="","",IFERROR(VLOOKUP(D201,Stammdaten!$A$8:$L$57,5,FALSE),0))</f>
        <v/>
      </c>
      <c r="H201" s="43" t="str">
        <f>IF(D201="","",IFERROR(VLOOKUP(D201,Stammdaten!$A$8:$L$57,6,FALSE),0))</f>
        <v/>
      </c>
      <c r="I201" s="4"/>
      <c r="J201" s="6"/>
      <c r="K201" s="27" t="str">
        <f>IF(J201="","",IFERROR(VLOOKUP(J201,Stammdaten!$N$8:$V$37,3,FALSE),"Partner-ID prüfen"))</f>
        <v/>
      </c>
      <c r="L201" s="28" t="str">
        <f>IF(D201="","",IFERROR(VLOOKUP(D201,Stammdaten!$A$8:$L$57,10,FALSE),""))</f>
        <v/>
      </c>
      <c r="M201" s="20"/>
      <c r="N201" s="47" t="str">
        <f t="shared" si="24"/>
        <v/>
      </c>
      <c r="O201" s="50" t="str">
        <f t="shared" si="25"/>
        <v/>
      </c>
      <c r="P201" s="50" t="str">
        <f t="shared" si="26"/>
        <v/>
      </c>
      <c r="Q201" s="43" t="str">
        <f t="shared" si="27"/>
        <v/>
      </c>
    </row>
    <row r="202" spans="1:17" x14ac:dyDescent="0.25">
      <c r="A202" s="4"/>
      <c r="B202" s="35"/>
      <c r="C202" s="5"/>
      <c r="D202" s="6"/>
      <c r="E202" s="23" t="str">
        <f>IF(D202="","",IFERROR(VLOOKUP(D202,Stammdaten!$A$8:$L$57,2,FALSE),"Artikel-ID prüfen"))</f>
        <v/>
      </c>
      <c r="F202" s="38"/>
      <c r="G202" s="42" t="str">
        <f>IF(D202="","",IFERROR(VLOOKUP(D202,Stammdaten!$A$8:$L$57,5,FALSE),0))</f>
        <v/>
      </c>
      <c r="H202" s="43" t="str">
        <f>IF(D202="","",IFERROR(VLOOKUP(D202,Stammdaten!$A$8:$L$57,6,FALSE),0))</f>
        <v/>
      </c>
      <c r="I202" s="4"/>
      <c r="J202" s="6"/>
      <c r="K202" s="27" t="str">
        <f>IF(J202="","",IFERROR(VLOOKUP(J202,Stammdaten!$N$8:$V$37,3,FALSE),"Partner-ID prüfen"))</f>
        <v/>
      </c>
      <c r="L202" s="28" t="str">
        <f>IF(D202="","",IFERROR(VLOOKUP(D202,Stammdaten!$A$8:$L$57,10,FALSE),""))</f>
        <v/>
      </c>
      <c r="M202" s="20"/>
      <c r="N202" s="47" t="str">
        <f t="shared" si="24"/>
        <v/>
      </c>
      <c r="O202" s="50" t="str">
        <f t="shared" si="25"/>
        <v/>
      </c>
      <c r="P202" s="50" t="str">
        <f t="shared" si="26"/>
        <v/>
      </c>
      <c r="Q202" s="43" t="str">
        <f t="shared" si="27"/>
        <v/>
      </c>
    </row>
    <row r="203" spans="1:17" x14ac:dyDescent="0.25">
      <c r="A203" s="4"/>
      <c r="B203" s="35"/>
      <c r="C203" s="5"/>
      <c r="D203" s="6"/>
      <c r="E203" s="23" t="str">
        <f>IF(D203="","",IFERROR(VLOOKUP(D203,Stammdaten!$A$8:$L$57,2,FALSE),"Artikel-ID prüfen"))</f>
        <v/>
      </c>
      <c r="F203" s="38"/>
      <c r="G203" s="42" t="str">
        <f>IF(D203="","",IFERROR(VLOOKUP(D203,Stammdaten!$A$8:$L$57,5,FALSE),0))</f>
        <v/>
      </c>
      <c r="H203" s="43" t="str">
        <f>IF(D203="","",IFERROR(VLOOKUP(D203,Stammdaten!$A$8:$L$57,6,FALSE),0))</f>
        <v/>
      </c>
      <c r="I203" s="4"/>
      <c r="J203" s="6"/>
      <c r="K203" s="27" t="str">
        <f>IF(J203="","",IFERROR(VLOOKUP(J203,Stammdaten!$N$8:$V$37,3,FALSE),"Partner-ID prüfen"))</f>
        <v/>
      </c>
      <c r="L203" s="28" t="str">
        <f>IF(D203="","",IFERROR(VLOOKUP(D203,Stammdaten!$A$8:$L$57,10,FALSE),""))</f>
        <v/>
      </c>
      <c r="M203" s="20"/>
      <c r="N203" s="47" t="str">
        <f t="shared" si="24"/>
        <v/>
      </c>
      <c r="O203" s="50" t="str">
        <f t="shared" si="25"/>
        <v/>
      </c>
      <c r="P203" s="50" t="str">
        <f t="shared" si="26"/>
        <v/>
      </c>
      <c r="Q203" s="43" t="str">
        <f t="shared" si="27"/>
        <v/>
      </c>
    </row>
    <row r="204" spans="1:17" x14ac:dyDescent="0.25">
      <c r="A204" s="4"/>
      <c r="B204" s="35"/>
      <c r="C204" s="5"/>
      <c r="D204" s="6"/>
      <c r="E204" s="23" t="str">
        <f>IF(D204="","",IFERROR(VLOOKUP(D204,Stammdaten!$A$8:$L$57,2,FALSE),"Artikel-ID prüfen"))</f>
        <v/>
      </c>
      <c r="F204" s="38"/>
      <c r="G204" s="42" t="str">
        <f>IF(D204="","",IFERROR(VLOOKUP(D204,Stammdaten!$A$8:$L$57,5,FALSE),0))</f>
        <v/>
      </c>
      <c r="H204" s="43" t="str">
        <f>IF(D204="","",IFERROR(VLOOKUP(D204,Stammdaten!$A$8:$L$57,6,FALSE),0))</f>
        <v/>
      </c>
      <c r="I204" s="4"/>
      <c r="J204" s="6"/>
      <c r="K204" s="27" t="str">
        <f>IF(J204="","",IFERROR(VLOOKUP(J204,Stammdaten!$N$8:$V$37,3,FALSE),"Partner-ID prüfen"))</f>
        <v/>
      </c>
      <c r="L204" s="28" t="str">
        <f>IF(D204="","",IFERROR(VLOOKUP(D204,Stammdaten!$A$8:$L$57,10,FALSE),""))</f>
        <v/>
      </c>
      <c r="M204" s="20"/>
      <c r="N204" s="47" t="str">
        <f t="shared" si="24"/>
        <v/>
      </c>
      <c r="O204" s="50" t="str">
        <f t="shared" si="25"/>
        <v/>
      </c>
      <c r="P204" s="50" t="str">
        <f t="shared" si="26"/>
        <v/>
      </c>
      <c r="Q204" s="43" t="str">
        <f t="shared" si="27"/>
        <v/>
      </c>
    </row>
    <row r="205" spans="1:17" x14ac:dyDescent="0.25">
      <c r="A205" s="4"/>
      <c r="B205" s="35"/>
      <c r="C205" s="5"/>
      <c r="D205" s="6"/>
      <c r="E205" s="23" t="str">
        <f>IF(D205="","",IFERROR(VLOOKUP(D205,Stammdaten!$A$8:$L$57,2,FALSE),"Artikel-ID prüfen"))</f>
        <v/>
      </c>
      <c r="F205" s="38"/>
      <c r="G205" s="42" t="str">
        <f>IF(D205="","",IFERROR(VLOOKUP(D205,Stammdaten!$A$8:$L$57,5,FALSE),0))</f>
        <v/>
      </c>
      <c r="H205" s="43" t="str">
        <f>IF(D205="","",IFERROR(VLOOKUP(D205,Stammdaten!$A$8:$L$57,6,FALSE),0))</f>
        <v/>
      </c>
      <c r="I205" s="4"/>
      <c r="J205" s="6"/>
      <c r="K205" s="27" t="str">
        <f>IF(J205="","",IFERROR(VLOOKUP(J205,Stammdaten!$N$8:$V$37,3,FALSE),"Partner-ID prüfen"))</f>
        <v/>
      </c>
      <c r="L205" s="28" t="str">
        <f>IF(D205="","",IFERROR(VLOOKUP(D205,Stammdaten!$A$8:$L$57,10,FALSE),""))</f>
        <v/>
      </c>
      <c r="M205" s="20"/>
      <c r="N205" s="47" t="str">
        <f t="shared" si="24"/>
        <v/>
      </c>
      <c r="O205" s="50" t="str">
        <f t="shared" si="25"/>
        <v/>
      </c>
      <c r="P205" s="50" t="str">
        <f t="shared" si="26"/>
        <v/>
      </c>
      <c r="Q205" s="43" t="str">
        <f t="shared" si="27"/>
        <v/>
      </c>
    </row>
    <row r="206" spans="1:17" x14ac:dyDescent="0.25">
      <c r="A206" s="4"/>
      <c r="B206" s="35"/>
      <c r="C206" s="5"/>
      <c r="D206" s="6"/>
      <c r="E206" s="23" t="str">
        <f>IF(D206="","",IFERROR(VLOOKUP(D206,Stammdaten!$A$8:$L$57,2,FALSE),"Artikel-ID prüfen"))</f>
        <v/>
      </c>
      <c r="F206" s="38"/>
      <c r="G206" s="42" t="str">
        <f>IF(D206="","",IFERROR(VLOOKUP(D206,Stammdaten!$A$8:$L$57,5,FALSE),0))</f>
        <v/>
      </c>
      <c r="H206" s="43" t="str">
        <f>IF(D206="","",IFERROR(VLOOKUP(D206,Stammdaten!$A$8:$L$57,6,FALSE),0))</f>
        <v/>
      </c>
      <c r="I206" s="4"/>
      <c r="J206" s="6"/>
      <c r="K206" s="27" t="str">
        <f>IF(J206="","",IFERROR(VLOOKUP(J206,Stammdaten!$N$8:$V$37,3,FALSE),"Partner-ID prüfen"))</f>
        <v/>
      </c>
      <c r="L206" s="28" t="str">
        <f>IF(D206="","",IFERROR(VLOOKUP(D206,Stammdaten!$A$8:$L$57,10,FALSE),""))</f>
        <v/>
      </c>
      <c r="M206" s="20"/>
      <c r="N206" s="47" t="str">
        <f t="shared" si="24"/>
        <v/>
      </c>
      <c r="O206" s="50" t="str">
        <f t="shared" si="25"/>
        <v/>
      </c>
      <c r="P206" s="50" t="str">
        <f t="shared" si="26"/>
        <v/>
      </c>
      <c r="Q206" s="43" t="str">
        <f t="shared" si="27"/>
        <v/>
      </c>
    </row>
    <row r="207" spans="1:17" x14ac:dyDescent="0.25">
      <c r="A207" s="7"/>
      <c r="B207" s="36"/>
      <c r="C207" s="8"/>
      <c r="D207" s="9"/>
      <c r="E207" s="24" t="str">
        <f>IF(D207="","",IFERROR(VLOOKUP(D207,Stammdaten!$A$8:$L$57,2,FALSE),"Artikel-ID prüfen"))</f>
        <v/>
      </c>
      <c r="F207" s="39"/>
      <c r="G207" s="44" t="str">
        <f>IF(D207="","",IFERROR(VLOOKUP(D207,Stammdaten!$A$8:$L$57,5,FALSE),0))</f>
        <v/>
      </c>
      <c r="H207" s="45" t="str">
        <f>IF(D207="","",IFERROR(VLOOKUP(D207,Stammdaten!$A$8:$L$57,6,FALSE),0))</f>
        <v/>
      </c>
      <c r="I207" s="7"/>
      <c r="J207" s="9"/>
      <c r="K207" s="29" t="str">
        <f>IF(J207="","",IFERROR(VLOOKUP(J207,Stammdaten!$N$8:$V$37,3,FALSE),"Partner-ID prüfen"))</f>
        <v/>
      </c>
      <c r="L207" s="30" t="str">
        <f>IF(D207="","",IFERROR(VLOOKUP(D207,Stammdaten!$A$8:$L$57,10,FALSE),""))</f>
        <v/>
      </c>
      <c r="M207" s="21"/>
      <c r="N207" s="48" t="str">
        <f t="shared" si="24"/>
        <v/>
      </c>
      <c r="O207" s="51" t="str">
        <f t="shared" si="25"/>
        <v/>
      </c>
      <c r="P207" s="51" t="str">
        <f t="shared" si="26"/>
        <v/>
      </c>
      <c r="Q207" s="45" t="str">
        <f t="shared" si="27"/>
        <v/>
      </c>
    </row>
  </sheetData>
  <mergeCells count="3">
    <mergeCell ref="A1:Q2"/>
    <mergeCell ref="A3:Q3"/>
    <mergeCell ref="A5:Q5"/>
  </mergeCells>
  <conditionalFormatting sqref="C8:C207">
    <cfRule type="expression" dxfId="7" priority="1">
      <formula>C8="Wareneingang"</formula>
    </cfRule>
    <cfRule type="expression" dxfId="6" priority="2">
      <formula>C8="Warenausgang"</formula>
    </cfRule>
    <cfRule type="expression" dxfId="5" priority="3">
      <formula>LEFT(C8,10)="Korrektur "</formula>
    </cfRule>
  </conditionalFormatting>
  <conditionalFormatting sqref="N8:N207">
    <cfRule type="cellIs" dxfId="4" priority="4" operator="lessThan">
      <formula>0</formula>
    </cfRule>
  </conditionalFormatting>
  <dataValidations count="1">
    <dataValidation type="list" sqref="C8:C207" xr:uid="{00000000-0002-0000-0200-000000000000}">
      <formula1>"Wareneingang,Warenausgang,Korrektur +,Korrektur -"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200-000001000000}">
          <x14:formula1>
            <xm:f>Stammdaten!$A$8:$A$57</xm:f>
          </x14:formula1>
          <xm:sqref>D8:D207</xm:sqref>
        </x14:dataValidation>
        <x14:dataValidation type="list" xr:uid="{00000000-0002-0000-0200-000002000000}">
          <x14:formula1>
            <xm:f>Stammdaten!$N$8:$N$37</xm:f>
          </x14:formula1>
          <xm:sqref>J8:J207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7"/>
  <sheetViews>
    <sheetView workbookViewId="0"/>
  </sheetViews>
  <sheetFormatPr baseColWidth="10" defaultColWidth="9" defaultRowHeight="15" x14ac:dyDescent="0.25"/>
  <cols>
    <col min="1" max="1" width="16" customWidth="1"/>
    <col min="2" max="2" width="11" customWidth="1"/>
    <col min="3" max="3" width="12" customWidth="1"/>
    <col min="4" max="4" width="13" customWidth="1"/>
    <col min="5" max="5" width="25" customWidth="1"/>
    <col min="6" max="6" width="13" customWidth="1"/>
    <col min="7" max="7" width="27" customWidth="1"/>
    <col min="8" max="8" width="10" customWidth="1"/>
    <col min="9" max="10" width="15" customWidth="1"/>
    <col min="11" max="11" width="12" customWidth="1"/>
    <col min="12" max="12" width="16" customWidth="1"/>
    <col min="13" max="13" width="12" customWidth="1"/>
    <col min="14" max="14" width="13" customWidth="1"/>
    <col min="15" max="15" width="15" customWidth="1"/>
  </cols>
  <sheetData>
    <row r="1" spans="1:15" ht="32.1" customHeight="1" x14ac:dyDescent="0.25">
      <c r="A1" s="74" t="s">
        <v>211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32.1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21.95" customHeight="1" x14ac:dyDescent="0.25">
      <c r="A3" s="76" t="s">
        <v>212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x14ac:dyDescent="0.25">
      <c r="A5" s="77" t="s">
        <v>213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5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33.950000000000003" customHeight="1" x14ac:dyDescent="0.25">
      <c r="A7" s="67" t="s">
        <v>160</v>
      </c>
      <c r="B7" s="68" t="s">
        <v>61</v>
      </c>
      <c r="C7" s="68" t="s">
        <v>157</v>
      </c>
      <c r="D7" s="68" t="s">
        <v>60</v>
      </c>
      <c r="E7" s="68" t="s">
        <v>161</v>
      </c>
      <c r="F7" s="68" t="s">
        <v>13</v>
      </c>
      <c r="G7" s="68" t="s">
        <v>14</v>
      </c>
      <c r="H7" s="68" t="s">
        <v>159</v>
      </c>
      <c r="I7" s="68" t="s">
        <v>214</v>
      </c>
      <c r="J7" s="68" t="s">
        <v>215</v>
      </c>
      <c r="K7" s="68" t="s">
        <v>216</v>
      </c>
      <c r="L7" s="68" t="s">
        <v>19</v>
      </c>
      <c r="M7" s="68" t="s">
        <v>217</v>
      </c>
      <c r="N7" s="68" t="s">
        <v>218</v>
      </c>
      <c r="O7" s="69" t="s">
        <v>219</v>
      </c>
    </row>
    <row r="8" spans="1:15" x14ac:dyDescent="0.25">
      <c r="A8" s="1" t="s">
        <v>181</v>
      </c>
      <c r="B8" s="2" t="s">
        <v>220</v>
      </c>
      <c r="C8" s="34">
        <v>46034</v>
      </c>
      <c r="D8" s="3" t="s">
        <v>72</v>
      </c>
      <c r="E8" s="22" t="str">
        <f>IF(D8="","",IFERROR(VLOOKUP(D8,Stammdaten!$N$8:$V$37,3,FALSE),"Partner-ID prüfen"))</f>
        <v>PackForm Logistikbedarf</v>
      </c>
      <c r="F8" s="19" t="s">
        <v>68</v>
      </c>
      <c r="G8" s="22" t="str">
        <f>IF(F8="","",IFERROR(VLOOKUP(F8,Stammdaten!$A$8:$L$57,2,FALSE),"Artikel-ID prüfen"))</f>
        <v>Mehrzweckbox M</v>
      </c>
      <c r="H8" s="37">
        <v>80</v>
      </c>
      <c r="I8" s="40">
        <f>IF(OR(B8="",F8=""),"",IF(B8="Einkauf",IFERROR(VLOOKUP(F8,Stammdaten!$A$8:$L$57,5,FALSE),0),IFERROR(VLOOKUP(F8,Stammdaten!$A$8:$L$57,6,FALSE),0)))</f>
        <v>6.8</v>
      </c>
      <c r="J8" s="41">
        <f t="shared" ref="J8:J39" si="0">IF(OR(H8="",I8=""),"",H8*I8)</f>
        <v>544</v>
      </c>
      <c r="K8" s="52">
        <v>46040</v>
      </c>
      <c r="L8" s="2" t="s">
        <v>221</v>
      </c>
      <c r="M8" s="55">
        <v>46040</v>
      </c>
      <c r="N8" s="46">
        <f>IF(OR(A8="",F8="",H8=""),"",IF(OR(L8="Storniert",L8="Abgeschlossen"),0,MAX(0,H8-IF(B8="Einkauf",SUMIFS(Warenbewegungen!$F$8:$F$207,Warenbewegungen!$I$8:$I$207,A8,Warenbewegungen!$D$8:$D$207,F8,Warenbewegungen!$C$8:$C$207,"Wareneingang"),SUMIFS(Warenbewegungen!$F$8:$F$207,Warenbewegungen!$I$8:$I$207,A8,Warenbewegungen!$D$8:$D$207,F8,Warenbewegungen!$C$8:$C$207,"Warenausgang")))))</f>
        <v>0</v>
      </c>
      <c r="O8" s="41">
        <f t="shared" ref="O8:O39" si="1">IF(N8="","",N8*I8)</f>
        <v>0</v>
      </c>
    </row>
    <row r="9" spans="1:15" x14ac:dyDescent="0.25">
      <c r="A9" s="4" t="s">
        <v>181</v>
      </c>
      <c r="B9" s="5" t="s">
        <v>220</v>
      </c>
      <c r="C9" s="35">
        <v>46034</v>
      </c>
      <c r="D9" s="6" t="s">
        <v>72</v>
      </c>
      <c r="E9" s="23" t="str">
        <f>IF(D9="","",IFERROR(VLOOKUP(D9,Stammdaten!$N$8:$V$37,3,FALSE),"Partner-ID prüfen"))</f>
        <v>PackForm Logistikbedarf</v>
      </c>
      <c r="F9" s="20" t="s">
        <v>80</v>
      </c>
      <c r="G9" s="23" t="str">
        <f>IF(F9="","",IFERROR(VLOOKUP(F9,Stammdaten!$A$8:$L$57,2,FALSE),"Artikel-ID prüfen"))</f>
        <v>Versandkarton S</v>
      </c>
      <c r="H9" s="38">
        <v>120</v>
      </c>
      <c r="I9" s="42">
        <f>IF(OR(B9="",F9=""),"",IF(B9="Einkauf",IFERROR(VLOOKUP(F9,Stammdaten!$A$8:$L$57,5,FALSE),0),IFERROR(VLOOKUP(F9,Stammdaten!$A$8:$L$57,6,FALSE),0)))</f>
        <v>0.72</v>
      </c>
      <c r="J9" s="43">
        <f t="shared" si="0"/>
        <v>86.399999999999991</v>
      </c>
      <c r="K9" s="53">
        <v>46040</v>
      </c>
      <c r="L9" s="5" t="s">
        <v>221</v>
      </c>
      <c r="M9" s="56">
        <v>46040</v>
      </c>
      <c r="N9" s="47">
        <f>IF(OR(A9="",F9="",H9=""),"",IF(OR(L9="Storniert",L9="Abgeschlossen"),0,MAX(0,H9-IF(B9="Einkauf",SUMIFS(Warenbewegungen!$F$8:$F$207,Warenbewegungen!$I$8:$I$207,A9,Warenbewegungen!$D$8:$D$207,F9,Warenbewegungen!$C$8:$C$207,"Wareneingang"),SUMIFS(Warenbewegungen!$F$8:$F$207,Warenbewegungen!$I$8:$I$207,A9,Warenbewegungen!$D$8:$D$207,F9,Warenbewegungen!$C$8:$C$207,"Warenausgang")))))</f>
        <v>0</v>
      </c>
      <c r="O9" s="43">
        <f t="shared" si="1"/>
        <v>0</v>
      </c>
    </row>
    <row r="10" spans="1:15" x14ac:dyDescent="0.25">
      <c r="A10" s="4" t="s">
        <v>186</v>
      </c>
      <c r="B10" s="5" t="s">
        <v>222</v>
      </c>
      <c r="C10" s="35">
        <v>46055</v>
      </c>
      <c r="D10" s="6" t="s">
        <v>109</v>
      </c>
      <c r="E10" s="23" t="str">
        <f>IF(D10="","",IFERROR(VLOOKUP(D10,Stammdaten!$N$8:$V$37,3,FALSE),"Partner-ID prüfen"))</f>
        <v>Elbblick Service GmbH</v>
      </c>
      <c r="F10" s="20" t="s">
        <v>68</v>
      </c>
      <c r="G10" s="23" t="str">
        <f>IF(F10="","",IFERROR(VLOOKUP(F10,Stammdaten!$A$8:$L$57,2,FALSE),"Artikel-ID prüfen"))</f>
        <v>Mehrzweckbox M</v>
      </c>
      <c r="H10" s="38">
        <v>40</v>
      </c>
      <c r="I10" s="42">
        <f>IF(OR(B10="",F10=""),"",IF(B10="Einkauf",IFERROR(VLOOKUP(F10,Stammdaten!$A$8:$L$57,5,FALSE),0),IFERROR(VLOOKUP(F10,Stammdaten!$A$8:$L$57,6,FALSE),0)))</f>
        <v>12.9</v>
      </c>
      <c r="J10" s="43">
        <f t="shared" si="0"/>
        <v>516</v>
      </c>
      <c r="K10" s="53">
        <v>46073</v>
      </c>
      <c r="L10" s="5" t="s">
        <v>221</v>
      </c>
      <c r="M10" s="56">
        <v>46072</v>
      </c>
      <c r="N10" s="47">
        <f>IF(OR(A10="",F10="",H10=""),"",IF(OR(L10="Storniert",L10="Abgeschlossen"),0,MAX(0,H10-IF(B10="Einkauf",SUMIFS(Warenbewegungen!$F$8:$F$207,Warenbewegungen!$I$8:$I$207,A10,Warenbewegungen!$D$8:$D$207,F10,Warenbewegungen!$C$8:$C$207,"Wareneingang"),SUMIFS(Warenbewegungen!$F$8:$F$207,Warenbewegungen!$I$8:$I$207,A10,Warenbewegungen!$D$8:$D$207,F10,Warenbewegungen!$C$8:$C$207,"Warenausgang")))))</f>
        <v>0</v>
      </c>
      <c r="O10" s="43">
        <f t="shared" si="1"/>
        <v>0</v>
      </c>
    </row>
    <row r="11" spans="1:15" x14ac:dyDescent="0.25">
      <c r="A11" s="4" t="s">
        <v>186</v>
      </c>
      <c r="B11" s="5" t="s">
        <v>222</v>
      </c>
      <c r="C11" s="35">
        <v>46055</v>
      </c>
      <c r="D11" s="6" t="s">
        <v>109</v>
      </c>
      <c r="E11" s="23" t="str">
        <f>IF(D11="","",IFERROR(VLOOKUP(D11,Stammdaten!$N$8:$V$37,3,FALSE),"Partner-ID prüfen"))</f>
        <v>Elbblick Service GmbH</v>
      </c>
      <c r="F11" s="20" t="s">
        <v>141</v>
      </c>
      <c r="G11" s="23" t="str">
        <f>IF(F11="","",IFERROR(VLOOKUP(F11,Stammdaten!$A$8:$L$57,2,FALSE),"Artikel-ID prüfen"))</f>
        <v>Klebeband transparent</v>
      </c>
      <c r="H11" s="38">
        <v>20</v>
      </c>
      <c r="I11" s="42">
        <f>IF(OR(B11="",F11=""),"",IF(B11="Einkauf",IFERROR(VLOOKUP(F11,Stammdaten!$A$8:$L$57,5,FALSE),0),IFERROR(VLOOKUP(F11,Stammdaten!$A$8:$L$57,6,FALSE),0)))</f>
        <v>2.75</v>
      </c>
      <c r="J11" s="43">
        <f t="shared" si="0"/>
        <v>55</v>
      </c>
      <c r="K11" s="53">
        <v>46063</v>
      </c>
      <c r="L11" s="5" t="s">
        <v>221</v>
      </c>
      <c r="M11" s="56">
        <v>46060</v>
      </c>
      <c r="N11" s="47">
        <f>IF(OR(A11="",F11="",H11=""),"",IF(OR(L11="Storniert",L11="Abgeschlossen"),0,MAX(0,H11-IF(B11="Einkauf",SUMIFS(Warenbewegungen!$F$8:$F$207,Warenbewegungen!$I$8:$I$207,A11,Warenbewegungen!$D$8:$D$207,F11,Warenbewegungen!$C$8:$C$207,"Wareneingang"),SUMIFS(Warenbewegungen!$F$8:$F$207,Warenbewegungen!$I$8:$I$207,A11,Warenbewegungen!$D$8:$D$207,F11,Warenbewegungen!$C$8:$C$207,"Warenausgang")))))</f>
        <v>0</v>
      </c>
      <c r="O11" s="43">
        <f t="shared" si="1"/>
        <v>0</v>
      </c>
    </row>
    <row r="12" spans="1:15" x14ac:dyDescent="0.25">
      <c r="A12" s="4" t="s">
        <v>193</v>
      </c>
      <c r="B12" s="5" t="s">
        <v>220</v>
      </c>
      <c r="C12" s="35">
        <v>46077</v>
      </c>
      <c r="D12" s="6" t="s">
        <v>91</v>
      </c>
      <c r="E12" s="23" t="str">
        <f>IF(D12="","",IFERROR(VLOOKUP(D12,Stammdaten!$N$8:$V$37,3,FALSE),"Partner-ID prüfen"))</f>
        <v>Technikquelle GmbH</v>
      </c>
      <c r="F12" s="20" t="s">
        <v>115</v>
      </c>
      <c r="G12" s="23" t="str">
        <f>IF(F12="","",IFERROR(VLOOKUP(F12,Stammdaten!$A$8:$L$57,2,FALSE),"Artikel-ID prüfen"))</f>
        <v>USB-C-Ladekabel 1 m</v>
      </c>
      <c r="H12" s="38">
        <v>50</v>
      </c>
      <c r="I12" s="42">
        <f>IF(OR(B12="",F12=""),"",IF(B12="Einkauf",IFERROR(VLOOKUP(F12,Stammdaten!$A$8:$L$57,5,FALSE),0),IFERROR(VLOOKUP(F12,Stammdaten!$A$8:$L$57,6,FALSE),0)))</f>
        <v>3.9</v>
      </c>
      <c r="J12" s="43">
        <f t="shared" si="0"/>
        <v>195</v>
      </c>
      <c r="K12" s="53">
        <v>46085</v>
      </c>
      <c r="L12" s="5" t="s">
        <v>221</v>
      </c>
      <c r="M12" s="56">
        <v>46085</v>
      </c>
      <c r="N12" s="47">
        <f>IF(OR(A12="",F12="",H12=""),"",IF(OR(L12="Storniert",L12="Abgeschlossen"),0,MAX(0,H12-IF(B12="Einkauf",SUMIFS(Warenbewegungen!$F$8:$F$207,Warenbewegungen!$I$8:$I$207,A12,Warenbewegungen!$D$8:$D$207,F12,Warenbewegungen!$C$8:$C$207,"Wareneingang"),SUMIFS(Warenbewegungen!$F$8:$F$207,Warenbewegungen!$I$8:$I$207,A12,Warenbewegungen!$D$8:$D$207,F12,Warenbewegungen!$C$8:$C$207,"Warenausgang")))))</f>
        <v>0</v>
      </c>
      <c r="O12" s="43">
        <f t="shared" si="1"/>
        <v>0</v>
      </c>
    </row>
    <row r="13" spans="1:15" x14ac:dyDescent="0.25">
      <c r="A13" s="4" t="s">
        <v>193</v>
      </c>
      <c r="B13" s="5" t="s">
        <v>220</v>
      </c>
      <c r="C13" s="35">
        <v>46077</v>
      </c>
      <c r="D13" s="6" t="s">
        <v>91</v>
      </c>
      <c r="E13" s="23" t="str">
        <f>IF(D13="","",IFERROR(VLOOKUP(D13,Stammdaten!$N$8:$V$37,3,FALSE),"Partner-ID prüfen"))</f>
        <v>Technikquelle GmbH</v>
      </c>
      <c r="F13" s="20" t="s">
        <v>123</v>
      </c>
      <c r="G13" s="23" t="str">
        <f>IF(F13="","",IFERROR(VLOOKUP(F13,Stammdaten!$A$8:$L$57,2,FALSE),"Artikel-ID prüfen"))</f>
        <v>LED-Arbeitsleuchte</v>
      </c>
      <c r="H13" s="38">
        <v>20</v>
      </c>
      <c r="I13" s="42">
        <f>IF(OR(B13="",F13=""),"",IF(B13="Einkauf",IFERROR(VLOOKUP(F13,Stammdaten!$A$8:$L$57,5,FALSE),0),IFERROR(VLOOKUP(F13,Stammdaten!$A$8:$L$57,6,FALSE),0)))</f>
        <v>18.5</v>
      </c>
      <c r="J13" s="43">
        <f t="shared" si="0"/>
        <v>370</v>
      </c>
      <c r="K13" s="53">
        <v>46085</v>
      </c>
      <c r="L13" s="5" t="s">
        <v>223</v>
      </c>
      <c r="M13" s="56"/>
      <c r="N13" s="47">
        <f>IF(OR(A13="",F13="",H13=""),"",IF(OR(L13="Storniert",L13="Abgeschlossen"),0,MAX(0,H13-IF(B13="Einkauf",SUMIFS(Warenbewegungen!$F$8:$F$207,Warenbewegungen!$I$8:$I$207,A13,Warenbewegungen!$D$8:$D$207,F13,Warenbewegungen!$C$8:$C$207,"Wareneingang"),SUMIFS(Warenbewegungen!$F$8:$F$207,Warenbewegungen!$I$8:$I$207,A13,Warenbewegungen!$D$8:$D$207,F13,Warenbewegungen!$C$8:$C$207,"Warenausgang")))))</f>
        <v>8</v>
      </c>
      <c r="O13" s="43">
        <f t="shared" si="1"/>
        <v>148</v>
      </c>
    </row>
    <row r="14" spans="1:15" x14ac:dyDescent="0.25">
      <c r="A14" s="4" t="s">
        <v>198</v>
      </c>
      <c r="B14" s="5" t="s">
        <v>222</v>
      </c>
      <c r="C14" s="35">
        <v>46093</v>
      </c>
      <c r="D14" s="6" t="s">
        <v>118</v>
      </c>
      <c r="E14" s="23" t="str">
        <f>IF(D14="","",IFERROR(VLOOKUP(D14,Stammdaten!$N$8:$V$37,3,FALSE),"Partner-ID prüfen"))</f>
        <v>Rhein-Main Projektbüro</v>
      </c>
      <c r="F14" s="20" t="s">
        <v>123</v>
      </c>
      <c r="G14" s="23" t="str">
        <f>IF(F14="","",IFERROR(VLOOKUP(F14,Stammdaten!$A$8:$L$57,2,FALSE),"Artikel-ID prüfen"))</f>
        <v>LED-Arbeitsleuchte</v>
      </c>
      <c r="H14" s="38">
        <v>5</v>
      </c>
      <c r="I14" s="42">
        <f>IF(OR(B14="",F14=""),"",IF(B14="Einkauf",IFERROR(VLOOKUP(F14,Stammdaten!$A$8:$L$57,5,FALSE),0),IFERROR(VLOOKUP(F14,Stammdaten!$A$8:$L$57,6,FALSE),0)))</f>
        <v>34.9</v>
      </c>
      <c r="J14" s="43">
        <f t="shared" si="0"/>
        <v>174.5</v>
      </c>
      <c r="K14" s="53">
        <v>46101</v>
      </c>
      <c r="L14" s="5" t="s">
        <v>221</v>
      </c>
      <c r="M14" s="56">
        <v>46101</v>
      </c>
      <c r="N14" s="47">
        <f>IF(OR(A14="",F14="",H14=""),"",IF(OR(L14="Storniert",L14="Abgeschlossen"),0,MAX(0,H14-IF(B14="Einkauf",SUMIFS(Warenbewegungen!$F$8:$F$207,Warenbewegungen!$I$8:$I$207,A14,Warenbewegungen!$D$8:$D$207,F14,Warenbewegungen!$C$8:$C$207,"Wareneingang"),SUMIFS(Warenbewegungen!$F$8:$F$207,Warenbewegungen!$I$8:$I$207,A14,Warenbewegungen!$D$8:$D$207,F14,Warenbewegungen!$C$8:$C$207,"Warenausgang")))))</f>
        <v>0</v>
      </c>
      <c r="O14" s="43">
        <f t="shared" si="1"/>
        <v>0</v>
      </c>
    </row>
    <row r="15" spans="1:15" x14ac:dyDescent="0.25">
      <c r="A15" s="4" t="s">
        <v>198</v>
      </c>
      <c r="B15" s="5" t="s">
        <v>222</v>
      </c>
      <c r="C15" s="35">
        <v>46093</v>
      </c>
      <c r="D15" s="6" t="s">
        <v>118</v>
      </c>
      <c r="E15" s="23" t="str">
        <f>IF(D15="","",IFERROR(VLOOKUP(D15,Stammdaten!$N$8:$V$37,3,FALSE),"Partner-ID prüfen"))</f>
        <v>Rhein-Main Projektbüro</v>
      </c>
      <c r="F15" s="20" t="s">
        <v>144</v>
      </c>
      <c r="G15" s="23" t="str">
        <f>IF(F15="","",IFERROR(VLOOKUP(F15,Stammdaten!$A$8:$L$57,2,FALSE),"Artikel-ID prüfen"))</f>
        <v>Mehrfachsteckdose 6-fach</v>
      </c>
      <c r="H15" s="38">
        <v>10</v>
      </c>
      <c r="I15" s="42">
        <f>IF(OR(B15="",F15=""),"",IF(B15="Einkauf",IFERROR(VLOOKUP(F15,Stammdaten!$A$8:$L$57,5,FALSE),0),IFERROR(VLOOKUP(F15,Stammdaten!$A$8:$L$57,6,FALSE),0)))</f>
        <v>19.899999999999999</v>
      </c>
      <c r="J15" s="43">
        <f t="shared" si="0"/>
        <v>199</v>
      </c>
      <c r="K15" s="53">
        <v>46101</v>
      </c>
      <c r="L15" s="5" t="s">
        <v>223</v>
      </c>
      <c r="M15" s="56"/>
      <c r="N15" s="47">
        <f>IF(OR(A15="",F15="",H15=""),"",IF(OR(L15="Storniert",L15="Abgeschlossen"),0,MAX(0,H15-IF(B15="Einkauf",SUMIFS(Warenbewegungen!$F$8:$F$207,Warenbewegungen!$I$8:$I$207,A15,Warenbewegungen!$D$8:$D$207,F15,Warenbewegungen!$C$8:$C$207,"Wareneingang"),SUMIFS(Warenbewegungen!$F$8:$F$207,Warenbewegungen!$I$8:$I$207,A15,Warenbewegungen!$D$8:$D$207,F15,Warenbewegungen!$C$8:$C$207,"Warenausgang")))))</f>
        <v>4</v>
      </c>
      <c r="O15" s="43">
        <f t="shared" si="1"/>
        <v>79.599999999999994</v>
      </c>
    </row>
    <row r="16" spans="1:15" x14ac:dyDescent="0.25">
      <c r="A16" s="4" t="s">
        <v>202</v>
      </c>
      <c r="B16" s="5" t="s">
        <v>220</v>
      </c>
      <c r="C16" s="35">
        <v>46113</v>
      </c>
      <c r="D16" s="6" t="s">
        <v>100</v>
      </c>
      <c r="E16" s="23" t="str">
        <f>IF(D16="","",IFERROR(VLOOKUP(D16,Stammdaten!$N$8:$V$37,3,FALSE),"Partner-ID prüfen"))</f>
        <v>SauberPro Handel</v>
      </c>
      <c r="F16" s="20" t="s">
        <v>96</v>
      </c>
      <c r="G16" s="23" t="str">
        <f>IF(F16="","",IFERROR(VLOOKUP(F16,Stammdaten!$A$8:$L$57,2,FALSE),"Artikel-ID prüfen"))</f>
        <v>Reinigungskonzentrat 1 L</v>
      </c>
      <c r="H16" s="38">
        <v>40</v>
      </c>
      <c r="I16" s="42">
        <f>IF(OR(B16="",F16=""),"",IF(B16="Einkauf",IFERROR(VLOOKUP(F16,Stammdaten!$A$8:$L$57,5,FALSE),0),IFERROR(VLOOKUP(F16,Stammdaten!$A$8:$L$57,6,FALSE),0)))</f>
        <v>4.9000000000000004</v>
      </c>
      <c r="J16" s="43">
        <f t="shared" si="0"/>
        <v>196</v>
      </c>
      <c r="K16" s="53">
        <v>46121</v>
      </c>
      <c r="L16" s="5" t="s">
        <v>221</v>
      </c>
      <c r="M16" s="56">
        <v>46121</v>
      </c>
      <c r="N16" s="47">
        <f>IF(OR(A16="",F16="",H16=""),"",IF(OR(L16="Storniert",L16="Abgeschlossen"),0,MAX(0,H16-IF(B16="Einkauf",SUMIFS(Warenbewegungen!$F$8:$F$207,Warenbewegungen!$I$8:$I$207,A16,Warenbewegungen!$D$8:$D$207,F16,Warenbewegungen!$C$8:$C$207,"Wareneingang"),SUMIFS(Warenbewegungen!$F$8:$F$207,Warenbewegungen!$I$8:$I$207,A16,Warenbewegungen!$D$8:$D$207,F16,Warenbewegungen!$C$8:$C$207,"Warenausgang")))))</f>
        <v>0</v>
      </c>
      <c r="O16" s="43">
        <f t="shared" si="1"/>
        <v>0</v>
      </c>
    </row>
    <row r="17" spans="1:15" x14ac:dyDescent="0.25">
      <c r="A17" s="4" t="s">
        <v>204</v>
      </c>
      <c r="B17" s="5" t="s">
        <v>222</v>
      </c>
      <c r="C17" s="35">
        <v>46127</v>
      </c>
      <c r="D17" s="6" t="s">
        <v>126</v>
      </c>
      <c r="E17" s="23" t="str">
        <f>IF(D17="","",IFERROR(VLOOKUP(D17,Stammdaten!$N$8:$V$37,3,FALSE),"Partner-ID prüfen"))</f>
        <v>Weser Betriebsservice</v>
      </c>
      <c r="F17" s="20" t="s">
        <v>96</v>
      </c>
      <c r="G17" s="23" t="str">
        <f>IF(F17="","",IFERROR(VLOOKUP(F17,Stammdaten!$A$8:$L$57,2,FALSE),"Artikel-ID prüfen"))</f>
        <v>Reinigungskonzentrat 1 L</v>
      </c>
      <c r="H17" s="38">
        <v>15</v>
      </c>
      <c r="I17" s="42">
        <f>IF(OR(B17="",F17=""),"",IF(B17="Einkauf",IFERROR(VLOOKUP(F17,Stammdaten!$A$8:$L$57,5,FALSE),0),IFERROR(VLOOKUP(F17,Stammdaten!$A$8:$L$57,6,FALSE),0)))</f>
        <v>9.8000000000000007</v>
      </c>
      <c r="J17" s="43">
        <f t="shared" si="0"/>
        <v>147</v>
      </c>
      <c r="K17" s="53">
        <v>46134</v>
      </c>
      <c r="L17" s="5" t="s">
        <v>221</v>
      </c>
      <c r="M17" s="56">
        <v>46134</v>
      </c>
      <c r="N17" s="47">
        <f>IF(OR(A17="",F17="",H17=""),"",IF(OR(L17="Storniert",L17="Abgeschlossen"),0,MAX(0,H17-IF(B17="Einkauf",SUMIFS(Warenbewegungen!$F$8:$F$207,Warenbewegungen!$I$8:$I$207,A17,Warenbewegungen!$D$8:$D$207,F17,Warenbewegungen!$C$8:$C$207,"Wareneingang"),SUMIFS(Warenbewegungen!$F$8:$F$207,Warenbewegungen!$I$8:$I$207,A17,Warenbewegungen!$D$8:$D$207,F17,Warenbewegungen!$C$8:$C$207,"Warenausgang")))))</f>
        <v>0</v>
      </c>
      <c r="O17" s="43">
        <f t="shared" si="1"/>
        <v>0</v>
      </c>
    </row>
    <row r="18" spans="1:15" x14ac:dyDescent="0.25">
      <c r="A18" s="4" t="s">
        <v>224</v>
      </c>
      <c r="B18" s="5" t="s">
        <v>220</v>
      </c>
      <c r="C18" s="35">
        <v>46144</v>
      </c>
      <c r="D18" s="6" t="s">
        <v>74</v>
      </c>
      <c r="E18" s="23" t="str">
        <f>IF(D18="","",IFERROR(VLOOKUP(D18,Stammdaten!$N$8:$V$37,3,FALSE),"Partner-ID prüfen"))</f>
        <v>Nordwerk Handelskontor</v>
      </c>
      <c r="F18" s="20" t="s">
        <v>105</v>
      </c>
      <c r="G18" s="23" t="str">
        <f>IF(F18="","",IFERROR(VLOOKUP(F18,Stammdaten!$A$8:$L$57,2,FALSE),"Artikel-ID prüfen"))</f>
        <v>Arbeitshandschuhe Größe L</v>
      </c>
      <c r="H18" s="38">
        <v>60</v>
      </c>
      <c r="I18" s="42">
        <f>IF(OR(B18="",F18=""),"",IF(B18="Einkauf",IFERROR(VLOOKUP(F18,Stammdaten!$A$8:$L$57,5,FALSE),0),IFERROR(VLOOKUP(F18,Stammdaten!$A$8:$L$57,6,FALSE),0)))</f>
        <v>2.6</v>
      </c>
      <c r="J18" s="43">
        <f t="shared" si="0"/>
        <v>156</v>
      </c>
      <c r="K18" s="53">
        <v>46157</v>
      </c>
      <c r="L18" s="5" t="s">
        <v>225</v>
      </c>
      <c r="M18" s="56"/>
      <c r="N18" s="47">
        <f>IF(OR(A18="",F18="",H18=""),"",IF(OR(L18="Storniert",L18="Abgeschlossen"),0,MAX(0,H18-IF(B18="Einkauf",SUMIFS(Warenbewegungen!$F$8:$F$207,Warenbewegungen!$I$8:$I$207,A18,Warenbewegungen!$D$8:$D$207,F18,Warenbewegungen!$C$8:$C$207,"Wareneingang"),SUMIFS(Warenbewegungen!$F$8:$F$207,Warenbewegungen!$I$8:$I$207,A18,Warenbewegungen!$D$8:$D$207,F18,Warenbewegungen!$C$8:$C$207,"Warenausgang")))))</f>
        <v>60</v>
      </c>
      <c r="O18" s="43">
        <f t="shared" si="1"/>
        <v>156</v>
      </c>
    </row>
    <row r="19" spans="1:15" x14ac:dyDescent="0.25">
      <c r="A19" s="4" t="s">
        <v>226</v>
      </c>
      <c r="B19" s="5" t="s">
        <v>220</v>
      </c>
      <c r="C19" s="35">
        <v>46162</v>
      </c>
      <c r="D19" s="6" t="s">
        <v>135</v>
      </c>
      <c r="E19" s="23" t="str">
        <f>IF(D19="","",IFERROR(VLOOKUP(D19,Stammdaten!$N$8:$V$37,3,FALSE),"Partner-ID prüfen"))</f>
        <v>Hanseatic Warenpartner</v>
      </c>
      <c r="F19" s="20" t="s">
        <v>131</v>
      </c>
      <c r="G19" s="23" t="str">
        <f>IF(F19="","",IFERROR(VLOOKUP(F19,Stammdaten!$A$8:$L$57,2,FALSE),"Artikel-ID prüfen"))</f>
        <v>Kopierpapier A4</v>
      </c>
      <c r="H19" s="38">
        <v>100</v>
      </c>
      <c r="I19" s="42">
        <f>IF(OR(B19="",F19=""),"",IF(B19="Einkauf",IFERROR(VLOOKUP(F19,Stammdaten!$A$8:$L$57,5,FALSE),0),IFERROR(VLOOKUP(F19,Stammdaten!$A$8:$L$57,6,FALSE),0)))</f>
        <v>3.85</v>
      </c>
      <c r="J19" s="43">
        <f t="shared" si="0"/>
        <v>385</v>
      </c>
      <c r="K19" s="53">
        <v>46171</v>
      </c>
      <c r="L19" s="5" t="s">
        <v>227</v>
      </c>
      <c r="M19" s="56"/>
      <c r="N19" s="47">
        <f>IF(OR(A19="",F19="",H19=""),"",IF(OR(L19="Storniert",L19="Abgeschlossen"),0,MAX(0,H19-IF(B19="Einkauf",SUMIFS(Warenbewegungen!$F$8:$F$207,Warenbewegungen!$I$8:$I$207,A19,Warenbewegungen!$D$8:$D$207,F19,Warenbewegungen!$C$8:$C$207,"Wareneingang"),SUMIFS(Warenbewegungen!$F$8:$F$207,Warenbewegungen!$I$8:$I$207,A19,Warenbewegungen!$D$8:$D$207,F19,Warenbewegungen!$C$8:$C$207,"Warenausgang")))))</f>
        <v>100</v>
      </c>
      <c r="O19" s="43">
        <f t="shared" si="1"/>
        <v>385</v>
      </c>
    </row>
    <row r="20" spans="1:15" x14ac:dyDescent="0.25">
      <c r="A20" s="4" t="s">
        <v>206</v>
      </c>
      <c r="B20" s="5" t="s">
        <v>220</v>
      </c>
      <c r="C20" s="35">
        <v>46148</v>
      </c>
      <c r="D20" s="6" t="s">
        <v>72</v>
      </c>
      <c r="E20" s="23" t="str">
        <f>IF(D20="","",IFERROR(VLOOKUP(D20,Stammdaten!$N$8:$V$37,3,FALSE),"Partner-ID prüfen"))</f>
        <v>PackForm Logistikbedarf</v>
      </c>
      <c r="F20" s="20" t="s">
        <v>87</v>
      </c>
      <c r="G20" s="23" t="str">
        <f>IF(F20="","",IFERROR(VLOOKUP(F20,Stammdaten!$A$8:$L$57,2,FALSE),"Artikel-ID prüfen"))</f>
        <v>Etikettenrolle 100 × 150</v>
      </c>
      <c r="H20" s="38">
        <v>30</v>
      </c>
      <c r="I20" s="42">
        <f>IF(OR(B20="",F20=""),"",IF(B20="Einkauf",IFERROR(VLOOKUP(F20,Stammdaten!$A$8:$L$57,5,FALSE),0),IFERROR(VLOOKUP(F20,Stammdaten!$A$8:$L$57,6,FALSE),0)))</f>
        <v>8.4</v>
      </c>
      <c r="J20" s="43">
        <f t="shared" si="0"/>
        <v>252</v>
      </c>
      <c r="K20" s="53">
        <v>46155</v>
      </c>
      <c r="L20" s="5" t="s">
        <v>221</v>
      </c>
      <c r="M20" s="56">
        <v>46155</v>
      </c>
      <c r="N20" s="47">
        <f>IF(OR(A20="",F20="",H20=""),"",IF(OR(L20="Storniert",L20="Abgeschlossen"),0,MAX(0,H20-IF(B20="Einkauf",SUMIFS(Warenbewegungen!$F$8:$F$207,Warenbewegungen!$I$8:$I$207,A20,Warenbewegungen!$D$8:$D$207,F20,Warenbewegungen!$C$8:$C$207,"Wareneingang"),SUMIFS(Warenbewegungen!$F$8:$F$207,Warenbewegungen!$I$8:$I$207,A20,Warenbewegungen!$D$8:$D$207,F20,Warenbewegungen!$C$8:$C$207,"Warenausgang")))))</f>
        <v>0</v>
      </c>
      <c r="O20" s="43">
        <f t="shared" si="1"/>
        <v>0</v>
      </c>
    </row>
    <row r="21" spans="1:15" x14ac:dyDescent="0.25">
      <c r="A21" s="4" t="s">
        <v>206</v>
      </c>
      <c r="B21" s="5" t="s">
        <v>220</v>
      </c>
      <c r="C21" s="35">
        <v>46148</v>
      </c>
      <c r="D21" s="6" t="s">
        <v>72</v>
      </c>
      <c r="E21" s="23" t="str">
        <f>IF(D21="","",IFERROR(VLOOKUP(D21,Stammdaten!$N$8:$V$37,3,FALSE),"Partner-ID prüfen"))</f>
        <v>PackForm Logistikbedarf</v>
      </c>
      <c r="F21" s="20" t="s">
        <v>141</v>
      </c>
      <c r="G21" s="23" t="str">
        <f>IF(F21="","",IFERROR(VLOOKUP(F21,Stammdaten!$A$8:$L$57,2,FALSE),"Artikel-ID prüfen"))</f>
        <v>Klebeband transparent</v>
      </c>
      <c r="H21" s="38">
        <v>72</v>
      </c>
      <c r="I21" s="42">
        <f>IF(OR(B21="",F21=""),"",IF(B21="Einkauf",IFERROR(VLOOKUP(F21,Stammdaten!$A$8:$L$57,5,FALSE),0),IFERROR(VLOOKUP(F21,Stammdaten!$A$8:$L$57,6,FALSE),0)))</f>
        <v>1.1000000000000001</v>
      </c>
      <c r="J21" s="43">
        <f t="shared" si="0"/>
        <v>79.2</v>
      </c>
      <c r="K21" s="53">
        <v>46155</v>
      </c>
      <c r="L21" s="5" t="s">
        <v>221</v>
      </c>
      <c r="M21" s="56">
        <v>46155</v>
      </c>
      <c r="N21" s="47">
        <f>IF(OR(A21="",F21="",H21=""),"",IF(OR(L21="Storniert",L21="Abgeschlossen"),0,MAX(0,H21-IF(B21="Einkauf",SUMIFS(Warenbewegungen!$F$8:$F$207,Warenbewegungen!$I$8:$I$207,A21,Warenbewegungen!$D$8:$D$207,F21,Warenbewegungen!$C$8:$C$207,"Wareneingang"),SUMIFS(Warenbewegungen!$F$8:$F$207,Warenbewegungen!$I$8:$I$207,A21,Warenbewegungen!$D$8:$D$207,F21,Warenbewegungen!$C$8:$C$207,"Warenausgang")))))</f>
        <v>0</v>
      </c>
      <c r="O21" s="43">
        <f t="shared" si="1"/>
        <v>0</v>
      </c>
    </row>
    <row r="22" spans="1:15" x14ac:dyDescent="0.25">
      <c r="A22" s="4" t="s">
        <v>209</v>
      </c>
      <c r="B22" s="5" t="s">
        <v>222</v>
      </c>
      <c r="C22" s="35">
        <v>46170</v>
      </c>
      <c r="D22" s="6" t="s">
        <v>135</v>
      </c>
      <c r="E22" s="23" t="str">
        <f>IF(D22="","",IFERROR(VLOOKUP(D22,Stammdaten!$N$8:$V$37,3,FALSE),"Partner-ID prüfen"))</f>
        <v>Hanseatic Warenpartner</v>
      </c>
      <c r="F22" s="20" t="s">
        <v>115</v>
      </c>
      <c r="G22" s="23" t="str">
        <f>IF(F22="","",IFERROR(VLOOKUP(F22,Stammdaten!$A$8:$L$57,2,FALSE),"Artikel-ID prüfen"))</f>
        <v>USB-C-Ladekabel 1 m</v>
      </c>
      <c r="H22" s="38">
        <v>22</v>
      </c>
      <c r="I22" s="42">
        <f>IF(OR(B22="",F22=""),"",IF(B22="Einkauf",IFERROR(VLOOKUP(F22,Stammdaten!$A$8:$L$57,5,FALSE),0),IFERROR(VLOOKUP(F22,Stammdaten!$A$8:$L$57,6,FALSE),0)))</f>
        <v>9.9</v>
      </c>
      <c r="J22" s="43">
        <f t="shared" si="0"/>
        <v>217.8</v>
      </c>
      <c r="K22" s="53">
        <v>46183</v>
      </c>
      <c r="L22" s="5" t="s">
        <v>223</v>
      </c>
      <c r="M22" s="56"/>
      <c r="N22" s="47">
        <f>IF(OR(A22="",F22="",H22=""),"",IF(OR(L22="Storniert",L22="Abgeschlossen"),0,MAX(0,H22-IF(B22="Einkauf",SUMIFS(Warenbewegungen!$F$8:$F$207,Warenbewegungen!$I$8:$I$207,A22,Warenbewegungen!$D$8:$D$207,F22,Warenbewegungen!$C$8:$C$207,"Wareneingang"),SUMIFS(Warenbewegungen!$F$8:$F$207,Warenbewegungen!$I$8:$I$207,A22,Warenbewegungen!$D$8:$D$207,F22,Warenbewegungen!$C$8:$C$207,"Warenausgang")))))</f>
        <v>10</v>
      </c>
      <c r="O22" s="43">
        <f t="shared" si="1"/>
        <v>99</v>
      </c>
    </row>
    <row r="23" spans="1:15" x14ac:dyDescent="0.25">
      <c r="A23" s="4" t="s">
        <v>228</v>
      </c>
      <c r="B23" s="5" t="s">
        <v>222</v>
      </c>
      <c r="C23" s="35">
        <v>46211</v>
      </c>
      <c r="D23" s="6" t="s">
        <v>109</v>
      </c>
      <c r="E23" s="23" t="str">
        <f>IF(D23="","",IFERROR(VLOOKUP(D23,Stammdaten!$N$8:$V$37,3,FALSE),"Partner-ID prüfen"))</f>
        <v>Elbblick Service GmbH</v>
      </c>
      <c r="F23" s="20" t="s">
        <v>147</v>
      </c>
      <c r="G23" s="23" t="str">
        <f>IF(F23="","",IFERROR(VLOOKUP(F23,Stammdaten!$A$8:$L$57,2,FALSE),"Artikel-ID prüfen"))</f>
        <v>Schutzbrille klar</v>
      </c>
      <c r="H23" s="38">
        <v>30</v>
      </c>
      <c r="I23" s="42">
        <f>IF(OR(B23="",F23=""),"",IF(B23="Einkauf",IFERROR(VLOOKUP(F23,Stammdaten!$A$8:$L$57,5,FALSE),0),IFERROR(VLOOKUP(F23,Stammdaten!$A$8:$L$57,6,FALSE),0)))</f>
        <v>7.5</v>
      </c>
      <c r="J23" s="43">
        <f t="shared" si="0"/>
        <v>225</v>
      </c>
      <c r="K23" s="53">
        <v>46225</v>
      </c>
      <c r="L23" s="5" t="s">
        <v>227</v>
      </c>
      <c r="M23" s="56"/>
      <c r="N23" s="47">
        <f>IF(OR(A23="",F23="",H23=""),"",IF(OR(L23="Storniert",L23="Abgeschlossen"),0,MAX(0,H23-IF(B23="Einkauf",SUMIFS(Warenbewegungen!$F$8:$F$207,Warenbewegungen!$I$8:$I$207,A23,Warenbewegungen!$D$8:$D$207,F23,Warenbewegungen!$C$8:$C$207,"Wareneingang"),SUMIFS(Warenbewegungen!$F$8:$F$207,Warenbewegungen!$I$8:$I$207,A23,Warenbewegungen!$D$8:$D$207,F23,Warenbewegungen!$C$8:$C$207,"Warenausgang")))))</f>
        <v>30</v>
      </c>
      <c r="O23" s="43">
        <f t="shared" si="1"/>
        <v>225</v>
      </c>
    </row>
    <row r="24" spans="1:15" x14ac:dyDescent="0.25">
      <c r="A24" s="4"/>
      <c r="B24" s="5"/>
      <c r="C24" s="35"/>
      <c r="D24" s="6"/>
      <c r="E24" s="23" t="str">
        <f>IF(D24="","",IFERROR(VLOOKUP(D24,Stammdaten!$N$8:$V$37,3,FALSE),"Partner-ID prüfen"))</f>
        <v/>
      </c>
      <c r="F24" s="20"/>
      <c r="G24" s="23" t="str">
        <f>IF(F24="","",IFERROR(VLOOKUP(F24,Stammdaten!$A$8:$L$57,2,FALSE),"Artikel-ID prüfen"))</f>
        <v/>
      </c>
      <c r="H24" s="38"/>
      <c r="I24" s="42" t="str">
        <f>IF(OR(B24="",F24=""),"",IF(B24="Einkauf",IFERROR(VLOOKUP(F24,Stammdaten!$A$8:$L$57,5,FALSE),0),IFERROR(VLOOKUP(F24,Stammdaten!$A$8:$L$57,6,FALSE),0)))</f>
        <v/>
      </c>
      <c r="J24" s="43" t="str">
        <f t="shared" si="0"/>
        <v/>
      </c>
      <c r="K24" s="53"/>
      <c r="L24" s="5"/>
      <c r="M24" s="56"/>
      <c r="N24" s="47" t="str">
        <f>IF(OR(A24="",F24="",H24=""),"",IF(OR(L24="Storniert",L24="Abgeschlossen"),0,MAX(0,H24-IF(B24="Einkauf",SUMIFS(Warenbewegungen!$F$8:$F$207,Warenbewegungen!$I$8:$I$207,A24,Warenbewegungen!$D$8:$D$207,F24,Warenbewegungen!$C$8:$C$207,"Wareneingang"),SUMIFS(Warenbewegungen!$F$8:$F$207,Warenbewegungen!$I$8:$I$207,A24,Warenbewegungen!$D$8:$D$207,F24,Warenbewegungen!$C$8:$C$207,"Warenausgang")))))</f>
        <v/>
      </c>
      <c r="O24" s="43" t="str">
        <f t="shared" si="1"/>
        <v/>
      </c>
    </row>
    <row r="25" spans="1:15" x14ac:dyDescent="0.25">
      <c r="A25" s="4"/>
      <c r="B25" s="5"/>
      <c r="C25" s="35"/>
      <c r="D25" s="6"/>
      <c r="E25" s="23" t="str">
        <f>IF(D25="","",IFERROR(VLOOKUP(D25,Stammdaten!$N$8:$V$37,3,FALSE),"Partner-ID prüfen"))</f>
        <v/>
      </c>
      <c r="F25" s="20"/>
      <c r="G25" s="23" t="str">
        <f>IF(F25="","",IFERROR(VLOOKUP(F25,Stammdaten!$A$8:$L$57,2,FALSE),"Artikel-ID prüfen"))</f>
        <v/>
      </c>
      <c r="H25" s="38"/>
      <c r="I25" s="42" t="str">
        <f>IF(OR(B25="",F25=""),"",IF(B25="Einkauf",IFERROR(VLOOKUP(F25,Stammdaten!$A$8:$L$57,5,FALSE),0),IFERROR(VLOOKUP(F25,Stammdaten!$A$8:$L$57,6,FALSE),0)))</f>
        <v/>
      </c>
      <c r="J25" s="43" t="str">
        <f t="shared" si="0"/>
        <v/>
      </c>
      <c r="K25" s="53"/>
      <c r="L25" s="5"/>
      <c r="M25" s="56"/>
      <c r="N25" s="47" t="str">
        <f>IF(OR(A25="",F25="",H25=""),"",IF(OR(L25="Storniert",L25="Abgeschlossen"),0,MAX(0,H25-IF(B25="Einkauf",SUMIFS(Warenbewegungen!$F$8:$F$207,Warenbewegungen!$I$8:$I$207,A25,Warenbewegungen!$D$8:$D$207,F25,Warenbewegungen!$C$8:$C$207,"Wareneingang"),SUMIFS(Warenbewegungen!$F$8:$F$207,Warenbewegungen!$I$8:$I$207,A25,Warenbewegungen!$D$8:$D$207,F25,Warenbewegungen!$C$8:$C$207,"Warenausgang")))))</f>
        <v/>
      </c>
      <c r="O25" s="43" t="str">
        <f t="shared" si="1"/>
        <v/>
      </c>
    </row>
    <row r="26" spans="1:15" x14ac:dyDescent="0.25">
      <c r="A26" s="4"/>
      <c r="B26" s="5"/>
      <c r="C26" s="35"/>
      <c r="D26" s="6"/>
      <c r="E26" s="23" t="str">
        <f>IF(D26="","",IFERROR(VLOOKUP(D26,Stammdaten!$N$8:$V$37,3,FALSE),"Partner-ID prüfen"))</f>
        <v/>
      </c>
      <c r="F26" s="20"/>
      <c r="G26" s="23" t="str">
        <f>IF(F26="","",IFERROR(VLOOKUP(F26,Stammdaten!$A$8:$L$57,2,FALSE),"Artikel-ID prüfen"))</f>
        <v/>
      </c>
      <c r="H26" s="38"/>
      <c r="I26" s="42" t="str">
        <f>IF(OR(B26="",F26=""),"",IF(B26="Einkauf",IFERROR(VLOOKUP(F26,Stammdaten!$A$8:$L$57,5,FALSE),0),IFERROR(VLOOKUP(F26,Stammdaten!$A$8:$L$57,6,FALSE),0)))</f>
        <v/>
      </c>
      <c r="J26" s="43" t="str">
        <f t="shared" si="0"/>
        <v/>
      </c>
      <c r="K26" s="53"/>
      <c r="L26" s="5"/>
      <c r="M26" s="56"/>
      <c r="N26" s="47" t="str">
        <f>IF(OR(A26="",F26="",H26=""),"",IF(OR(L26="Storniert",L26="Abgeschlossen"),0,MAX(0,H26-IF(B26="Einkauf",SUMIFS(Warenbewegungen!$F$8:$F$207,Warenbewegungen!$I$8:$I$207,A26,Warenbewegungen!$D$8:$D$207,F26,Warenbewegungen!$C$8:$C$207,"Wareneingang"),SUMIFS(Warenbewegungen!$F$8:$F$207,Warenbewegungen!$I$8:$I$207,A26,Warenbewegungen!$D$8:$D$207,F26,Warenbewegungen!$C$8:$C$207,"Warenausgang")))))</f>
        <v/>
      </c>
      <c r="O26" s="43" t="str">
        <f t="shared" si="1"/>
        <v/>
      </c>
    </row>
    <row r="27" spans="1:15" x14ac:dyDescent="0.25">
      <c r="A27" s="4"/>
      <c r="B27" s="5"/>
      <c r="C27" s="35"/>
      <c r="D27" s="6"/>
      <c r="E27" s="23" t="str">
        <f>IF(D27="","",IFERROR(VLOOKUP(D27,Stammdaten!$N$8:$V$37,3,FALSE),"Partner-ID prüfen"))</f>
        <v/>
      </c>
      <c r="F27" s="20"/>
      <c r="G27" s="23" t="str">
        <f>IF(F27="","",IFERROR(VLOOKUP(F27,Stammdaten!$A$8:$L$57,2,FALSE),"Artikel-ID prüfen"))</f>
        <v/>
      </c>
      <c r="H27" s="38"/>
      <c r="I27" s="42" t="str">
        <f>IF(OR(B27="",F27=""),"",IF(B27="Einkauf",IFERROR(VLOOKUP(F27,Stammdaten!$A$8:$L$57,5,FALSE),0),IFERROR(VLOOKUP(F27,Stammdaten!$A$8:$L$57,6,FALSE),0)))</f>
        <v/>
      </c>
      <c r="J27" s="43" t="str">
        <f t="shared" si="0"/>
        <v/>
      </c>
      <c r="K27" s="53"/>
      <c r="L27" s="5"/>
      <c r="M27" s="56"/>
      <c r="N27" s="47" t="str">
        <f>IF(OR(A27="",F27="",H27=""),"",IF(OR(L27="Storniert",L27="Abgeschlossen"),0,MAX(0,H27-IF(B27="Einkauf",SUMIFS(Warenbewegungen!$F$8:$F$207,Warenbewegungen!$I$8:$I$207,A27,Warenbewegungen!$D$8:$D$207,F27,Warenbewegungen!$C$8:$C$207,"Wareneingang"),SUMIFS(Warenbewegungen!$F$8:$F$207,Warenbewegungen!$I$8:$I$207,A27,Warenbewegungen!$D$8:$D$207,F27,Warenbewegungen!$C$8:$C$207,"Warenausgang")))))</f>
        <v/>
      </c>
      <c r="O27" s="43" t="str">
        <f t="shared" si="1"/>
        <v/>
      </c>
    </row>
    <row r="28" spans="1:15" x14ac:dyDescent="0.25">
      <c r="A28" s="4"/>
      <c r="B28" s="5"/>
      <c r="C28" s="35"/>
      <c r="D28" s="6"/>
      <c r="E28" s="23" t="str">
        <f>IF(D28="","",IFERROR(VLOOKUP(D28,Stammdaten!$N$8:$V$37,3,FALSE),"Partner-ID prüfen"))</f>
        <v/>
      </c>
      <c r="F28" s="20"/>
      <c r="G28" s="23" t="str">
        <f>IF(F28="","",IFERROR(VLOOKUP(F28,Stammdaten!$A$8:$L$57,2,FALSE),"Artikel-ID prüfen"))</f>
        <v/>
      </c>
      <c r="H28" s="38"/>
      <c r="I28" s="42" t="str">
        <f>IF(OR(B28="",F28=""),"",IF(B28="Einkauf",IFERROR(VLOOKUP(F28,Stammdaten!$A$8:$L$57,5,FALSE),0),IFERROR(VLOOKUP(F28,Stammdaten!$A$8:$L$57,6,FALSE),0)))</f>
        <v/>
      </c>
      <c r="J28" s="43" t="str">
        <f t="shared" si="0"/>
        <v/>
      </c>
      <c r="K28" s="53"/>
      <c r="L28" s="5"/>
      <c r="M28" s="56"/>
      <c r="N28" s="47" t="str">
        <f>IF(OR(A28="",F28="",H28=""),"",IF(OR(L28="Storniert",L28="Abgeschlossen"),0,MAX(0,H28-IF(B28="Einkauf",SUMIFS(Warenbewegungen!$F$8:$F$207,Warenbewegungen!$I$8:$I$207,A28,Warenbewegungen!$D$8:$D$207,F28,Warenbewegungen!$C$8:$C$207,"Wareneingang"),SUMIFS(Warenbewegungen!$F$8:$F$207,Warenbewegungen!$I$8:$I$207,A28,Warenbewegungen!$D$8:$D$207,F28,Warenbewegungen!$C$8:$C$207,"Warenausgang")))))</f>
        <v/>
      </c>
      <c r="O28" s="43" t="str">
        <f t="shared" si="1"/>
        <v/>
      </c>
    </row>
    <row r="29" spans="1:15" x14ac:dyDescent="0.25">
      <c r="A29" s="4"/>
      <c r="B29" s="5"/>
      <c r="C29" s="35"/>
      <c r="D29" s="6"/>
      <c r="E29" s="23" t="str">
        <f>IF(D29="","",IFERROR(VLOOKUP(D29,Stammdaten!$N$8:$V$37,3,FALSE),"Partner-ID prüfen"))</f>
        <v/>
      </c>
      <c r="F29" s="20"/>
      <c r="G29" s="23" t="str">
        <f>IF(F29="","",IFERROR(VLOOKUP(F29,Stammdaten!$A$8:$L$57,2,FALSE),"Artikel-ID prüfen"))</f>
        <v/>
      </c>
      <c r="H29" s="38"/>
      <c r="I29" s="42" t="str">
        <f>IF(OR(B29="",F29=""),"",IF(B29="Einkauf",IFERROR(VLOOKUP(F29,Stammdaten!$A$8:$L$57,5,FALSE),0),IFERROR(VLOOKUP(F29,Stammdaten!$A$8:$L$57,6,FALSE),0)))</f>
        <v/>
      </c>
      <c r="J29" s="43" t="str">
        <f t="shared" si="0"/>
        <v/>
      </c>
      <c r="K29" s="53"/>
      <c r="L29" s="5"/>
      <c r="M29" s="56"/>
      <c r="N29" s="47" t="str">
        <f>IF(OR(A29="",F29="",H29=""),"",IF(OR(L29="Storniert",L29="Abgeschlossen"),0,MAX(0,H29-IF(B29="Einkauf",SUMIFS(Warenbewegungen!$F$8:$F$207,Warenbewegungen!$I$8:$I$207,A29,Warenbewegungen!$D$8:$D$207,F29,Warenbewegungen!$C$8:$C$207,"Wareneingang"),SUMIFS(Warenbewegungen!$F$8:$F$207,Warenbewegungen!$I$8:$I$207,A29,Warenbewegungen!$D$8:$D$207,F29,Warenbewegungen!$C$8:$C$207,"Warenausgang")))))</f>
        <v/>
      </c>
      <c r="O29" s="43" t="str">
        <f t="shared" si="1"/>
        <v/>
      </c>
    </row>
    <row r="30" spans="1:15" x14ac:dyDescent="0.25">
      <c r="A30" s="4"/>
      <c r="B30" s="5"/>
      <c r="C30" s="35"/>
      <c r="D30" s="6"/>
      <c r="E30" s="23" t="str">
        <f>IF(D30="","",IFERROR(VLOOKUP(D30,Stammdaten!$N$8:$V$37,3,FALSE),"Partner-ID prüfen"))</f>
        <v/>
      </c>
      <c r="F30" s="20"/>
      <c r="G30" s="23" t="str">
        <f>IF(F30="","",IFERROR(VLOOKUP(F30,Stammdaten!$A$8:$L$57,2,FALSE),"Artikel-ID prüfen"))</f>
        <v/>
      </c>
      <c r="H30" s="38"/>
      <c r="I30" s="42" t="str">
        <f>IF(OR(B30="",F30=""),"",IF(B30="Einkauf",IFERROR(VLOOKUP(F30,Stammdaten!$A$8:$L$57,5,FALSE),0),IFERROR(VLOOKUP(F30,Stammdaten!$A$8:$L$57,6,FALSE),0)))</f>
        <v/>
      </c>
      <c r="J30" s="43" t="str">
        <f t="shared" si="0"/>
        <v/>
      </c>
      <c r="K30" s="53"/>
      <c r="L30" s="5"/>
      <c r="M30" s="56"/>
      <c r="N30" s="47" t="str">
        <f>IF(OR(A30="",F30="",H30=""),"",IF(OR(L30="Storniert",L30="Abgeschlossen"),0,MAX(0,H30-IF(B30="Einkauf",SUMIFS(Warenbewegungen!$F$8:$F$207,Warenbewegungen!$I$8:$I$207,A30,Warenbewegungen!$D$8:$D$207,F30,Warenbewegungen!$C$8:$C$207,"Wareneingang"),SUMIFS(Warenbewegungen!$F$8:$F$207,Warenbewegungen!$I$8:$I$207,A30,Warenbewegungen!$D$8:$D$207,F30,Warenbewegungen!$C$8:$C$207,"Warenausgang")))))</f>
        <v/>
      </c>
      <c r="O30" s="43" t="str">
        <f t="shared" si="1"/>
        <v/>
      </c>
    </row>
    <row r="31" spans="1:15" x14ac:dyDescent="0.25">
      <c r="A31" s="4"/>
      <c r="B31" s="5"/>
      <c r="C31" s="35"/>
      <c r="D31" s="6"/>
      <c r="E31" s="23" t="str">
        <f>IF(D31="","",IFERROR(VLOOKUP(D31,Stammdaten!$N$8:$V$37,3,FALSE),"Partner-ID prüfen"))</f>
        <v/>
      </c>
      <c r="F31" s="20"/>
      <c r="G31" s="23" t="str">
        <f>IF(F31="","",IFERROR(VLOOKUP(F31,Stammdaten!$A$8:$L$57,2,FALSE),"Artikel-ID prüfen"))</f>
        <v/>
      </c>
      <c r="H31" s="38"/>
      <c r="I31" s="42" t="str">
        <f>IF(OR(B31="",F31=""),"",IF(B31="Einkauf",IFERROR(VLOOKUP(F31,Stammdaten!$A$8:$L$57,5,FALSE),0),IFERROR(VLOOKUP(F31,Stammdaten!$A$8:$L$57,6,FALSE),0)))</f>
        <v/>
      </c>
      <c r="J31" s="43" t="str">
        <f t="shared" si="0"/>
        <v/>
      </c>
      <c r="K31" s="53"/>
      <c r="L31" s="5"/>
      <c r="M31" s="56"/>
      <c r="N31" s="47" t="str">
        <f>IF(OR(A31="",F31="",H31=""),"",IF(OR(L31="Storniert",L31="Abgeschlossen"),0,MAX(0,H31-IF(B31="Einkauf",SUMIFS(Warenbewegungen!$F$8:$F$207,Warenbewegungen!$I$8:$I$207,A31,Warenbewegungen!$D$8:$D$207,F31,Warenbewegungen!$C$8:$C$207,"Wareneingang"),SUMIFS(Warenbewegungen!$F$8:$F$207,Warenbewegungen!$I$8:$I$207,A31,Warenbewegungen!$D$8:$D$207,F31,Warenbewegungen!$C$8:$C$207,"Warenausgang")))))</f>
        <v/>
      </c>
      <c r="O31" s="43" t="str">
        <f t="shared" si="1"/>
        <v/>
      </c>
    </row>
    <row r="32" spans="1:15" x14ac:dyDescent="0.25">
      <c r="A32" s="4"/>
      <c r="B32" s="5"/>
      <c r="C32" s="35"/>
      <c r="D32" s="6"/>
      <c r="E32" s="23" t="str">
        <f>IF(D32="","",IFERROR(VLOOKUP(D32,Stammdaten!$N$8:$V$37,3,FALSE),"Partner-ID prüfen"))</f>
        <v/>
      </c>
      <c r="F32" s="20"/>
      <c r="G32" s="23" t="str">
        <f>IF(F32="","",IFERROR(VLOOKUP(F32,Stammdaten!$A$8:$L$57,2,FALSE),"Artikel-ID prüfen"))</f>
        <v/>
      </c>
      <c r="H32" s="38"/>
      <c r="I32" s="42" t="str">
        <f>IF(OR(B32="",F32=""),"",IF(B32="Einkauf",IFERROR(VLOOKUP(F32,Stammdaten!$A$8:$L$57,5,FALSE),0),IFERROR(VLOOKUP(F32,Stammdaten!$A$8:$L$57,6,FALSE),0)))</f>
        <v/>
      </c>
      <c r="J32" s="43" t="str">
        <f t="shared" si="0"/>
        <v/>
      </c>
      <c r="K32" s="53"/>
      <c r="L32" s="5"/>
      <c r="M32" s="56"/>
      <c r="N32" s="47" t="str">
        <f>IF(OR(A32="",F32="",H32=""),"",IF(OR(L32="Storniert",L32="Abgeschlossen"),0,MAX(0,H32-IF(B32="Einkauf",SUMIFS(Warenbewegungen!$F$8:$F$207,Warenbewegungen!$I$8:$I$207,A32,Warenbewegungen!$D$8:$D$207,F32,Warenbewegungen!$C$8:$C$207,"Wareneingang"),SUMIFS(Warenbewegungen!$F$8:$F$207,Warenbewegungen!$I$8:$I$207,A32,Warenbewegungen!$D$8:$D$207,F32,Warenbewegungen!$C$8:$C$207,"Warenausgang")))))</f>
        <v/>
      </c>
      <c r="O32" s="43" t="str">
        <f t="shared" si="1"/>
        <v/>
      </c>
    </row>
    <row r="33" spans="1:15" x14ac:dyDescent="0.25">
      <c r="A33" s="4"/>
      <c r="B33" s="5"/>
      <c r="C33" s="35"/>
      <c r="D33" s="6"/>
      <c r="E33" s="23" t="str">
        <f>IF(D33="","",IFERROR(VLOOKUP(D33,Stammdaten!$N$8:$V$37,3,FALSE),"Partner-ID prüfen"))</f>
        <v/>
      </c>
      <c r="F33" s="20"/>
      <c r="G33" s="23" t="str">
        <f>IF(F33="","",IFERROR(VLOOKUP(F33,Stammdaten!$A$8:$L$57,2,FALSE),"Artikel-ID prüfen"))</f>
        <v/>
      </c>
      <c r="H33" s="38"/>
      <c r="I33" s="42" t="str">
        <f>IF(OR(B33="",F33=""),"",IF(B33="Einkauf",IFERROR(VLOOKUP(F33,Stammdaten!$A$8:$L$57,5,FALSE),0),IFERROR(VLOOKUP(F33,Stammdaten!$A$8:$L$57,6,FALSE),0)))</f>
        <v/>
      </c>
      <c r="J33" s="43" t="str">
        <f t="shared" si="0"/>
        <v/>
      </c>
      <c r="K33" s="53"/>
      <c r="L33" s="5"/>
      <c r="M33" s="56"/>
      <c r="N33" s="47" t="str">
        <f>IF(OR(A33="",F33="",H33=""),"",IF(OR(L33="Storniert",L33="Abgeschlossen"),0,MAX(0,H33-IF(B33="Einkauf",SUMIFS(Warenbewegungen!$F$8:$F$207,Warenbewegungen!$I$8:$I$207,A33,Warenbewegungen!$D$8:$D$207,F33,Warenbewegungen!$C$8:$C$207,"Wareneingang"),SUMIFS(Warenbewegungen!$F$8:$F$207,Warenbewegungen!$I$8:$I$207,A33,Warenbewegungen!$D$8:$D$207,F33,Warenbewegungen!$C$8:$C$207,"Warenausgang")))))</f>
        <v/>
      </c>
      <c r="O33" s="43" t="str">
        <f t="shared" si="1"/>
        <v/>
      </c>
    </row>
    <row r="34" spans="1:15" x14ac:dyDescent="0.25">
      <c r="A34" s="4"/>
      <c r="B34" s="5"/>
      <c r="C34" s="35"/>
      <c r="D34" s="6"/>
      <c r="E34" s="23" t="str">
        <f>IF(D34="","",IFERROR(VLOOKUP(D34,Stammdaten!$N$8:$V$37,3,FALSE),"Partner-ID prüfen"))</f>
        <v/>
      </c>
      <c r="F34" s="20"/>
      <c r="G34" s="23" t="str">
        <f>IF(F34="","",IFERROR(VLOOKUP(F34,Stammdaten!$A$8:$L$57,2,FALSE),"Artikel-ID prüfen"))</f>
        <v/>
      </c>
      <c r="H34" s="38"/>
      <c r="I34" s="42" t="str">
        <f>IF(OR(B34="",F34=""),"",IF(B34="Einkauf",IFERROR(VLOOKUP(F34,Stammdaten!$A$8:$L$57,5,FALSE),0),IFERROR(VLOOKUP(F34,Stammdaten!$A$8:$L$57,6,FALSE),0)))</f>
        <v/>
      </c>
      <c r="J34" s="43" t="str">
        <f t="shared" si="0"/>
        <v/>
      </c>
      <c r="K34" s="53"/>
      <c r="L34" s="5"/>
      <c r="M34" s="56"/>
      <c r="N34" s="47" t="str">
        <f>IF(OR(A34="",F34="",H34=""),"",IF(OR(L34="Storniert",L34="Abgeschlossen"),0,MAX(0,H34-IF(B34="Einkauf",SUMIFS(Warenbewegungen!$F$8:$F$207,Warenbewegungen!$I$8:$I$207,A34,Warenbewegungen!$D$8:$D$207,F34,Warenbewegungen!$C$8:$C$207,"Wareneingang"),SUMIFS(Warenbewegungen!$F$8:$F$207,Warenbewegungen!$I$8:$I$207,A34,Warenbewegungen!$D$8:$D$207,F34,Warenbewegungen!$C$8:$C$207,"Warenausgang")))))</f>
        <v/>
      </c>
      <c r="O34" s="43" t="str">
        <f t="shared" si="1"/>
        <v/>
      </c>
    </row>
    <row r="35" spans="1:15" x14ac:dyDescent="0.25">
      <c r="A35" s="4"/>
      <c r="B35" s="5"/>
      <c r="C35" s="35"/>
      <c r="D35" s="6"/>
      <c r="E35" s="23" t="str">
        <f>IF(D35="","",IFERROR(VLOOKUP(D35,Stammdaten!$N$8:$V$37,3,FALSE),"Partner-ID prüfen"))</f>
        <v/>
      </c>
      <c r="F35" s="20"/>
      <c r="G35" s="23" t="str">
        <f>IF(F35="","",IFERROR(VLOOKUP(F35,Stammdaten!$A$8:$L$57,2,FALSE),"Artikel-ID prüfen"))</f>
        <v/>
      </c>
      <c r="H35" s="38"/>
      <c r="I35" s="42" t="str">
        <f>IF(OR(B35="",F35=""),"",IF(B35="Einkauf",IFERROR(VLOOKUP(F35,Stammdaten!$A$8:$L$57,5,FALSE),0),IFERROR(VLOOKUP(F35,Stammdaten!$A$8:$L$57,6,FALSE),0)))</f>
        <v/>
      </c>
      <c r="J35" s="43" t="str">
        <f t="shared" si="0"/>
        <v/>
      </c>
      <c r="K35" s="53"/>
      <c r="L35" s="5"/>
      <c r="M35" s="56"/>
      <c r="N35" s="47" t="str">
        <f>IF(OR(A35="",F35="",H35=""),"",IF(OR(L35="Storniert",L35="Abgeschlossen"),0,MAX(0,H35-IF(B35="Einkauf",SUMIFS(Warenbewegungen!$F$8:$F$207,Warenbewegungen!$I$8:$I$207,A35,Warenbewegungen!$D$8:$D$207,F35,Warenbewegungen!$C$8:$C$207,"Wareneingang"),SUMIFS(Warenbewegungen!$F$8:$F$207,Warenbewegungen!$I$8:$I$207,A35,Warenbewegungen!$D$8:$D$207,F35,Warenbewegungen!$C$8:$C$207,"Warenausgang")))))</f>
        <v/>
      </c>
      <c r="O35" s="43" t="str">
        <f t="shared" si="1"/>
        <v/>
      </c>
    </row>
    <row r="36" spans="1:15" x14ac:dyDescent="0.25">
      <c r="A36" s="4"/>
      <c r="B36" s="5"/>
      <c r="C36" s="35"/>
      <c r="D36" s="6"/>
      <c r="E36" s="23" t="str">
        <f>IF(D36="","",IFERROR(VLOOKUP(D36,Stammdaten!$N$8:$V$37,3,FALSE),"Partner-ID prüfen"))</f>
        <v/>
      </c>
      <c r="F36" s="20"/>
      <c r="G36" s="23" t="str">
        <f>IF(F36="","",IFERROR(VLOOKUP(F36,Stammdaten!$A$8:$L$57,2,FALSE),"Artikel-ID prüfen"))</f>
        <v/>
      </c>
      <c r="H36" s="38"/>
      <c r="I36" s="42" t="str">
        <f>IF(OR(B36="",F36=""),"",IF(B36="Einkauf",IFERROR(VLOOKUP(F36,Stammdaten!$A$8:$L$57,5,FALSE),0),IFERROR(VLOOKUP(F36,Stammdaten!$A$8:$L$57,6,FALSE),0)))</f>
        <v/>
      </c>
      <c r="J36" s="43" t="str">
        <f t="shared" si="0"/>
        <v/>
      </c>
      <c r="K36" s="53"/>
      <c r="L36" s="5"/>
      <c r="M36" s="56"/>
      <c r="N36" s="47" t="str">
        <f>IF(OR(A36="",F36="",H36=""),"",IF(OR(L36="Storniert",L36="Abgeschlossen"),0,MAX(0,H36-IF(B36="Einkauf",SUMIFS(Warenbewegungen!$F$8:$F$207,Warenbewegungen!$I$8:$I$207,A36,Warenbewegungen!$D$8:$D$207,F36,Warenbewegungen!$C$8:$C$207,"Wareneingang"),SUMIFS(Warenbewegungen!$F$8:$F$207,Warenbewegungen!$I$8:$I$207,A36,Warenbewegungen!$D$8:$D$207,F36,Warenbewegungen!$C$8:$C$207,"Warenausgang")))))</f>
        <v/>
      </c>
      <c r="O36" s="43" t="str">
        <f t="shared" si="1"/>
        <v/>
      </c>
    </row>
    <row r="37" spans="1:15" x14ac:dyDescent="0.25">
      <c r="A37" s="4"/>
      <c r="B37" s="5"/>
      <c r="C37" s="35"/>
      <c r="D37" s="6"/>
      <c r="E37" s="23" t="str">
        <f>IF(D37="","",IFERROR(VLOOKUP(D37,Stammdaten!$N$8:$V$37,3,FALSE),"Partner-ID prüfen"))</f>
        <v/>
      </c>
      <c r="F37" s="20"/>
      <c r="G37" s="23" t="str">
        <f>IF(F37="","",IFERROR(VLOOKUP(F37,Stammdaten!$A$8:$L$57,2,FALSE),"Artikel-ID prüfen"))</f>
        <v/>
      </c>
      <c r="H37" s="38"/>
      <c r="I37" s="42" t="str">
        <f>IF(OR(B37="",F37=""),"",IF(B37="Einkauf",IFERROR(VLOOKUP(F37,Stammdaten!$A$8:$L$57,5,FALSE),0),IFERROR(VLOOKUP(F37,Stammdaten!$A$8:$L$57,6,FALSE),0)))</f>
        <v/>
      </c>
      <c r="J37" s="43" t="str">
        <f t="shared" si="0"/>
        <v/>
      </c>
      <c r="K37" s="53"/>
      <c r="L37" s="5"/>
      <c r="M37" s="56"/>
      <c r="N37" s="47" t="str">
        <f>IF(OR(A37="",F37="",H37=""),"",IF(OR(L37="Storniert",L37="Abgeschlossen"),0,MAX(0,H37-IF(B37="Einkauf",SUMIFS(Warenbewegungen!$F$8:$F$207,Warenbewegungen!$I$8:$I$207,A37,Warenbewegungen!$D$8:$D$207,F37,Warenbewegungen!$C$8:$C$207,"Wareneingang"),SUMIFS(Warenbewegungen!$F$8:$F$207,Warenbewegungen!$I$8:$I$207,A37,Warenbewegungen!$D$8:$D$207,F37,Warenbewegungen!$C$8:$C$207,"Warenausgang")))))</f>
        <v/>
      </c>
      <c r="O37" s="43" t="str">
        <f t="shared" si="1"/>
        <v/>
      </c>
    </row>
    <row r="38" spans="1:15" x14ac:dyDescent="0.25">
      <c r="A38" s="4"/>
      <c r="B38" s="5"/>
      <c r="C38" s="35"/>
      <c r="D38" s="6"/>
      <c r="E38" s="23" t="str">
        <f>IF(D38="","",IFERROR(VLOOKUP(D38,Stammdaten!$N$8:$V$37,3,FALSE),"Partner-ID prüfen"))</f>
        <v/>
      </c>
      <c r="F38" s="20"/>
      <c r="G38" s="23" t="str">
        <f>IF(F38="","",IFERROR(VLOOKUP(F38,Stammdaten!$A$8:$L$57,2,FALSE),"Artikel-ID prüfen"))</f>
        <v/>
      </c>
      <c r="H38" s="38"/>
      <c r="I38" s="42" t="str">
        <f>IF(OR(B38="",F38=""),"",IF(B38="Einkauf",IFERROR(VLOOKUP(F38,Stammdaten!$A$8:$L$57,5,FALSE),0),IFERROR(VLOOKUP(F38,Stammdaten!$A$8:$L$57,6,FALSE),0)))</f>
        <v/>
      </c>
      <c r="J38" s="43" t="str">
        <f t="shared" si="0"/>
        <v/>
      </c>
      <c r="K38" s="53"/>
      <c r="L38" s="5"/>
      <c r="M38" s="56"/>
      <c r="N38" s="47" t="str">
        <f>IF(OR(A38="",F38="",H38=""),"",IF(OR(L38="Storniert",L38="Abgeschlossen"),0,MAX(0,H38-IF(B38="Einkauf",SUMIFS(Warenbewegungen!$F$8:$F$207,Warenbewegungen!$I$8:$I$207,A38,Warenbewegungen!$D$8:$D$207,F38,Warenbewegungen!$C$8:$C$207,"Wareneingang"),SUMIFS(Warenbewegungen!$F$8:$F$207,Warenbewegungen!$I$8:$I$207,A38,Warenbewegungen!$D$8:$D$207,F38,Warenbewegungen!$C$8:$C$207,"Warenausgang")))))</f>
        <v/>
      </c>
      <c r="O38" s="43" t="str">
        <f t="shared" si="1"/>
        <v/>
      </c>
    </row>
    <row r="39" spans="1:15" x14ac:dyDescent="0.25">
      <c r="A39" s="4"/>
      <c r="B39" s="5"/>
      <c r="C39" s="35"/>
      <c r="D39" s="6"/>
      <c r="E39" s="23" t="str">
        <f>IF(D39="","",IFERROR(VLOOKUP(D39,Stammdaten!$N$8:$V$37,3,FALSE),"Partner-ID prüfen"))</f>
        <v/>
      </c>
      <c r="F39" s="20"/>
      <c r="G39" s="23" t="str">
        <f>IF(F39="","",IFERROR(VLOOKUP(F39,Stammdaten!$A$8:$L$57,2,FALSE),"Artikel-ID prüfen"))</f>
        <v/>
      </c>
      <c r="H39" s="38"/>
      <c r="I39" s="42" t="str">
        <f>IF(OR(B39="",F39=""),"",IF(B39="Einkauf",IFERROR(VLOOKUP(F39,Stammdaten!$A$8:$L$57,5,FALSE),0),IFERROR(VLOOKUP(F39,Stammdaten!$A$8:$L$57,6,FALSE),0)))</f>
        <v/>
      </c>
      <c r="J39" s="43" t="str">
        <f t="shared" si="0"/>
        <v/>
      </c>
      <c r="K39" s="53"/>
      <c r="L39" s="5"/>
      <c r="M39" s="56"/>
      <c r="N39" s="47" t="str">
        <f>IF(OR(A39="",F39="",H39=""),"",IF(OR(L39="Storniert",L39="Abgeschlossen"),0,MAX(0,H39-IF(B39="Einkauf",SUMIFS(Warenbewegungen!$F$8:$F$207,Warenbewegungen!$I$8:$I$207,A39,Warenbewegungen!$D$8:$D$207,F39,Warenbewegungen!$C$8:$C$207,"Wareneingang"),SUMIFS(Warenbewegungen!$F$8:$F$207,Warenbewegungen!$I$8:$I$207,A39,Warenbewegungen!$D$8:$D$207,F39,Warenbewegungen!$C$8:$C$207,"Warenausgang")))))</f>
        <v/>
      </c>
      <c r="O39" s="43" t="str">
        <f t="shared" si="1"/>
        <v/>
      </c>
    </row>
    <row r="40" spans="1:15" x14ac:dyDescent="0.25">
      <c r="A40" s="4"/>
      <c r="B40" s="5"/>
      <c r="C40" s="35"/>
      <c r="D40" s="6"/>
      <c r="E40" s="23" t="str">
        <f>IF(D40="","",IFERROR(VLOOKUP(D40,Stammdaten!$N$8:$V$37,3,FALSE),"Partner-ID prüfen"))</f>
        <v/>
      </c>
      <c r="F40" s="20"/>
      <c r="G40" s="23" t="str">
        <f>IF(F40="","",IFERROR(VLOOKUP(F40,Stammdaten!$A$8:$L$57,2,FALSE),"Artikel-ID prüfen"))</f>
        <v/>
      </c>
      <c r="H40" s="38"/>
      <c r="I40" s="42" t="str">
        <f>IF(OR(B40="",F40=""),"",IF(B40="Einkauf",IFERROR(VLOOKUP(F40,Stammdaten!$A$8:$L$57,5,FALSE),0),IFERROR(VLOOKUP(F40,Stammdaten!$A$8:$L$57,6,FALSE),0)))</f>
        <v/>
      </c>
      <c r="J40" s="43" t="str">
        <f t="shared" ref="J40:J71" si="2">IF(OR(H40="",I40=""),"",H40*I40)</f>
        <v/>
      </c>
      <c r="K40" s="53"/>
      <c r="L40" s="5"/>
      <c r="M40" s="56"/>
      <c r="N40" s="47" t="str">
        <f>IF(OR(A40="",F40="",H40=""),"",IF(OR(L40="Storniert",L40="Abgeschlossen"),0,MAX(0,H40-IF(B40="Einkauf",SUMIFS(Warenbewegungen!$F$8:$F$207,Warenbewegungen!$I$8:$I$207,A40,Warenbewegungen!$D$8:$D$207,F40,Warenbewegungen!$C$8:$C$207,"Wareneingang"),SUMIFS(Warenbewegungen!$F$8:$F$207,Warenbewegungen!$I$8:$I$207,A40,Warenbewegungen!$D$8:$D$207,F40,Warenbewegungen!$C$8:$C$207,"Warenausgang")))))</f>
        <v/>
      </c>
      <c r="O40" s="43" t="str">
        <f t="shared" ref="O40:O71" si="3">IF(N40="","",N40*I40)</f>
        <v/>
      </c>
    </row>
    <row r="41" spans="1:15" x14ac:dyDescent="0.25">
      <c r="A41" s="4"/>
      <c r="B41" s="5"/>
      <c r="C41" s="35"/>
      <c r="D41" s="6"/>
      <c r="E41" s="23" t="str">
        <f>IF(D41="","",IFERROR(VLOOKUP(D41,Stammdaten!$N$8:$V$37,3,FALSE),"Partner-ID prüfen"))</f>
        <v/>
      </c>
      <c r="F41" s="20"/>
      <c r="G41" s="23" t="str">
        <f>IF(F41="","",IFERROR(VLOOKUP(F41,Stammdaten!$A$8:$L$57,2,FALSE),"Artikel-ID prüfen"))</f>
        <v/>
      </c>
      <c r="H41" s="38"/>
      <c r="I41" s="42" t="str">
        <f>IF(OR(B41="",F41=""),"",IF(B41="Einkauf",IFERROR(VLOOKUP(F41,Stammdaten!$A$8:$L$57,5,FALSE),0),IFERROR(VLOOKUP(F41,Stammdaten!$A$8:$L$57,6,FALSE),0)))</f>
        <v/>
      </c>
      <c r="J41" s="43" t="str">
        <f t="shared" si="2"/>
        <v/>
      </c>
      <c r="K41" s="53"/>
      <c r="L41" s="5"/>
      <c r="M41" s="56"/>
      <c r="N41" s="47" t="str">
        <f>IF(OR(A41="",F41="",H41=""),"",IF(OR(L41="Storniert",L41="Abgeschlossen"),0,MAX(0,H41-IF(B41="Einkauf",SUMIFS(Warenbewegungen!$F$8:$F$207,Warenbewegungen!$I$8:$I$207,A41,Warenbewegungen!$D$8:$D$207,F41,Warenbewegungen!$C$8:$C$207,"Wareneingang"),SUMIFS(Warenbewegungen!$F$8:$F$207,Warenbewegungen!$I$8:$I$207,A41,Warenbewegungen!$D$8:$D$207,F41,Warenbewegungen!$C$8:$C$207,"Warenausgang")))))</f>
        <v/>
      </c>
      <c r="O41" s="43" t="str">
        <f t="shared" si="3"/>
        <v/>
      </c>
    </row>
    <row r="42" spans="1:15" x14ac:dyDescent="0.25">
      <c r="A42" s="4"/>
      <c r="B42" s="5"/>
      <c r="C42" s="35"/>
      <c r="D42" s="6"/>
      <c r="E42" s="23" t="str">
        <f>IF(D42="","",IFERROR(VLOOKUP(D42,Stammdaten!$N$8:$V$37,3,FALSE),"Partner-ID prüfen"))</f>
        <v/>
      </c>
      <c r="F42" s="20"/>
      <c r="G42" s="23" t="str">
        <f>IF(F42="","",IFERROR(VLOOKUP(F42,Stammdaten!$A$8:$L$57,2,FALSE),"Artikel-ID prüfen"))</f>
        <v/>
      </c>
      <c r="H42" s="38"/>
      <c r="I42" s="42" t="str">
        <f>IF(OR(B42="",F42=""),"",IF(B42="Einkauf",IFERROR(VLOOKUP(F42,Stammdaten!$A$8:$L$57,5,FALSE),0),IFERROR(VLOOKUP(F42,Stammdaten!$A$8:$L$57,6,FALSE),0)))</f>
        <v/>
      </c>
      <c r="J42" s="43" t="str">
        <f t="shared" si="2"/>
        <v/>
      </c>
      <c r="K42" s="53"/>
      <c r="L42" s="5"/>
      <c r="M42" s="56"/>
      <c r="N42" s="47" t="str">
        <f>IF(OR(A42="",F42="",H42=""),"",IF(OR(L42="Storniert",L42="Abgeschlossen"),0,MAX(0,H42-IF(B42="Einkauf",SUMIFS(Warenbewegungen!$F$8:$F$207,Warenbewegungen!$I$8:$I$207,A42,Warenbewegungen!$D$8:$D$207,F42,Warenbewegungen!$C$8:$C$207,"Wareneingang"),SUMIFS(Warenbewegungen!$F$8:$F$207,Warenbewegungen!$I$8:$I$207,A42,Warenbewegungen!$D$8:$D$207,F42,Warenbewegungen!$C$8:$C$207,"Warenausgang")))))</f>
        <v/>
      </c>
      <c r="O42" s="43" t="str">
        <f t="shared" si="3"/>
        <v/>
      </c>
    </row>
    <row r="43" spans="1:15" x14ac:dyDescent="0.25">
      <c r="A43" s="4"/>
      <c r="B43" s="5"/>
      <c r="C43" s="35"/>
      <c r="D43" s="6"/>
      <c r="E43" s="23" t="str">
        <f>IF(D43="","",IFERROR(VLOOKUP(D43,Stammdaten!$N$8:$V$37,3,FALSE),"Partner-ID prüfen"))</f>
        <v/>
      </c>
      <c r="F43" s="20"/>
      <c r="G43" s="23" t="str">
        <f>IF(F43="","",IFERROR(VLOOKUP(F43,Stammdaten!$A$8:$L$57,2,FALSE),"Artikel-ID prüfen"))</f>
        <v/>
      </c>
      <c r="H43" s="38"/>
      <c r="I43" s="42" t="str">
        <f>IF(OR(B43="",F43=""),"",IF(B43="Einkauf",IFERROR(VLOOKUP(F43,Stammdaten!$A$8:$L$57,5,FALSE),0),IFERROR(VLOOKUP(F43,Stammdaten!$A$8:$L$57,6,FALSE),0)))</f>
        <v/>
      </c>
      <c r="J43" s="43" t="str">
        <f t="shared" si="2"/>
        <v/>
      </c>
      <c r="K43" s="53"/>
      <c r="L43" s="5"/>
      <c r="M43" s="56"/>
      <c r="N43" s="47" t="str">
        <f>IF(OR(A43="",F43="",H43=""),"",IF(OR(L43="Storniert",L43="Abgeschlossen"),0,MAX(0,H43-IF(B43="Einkauf",SUMIFS(Warenbewegungen!$F$8:$F$207,Warenbewegungen!$I$8:$I$207,A43,Warenbewegungen!$D$8:$D$207,F43,Warenbewegungen!$C$8:$C$207,"Wareneingang"),SUMIFS(Warenbewegungen!$F$8:$F$207,Warenbewegungen!$I$8:$I$207,A43,Warenbewegungen!$D$8:$D$207,F43,Warenbewegungen!$C$8:$C$207,"Warenausgang")))))</f>
        <v/>
      </c>
      <c r="O43" s="43" t="str">
        <f t="shared" si="3"/>
        <v/>
      </c>
    </row>
    <row r="44" spans="1:15" x14ac:dyDescent="0.25">
      <c r="A44" s="4"/>
      <c r="B44" s="5"/>
      <c r="C44" s="35"/>
      <c r="D44" s="6"/>
      <c r="E44" s="23" t="str">
        <f>IF(D44="","",IFERROR(VLOOKUP(D44,Stammdaten!$N$8:$V$37,3,FALSE),"Partner-ID prüfen"))</f>
        <v/>
      </c>
      <c r="F44" s="20"/>
      <c r="G44" s="23" t="str">
        <f>IF(F44="","",IFERROR(VLOOKUP(F44,Stammdaten!$A$8:$L$57,2,FALSE),"Artikel-ID prüfen"))</f>
        <v/>
      </c>
      <c r="H44" s="38"/>
      <c r="I44" s="42" t="str">
        <f>IF(OR(B44="",F44=""),"",IF(B44="Einkauf",IFERROR(VLOOKUP(F44,Stammdaten!$A$8:$L$57,5,FALSE),0),IFERROR(VLOOKUP(F44,Stammdaten!$A$8:$L$57,6,FALSE),0)))</f>
        <v/>
      </c>
      <c r="J44" s="43" t="str">
        <f t="shared" si="2"/>
        <v/>
      </c>
      <c r="K44" s="53"/>
      <c r="L44" s="5"/>
      <c r="M44" s="56"/>
      <c r="N44" s="47" t="str">
        <f>IF(OR(A44="",F44="",H44=""),"",IF(OR(L44="Storniert",L44="Abgeschlossen"),0,MAX(0,H44-IF(B44="Einkauf",SUMIFS(Warenbewegungen!$F$8:$F$207,Warenbewegungen!$I$8:$I$207,A44,Warenbewegungen!$D$8:$D$207,F44,Warenbewegungen!$C$8:$C$207,"Wareneingang"),SUMIFS(Warenbewegungen!$F$8:$F$207,Warenbewegungen!$I$8:$I$207,A44,Warenbewegungen!$D$8:$D$207,F44,Warenbewegungen!$C$8:$C$207,"Warenausgang")))))</f>
        <v/>
      </c>
      <c r="O44" s="43" t="str">
        <f t="shared" si="3"/>
        <v/>
      </c>
    </row>
    <row r="45" spans="1:15" x14ac:dyDescent="0.25">
      <c r="A45" s="4"/>
      <c r="B45" s="5"/>
      <c r="C45" s="35"/>
      <c r="D45" s="6"/>
      <c r="E45" s="23" t="str">
        <f>IF(D45="","",IFERROR(VLOOKUP(D45,Stammdaten!$N$8:$V$37,3,FALSE),"Partner-ID prüfen"))</f>
        <v/>
      </c>
      <c r="F45" s="20"/>
      <c r="G45" s="23" t="str">
        <f>IF(F45="","",IFERROR(VLOOKUP(F45,Stammdaten!$A$8:$L$57,2,FALSE),"Artikel-ID prüfen"))</f>
        <v/>
      </c>
      <c r="H45" s="38"/>
      <c r="I45" s="42" t="str">
        <f>IF(OR(B45="",F45=""),"",IF(B45="Einkauf",IFERROR(VLOOKUP(F45,Stammdaten!$A$8:$L$57,5,FALSE),0),IFERROR(VLOOKUP(F45,Stammdaten!$A$8:$L$57,6,FALSE),0)))</f>
        <v/>
      </c>
      <c r="J45" s="43" t="str">
        <f t="shared" si="2"/>
        <v/>
      </c>
      <c r="K45" s="53"/>
      <c r="L45" s="5"/>
      <c r="M45" s="56"/>
      <c r="N45" s="47" t="str">
        <f>IF(OR(A45="",F45="",H45=""),"",IF(OR(L45="Storniert",L45="Abgeschlossen"),0,MAX(0,H45-IF(B45="Einkauf",SUMIFS(Warenbewegungen!$F$8:$F$207,Warenbewegungen!$I$8:$I$207,A45,Warenbewegungen!$D$8:$D$207,F45,Warenbewegungen!$C$8:$C$207,"Wareneingang"),SUMIFS(Warenbewegungen!$F$8:$F$207,Warenbewegungen!$I$8:$I$207,A45,Warenbewegungen!$D$8:$D$207,F45,Warenbewegungen!$C$8:$C$207,"Warenausgang")))))</f>
        <v/>
      </c>
      <c r="O45" s="43" t="str">
        <f t="shared" si="3"/>
        <v/>
      </c>
    </row>
    <row r="46" spans="1:15" x14ac:dyDescent="0.25">
      <c r="A46" s="4"/>
      <c r="B46" s="5"/>
      <c r="C46" s="35"/>
      <c r="D46" s="6"/>
      <c r="E46" s="23" t="str">
        <f>IF(D46="","",IFERROR(VLOOKUP(D46,Stammdaten!$N$8:$V$37,3,FALSE),"Partner-ID prüfen"))</f>
        <v/>
      </c>
      <c r="F46" s="20"/>
      <c r="G46" s="23" t="str">
        <f>IF(F46="","",IFERROR(VLOOKUP(F46,Stammdaten!$A$8:$L$57,2,FALSE),"Artikel-ID prüfen"))</f>
        <v/>
      </c>
      <c r="H46" s="38"/>
      <c r="I46" s="42" t="str">
        <f>IF(OR(B46="",F46=""),"",IF(B46="Einkauf",IFERROR(VLOOKUP(F46,Stammdaten!$A$8:$L$57,5,FALSE),0),IFERROR(VLOOKUP(F46,Stammdaten!$A$8:$L$57,6,FALSE),0)))</f>
        <v/>
      </c>
      <c r="J46" s="43" t="str">
        <f t="shared" si="2"/>
        <v/>
      </c>
      <c r="K46" s="53"/>
      <c r="L46" s="5"/>
      <c r="M46" s="56"/>
      <c r="N46" s="47" t="str">
        <f>IF(OR(A46="",F46="",H46=""),"",IF(OR(L46="Storniert",L46="Abgeschlossen"),0,MAX(0,H46-IF(B46="Einkauf",SUMIFS(Warenbewegungen!$F$8:$F$207,Warenbewegungen!$I$8:$I$207,A46,Warenbewegungen!$D$8:$D$207,F46,Warenbewegungen!$C$8:$C$207,"Wareneingang"),SUMIFS(Warenbewegungen!$F$8:$F$207,Warenbewegungen!$I$8:$I$207,A46,Warenbewegungen!$D$8:$D$207,F46,Warenbewegungen!$C$8:$C$207,"Warenausgang")))))</f>
        <v/>
      </c>
      <c r="O46" s="43" t="str">
        <f t="shared" si="3"/>
        <v/>
      </c>
    </row>
    <row r="47" spans="1:15" x14ac:dyDescent="0.25">
      <c r="A47" s="4"/>
      <c r="B47" s="5"/>
      <c r="C47" s="35"/>
      <c r="D47" s="6"/>
      <c r="E47" s="23" t="str">
        <f>IF(D47="","",IFERROR(VLOOKUP(D47,Stammdaten!$N$8:$V$37,3,FALSE),"Partner-ID prüfen"))</f>
        <v/>
      </c>
      <c r="F47" s="20"/>
      <c r="G47" s="23" t="str">
        <f>IF(F47="","",IFERROR(VLOOKUP(F47,Stammdaten!$A$8:$L$57,2,FALSE),"Artikel-ID prüfen"))</f>
        <v/>
      </c>
      <c r="H47" s="38"/>
      <c r="I47" s="42" t="str">
        <f>IF(OR(B47="",F47=""),"",IF(B47="Einkauf",IFERROR(VLOOKUP(F47,Stammdaten!$A$8:$L$57,5,FALSE),0),IFERROR(VLOOKUP(F47,Stammdaten!$A$8:$L$57,6,FALSE),0)))</f>
        <v/>
      </c>
      <c r="J47" s="43" t="str">
        <f t="shared" si="2"/>
        <v/>
      </c>
      <c r="K47" s="53"/>
      <c r="L47" s="5"/>
      <c r="M47" s="56"/>
      <c r="N47" s="47" t="str">
        <f>IF(OR(A47="",F47="",H47=""),"",IF(OR(L47="Storniert",L47="Abgeschlossen"),0,MAX(0,H47-IF(B47="Einkauf",SUMIFS(Warenbewegungen!$F$8:$F$207,Warenbewegungen!$I$8:$I$207,A47,Warenbewegungen!$D$8:$D$207,F47,Warenbewegungen!$C$8:$C$207,"Wareneingang"),SUMIFS(Warenbewegungen!$F$8:$F$207,Warenbewegungen!$I$8:$I$207,A47,Warenbewegungen!$D$8:$D$207,F47,Warenbewegungen!$C$8:$C$207,"Warenausgang")))))</f>
        <v/>
      </c>
      <c r="O47" s="43" t="str">
        <f t="shared" si="3"/>
        <v/>
      </c>
    </row>
    <row r="48" spans="1:15" x14ac:dyDescent="0.25">
      <c r="A48" s="4"/>
      <c r="B48" s="5"/>
      <c r="C48" s="35"/>
      <c r="D48" s="6"/>
      <c r="E48" s="23" t="str">
        <f>IF(D48="","",IFERROR(VLOOKUP(D48,Stammdaten!$N$8:$V$37,3,FALSE),"Partner-ID prüfen"))</f>
        <v/>
      </c>
      <c r="F48" s="20"/>
      <c r="G48" s="23" t="str">
        <f>IF(F48="","",IFERROR(VLOOKUP(F48,Stammdaten!$A$8:$L$57,2,FALSE),"Artikel-ID prüfen"))</f>
        <v/>
      </c>
      <c r="H48" s="38"/>
      <c r="I48" s="42" t="str">
        <f>IF(OR(B48="",F48=""),"",IF(B48="Einkauf",IFERROR(VLOOKUP(F48,Stammdaten!$A$8:$L$57,5,FALSE),0),IFERROR(VLOOKUP(F48,Stammdaten!$A$8:$L$57,6,FALSE),0)))</f>
        <v/>
      </c>
      <c r="J48" s="43" t="str">
        <f t="shared" si="2"/>
        <v/>
      </c>
      <c r="K48" s="53"/>
      <c r="L48" s="5"/>
      <c r="M48" s="56"/>
      <c r="N48" s="47" t="str">
        <f>IF(OR(A48="",F48="",H48=""),"",IF(OR(L48="Storniert",L48="Abgeschlossen"),0,MAX(0,H48-IF(B48="Einkauf",SUMIFS(Warenbewegungen!$F$8:$F$207,Warenbewegungen!$I$8:$I$207,A48,Warenbewegungen!$D$8:$D$207,F48,Warenbewegungen!$C$8:$C$207,"Wareneingang"),SUMIFS(Warenbewegungen!$F$8:$F$207,Warenbewegungen!$I$8:$I$207,A48,Warenbewegungen!$D$8:$D$207,F48,Warenbewegungen!$C$8:$C$207,"Warenausgang")))))</f>
        <v/>
      </c>
      <c r="O48" s="43" t="str">
        <f t="shared" si="3"/>
        <v/>
      </c>
    </row>
    <row r="49" spans="1:15" x14ac:dyDescent="0.25">
      <c r="A49" s="4"/>
      <c r="B49" s="5"/>
      <c r="C49" s="35"/>
      <c r="D49" s="6"/>
      <c r="E49" s="23" t="str">
        <f>IF(D49="","",IFERROR(VLOOKUP(D49,Stammdaten!$N$8:$V$37,3,FALSE),"Partner-ID prüfen"))</f>
        <v/>
      </c>
      <c r="F49" s="20"/>
      <c r="G49" s="23" t="str">
        <f>IF(F49="","",IFERROR(VLOOKUP(F49,Stammdaten!$A$8:$L$57,2,FALSE),"Artikel-ID prüfen"))</f>
        <v/>
      </c>
      <c r="H49" s="38"/>
      <c r="I49" s="42" t="str">
        <f>IF(OR(B49="",F49=""),"",IF(B49="Einkauf",IFERROR(VLOOKUP(F49,Stammdaten!$A$8:$L$57,5,FALSE),0),IFERROR(VLOOKUP(F49,Stammdaten!$A$8:$L$57,6,FALSE),0)))</f>
        <v/>
      </c>
      <c r="J49" s="43" t="str">
        <f t="shared" si="2"/>
        <v/>
      </c>
      <c r="K49" s="53"/>
      <c r="L49" s="5"/>
      <c r="M49" s="56"/>
      <c r="N49" s="47" t="str">
        <f>IF(OR(A49="",F49="",H49=""),"",IF(OR(L49="Storniert",L49="Abgeschlossen"),0,MAX(0,H49-IF(B49="Einkauf",SUMIFS(Warenbewegungen!$F$8:$F$207,Warenbewegungen!$I$8:$I$207,A49,Warenbewegungen!$D$8:$D$207,F49,Warenbewegungen!$C$8:$C$207,"Wareneingang"),SUMIFS(Warenbewegungen!$F$8:$F$207,Warenbewegungen!$I$8:$I$207,A49,Warenbewegungen!$D$8:$D$207,F49,Warenbewegungen!$C$8:$C$207,"Warenausgang")))))</f>
        <v/>
      </c>
      <c r="O49" s="43" t="str">
        <f t="shared" si="3"/>
        <v/>
      </c>
    </row>
    <row r="50" spans="1:15" x14ac:dyDescent="0.25">
      <c r="A50" s="4"/>
      <c r="B50" s="5"/>
      <c r="C50" s="35"/>
      <c r="D50" s="6"/>
      <c r="E50" s="23" t="str">
        <f>IF(D50="","",IFERROR(VLOOKUP(D50,Stammdaten!$N$8:$V$37,3,FALSE),"Partner-ID prüfen"))</f>
        <v/>
      </c>
      <c r="F50" s="20"/>
      <c r="G50" s="23" t="str">
        <f>IF(F50="","",IFERROR(VLOOKUP(F50,Stammdaten!$A$8:$L$57,2,FALSE),"Artikel-ID prüfen"))</f>
        <v/>
      </c>
      <c r="H50" s="38"/>
      <c r="I50" s="42" t="str">
        <f>IF(OR(B50="",F50=""),"",IF(B50="Einkauf",IFERROR(VLOOKUP(F50,Stammdaten!$A$8:$L$57,5,FALSE),0),IFERROR(VLOOKUP(F50,Stammdaten!$A$8:$L$57,6,FALSE),0)))</f>
        <v/>
      </c>
      <c r="J50" s="43" t="str">
        <f t="shared" si="2"/>
        <v/>
      </c>
      <c r="K50" s="53"/>
      <c r="L50" s="5"/>
      <c r="M50" s="56"/>
      <c r="N50" s="47" t="str">
        <f>IF(OR(A50="",F50="",H50=""),"",IF(OR(L50="Storniert",L50="Abgeschlossen"),0,MAX(0,H50-IF(B50="Einkauf",SUMIFS(Warenbewegungen!$F$8:$F$207,Warenbewegungen!$I$8:$I$207,A50,Warenbewegungen!$D$8:$D$207,F50,Warenbewegungen!$C$8:$C$207,"Wareneingang"),SUMIFS(Warenbewegungen!$F$8:$F$207,Warenbewegungen!$I$8:$I$207,A50,Warenbewegungen!$D$8:$D$207,F50,Warenbewegungen!$C$8:$C$207,"Warenausgang")))))</f>
        <v/>
      </c>
      <c r="O50" s="43" t="str">
        <f t="shared" si="3"/>
        <v/>
      </c>
    </row>
    <row r="51" spans="1:15" x14ac:dyDescent="0.25">
      <c r="A51" s="4"/>
      <c r="B51" s="5"/>
      <c r="C51" s="35"/>
      <c r="D51" s="6"/>
      <c r="E51" s="23" t="str">
        <f>IF(D51="","",IFERROR(VLOOKUP(D51,Stammdaten!$N$8:$V$37,3,FALSE),"Partner-ID prüfen"))</f>
        <v/>
      </c>
      <c r="F51" s="20"/>
      <c r="G51" s="23" t="str">
        <f>IF(F51="","",IFERROR(VLOOKUP(F51,Stammdaten!$A$8:$L$57,2,FALSE),"Artikel-ID prüfen"))</f>
        <v/>
      </c>
      <c r="H51" s="38"/>
      <c r="I51" s="42" t="str">
        <f>IF(OR(B51="",F51=""),"",IF(B51="Einkauf",IFERROR(VLOOKUP(F51,Stammdaten!$A$8:$L$57,5,FALSE),0),IFERROR(VLOOKUP(F51,Stammdaten!$A$8:$L$57,6,FALSE),0)))</f>
        <v/>
      </c>
      <c r="J51" s="43" t="str">
        <f t="shared" si="2"/>
        <v/>
      </c>
      <c r="K51" s="53"/>
      <c r="L51" s="5"/>
      <c r="M51" s="56"/>
      <c r="N51" s="47" t="str">
        <f>IF(OR(A51="",F51="",H51=""),"",IF(OR(L51="Storniert",L51="Abgeschlossen"),0,MAX(0,H51-IF(B51="Einkauf",SUMIFS(Warenbewegungen!$F$8:$F$207,Warenbewegungen!$I$8:$I$207,A51,Warenbewegungen!$D$8:$D$207,F51,Warenbewegungen!$C$8:$C$207,"Wareneingang"),SUMIFS(Warenbewegungen!$F$8:$F$207,Warenbewegungen!$I$8:$I$207,A51,Warenbewegungen!$D$8:$D$207,F51,Warenbewegungen!$C$8:$C$207,"Warenausgang")))))</f>
        <v/>
      </c>
      <c r="O51" s="43" t="str">
        <f t="shared" si="3"/>
        <v/>
      </c>
    </row>
    <row r="52" spans="1:15" x14ac:dyDescent="0.25">
      <c r="A52" s="4"/>
      <c r="B52" s="5"/>
      <c r="C52" s="35"/>
      <c r="D52" s="6"/>
      <c r="E52" s="23" t="str">
        <f>IF(D52="","",IFERROR(VLOOKUP(D52,Stammdaten!$N$8:$V$37,3,FALSE),"Partner-ID prüfen"))</f>
        <v/>
      </c>
      <c r="F52" s="20"/>
      <c r="G52" s="23" t="str">
        <f>IF(F52="","",IFERROR(VLOOKUP(F52,Stammdaten!$A$8:$L$57,2,FALSE),"Artikel-ID prüfen"))</f>
        <v/>
      </c>
      <c r="H52" s="38"/>
      <c r="I52" s="42" t="str">
        <f>IF(OR(B52="",F52=""),"",IF(B52="Einkauf",IFERROR(VLOOKUP(F52,Stammdaten!$A$8:$L$57,5,FALSE),0),IFERROR(VLOOKUP(F52,Stammdaten!$A$8:$L$57,6,FALSE),0)))</f>
        <v/>
      </c>
      <c r="J52" s="43" t="str">
        <f t="shared" si="2"/>
        <v/>
      </c>
      <c r="K52" s="53"/>
      <c r="L52" s="5"/>
      <c r="M52" s="56"/>
      <c r="N52" s="47" t="str">
        <f>IF(OR(A52="",F52="",H52=""),"",IF(OR(L52="Storniert",L52="Abgeschlossen"),0,MAX(0,H52-IF(B52="Einkauf",SUMIFS(Warenbewegungen!$F$8:$F$207,Warenbewegungen!$I$8:$I$207,A52,Warenbewegungen!$D$8:$D$207,F52,Warenbewegungen!$C$8:$C$207,"Wareneingang"),SUMIFS(Warenbewegungen!$F$8:$F$207,Warenbewegungen!$I$8:$I$207,A52,Warenbewegungen!$D$8:$D$207,F52,Warenbewegungen!$C$8:$C$207,"Warenausgang")))))</f>
        <v/>
      </c>
      <c r="O52" s="43" t="str">
        <f t="shared" si="3"/>
        <v/>
      </c>
    </row>
    <row r="53" spans="1:15" x14ac:dyDescent="0.25">
      <c r="A53" s="4"/>
      <c r="B53" s="5"/>
      <c r="C53" s="35"/>
      <c r="D53" s="6"/>
      <c r="E53" s="23" t="str">
        <f>IF(D53="","",IFERROR(VLOOKUP(D53,Stammdaten!$N$8:$V$37,3,FALSE),"Partner-ID prüfen"))</f>
        <v/>
      </c>
      <c r="F53" s="20"/>
      <c r="G53" s="23" t="str">
        <f>IF(F53="","",IFERROR(VLOOKUP(F53,Stammdaten!$A$8:$L$57,2,FALSE),"Artikel-ID prüfen"))</f>
        <v/>
      </c>
      <c r="H53" s="38"/>
      <c r="I53" s="42" t="str">
        <f>IF(OR(B53="",F53=""),"",IF(B53="Einkauf",IFERROR(VLOOKUP(F53,Stammdaten!$A$8:$L$57,5,FALSE),0),IFERROR(VLOOKUP(F53,Stammdaten!$A$8:$L$57,6,FALSE),0)))</f>
        <v/>
      </c>
      <c r="J53" s="43" t="str">
        <f t="shared" si="2"/>
        <v/>
      </c>
      <c r="K53" s="53"/>
      <c r="L53" s="5"/>
      <c r="M53" s="56"/>
      <c r="N53" s="47" t="str">
        <f>IF(OR(A53="",F53="",H53=""),"",IF(OR(L53="Storniert",L53="Abgeschlossen"),0,MAX(0,H53-IF(B53="Einkauf",SUMIFS(Warenbewegungen!$F$8:$F$207,Warenbewegungen!$I$8:$I$207,A53,Warenbewegungen!$D$8:$D$207,F53,Warenbewegungen!$C$8:$C$207,"Wareneingang"),SUMIFS(Warenbewegungen!$F$8:$F$207,Warenbewegungen!$I$8:$I$207,A53,Warenbewegungen!$D$8:$D$207,F53,Warenbewegungen!$C$8:$C$207,"Warenausgang")))))</f>
        <v/>
      </c>
      <c r="O53" s="43" t="str">
        <f t="shared" si="3"/>
        <v/>
      </c>
    </row>
    <row r="54" spans="1:15" x14ac:dyDescent="0.25">
      <c r="A54" s="4"/>
      <c r="B54" s="5"/>
      <c r="C54" s="35"/>
      <c r="D54" s="6"/>
      <c r="E54" s="23" t="str">
        <f>IF(D54="","",IFERROR(VLOOKUP(D54,Stammdaten!$N$8:$V$37,3,FALSE),"Partner-ID prüfen"))</f>
        <v/>
      </c>
      <c r="F54" s="20"/>
      <c r="G54" s="23" t="str">
        <f>IF(F54="","",IFERROR(VLOOKUP(F54,Stammdaten!$A$8:$L$57,2,FALSE),"Artikel-ID prüfen"))</f>
        <v/>
      </c>
      <c r="H54" s="38"/>
      <c r="I54" s="42" t="str">
        <f>IF(OR(B54="",F54=""),"",IF(B54="Einkauf",IFERROR(VLOOKUP(F54,Stammdaten!$A$8:$L$57,5,FALSE),0),IFERROR(VLOOKUP(F54,Stammdaten!$A$8:$L$57,6,FALSE),0)))</f>
        <v/>
      </c>
      <c r="J54" s="43" t="str">
        <f t="shared" si="2"/>
        <v/>
      </c>
      <c r="K54" s="53"/>
      <c r="L54" s="5"/>
      <c r="M54" s="56"/>
      <c r="N54" s="47" t="str">
        <f>IF(OR(A54="",F54="",H54=""),"",IF(OR(L54="Storniert",L54="Abgeschlossen"),0,MAX(0,H54-IF(B54="Einkauf",SUMIFS(Warenbewegungen!$F$8:$F$207,Warenbewegungen!$I$8:$I$207,A54,Warenbewegungen!$D$8:$D$207,F54,Warenbewegungen!$C$8:$C$207,"Wareneingang"),SUMIFS(Warenbewegungen!$F$8:$F$207,Warenbewegungen!$I$8:$I$207,A54,Warenbewegungen!$D$8:$D$207,F54,Warenbewegungen!$C$8:$C$207,"Warenausgang")))))</f>
        <v/>
      </c>
      <c r="O54" s="43" t="str">
        <f t="shared" si="3"/>
        <v/>
      </c>
    </row>
    <row r="55" spans="1:15" x14ac:dyDescent="0.25">
      <c r="A55" s="4"/>
      <c r="B55" s="5"/>
      <c r="C55" s="35"/>
      <c r="D55" s="6"/>
      <c r="E55" s="23" t="str">
        <f>IF(D55="","",IFERROR(VLOOKUP(D55,Stammdaten!$N$8:$V$37,3,FALSE),"Partner-ID prüfen"))</f>
        <v/>
      </c>
      <c r="F55" s="20"/>
      <c r="G55" s="23" t="str">
        <f>IF(F55="","",IFERROR(VLOOKUP(F55,Stammdaten!$A$8:$L$57,2,FALSE),"Artikel-ID prüfen"))</f>
        <v/>
      </c>
      <c r="H55" s="38"/>
      <c r="I55" s="42" t="str">
        <f>IF(OR(B55="",F55=""),"",IF(B55="Einkauf",IFERROR(VLOOKUP(F55,Stammdaten!$A$8:$L$57,5,FALSE),0),IFERROR(VLOOKUP(F55,Stammdaten!$A$8:$L$57,6,FALSE),0)))</f>
        <v/>
      </c>
      <c r="J55" s="43" t="str">
        <f t="shared" si="2"/>
        <v/>
      </c>
      <c r="K55" s="53"/>
      <c r="L55" s="5"/>
      <c r="M55" s="56"/>
      <c r="N55" s="47" t="str">
        <f>IF(OR(A55="",F55="",H55=""),"",IF(OR(L55="Storniert",L55="Abgeschlossen"),0,MAX(0,H55-IF(B55="Einkauf",SUMIFS(Warenbewegungen!$F$8:$F$207,Warenbewegungen!$I$8:$I$207,A55,Warenbewegungen!$D$8:$D$207,F55,Warenbewegungen!$C$8:$C$207,"Wareneingang"),SUMIFS(Warenbewegungen!$F$8:$F$207,Warenbewegungen!$I$8:$I$207,A55,Warenbewegungen!$D$8:$D$207,F55,Warenbewegungen!$C$8:$C$207,"Warenausgang")))))</f>
        <v/>
      </c>
      <c r="O55" s="43" t="str">
        <f t="shared" si="3"/>
        <v/>
      </c>
    </row>
    <row r="56" spans="1:15" x14ac:dyDescent="0.25">
      <c r="A56" s="4"/>
      <c r="B56" s="5"/>
      <c r="C56" s="35"/>
      <c r="D56" s="6"/>
      <c r="E56" s="23" t="str">
        <f>IF(D56="","",IFERROR(VLOOKUP(D56,Stammdaten!$N$8:$V$37,3,FALSE),"Partner-ID prüfen"))</f>
        <v/>
      </c>
      <c r="F56" s="20"/>
      <c r="G56" s="23" t="str">
        <f>IF(F56="","",IFERROR(VLOOKUP(F56,Stammdaten!$A$8:$L$57,2,FALSE),"Artikel-ID prüfen"))</f>
        <v/>
      </c>
      <c r="H56" s="38"/>
      <c r="I56" s="42" t="str">
        <f>IF(OR(B56="",F56=""),"",IF(B56="Einkauf",IFERROR(VLOOKUP(F56,Stammdaten!$A$8:$L$57,5,FALSE),0),IFERROR(VLOOKUP(F56,Stammdaten!$A$8:$L$57,6,FALSE),0)))</f>
        <v/>
      </c>
      <c r="J56" s="43" t="str">
        <f t="shared" si="2"/>
        <v/>
      </c>
      <c r="K56" s="53"/>
      <c r="L56" s="5"/>
      <c r="M56" s="56"/>
      <c r="N56" s="47" t="str">
        <f>IF(OR(A56="",F56="",H56=""),"",IF(OR(L56="Storniert",L56="Abgeschlossen"),0,MAX(0,H56-IF(B56="Einkauf",SUMIFS(Warenbewegungen!$F$8:$F$207,Warenbewegungen!$I$8:$I$207,A56,Warenbewegungen!$D$8:$D$207,F56,Warenbewegungen!$C$8:$C$207,"Wareneingang"),SUMIFS(Warenbewegungen!$F$8:$F$207,Warenbewegungen!$I$8:$I$207,A56,Warenbewegungen!$D$8:$D$207,F56,Warenbewegungen!$C$8:$C$207,"Warenausgang")))))</f>
        <v/>
      </c>
      <c r="O56" s="43" t="str">
        <f t="shared" si="3"/>
        <v/>
      </c>
    </row>
    <row r="57" spans="1:15" x14ac:dyDescent="0.25">
      <c r="A57" s="4"/>
      <c r="B57" s="5"/>
      <c r="C57" s="35"/>
      <c r="D57" s="6"/>
      <c r="E57" s="23" t="str">
        <f>IF(D57="","",IFERROR(VLOOKUP(D57,Stammdaten!$N$8:$V$37,3,FALSE),"Partner-ID prüfen"))</f>
        <v/>
      </c>
      <c r="F57" s="20"/>
      <c r="G57" s="23" t="str">
        <f>IF(F57="","",IFERROR(VLOOKUP(F57,Stammdaten!$A$8:$L$57,2,FALSE),"Artikel-ID prüfen"))</f>
        <v/>
      </c>
      <c r="H57" s="38"/>
      <c r="I57" s="42" t="str">
        <f>IF(OR(B57="",F57=""),"",IF(B57="Einkauf",IFERROR(VLOOKUP(F57,Stammdaten!$A$8:$L$57,5,FALSE),0),IFERROR(VLOOKUP(F57,Stammdaten!$A$8:$L$57,6,FALSE),0)))</f>
        <v/>
      </c>
      <c r="J57" s="43" t="str">
        <f t="shared" si="2"/>
        <v/>
      </c>
      <c r="K57" s="53"/>
      <c r="L57" s="5"/>
      <c r="M57" s="56"/>
      <c r="N57" s="47" t="str">
        <f>IF(OR(A57="",F57="",H57=""),"",IF(OR(L57="Storniert",L57="Abgeschlossen"),0,MAX(0,H57-IF(B57="Einkauf",SUMIFS(Warenbewegungen!$F$8:$F$207,Warenbewegungen!$I$8:$I$207,A57,Warenbewegungen!$D$8:$D$207,F57,Warenbewegungen!$C$8:$C$207,"Wareneingang"),SUMIFS(Warenbewegungen!$F$8:$F$207,Warenbewegungen!$I$8:$I$207,A57,Warenbewegungen!$D$8:$D$207,F57,Warenbewegungen!$C$8:$C$207,"Warenausgang")))))</f>
        <v/>
      </c>
      <c r="O57" s="43" t="str">
        <f t="shared" si="3"/>
        <v/>
      </c>
    </row>
    <row r="58" spans="1:15" x14ac:dyDescent="0.25">
      <c r="A58" s="4"/>
      <c r="B58" s="5"/>
      <c r="C58" s="35"/>
      <c r="D58" s="6"/>
      <c r="E58" s="23" t="str">
        <f>IF(D58="","",IFERROR(VLOOKUP(D58,Stammdaten!$N$8:$V$37,3,FALSE),"Partner-ID prüfen"))</f>
        <v/>
      </c>
      <c r="F58" s="20"/>
      <c r="G58" s="23" t="str">
        <f>IF(F58="","",IFERROR(VLOOKUP(F58,Stammdaten!$A$8:$L$57,2,FALSE),"Artikel-ID prüfen"))</f>
        <v/>
      </c>
      <c r="H58" s="38"/>
      <c r="I58" s="42" t="str">
        <f>IF(OR(B58="",F58=""),"",IF(B58="Einkauf",IFERROR(VLOOKUP(F58,Stammdaten!$A$8:$L$57,5,FALSE),0),IFERROR(VLOOKUP(F58,Stammdaten!$A$8:$L$57,6,FALSE),0)))</f>
        <v/>
      </c>
      <c r="J58" s="43" t="str">
        <f t="shared" si="2"/>
        <v/>
      </c>
      <c r="K58" s="53"/>
      <c r="L58" s="5"/>
      <c r="M58" s="56"/>
      <c r="N58" s="47" t="str">
        <f>IF(OR(A58="",F58="",H58=""),"",IF(OR(L58="Storniert",L58="Abgeschlossen"),0,MAX(0,H58-IF(B58="Einkauf",SUMIFS(Warenbewegungen!$F$8:$F$207,Warenbewegungen!$I$8:$I$207,A58,Warenbewegungen!$D$8:$D$207,F58,Warenbewegungen!$C$8:$C$207,"Wareneingang"),SUMIFS(Warenbewegungen!$F$8:$F$207,Warenbewegungen!$I$8:$I$207,A58,Warenbewegungen!$D$8:$D$207,F58,Warenbewegungen!$C$8:$C$207,"Warenausgang")))))</f>
        <v/>
      </c>
      <c r="O58" s="43" t="str">
        <f t="shared" si="3"/>
        <v/>
      </c>
    </row>
    <row r="59" spans="1:15" x14ac:dyDescent="0.25">
      <c r="A59" s="4"/>
      <c r="B59" s="5"/>
      <c r="C59" s="35"/>
      <c r="D59" s="6"/>
      <c r="E59" s="23" t="str">
        <f>IF(D59="","",IFERROR(VLOOKUP(D59,Stammdaten!$N$8:$V$37,3,FALSE),"Partner-ID prüfen"))</f>
        <v/>
      </c>
      <c r="F59" s="20"/>
      <c r="G59" s="23" t="str">
        <f>IF(F59="","",IFERROR(VLOOKUP(F59,Stammdaten!$A$8:$L$57,2,FALSE),"Artikel-ID prüfen"))</f>
        <v/>
      </c>
      <c r="H59" s="38"/>
      <c r="I59" s="42" t="str">
        <f>IF(OR(B59="",F59=""),"",IF(B59="Einkauf",IFERROR(VLOOKUP(F59,Stammdaten!$A$8:$L$57,5,FALSE),0),IFERROR(VLOOKUP(F59,Stammdaten!$A$8:$L$57,6,FALSE),0)))</f>
        <v/>
      </c>
      <c r="J59" s="43" t="str">
        <f t="shared" si="2"/>
        <v/>
      </c>
      <c r="K59" s="53"/>
      <c r="L59" s="5"/>
      <c r="M59" s="56"/>
      <c r="N59" s="47" t="str">
        <f>IF(OR(A59="",F59="",H59=""),"",IF(OR(L59="Storniert",L59="Abgeschlossen"),0,MAX(0,H59-IF(B59="Einkauf",SUMIFS(Warenbewegungen!$F$8:$F$207,Warenbewegungen!$I$8:$I$207,A59,Warenbewegungen!$D$8:$D$207,F59,Warenbewegungen!$C$8:$C$207,"Wareneingang"),SUMIFS(Warenbewegungen!$F$8:$F$207,Warenbewegungen!$I$8:$I$207,A59,Warenbewegungen!$D$8:$D$207,F59,Warenbewegungen!$C$8:$C$207,"Warenausgang")))))</f>
        <v/>
      </c>
      <c r="O59" s="43" t="str">
        <f t="shared" si="3"/>
        <v/>
      </c>
    </row>
    <row r="60" spans="1:15" x14ac:dyDescent="0.25">
      <c r="A60" s="4"/>
      <c r="B60" s="5"/>
      <c r="C60" s="35"/>
      <c r="D60" s="6"/>
      <c r="E60" s="23" t="str">
        <f>IF(D60="","",IFERROR(VLOOKUP(D60,Stammdaten!$N$8:$V$37,3,FALSE),"Partner-ID prüfen"))</f>
        <v/>
      </c>
      <c r="F60" s="20"/>
      <c r="G60" s="23" t="str">
        <f>IF(F60="","",IFERROR(VLOOKUP(F60,Stammdaten!$A$8:$L$57,2,FALSE),"Artikel-ID prüfen"))</f>
        <v/>
      </c>
      <c r="H60" s="38"/>
      <c r="I60" s="42" t="str">
        <f>IF(OR(B60="",F60=""),"",IF(B60="Einkauf",IFERROR(VLOOKUP(F60,Stammdaten!$A$8:$L$57,5,FALSE),0),IFERROR(VLOOKUP(F60,Stammdaten!$A$8:$L$57,6,FALSE),0)))</f>
        <v/>
      </c>
      <c r="J60" s="43" t="str">
        <f t="shared" si="2"/>
        <v/>
      </c>
      <c r="K60" s="53"/>
      <c r="L60" s="5"/>
      <c r="M60" s="56"/>
      <c r="N60" s="47" t="str">
        <f>IF(OR(A60="",F60="",H60=""),"",IF(OR(L60="Storniert",L60="Abgeschlossen"),0,MAX(0,H60-IF(B60="Einkauf",SUMIFS(Warenbewegungen!$F$8:$F$207,Warenbewegungen!$I$8:$I$207,A60,Warenbewegungen!$D$8:$D$207,F60,Warenbewegungen!$C$8:$C$207,"Wareneingang"),SUMIFS(Warenbewegungen!$F$8:$F$207,Warenbewegungen!$I$8:$I$207,A60,Warenbewegungen!$D$8:$D$207,F60,Warenbewegungen!$C$8:$C$207,"Warenausgang")))))</f>
        <v/>
      </c>
      <c r="O60" s="43" t="str">
        <f t="shared" si="3"/>
        <v/>
      </c>
    </row>
    <row r="61" spans="1:15" x14ac:dyDescent="0.25">
      <c r="A61" s="4"/>
      <c r="B61" s="5"/>
      <c r="C61" s="35"/>
      <c r="D61" s="6"/>
      <c r="E61" s="23" t="str">
        <f>IF(D61="","",IFERROR(VLOOKUP(D61,Stammdaten!$N$8:$V$37,3,FALSE),"Partner-ID prüfen"))</f>
        <v/>
      </c>
      <c r="F61" s="20"/>
      <c r="G61" s="23" t="str">
        <f>IF(F61="","",IFERROR(VLOOKUP(F61,Stammdaten!$A$8:$L$57,2,FALSE),"Artikel-ID prüfen"))</f>
        <v/>
      </c>
      <c r="H61" s="38"/>
      <c r="I61" s="42" t="str">
        <f>IF(OR(B61="",F61=""),"",IF(B61="Einkauf",IFERROR(VLOOKUP(F61,Stammdaten!$A$8:$L$57,5,FALSE),0),IFERROR(VLOOKUP(F61,Stammdaten!$A$8:$L$57,6,FALSE),0)))</f>
        <v/>
      </c>
      <c r="J61" s="43" t="str">
        <f t="shared" si="2"/>
        <v/>
      </c>
      <c r="K61" s="53"/>
      <c r="L61" s="5"/>
      <c r="M61" s="56"/>
      <c r="N61" s="47" t="str">
        <f>IF(OR(A61="",F61="",H61=""),"",IF(OR(L61="Storniert",L61="Abgeschlossen"),0,MAX(0,H61-IF(B61="Einkauf",SUMIFS(Warenbewegungen!$F$8:$F$207,Warenbewegungen!$I$8:$I$207,A61,Warenbewegungen!$D$8:$D$207,F61,Warenbewegungen!$C$8:$C$207,"Wareneingang"),SUMIFS(Warenbewegungen!$F$8:$F$207,Warenbewegungen!$I$8:$I$207,A61,Warenbewegungen!$D$8:$D$207,F61,Warenbewegungen!$C$8:$C$207,"Warenausgang")))))</f>
        <v/>
      </c>
      <c r="O61" s="43" t="str">
        <f t="shared" si="3"/>
        <v/>
      </c>
    </row>
    <row r="62" spans="1:15" x14ac:dyDescent="0.25">
      <c r="A62" s="4"/>
      <c r="B62" s="5"/>
      <c r="C62" s="35"/>
      <c r="D62" s="6"/>
      <c r="E62" s="23" t="str">
        <f>IF(D62="","",IFERROR(VLOOKUP(D62,Stammdaten!$N$8:$V$37,3,FALSE),"Partner-ID prüfen"))</f>
        <v/>
      </c>
      <c r="F62" s="20"/>
      <c r="G62" s="23" t="str">
        <f>IF(F62="","",IFERROR(VLOOKUP(F62,Stammdaten!$A$8:$L$57,2,FALSE),"Artikel-ID prüfen"))</f>
        <v/>
      </c>
      <c r="H62" s="38"/>
      <c r="I62" s="42" t="str">
        <f>IF(OR(B62="",F62=""),"",IF(B62="Einkauf",IFERROR(VLOOKUP(F62,Stammdaten!$A$8:$L$57,5,FALSE),0),IFERROR(VLOOKUP(F62,Stammdaten!$A$8:$L$57,6,FALSE),0)))</f>
        <v/>
      </c>
      <c r="J62" s="43" t="str">
        <f t="shared" si="2"/>
        <v/>
      </c>
      <c r="K62" s="53"/>
      <c r="L62" s="5"/>
      <c r="M62" s="56"/>
      <c r="N62" s="47" t="str">
        <f>IF(OR(A62="",F62="",H62=""),"",IF(OR(L62="Storniert",L62="Abgeschlossen"),0,MAX(0,H62-IF(B62="Einkauf",SUMIFS(Warenbewegungen!$F$8:$F$207,Warenbewegungen!$I$8:$I$207,A62,Warenbewegungen!$D$8:$D$207,F62,Warenbewegungen!$C$8:$C$207,"Wareneingang"),SUMIFS(Warenbewegungen!$F$8:$F$207,Warenbewegungen!$I$8:$I$207,A62,Warenbewegungen!$D$8:$D$207,F62,Warenbewegungen!$C$8:$C$207,"Warenausgang")))))</f>
        <v/>
      </c>
      <c r="O62" s="43" t="str">
        <f t="shared" si="3"/>
        <v/>
      </c>
    </row>
    <row r="63" spans="1:15" x14ac:dyDescent="0.25">
      <c r="A63" s="4"/>
      <c r="B63" s="5"/>
      <c r="C63" s="35"/>
      <c r="D63" s="6"/>
      <c r="E63" s="23" t="str">
        <f>IF(D63="","",IFERROR(VLOOKUP(D63,Stammdaten!$N$8:$V$37,3,FALSE),"Partner-ID prüfen"))</f>
        <v/>
      </c>
      <c r="F63" s="20"/>
      <c r="G63" s="23" t="str">
        <f>IF(F63="","",IFERROR(VLOOKUP(F63,Stammdaten!$A$8:$L$57,2,FALSE),"Artikel-ID prüfen"))</f>
        <v/>
      </c>
      <c r="H63" s="38"/>
      <c r="I63" s="42" t="str">
        <f>IF(OR(B63="",F63=""),"",IF(B63="Einkauf",IFERROR(VLOOKUP(F63,Stammdaten!$A$8:$L$57,5,FALSE),0),IFERROR(VLOOKUP(F63,Stammdaten!$A$8:$L$57,6,FALSE),0)))</f>
        <v/>
      </c>
      <c r="J63" s="43" t="str">
        <f t="shared" si="2"/>
        <v/>
      </c>
      <c r="K63" s="53"/>
      <c r="L63" s="5"/>
      <c r="M63" s="56"/>
      <c r="N63" s="47" t="str">
        <f>IF(OR(A63="",F63="",H63=""),"",IF(OR(L63="Storniert",L63="Abgeschlossen"),0,MAX(0,H63-IF(B63="Einkauf",SUMIFS(Warenbewegungen!$F$8:$F$207,Warenbewegungen!$I$8:$I$207,A63,Warenbewegungen!$D$8:$D$207,F63,Warenbewegungen!$C$8:$C$207,"Wareneingang"),SUMIFS(Warenbewegungen!$F$8:$F$207,Warenbewegungen!$I$8:$I$207,A63,Warenbewegungen!$D$8:$D$207,F63,Warenbewegungen!$C$8:$C$207,"Warenausgang")))))</f>
        <v/>
      </c>
      <c r="O63" s="43" t="str">
        <f t="shared" si="3"/>
        <v/>
      </c>
    </row>
    <row r="64" spans="1:15" x14ac:dyDescent="0.25">
      <c r="A64" s="4"/>
      <c r="B64" s="5"/>
      <c r="C64" s="35"/>
      <c r="D64" s="6"/>
      <c r="E64" s="23" t="str">
        <f>IF(D64="","",IFERROR(VLOOKUP(D64,Stammdaten!$N$8:$V$37,3,FALSE),"Partner-ID prüfen"))</f>
        <v/>
      </c>
      <c r="F64" s="20"/>
      <c r="G64" s="23" t="str">
        <f>IF(F64="","",IFERROR(VLOOKUP(F64,Stammdaten!$A$8:$L$57,2,FALSE),"Artikel-ID prüfen"))</f>
        <v/>
      </c>
      <c r="H64" s="38"/>
      <c r="I64" s="42" t="str">
        <f>IF(OR(B64="",F64=""),"",IF(B64="Einkauf",IFERROR(VLOOKUP(F64,Stammdaten!$A$8:$L$57,5,FALSE),0),IFERROR(VLOOKUP(F64,Stammdaten!$A$8:$L$57,6,FALSE),0)))</f>
        <v/>
      </c>
      <c r="J64" s="43" t="str">
        <f t="shared" si="2"/>
        <v/>
      </c>
      <c r="K64" s="53"/>
      <c r="L64" s="5"/>
      <c r="M64" s="56"/>
      <c r="N64" s="47" t="str">
        <f>IF(OR(A64="",F64="",H64=""),"",IF(OR(L64="Storniert",L64="Abgeschlossen"),0,MAX(0,H64-IF(B64="Einkauf",SUMIFS(Warenbewegungen!$F$8:$F$207,Warenbewegungen!$I$8:$I$207,A64,Warenbewegungen!$D$8:$D$207,F64,Warenbewegungen!$C$8:$C$207,"Wareneingang"),SUMIFS(Warenbewegungen!$F$8:$F$207,Warenbewegungen!$I$8:$I$207,A64,Warenbewegungen!$D$8:$D$207,F64,Warenbewegungen!$C$8:$C$207,"Warenausgang")))))</f>
        <v/>
      </c>
      <c r="O64" s="43" t="str">
        <f t="shared" si="3"/>
        <v/>
      </c>
    </row>
    <row r="65" spans="1:15" x14ac:dyDescent="0.25">
      <c r="A65" s="4"/>
      <c r="B65" s="5"/>
      <c r="C65" s="35"/>
      <c r="D65" s="6"/>
      <c r="E65" s="23" t="str">
        <f>IF(D65="","",IFERROR(VLOOKUP(D65,Stammdaten!$N$8:$V$37,3,FALSE),"Partner-ID prüfen"))</f>
        <v/>
      </c>
      <c r="F65" s="20"/>
      <c r="G65" s="23" t="str">
        <f>IF(F65="","",IFERROR(VLOOKUP(F65,Stammdaten!$A$8:$L$57,2,FALSE),"Artikel-ID prüfen"))</f>
        <v/>
      </c>
      <c r="H65" s="38"/>
      <c r="I65" s="42" t="str">
        <f>IF(OR(B65="",F65=""),"",IF(B65="Einkauf",IFERROR(VLOOKUP(F65,Stammdaten!$A$8:$L$57,5,FALSE),0),IFERROR(VLOOKUP(F65,Stammdaten!$A$8:$L$57,6,FALSE),0)))</f>
        <v/>
      </c>
      <c r="J65" s="43" t="str">
        <f t="shared" si="2"/>
        <v/>
      </c>
      <c r="K65" s="53"/>
      <c r="L65" s="5"/>
      <c r="M65" s="56"/>
      <c r="N65" s="47" t="str">
        <f>IF(OR(A65="",F65="",H65=""),"",IF(OR(L65="Storniert",L65="Abgeschlossen"),0,MAX(0,H65-IF(B65="Einkauf",SUMIFS(Warenbewegungen!$F$8:$F$207,Warenbewegungen!$I$8:$I$207,A65,Warenbewegungen!$D$8:$D$207,F65,Warenbewegungen!$C$8:$C$207,"Wareneingang"),SUMIFS(Warenbewegungen!$F$8:$F$207,Warenbewegungen!$I$8:$I$207,A65,Warenbewegungen!$D$8:$D$207,F65,Warenbewegungen!$C$8:$C$207,"Warenausgang")))))</f>
        <v/>
      </c>
      <c r="O65" s="43" t="str">
        <f t="shared" si="3"/>
        <v/>
      </c>
    </row>
    <row r="66" spans="1:15" x14ac:dyDescent="0.25">
      <c r="A66" s="4"/>
      <c r="B66" s="5"/>
      <c r="C66" s="35"/>
      <c r="D66" s="6"/>
      <c r="E66" s="23" t="str">
        <f>IF(D66="","",IFERROR(VLOOKUP(D66,Stammdaten!$N$8:$V$37,3,FALSE),"Partner-ID prüfen"))</f>
        <v/>
      </c>
      <c r="F66" s="20"/>
      <c r="G66" s="23" t="str">
        <f>IF(F66="","",IFERROR(VLOOKUP(F66,Stammdaten!$A$8:$L$57,2,FALSE),"Artikel-ID prüfen"))</f>
        <v/>
      </c>
      <c r="H66" s="38"/>
      <c r="I66" s="42" t="str">
        <f>IF(OR(B66="",F66=""),"",IF(B66="Einkauf",IFERROR(VLOOKUP(F66,Stammdaten!$A$8:$L$57,5,FALSE),0),IFERROR(VLOOKUP(F66,Stammdaten!$A$8:$L$57,6,FALSE),0)))</f>
        <v/>
      </c>
      <c r="J66" s="43" t="str">
        <f t="shared" si="2"/>
        <v/>
      </c>
      <c r="K66" s="53"/>
      <c r="L66" s="5"/>
      <c r="M66" s="56"/>
      <c r="N66" s="47" t="str">
        <f>IF(OR(A66="",F66="",H66=""),"",IF(OR(L66="Storniert",L66="Abgeschlossen"),0,MAX(0,H66-IF(B66="Einkauf",SUMIFS(Warenbewegungen!$F$8:$F$207,Warenbewegungen!$I$8:$I$207,A66,Warenbewegungen!$D$8:$D$207,F66,Warenbewegungen!$C$8:$C$207,"Wareneingang"),SUMIFS(Warenbewegungen!$F$8:$F$207,Warenbewegungen!$I$8:$I$207,A66,Warenbewegungen!$D$8:$D$207,F66,Warenbewegungen!$C$8:$C$207,"Warenausgang")))))</f>
        <v/>
      </c>
      <c r="O66" s="43" t="str">
        <f t="shared" si="3"/>
        <v/>
      </c>
    </row>
    <row r="67" spans="1:15" x14ac:dyDescent="0.25">
      <c r="A67" s="4"/>
      <c r="B67" s="5"/>
      <c r="C67" s="35"/>
      <c r="D67" s="6"/>
      <c r="E67" s="23" t="str">
        <f>IF(D67="","",IFERROR(VLOOKUP(D67,Stammdaten!$N$8:$V$37,3,FALSE),"Partner-ID prüfen"))</f>
        <v/>
      </c>
      <c r="F67" s="20"/>
      <c r="G67" s="23" t="str">
        <f>IF(F67="","",IFERROR(VLOOKUP(F67,Stammdaten!$A$8:$L$57,2,FALSE),"Artikel-ID prüfen"))</f>
        <v/>
      </c>
      <c r="H67" s="38"/>
      <c r="I67" s="42" t="str">
        <f>IF(OR(B67="",F67=""),"",IF(B67="Einkauf",IFERROR(VLOOKUP(F67,Stammdaten!$A$8:$L$57,5,FALSE),0),IFERROR(VLOOKUP(F67,Stammdaten!$A$8:$L$57,6,FALSE),0)))</f>
        <v/>
      </c>
      <c r="J67" s="43" t="str">
        <f t="shared" si="2"/>
        <v/>
      </c>
      <c r="K67" s="53"/>
      <c r="L67" s="5"/>
      <c r="M67" s="56"/>
      <c r="N67" s="47" t="str">
        <f>IF(OR(A67="",F67="",H67=""),"",IF(OR(L67="Storniert",L67="Abgeschlossen"),0,MAX(0,H67-IF(B67="Einkauf",SUMIFS(Warenbewegungen!$F$8:$F$207,Warenbewegungen!$I$8:$I$207,A67,Warenbewegungen!$D$8:$D$207,F67,Warenbewegungen!$C$8:$C$207,"Wareneingang"),SUMIFS(Warenbewegungen!$F$8:$F$207,Warenbewegungen!$I$8:$I$207,A67,Warenbewegungen!$D$8:$D$207,F67,Warenbewegungen!$C$8:$C$207,"Warenausgang")))))</f>
        <v/>
      </c>
      <c r="O67" s="43" t="str">
        <f t="shared" si="3"/>
        <v/>
      </c>
    </row>
    <row r="68" spans="1:15" x14ac:dyDescent="0.25">
      <c r="A68" s="4"/>
      <c r="B68" s="5"/>
      <c r="C68" s="35"/>
      <c r="D68" s="6"/>
      <c r="E68" s="23" t="str">
        <f>IF(D68="","",IFERROR(VLOOKUP(D68,Stammdaten!$N$8:$V$37,3,FALSE),"Partner-ID prüfen"))</f>
        <v/>
      </c>
      <c r="F68" s="20"/>
      <c r="G68" s="23" t="str">
        <f>IF(F68="","",IFERROR(VLOOKUP(F68,Stammdaten!$A$8:$L$57,2,FALSE),"Artikel-ID prüfen"))</f>
        <v/>
      </c>
      <c r="H68" s="38"/>
      <c r="I68" s="42" t="str">
        <f>IF(OR(B68="",F68=""),"",IF(B68="Einkauf",IFERROR(VLOOKUP(F68,Stammdaten!$A$8:$L$57,5,FALSE),0),IFERROR(VLOOKUP(F68,Stammdaten!$A$8:$L$57,6,FALSE),0)))</f>
        <v/>
      </c>
      <c r="J68" s="43" t="str">
        <f t="shared" si="2"/>
        <v/>
      </c>
      <c r="K68" s="53"/>
      <c r="L68" s="5"/>
      <c r="M68" s="56"/>
      <c r="N68" s="47" t="str">
        <f>IF(OR(A68="",F68="",H68=""),"",IF(OR(L68="Storniert",L68="Abgeschlossen"),0,MAX(0,H68-IF(B68="Einkauf",SUMIFS(Warenbewegungen!$F$8:$F$207,Warenbewegungen!$I$8:$I$207,A68,Warenbewegungen!$D$8:$D$207,F68,Warenbewegungen!$C$8:$C$207,"Wareneingang"),SUMIFS(Warenbewegungen!$F$8:$F$207,Warenbewegungen!$I$8:$I$207,A68,Warenbewegungen!$D$8:$D$207,F68,Warenbewegungen!$C$8:$C$207,"Warenausgang")))))</f>
        <v/>
      </c>
      <c r="O68" s="43" t="str">
        <f t="shared" si="3"/>
        <v/>
      </c>
    </row>
    <row r="69" spans="1:15" x14ac:dyDescent="0.25">
      <c r="A69" s="4"/>
      <c r="B69" s="5"/>
      <c r="C69" s="35"/>
      <c r="D69" s="6"/>
      <c r="E69" s="23" t="str">
        <f>IF(D69="","",IFERROR(VLOOKUP(D69,Stammdaten!$N$8:$V$37,3,FALSE),"Partner-ID prüfen"))</f>
        <v/>
      </c>
      <c r="F69" s="20"/>
      <c r="G69" s="23" t="str">
        <f>IF(F69="","",IFERROR(VLOOKUP(F69,Stammdaten!$A$8:$L$57,2,FALSE),"Artikel-ID prüfen"))</f>
        <v/>
      </c>
      <c r="H69" s="38"/>
      <c r="I69" s="42" t="str">
        <f>IF(OR(B69="",F69=""),"",IF(B69="Einkauf",IFERROR(VLOOKUP(F69,Stammdaten!$A$8:$L$57,5,FALSE),0),IFERROR(VLOOKUP(F69,Stammdaten!$A$8:$L$57,6,FALSE),0)))</f>
        <v/>
      </c>
      <c r="J69" s="43" t="str">
        <f t="shared" si="2"/>
        <v/>
      </c>
      <c r="K69" s="53"/>
      <c r="L69" s="5"/>
      <c r="M69" s="56"/>
      <c r="N69" s="47" t="str">
        <f>IF(OR(A69="",F69="",H69=""),"",IF(OR(L69="Storniert",L69="Abgeschlossen"),0,MAX(0,H69-IF(B69="Einkauf",SUMIFS(Warenbewegungen!$F$8:$F$207,Warenbewegungen!$I$8:$I$207,A69,Warenbewegungen!$D$8:$D$207,F69,Warenbewegungen!$C$8:$C$207,"Wareneingang"),SUMIFS(Warenbewegungen!$F$8:$F$207,Warenbewegungen!$I$8:$I$207,A69,Warenbewegungen!$D$8:$D$207,F69,Warenbewegungen!$C$8:$C$207,"Warenausgang")))))</f>
        <v/>
      </c>
      <c r="O69" s="43" t="str">
        <f t="shared" si="3"/>
        <v/>
      </c>
    </row>
    <row r="70" spans="1:15" x14ac:dyDescent="0.25">
      <c r="A70" s="4"/>
      <c r="B70" s="5"/>
      <c r="C70" s="35"/>
      <c r="D70" s="6"/>
      <c r="E70" s="23" t="str">
        <f>IF(D70="","",IFERROR(VLOOKUP(D70,Stammdaten!$N$8:$V$37,3,FALSE),"Partner-ID prüfen"))</f>
        <v/>
      </c>
      <c r="F70" s="20"/>
      <c r="G70" s="23" t="str">
        <f>IF(F70="","",IFERROR(VLOOKUP(F70,Stammdaten!$A$8:$L$57,2,FALSE),"Artikel-ID prüfen"))</f>
        <v/>
      </c>
      <c r="H70" s="38"/>
      <c r="I70" s="42" t="str">
        <f>IF(OR(B70="",F70=""),"",IF(B70="Einkauf",IFERROR(VLOOKUP(F70,Stammdaten!$A$8:$L$57,5,FALSE),0),IFERROR(VLOOKUP(F70,Stammdaten!$A$8:$L$57,6,FALSE),0)))</f>
        <v/>
      </c>
      <c r="J70" s="43" t="str">
        <f t="shared" si="2"/>
        <v/>
      </c>
      <c r="K70" s="53"/>
      <c r="L70" s="5"/>
      <c r="M70" s="56"/>
      <c r="N70" s="47" t="str">
        <f>IF(OR(A70="",F70="",H70=""),"",IF(OR(L70="Storniert",L70="Abgeschlossen"),0,MAX(0,H70-IF(B70="Einkauf",SUMIFS(Warenbewegungen!$F$8:$F$207,Warenbewegungen!$I$8:$I$207,A70,Warenbewegungen!$D$8:$D$207,F70,Warenbewegungen!$C$8:$C$207,"Wareneingang"),SUMIFS(Warenbewegungen!$F$8:$F$207,Warenbewegungen!$I$8:$I$207,A70,Warenbewegungen!$D$8:$D$207,F70,Warenbewegungen!$C$8:$C$207,"Warenausgang")))))</f>
        <v/>
      </c>
      <c r="O70" s="43" t="str">
        <f t="shared" si="3"/>
        <v/>
      </c>
    </row>
    <row r="71" spans="1:15" x14ac:dyDescent="0.25">
      <c r="A71" s="4"/>
      <c r="B71" s="5"/>
      <c r="C71" s="35"/>
      <c r="D71" s="6"/>
      <c r="E71" s="23" t="str">
        <f>IF(D71="","",IFERROR(VLOOKUP(D71,Stammdaten!$N$8:$V$37,3,FALSE),"Partner-ID prüfen"))</f>
        <v/>
      </c>
      <c r="F71" s="20"/>
      <c r="G71" s="23" t="str">
        <f>IF(F71="","",IFERROR(VLOOKUP(F71,Stammdaten!$A$8:$L$57,2,FALSE),"Artikel-ID prüfen"))</f>
        <v/>
      </c>
      <c r="H71" s="38"/>
      <c r="I71" s="42" t="str">
        <f>IF(OR(B71="",F71=""),"",IF(B71="Einkauf",IFERROR(VLOOKUP(F71,Stammdaten!$A$8:$L$57,5,FALSE),0),IFERROR(VLOOKUP(F71,Stammdaten!$A$8:$L$57,6,FALSE),0)))</f>
        <v/>
      </c>
      <c r="J71" s="43" t="str">
        <f t="shared" si="2"/>
        <v/>
      </c>
      <c r="K71" s="53"/>
      <c r="L71" s="5"/>
      <c r="M71" s="56"/>
      <c r="N71" s="47" t="str">
        <f>IF(OR(A71="",F71="",H71=""),"",IF(OR(L71="Storniert",L71="Abgeschlossen"),0,MAX(0,H71-IF(B71="Einkauf",SUMIFS(Warenbewegungen!$F$8:$F$207,Warenbewegungen!$I$8:$I$207,A71,Warenbewegungen!$D$8:$D$207,F71,Warenbewegungen!$C$8:$C$207,"Wareneingang"),SUMIFS(Warenbewegungen!$F$8:$F$207,Warenbewegungen!$I$8:$I$207,A71,Warenbewegungen!$D$8:$D$207,F71,Warenbewegungen!$C$8:$C$207,"Warenausgang")))))</f>
        <v/>
      </c>
      <c r="O71" s="43" t="str">
        <f t="shared" si="3"/>
        <v/>
      </c>
    </row>
    <row r="72" spans="1:15" x14ac:dyDescent="0.25">
      <c r="A72" s="4"/>
      <c r="B72" s="5"/>
      <c r="C72" s="35"/>
      <c r="D72" s="6"/>
      <c r="E72" s="23" t="str">
        <f>IF(D72="","",IFERROR(VLOOKUP(D72,Stammdaten!$N$8:$V$37,3,FALSE),"Partner-ID prüfen"))</f>
        <v/>
      </c>
      <c r="F72" s="20"/>
      <c r="G72" s="23" t="str">
        <f>IF(F72="","",IFERROR(VLOOKUP(F72,Stammdaten!$A$8:$L$57,2,FALSE),"Artikel-ID prüfen"))</f>
        <v/>
      </c>
      <c r="H72" s="38"/>
      <c r="I72" s="42" t="str">
        <f>IF(OR(B72="",F72=""),"",IF(B72="Einkauf",IFERROR(VLOOKUP(F72,Stammdaten!$A$8:$L$57,5,FALSE),0),IFERROR(VLOOKUP(F72,Stammdaten!$A$8:$L$57,6,FALSE),0)))</f>
        <v/>
      </c>
      <c r="J72" s="43" t="str">
        <f t="shared" ref="J72:J103" si="4">IF(OR(H72="",I72=""),"",H72*I72)</f>
        <v/>
      </c>
      <c r="K72" s="53"/>
      <c r="L72" s="5"/>
      <c r="M72" s="56"/>
      <c r="N72" s="47" t="str">
        <f>IF(OR(A72="",F72="",H72=""),"",IF(OR(L72="Storniert",L72="Abgeschlossen"),0,MAX(0,H72-IF(B72="Einkauf",SUMIFS(Warenbewegungen!$F$8:$F$207,Warenbewegungen!$I$8:$I$207,A72,Warenbewegungen!$D$8:$D$207,F72,Warenbewegungen!$C$8:$C$207,"Wareneingang"),SUMIFS(Warenbewegungen!$F$8:$F$207,Warenbewegungen!$I$8:$I$207,A72,Warenbewegungen!$D$8:$D$207,F72,Warenbewegungen!$C$8:$C$207,"Warenausgang")))))</f>
        <v/>
      </c>
      <c r="O72" s="43" t="str">
        <f t="shared" ref="O72:O103" si="5">IF(N72="","",N72*I72)</f>
        <v/>
      </c>
    </row>
    <row r="73" spans="1:15" x14ac:dyDescent="0.25">
      <c r="A73" s="4"/>
      <c r="B73" s="5"/>
      <c r="C73" s="35"/>
      <c r="D73" s="6"/>
      <c r="E73" s="23" t="str">
        <f>IF(D73="","",IFERROR(VLOOKUP(D73,Stammdaten!$N$8:$V$37,3,FALSE),"Partner-ID prüfen"))</f>
        <v/>
      </c>
      <c r="F73" s="20"/>
      <c r="G73" s="23" t="str">
        <f>IF(F73="","",IFERROR(VLOOKUP(F73,Stammdaten!$A$8:$L$57,2,FALSE),"Artikel-ID prüfen"))</f>
        <v/>
      </c>
      <c r="H73" s="38"/>
      <c r="I73" s="42" t="str">
        <f>IF(OR(B73="",F73=""),"",IF(B73="Einkauf",IFERROR(VLOOKUP(F73,Stammdaten!$A$8:$L$57,5,FALSE),0),IFERROR(VLOOKUP(F73,Stammdaten!$A$8:$L$57,6,FALSE),0)))</f>
        <v/>
      </c>
      <c r="J73" s="43" t="str">
        <f t="shared" si="4"/>
        <v/>
      </c>
      <c r="K73" s="53"/>
      <c r="L73" s="5"/>
      <c r="M73" s="56"/>
      <c r="N73" s="47" t="str">
        <f>IF(OR(A73="",F73="",H73=""),"",IF(OR(L73="Storniert",L73="Abgeschlossen"),0,MAX(0,H73-IF(B73="Einkauf",SUMIFS(Warenbewegungen!$F$8:$F$207,Warenbewegungen!$I$8:$I$207,A73,Warenbewegungen!$D$8:$D$207,F73,Warenbewegungen!$C$8:$C$207,"Wareneingang"),SUMIFS(Warenbewegungen!$F$8:$F$207,Warenbewegungen!$I$8:$I$207,A73,Warenbewegungen!$D$8:$D$207,F73,Warenbewegungen!$C$8:$C$207,"Warenausgang")))))</f>
        <v/>
      </c>
      <c r="O73" s="43" t="str">
        <f t="shared" si="5"/>
        <v/>
      </c>
    </row>
    <row r="74" spans="1:15" x14ac:dyDescent="0.25">
      <c r="A74" s="4"/>
      <c r="B74" s="5"/>
      <c r="C74" s="35"/>
      <c r="D74" s="6"/>
      <c r="E74" s="23" t="str">
        <f>IF(D74="","",IFERROR(VLOOKUP(D74,Stammdaten!$N$8:$V$37,3,FALSE),"Partner-ID prüfen"))</f>
        <v/>
      </c>
      <c r="F74" s="20"/>
      <c r="G74" s="23" t="str">
        <f>IF(F74="","",IFERROR(VLOOKUP(F74,Stammdaten!$A$8:$L$57,2,FALSE),"Artikel-ID prüfen"))</f>
        <v/>
      </c>
      <c r="H74" s="38"/>
      <c r="I74" s="42" t="str">
        <f>IF(OR(B74="",F74=""),"",IF(B74="Einkauf",IFERROR(VLOOKUP(F74,Stammdaten!$A$8:$L$57,5,FALSE),0),IFERROR(VLOOKUP(F74,Stammdaten!$A$8:$L$57,6,FALSE),0)))</f>
        <v/>
      </c>
      <c r="J74" s="43" t="str">
        <f t="shared" si="4"/>
        <v/>
      </c>
      <c r="K74" s="53"/>
      <c r="L74" s="5"/>
      <c r="M74" s="56"/>
      <c r="N74" s="47" t="str">
        <f>IF(OR(A74="",F74="",H74=""),"",IF(OR(L74="Storniert",L74="Abgeschlossen"),0,MAX(0,H74-IF(B74="Einkauf",SUMIFS(Warenbewegungen!$F$8:$F$207,Warenbewegungen!$I$8:$I$207,A74,Warenbewegungen!$D$8:$D$207,F74,Warenbewegungen!$C$8:$C$207,"Wareneingang"),SUMIFS(Warenbewegungen!$F$8:$F$207,Warenbewegungen!$I$8:$I$207,A74,Warenbewegungen!$D$8:$D$207,F74,Warenbewegungen!$C$8:$C$207,"Warenausgang")))))</f>
        <v/>
      </c>
      <c r="O74" s="43" t="str">
        <f t="shared" si="5"/>
        <v/>
      </c>
    </row>
    <row r="75" spans="1:15" x14ac:dyDescent="0.25">
      <c r="A75" s="4"/>
      <c r="B75" s="5"/>
      <c r="C75" s="35"/>
      <c r="D75" s="6"/>
      <c r="E75" s="23" t="str">
        <f>IF(D75="","",IFERROR(VLOOKUP(D75,Stammdaten!$N$8:$V$37,3,FALSE),"Partner-ID prüfen"))</f>
        <v/>
      </c>
      <c r="F75" s="20"/>
      <c r="G75" s="23" t="str">
        <f>IF(F75="","",IFERROR(VLOOKUP(F75,Stammdaten!$A$8:$L$57,2,FALSE),"Artikel-ID prüfen"))</f>
        <v/>
      </c>
      <c r="H75" s="38"/>
      <c r="I75" s="42" t="str">
        <f>IF(OR(B75="",F75=""),"",IF(B75="Einkauf",IFERROR(VLOOKUP(F75,Stammdaten!$A$8:$L$57,5,FALSE),0),IFERROR(VLOOKUP(F75,Stammdaten!$A$8:$L$57,6,FALSE),0)))</f>
        <v/>
      </c>
      <c r="J75" s="43" t="str">
        <f t="shared" si="4"/>
        <v/>
      </c>
      <c r="K75" s="53"/>
      <c r="L75" s="5"/>
      <c r="M75" s="56"/>
      <c r="N75" s="47" t="str">
        <f>IF(OR(A75="",F75="",H75=""),"",IF(OR(L75="Storniert",L75="Abgeschlossen"),0,MAX(0,H75-IF(B75="Einkauf",SUMIFS(Warenbewegungen!$F$8:$F$207,Warenbewegungen!$I$8:$I$207,A75,Warenbewegungen!$D$8:$D$207,F75,Warenbewegungen!$C$8:$C$207,"Wareneingang"),SUMIFS(Warenbewegungen!$F$8:$F$207,Warenbewegungen!$I$8:$I$207,A75,Warenbewegungen!$D$8:$D$207,F75,Warenbewegungen!$C$8:$C$207,"Warenausgang")))))</f>
        <v/>
      </c>
      <c r="O75" s="43" t="str">
        <f t="shared" si="5"/>
        <v/>
      </c>
    </row>
    <row r="76" spans="1:15" x14ac:dyDescent="0.25">
      <c r="A76" s="4"/>
      <c r="B76" s="5"/>
      <c r="C76" s="35"/>
      <c r="D76" s="6"/>
      <c r="E76" s="23" t="str">
        <f>IF(D76="","",IFERROR(VLOOKUP(D76,Stammdaten!$N$8:$V$37,3,FALSE),"Partner-ID prüfen"))</f>
        <v/>
      </c>
      <c r="F76" s="20"/>
      <c r="G76" s="23" t="str">
        <f>IF(F76="","",IFERROR(VLOOKUP(F76,Stammdaten!$A$8:$L$57,2,FALSE),"Artikel-ID prüfen"))</f>
        <v/>
      </c>
      <c r="H76" s="38"/>
      <c r="I76" s="42" t="str">
        <f>IF(OR(B76="",F76=""),"",IF(B76="Einkauf",IFERROR(VLOOKUP(F76,Stammdaten!$A$8:$L$57,5,FALSE),0),IFERROR(VLOOKUP(F76,Stammdaten!$A$8:$L$57,6,FALSE),0)))</f>
        <v/>
      </c>
      <c r="J76" s="43" t="str">
        <f t="shared" si="4"/>
        <v/>
      </c>
      <c r="K76" s="53"/>
      <c r="L76" s="5"/>
      <c r="M76" s="56"/>
      <c r="N76" s="47" t="str">
        <f>IF(OR(A76="",F76="",H76=""),"",IF(OR(L76="Storniert",L76="Abgeschlossen"),0,MAX(0,H76-IF(B76="Einkauf",SUMIFS(Warenbewegungen!$F$8:$F$207,Warenbewegungen!$I$8:$I$207,A76,Warenbewegungen!$D$8:$D$207,F76,Warenbewegungen!$C$8:$C$207,"Wareneingang"),SUMIFS(Warenbewegungen!$F$8:$F$207,Warenbewegungen!$I$8:$I$207,A76,Warenbewegungen!$D$8:$D$207,F76,Warenbewegungen!$C$8:$C$207,"Warenausgang")))))</f>
        <v/>
      </c>
      <c r="O76" s="43" t="str">
        <f t="shared" si="5"/>
        <v/>
      </c>
    </row>
    <row r="77" spans="1:15" x14ac:dyDescent="0.25">
      <c r="A77" s="4"/>
      <c r="B77" s="5"/>
      <c r="C77" s="35"/>
      <c r="D77" s="6"/>
      <c r="E77" s="23" t="str">
        <f>IF(D77="","",IFERROR(VLOOKUP(D77,Stammdaten!$N$8:$V$37,3,FALSE),"Partner-ID prüfen"))</f>
        <v/>
      </c>
      <c r="F77" s="20"/>
      <c r="G77" s="23" t="str">
        <f>IF(F77="","",IFERROR(VLOOKUP(F77,Stammdaten!$A$8:$L$57,2,FALSE),"Artikel-ID prüfen"))</f>
        <v/>
      </c>
      <c r="H77" s="38"/>
      <c r="I77" s="42" t="str">
        <f>IF(OR(B77="",F77=""),"",IF(B77="Einkauf",IFERROR(VLOOKUP(F77,Stammdaten!$A$8:$L$57,5,FALSE),0),IFERROR(VLOOKUP(F77,Stammdaten!$A$8:$L$57,6,FALSE),0)))</f>
        <v/>
      </c>
      <c r="J77" s="43" t="str">
        <f t="shared" si="4"/>
        <v/>
      </c>
      <c r="K77" s="53"/>
      <c r="L77" s="5"/>
      <c r="M77" s="56"/>
      <c r="N77" s="47" t="str">
        <f>IF(OR(A77="",F77="",H77=""),"",IF(OR(L77="Storniert",L77="Abgeschlossen"),0,MAX(0,H77-IF(B77="Einkauf",SUMIFS(Warenbewegungen!$F$8:$F$207,Warenbewegungen!$I$8:$I$207,A77,Warenbewegungen!$D$8:$D$207,F77,Warenbewegungen!$C$8:$C$207,"Wareneingang"),SUMIFS(Warenbewegungen!$F$8:$F$207,Warenbewegungen!$I$8:$I$207,A77,Warenbewegungen!$D$8:$D$207,F77,Warenbewegungen!$C$8:$C$207,"Warenausgang")))))</f>
        <v/>
      </c>
      <c r="O77" s="43" t="str">
        <f t="shared" si="5"/>
        <v/>
      </c>
    </row>
    <row r="78" spans="1:15" x14ac:dyDescent="0.25">
      <c r="A78" s="4"/>
      <c r="B78" s="5"/>
      <c r="C78" s="35"/>
      <c r="D78" s="6"/>
      <c r="E78" s="23" t="str">
        <f>IF(D78="","",IFERROR(VLOOKUP(D78,Stammdaten!$N$8:$V$37,3,FALSE),"Partner-ID prüfen"))</f>
        <v/>
      </c>
      <c r="F78" s="20"/>
      <c r="G78" s="23" t="str">
        <f>IF(F78="","",IFERROR(VLOOKUP(F78,Stammdaten!$A$8:$L$57,2,FALSE),"Artikel-ID prüfen"))</f>
        <v/>
      </c>
      <c r="H78" s="38"/>
      <c r="I78" s="42" t="str">
        <f>IF(OR(B78="",F78=""),"",IF(B78="Einkauf",IFERROR(VLOOKUP(F78,Stammdaten!$A$8:$L$57,5,FALSE),0),IFERROR(VLOOKUP(F78,Stammdaten!$A$8:$L$57,6,FALSE),0)))</f>
        <v/>
      </c>
      <c r="J78" s="43" t="str">
        <f t="shared" si="4"/>
        <v/>
      </c>
      <c r="K78" s="53"/>
      <c r="L78" s="5"/>
      <c r="M78" s="56"/>
      <c r="N78" s="47" t="str">
        <f>IF(OR(A78="",F78="",H78=""),"",IF(OR(L78="Storniert",L78="Abgeschlossen"),0,MAX(0,H78-IF(B78="Einkauf",SUMIFS(Warenbewegungen!$F$8:$F$207,Warenbewegungen!$I$8:$I$207,A78,Warenbewegungen!$D$8:$D$207,F78,Warenbewegungen!$C$8:$C$207,"Wareneingang"),SUMIFS(Warenbewegungen!$F$8:$F$207,Warenbewegungen!$I$8:$I$207,A78,Warenbewegungen!$D$8:$D$207,F78,Warenbewegungen!$C$8:$C$207,"Warenausgang")))))</f>
        <v/>
      </c>
      <c r="O78" s="43" t="str">
        <f t="shared" si="5"/>
        <v/>
      </c>
    </row>
    <row r="79" spans="1:15" x14ac:dyDescent="0.25">
      <c r="A79" s="4"/>
      <c r="B79" s="5"/>
      <c r="C79" s="35"/>
      <c r="D79" s="6"/>
      <c r="E79" s="23" t="str">
        <f>IF(D79="","",IFERROR(VLOOKUP(D79,Stammdaten!$N$8:$V$37,3,FALSE),"Partner-ID prüfen"))</f>
        <v/>
      </c>
      <c r="F79" s="20"/>
      <c r="G79" s="23" t="str">
        <f>IF(F79="","",IFERROR(VLOOKUP(F79,Stammdaten!$A$8:$L$57,2,FALSE),"Artikel-ID prüfen"))</f>
        <v/>
      </c>
      <c r="H79" s="38"/>
      <c r="I79" s="42" t="str">
        <f>IF(OR(B79="",F79=""),"",IF(B79="Einkauf",IFERROR(VLOOKUP(F79,Stammdaten!$A$8:$L$57,5,FALSE),0),IFERROR(VLOOKUP(F79,Stammdaten!$A$8:$L$57,6,FALSE),0)))</f>
        <v/>
      </c>
      <c r="J79" s="43" t="str">
        <f t="shared" si="4"/>
        <v/>
      </c>
      <c r="K79" s="53"/>
      <c r="L79" s="5"/>
      <c r="M79" s="56"/>
      <c r="N79" s="47" t="str">
        <f>IF(OR(A79="",F79="",H79=""),"",IF(OR(L79="Storniert",L79="Abgeschlossen"),0,MAX(0,H79-IF(B79="Einkauf",SUMIFS(Warenbewegungen!$F$8:$F$207,Warenbewegungen!$I$8:$I$207,A79,Warenbewegungen!$D$8:$D$207,F79,Warenbewegungen!$C$8:$C$207,"Wareneingang"),SUMIFS(Warenbewegungen!$F$8:$F$207,Warenbewegungen!$I$8:$I$207,A79,Warenbewegungen!$D$8:$D$207,F79,Warenbewegungen!$C$8:$C$207,"Warenausgang")))))</f>
        <v/>
      </c>
      <c r="O79" s="43" t="str">
        <f t="shared" si="5"/>
        <v/>
      </c>
    </row>
    <row r="80" spans="1:15" x14ac:dyDescent="0.25">
      <c r="A80" s="4"/>
      <c r="B80" s="5"/>
      <c r="C80" s="35"/>
      <c r="D80" s="6"/>
      <c r="E80" s="23" t="str">
        <f>IF(D80="","",IFERROR(VLOOKUP(D80,Stammdaten!$N$8:$V$37,3,FALSE),"Partner-ID prüfen"))</f>
        <v/>
      </c>
      <c r="F80" s="20"/>
      <c r="G80" s="23" t="str">
        <f>IF(F80="","",IFERROR(VLOOKUP(F80,Stammdaten!$A$8:$L$57,2,FALSE),"Artikel-ID prüfen"))</f>
        <v/>
      </c>
      <c r="H80" s="38"/>
      <c r="I80" s="42" t="str">
        <f>IF(OR(B80="",F80=""),"",IF(B80="Einkauf",IFERROR(VLOOKUP(F80,Stammdaten!$A$8:$L$57,5,FALSE),0),IFERROR(VLOOKUP(F80,Stammdaten!$A$8:$L$57,6,FALSE),0)))</f>
        <v/>
      </c>
      <c r="J80" s="43" t="str">
        <f t="shared" si="4"/>
        <v/>
      </c>
      <c r="K80" s="53"/>
      <c r="L80" s="5"/>
      <c r="M80" s="56"/>
      <c r="N80" s="47" t="str">
        <f>IF(OR(A80="",F80="",H80=""),"",IF(OR(L80="Storniert",L80="Abgeschlossen"),0,MAX(0,H80-IF(B80="Einkauf",SUMIFS(Warenbewegungen!$F$8:$F$207,Warenbewegungen!$I$8:$I$207,A80,Warenbewegungen!$D$8:$D$207,F80,Warenbewegungen!$C$8:$C$207,"Wareneingang"),SUMIFS(Warenbewegungen!$F$8:$F$207,Warenbewegungen!$I$8:$I$207,A80,Warenbewegungen!$D$8:$D$207,F80,Warenbewegungen!$C$8:$C$207,"Warenausgang")))))</f>
        <v/>
      </c>
      <c r="O80" s="43" t="str">
        <f t="shared" si="5"/>
        <v/>
      </c>
    </row>
    <row r="81" spans="1:15" x14ac:dyDescent="0.25">
      <c r="A81" s="4"/>
      <c r="B81" s="5"/>
      <c r="C81" s="35"/>
      <c r="D81" s="6"/>
      <c r="E81" s="23" t="str">
        <f>IF(D81="","",IFERROR(VLOOKUP(D81,Stammdaten!$N$8:$V$37,3,FALSE),"Partner-ID prüfen"))</f>
        <v/>
      </c>
      <c r="F81" s="20"/>
      <c r="G81" s="23" t="str">
        <f>IF(F81="","",IFERROR(VLOOKUP(F81,Stammdaten!$A$8:$L$57,2,FALSE),"Artikel-ID prüfen"))</f>
        <v/>
      </c>
      <c r="H81" s="38"/>
      <c r="I81" s="42" t="str">
        <f>IF(OR(B81="",F81=""),"",IF(B81="Einkauf",IFERROR(VLOOKUP(F81,Stammdaten!$A$8:$L$57,5,FALSE),0),IFERROR(VLOOKUP(F81,Stammdaten!$A$8:$L$57,6,FALSE),0)))</f>
        <v/>
      </c>
      <c r="J81" s="43" t="str">
        <f t="shared" si="4"/>
        <v/>
      </c>
      <c r="K81" s="53"/>
      <c r="L81" s="5"/>
      <c r="M81" s="56"/>
      <c r="N81" s="47" t="str">
        <f>IF(OR(A81="",F81="",H81=""),"",IF(OR(L81="Storniert",L81="Abgeschlossen"),0,MAX(0,H81-IF(B81="Einkauf",SUMIFS(Warenbewegungen!$F$8:$F$207,Warenbewegungen!$I$8:$I$207,A81,Warenbewegungen!$D$8:$D$207,F81,Warenbewegungen!$C$8:$C$207,"Wareneingang"),SUMIFS(Warenbewegungen!$F$8:$F$207,Warenbewegungen!$I$8:$I$207,A81,Warenbewegungen!$D$8:$D$207,F81,Warenbewegungen!$C$8:$C$207,"Warenausgang")))))</f>
        <v/>
      </c>
      <c r="O81" s="43" t="str">
        <f t="shared" si="5"/>
        <v/>
      </c>
    </row>
    <row r="82" spans="1:15" x14ac:dyDescent="0.25">
      <c r="A82" s="4"/>
      <c r="B82" s="5"/>
      <c r="C82" s="35"/>
      <c r="D82" s="6"/>
      <c r="E82" s="23" t="str">
        <f>IF(D82="","",IFERROR(VLOOKUP(D82,Stammdaten!$N$8:$V$37,3,FALSE),"Partner-ID prüfen"))</f>
        <v/>
      </c>
      <c r="F82" s="20"/>
      <c r="G82" s="23" t="str">
        <f>IF(F82="","",IFERROR(VLOOKUP(F82,Stammdaten!$A$8:$L$57,2,FALSE),"Artikel-ID prüfen"))</f>
        <v/>
      </c>
      <c r="H82" s="38"/>
      <c r="I82" s="42" t="str">
        <f>IF(OR(B82="",F82=""),"",IF(B82="Einkauf",IFERROR(VLOOKUP(F82,Stammdaten!$A$8:$L$57,5,FALSE),0),IFERROR(VLOOKUP(F82,Stammdaten!$A$8:$L$57,6,FALSE),0)))</f>
        <v/>
      </c>
      <c r="J82" s="43" t="str">
        <f t="shared" si="4"/>
        <v/>
      </c>
      <c r="K82" s="53"/>
      <c r="L82" s="5"/>
      <c r="M82" s="56"/>
      <c r="N82" s="47" t="str">
        <f>IF(OR(A82="",F82="",H82=""),"",IF(OR(L82="Storniert",L82="Abgeschlossen"),0,MAX(0,H82-IF(B82="Einkauf",SUMIFS(Warenbewegungen!$F$8:$F$207,Warenbewegungen!$I$8:$I$207,A82,Warenbewegungen!$D$8:$D$207,F82,Warenbewegungen!$C$8:$C$207,"Wareneingang"),SUMIFS(Warenbewegungen!$F$8:$F$207,Warenbewegungen!$I$8:$I$207,A82,Warenbewegungen!$D$8:$D$207,F82,Warenbewegungen!$C$8:$C$207,"Warenausgang")))))</f>
        <v/>
      </c>
      <c r="O82" s="43" t="str">
        <f t="shared" si="5"/>
        <v/>
      </c>
    </row>
    <row r="83" spans="1:15" x14ac:dyDescent="0.25">
      <c r="A83" s="4"/>
      <c r="B83" s="5"/>
      <c r="C83" s="35"/>
      <c r="D83" s="6"/>
      <c r="E83" s="23" t="str">
        <f>IF(D83="","",IFERROR(VLOOKUP(D83,Stammdaten!$N$8:$V$37,3,FALSE),"Partner-ID prüfen"))</f>
        <v/>
      </c>
      <c r="F83" s="20"/>
      <c r="G83" s="23" t="str">
        <f>IF(F83="","",IFERROR(VLOOKUP(F83,Stammdaten!$A$8:$L$57,2,FALSE),"Artikel-ID prüfen"))</f>
        <v/>
      </c>
      <c r="H83" s="38"/>
      <c r="I83" s="42" t="str">
        <f>IF(OR(B83="",F83=""),"",IF(B83="Einkauf",IFERROR(VLOOKUP(F83,Stammdaten!$A$8:$L$57,5,FALSE),0),IFERROR(VLOOKUP(F83,Stammdaten!$A$8:$L$57,6,FALSE),0)))</f>
        <v/>
      </c>
      <c r="J83" s="43" t="str">
        <f t="shared" si="4"/>
        <v/>
      </c>
      <c r="K83" s="53"/>
      <c r="L83" s="5"/>
      <c r="M83" s="56"/>
      <c r="N83" s="47" t="str">
        <f>IF(OR(A83="",F83="",H83=""),"",IF(OR(L83="Storniert",L83="Abgeschlossen"),0,MAX(0,H83-IF(B83="Einkauf",SUMIFS(Warenbewegungen!$F$8:$F$207,Warenbewegungen!$I$8:$I$207,A83,Warenbewegungen!$D$8:$D$207,F83,Warenbewegungen!$C$8:$C$207,"Wareneingang"),SUMIFS(Warenbewegungen!$F$8:$F$207,Warenbewegungen!$I$8:$I$207,A83,Warenbewegungen!$D$8:$D$207,F83,Warenbewegungen!$C$8:$C$207,"Warenausgang")))))</f>
        <v/>
      </c>
      <c r="O83" s="43" t="str">
        <f t="shared" si="5"/>
        <v/>
      </c>
    </row>
    <row r="84" spans="1:15" x14ac:dyDescent="0.25">
      <c r="A84" s="4"/>
      <c r="B84" s="5"/>
      <c r="C84" s="35"/>
      <c r="D84" s="6"/>
      <c r="E84" s="23" t="str">
        <f>IF(D84="","",IFERROR(VLOOKUP(D84,Stammdaten!$N$8:$V$37,3,FALSE),"Partner-ID prüfen"))</f>
        <v/>
      </c>
      <c r="F84" s="20"/>
      <c r="G84" s="23" t="str">
        <f>IF(F84="","",IFERROR(VLOOKUP(F84,Stammdaten!$A$8:$L$57,2,FALSE),"Artikel-ID prüfen"))</f>
        <v/>
      </c>
      <c r="H84" s="38"/>
      <c r="I84" s="42" t="str">
        <f>IF(OR(B84="",F84=""),"",IF(B84="Einkauf",IFERROR(VLOOKUP(F84,Stammdaten!$A$8:$L$57,5,FALSE),0),IFERROR(VLOOKUP(F84,Stammdaten!$A$8:$L$57,6,FALSE),0)))</f>
        <v/>
      </c>
      <c r="J84" s="43" t="str">
        <f t="shared" si="4"/>
        <v/>
      </c>
      <c r="K84" s="53"/>
      <c r="L84" s="5"/>
      <c r="M84" s="56"/>
      <c r="N84" s="47" t="str">
        <f>IF(OR(A84="",F84="",H84=""),"",IF(OR(L84="Storniert",L84="Abgeschlossen"),0,MAX(0,H84-IF(B84="Einkauf",SUMIFS(Warenbewegungen!$F$8:$F$207,Warenbewegungen!$I$8:$I$207,A84,Warenbewegungen!$D$8:$D$207,F84,Warenbewegungen!$C$8:$C$207,"Wareneingang"),SUMIFS(Warenbewegungen!$F$8:$F$207,Warenbewegungen!$I$8:$I$207,A84,Warenbewegungen!$D$8:$D$207,F84,Warenbewegungen!$C$8:$C$207,"Warenausgang")))))</f>
        <v/>
      </c>
      <c r="O84" s="43" t="str">
        <f t="shared" si="5"/>
        <v/>
      </c>
    </row>
    <row r="85" spans="1:15" x14ac:dyDescent="0.25">
      <c r="A85" s="4"/>
      <c r="B85" s="5"/>
      <c r="C85" s="35"/>
      <c r="D85" s="6"/>
      <c r="E85" s="23" t="str">
        <f>IF(D85="","",IFERROR(VLOOKUP(D85,Stammdaten!$N$8:$V$37,3,FALSE),"Partner-ID prüfen"))</f>
        <v/>
      </c>
      <c r="F85" s="20"/>
      <c r="G85" s="23" t="str">
        <f>IF(F85="","",IFERROR(VLOOKUP(F85,Stammdaten!$A$8:$L$57,2,FALSE),"Artikel-ID prüfen"))</f>
        <v/>
      </c>
      <c r="H85" s="38"/>
      <c r="I85" s="42" t="str">
        <f>IF(OR(B85="",F85=""),"",IF(B85="Einkauf",IFERROR(VLOOKUP(F85,Stammdaten!$A$8:$L$57,5,FALSE),0),IFERROR(VLOOKUP(F85,Stammdaten!$A$8:$L$57,6,FALSE),0)))</f>
        <v/>
      </c>
      <c r="J85" s="43" t="str">
        <f t="shared" si="4"/>
        <v/>
      </c>
      <c r="K85" s="53"/>
      <c r="L85" s="5"/>
      <c r="M85" s="56"/>
      <c r="N85" s="47" t="str">
        <f>IF(OR(A85="",F85="",H85=""),"",IF(OR(L85="Storniert",L85="Abgeschlossen"),0,MAX(0,H85-IF(B85="Einkauf",SUMIFS(Warenbewegungen!$F$8:$F$207,Warenbewegungen!$I$8:$I$207,A85,Warenbewegungen!$D$8:$D$207,F85,Warenbewegungen!$C$8:$C$207,"Wareneingang"),SUMIFS(Warenbewegungen!$F$8:$F$207,Warenbewegungen!$I$8:$I$207,A85,Warenbewegungen!$D$8:$D$207,F85,Warenbewegungen!$C$8:$C$207,"Warenausgang")))))</f>
        <v/>
      </c>
      <c r="O85" s="43" t="str">
        <f t="shared" si="5"/>
        <v/>
      </c>
    </row>
    <row r="86" spans="1:15" x14ac:dyDescent="0.25">
      <c r="A86" s="4"/>
      <c r="B86" s="5"/>
      <c r="C86" s="35"/>
      <c r="D86" s="6"/>
      <c r="E86" s="23" t="str">
        <f>IF(D86="","",IFERROR(VLOOKUP(D86,Stammdaten!$N$8:$V$37,3,FALSE),"Partner-ID prüfen"))</f>
        <v/>
      </c>
      <c r="F86" s="20"/>
      <c r="G86" s="23" t="str">
        <f>IF(F86="","",IFERROR(VLOOKUP(F86,Stammdaten!$A$8:$L$57,2,FALSE),"Artikel-ID prüfen"))</f>
        <v/>
      </c>
      <c r="H86" s="38"/>
      <c r="I86" s="42" t="str">
        <f>IF(OR(B86="",F86=""),"",IF(B86="Einkauf",IFERROR(VLOOKUP(F86,Stammdaten!$A$8:$L$57,5,FALSE),0),IFERROR(VLOOKUP(F86,Stammdaten!$A$8:$L$57,6,FALSE),0)))</f>
        <v/>
      </c>
      <c r="J86" s="43" t="str">
        <f t="shared" si="4"/>
        <v/>
      </c>
      <c r="K86" s="53"/>
      <c r="L86" s="5"/>
      <c r="M86" s="56"/>
      <c r="N86" s="47" t="str">
        <f>IF(OR(A86="",F86="",H86=""),"",IF(OR(L86="Storniert",L86="Abgeschlossen"),0,MAX(0,H86-IF(B86="Einkauf",SUMIFS(Warenbewegungen!$F$8:$F$207,Warenbewegungen!$I$8:$I$207,A86,Warenbewegungen!$D$8:$D$207,F86,Warenbewegungen!$C$8:$C$207,"Wareneingang"),SUMIFS(Warenbewegungen!$F$8:$F$207,Warenbewegungen!$I$8:$I$207,A86,Warenbewegungen!$D$8:$D$207,F86,Warenbewegungen!$C$8:$C$207,"Warenausgang")))))</f>
        <v/>
      </c>
      <c r="O86" s="43" t="str">
        <f t="shared" si="5"/>
        <v/>
      </c>
    </row>
    <row r="87" spans="1:15" x14ac:dyDescent="0.25">
      <c r="A87" s="4"/>
      <c r="B87" s="5"/>
      <c r="C87" s="35"/>
      <c r="D87" s="6"/>
      <c r="E87" s="23" t="str">
        <f>IF(D87="","",IFERROR(VLOOKUP(D87,Stammdaten!$N$8:$V$37,3,FALSE),"Partner-ID prüfen"))</f>
        <v/>
      </c>
      <c r="F87" s="20"/>
      <c r="G87" s="23" t="str">
        <f>IF(F87="","",IFERROR(VLOOKUP(F87,Stammdaten!$A$8:$L$57,2,FALSE),"Artikel-ID prüfen"))</f>
        <v/>
      </c>
      <c r="H87" s="38"/>
      <c r="I87" s="42" t="str">
        <f>IF(OR(B87="",F87=""),"",IF(B87="Einkauf",IFERROR(VLOOKUP(F87,Stammdaten!$A$8:$L$57,5,FALSE),0),IFERROR(VLOOKUP(F87,Stammdaten!$A$8:$L$57,6,FALSE),0)))</f>
        <v/>
      </c>
      <c r="J87" s="43" t="str">
        <f t="shared" si="4"/>
        <v/>
      </c>
      <c r="K87" s="53"/>
      <c r="L87" s="5"/>
      <c r="M87" s="56"/>
      <c r="N87" s="47" t="str">
        <f>IF(OR(A87="",F87="",H87=""),"",IF(OR(L87="Storniert",L87="Abgeschlossen"),0,MAX(0,H87-IF(B87="Einkauf",SUMIFS(Warenbewegungen!$F$8:$F$207,Warenbewegungen!$I$8:$I$207,A87,Warenbewegungen!$D$8:$D$207,F87,Warenbewegungen!$C$8:$C$207,"Wareneingang"),SUMIFS(Warenbewegungen!$F$8:$F$207,Warenbewegungen!$I$8:$I$207,A87,Warenbewegungen!$D$8:$D$207,F87,Warenbewegungen!$C$8:$C$207,"Warenausgang")))))</f>
        <v/>
      </c>
      <c r="O87" s="43" t="str">
        <f t="shared" si="5"/>
        <v/>
      </c>
    </row>
    <row r="88" spans="1:15" x14ac:dyDescent="0.25">
      <c r="A88" s="4"/>
      <c r="B88" s="5"/>
      <c r="C88" s="35"/>
      <c r="D88" s="6"/>
      <c r="E88" s="23" t="str">
        <f>IF(D88="","",IFERROR(VLOOKUP(D88,Stammdaten!$N$8:$V$37,3,FALSE),"Partner-ID prüfen"))</f>
        <v/>
      </c>
      <c r="F88" s="20"/>
      <c r="G88" s="23" t="str">
        <f>IF(F88="","",IFERROR(VLOOKUP(F88,Stammdaten!$A$8:$L$57,2,FALSE),"Artikel-ID prüfen"))</f>
        <v/>
      </c>
      <c r="H88" s="38"/>
      <c r="I88" s="42" t="str">
        <f>IF(OR(B88="",F88=""),"",IF(B88="Einkauf",IFERROR(VLOOKUP(F88,Stammdaten!$A$8:$L$57,5,FALSE),0),IFERROR(VLOOKUP(F88,Stammdaten!$A$8:$L$57,6,FALSE),0)))</f>
        <v/>
      </c>
      <c r="J88" s="43" t="str">
        <f t="shared" si="4"/>
        <v/>
      </c>
      <c r="K88" s="53"/>
      <c r="L88" s="5"/>
      <c r="M88" s="56"/>
      <c r="N88" s="47" t="str">
        <f>IF(OR(A88="",F88="",H88=""),"",IF(OR(L88="Storniert",L88="Abgeschlossen"),0,MAX(0,H88-IF(B88="Einkauf",SUMIFS(Warenbewegungen!$F$8:$F$207,Warenbewegungen!$I$8:$I$207,A88,Warenbewegungen!$D$8:$D$207,F88,Warenbewegungen!$C$8:$C$207,"Wareneingang"),SUMIFS(Warenbewegungen!$F$8:$F$207,Warenbewegungen!$I$8:$I$207,A88,Warenbewegungen!$D$8:$D$207,F88,Warenbewegungen!$C$8:$C$207,"Warenausgang")))))</f>
        <v/>
      </c>
      <c r="O88" s="43" t="str">
        <f t="shared" si="5"/>
        <v/>
      </c>
    </row>
    <row r="89" spans="1:15" x14ac:dyDescent="0.25">
      <c r="A89" s="4"/>
      <c r="B89" s="5"/>
      <c r="C89" s="35"/>
      <c r="D89" s="6"/>
      <c r="E89" s="23" t="str">
        <f>IF(D89="","",IFERROR(VLOOKUP(D89,Stammdaten!$N$8:$V$37,3,FALSE),"Partner-ID prüfen"))</f>
        <v/>
      </c>
      <c r="F89" s="20"/>
      <c r="G89" s="23" t="str">
        <f>IF(F89="","",IFERROR(VLOOKUP(F89,Stammdaten!$A$8:$L$57,2,FALSE),"Artikel-ID prüfen"))</f>
        <v/>
      </c>
      <c r="H89" s="38"/>
      <c r="I89" s="42" t="str">
        <f>IF(OR(B89="",F89=""),"",IF(B89="Einkauf",IFERROR(VLOOKUP(F89,Stammdaten!$A$8:$L$57,5,FALSE),0),IFERROR(VLOOKUP(F89,Stammdaten!$A$8:$L$57,6,FALSE),0)))</f>
        <v/>
      </c>
      <c r="J89" s="43" t="str">
        <f t="shared" si="4"/>
        <v/>
      </c>
      <c r="K89" s="53"/>
      <c r="L89" s="5"/>
      <c r="M89" s="56"/>
      <c r="N89" s="47" t="str">
        <f>IF(OR(A89="",F89="",H89=""),"",IF(OR(L89="Storniert",L89="Abgeschlossen"),0,MAX(0,H89-IF(B89="Einkauf",SUMIFS(Warenbewegungen!$F$8:$F$207,Warenbewegungen!$I$8:$I$207,A89,Warenbewegungen!$D$8:$D$207,F89,Warenbewegungen!$C$8:$C$207,"Wareneingang"),SUMIFS(Warenbewegungen!$F$8:$F$207,Warenbewegungen!$I$8:$I$207,A89,Warenbewegungen!$D$8:$D$207,F89,Warenbewegungen!$C$8:$C$207,"Warenausgang")))))</f>
        <v/>
      </c>
      <c r="O89" s="43" t="str">
        <f t="shared" si="5"/>
        <v/>
      </c>
    </row>
    <row r="90" spans="1:15" x14ac:dyDescent="0.25">
      <c r="A90" s="4"/>
      <c r="B90" s="5"/>
      <c r="C90" s="35"/>
      <c r="D90" s="6"/>
      <c r="E90" s="23" t="str">
        <f>IF(D90="","",IFERROR(VLOOKUP(D90,Stammdaten!$N$8:$V$37,3,FALSE),"Partner-ID prüfen"))</f>
        <v/>
      </c>
      <c r="F90" s="20"/>
      <c r="G90" s="23" t="str">
        <f>IF(F90="","",IFERROR(VLOOKUP(F90,Stammdaten!$A$8:$L$57,2,FALSE),"Artikel-ID prüfen"))</f>
        <v/>
      </c>
      <c r="H90" s="38"/>
      <c r="I90" s="42" t="str">
        <f>IF(OR(B90="",F90=""),"",IF(B90="Einkauf",IFERROR(VLOOKUP(F90,Stammdaten!$A$8:$L$57,5,FALSE),0),IFERROR(VLOOKUP(F90,Stammdaten!$A$8:$L$57,6,FALSE),0)))</f>
        <v/>
      </c>
      <c r="J90" s="43" t="str">
        <f t="shared" si="4"/>
        <v/>
      </c>
      <c r="K90" s="53"/>
      <c r="L90" s="5"/>
      <c r="M90" s="56"/>
      <c r="N90" s="47" t="str">
        <f>IF(OR(A90="",F90="",H90=""),"",IF(OR(L90="Storniert",L90="Abgeschlossen"),0,MAX(0,H90-IF(B90="Einkauf",SUMIFS(Warenbewegungen!$F$8:$F$207,Warenbewegungen!$I$8:$I$207,A90,Warenbewegungen!$D$8:$D$207,F90,Warenbewegungen!$C$8:$C$207,"Wareneingang"),SUMIFS(Warenbewegungen!$F$8:$F$207,Warenbewegungen!$I$8:$I$207,A90,Warenbewegungen!$D$8:$D$207,F90,Warenbewegungen!$C$8:$C$207,"Warenausgang")))))</f>
        <v/>
      </c>
      <c r="O90" s="43" t="str">
        <f t="shared" si="5"/>
        <v/>
      </c>
    </row>
    <row r="91" spans="1:15" x14ac:dyDescent="0.25">
      <c r="A91" s="4"/>
      <c r="B91" s="5"/>
      <c r="C91" s="35"/>
      <c r="D91" s="6"/>
      <c r="E91" s="23" t="str">
        <f>IF(D91="","",IFERROR(VLOOKUP(D91,Stammdaten!$N$8:$V$37,3,FALSE),"Partner-ID prüfen"))</f>
        <v/>
      </c>
      <c r="F91" s="20"/>
      <c r="G91" s="23" t="str">
        <f>IF(F91="","",IFERROR(VLOOKUP(F91,Stammdaten!$A$8:$L$57,2,FALSE),"Artikel-ID prüfen"))</f>
        <v/>
      </c>
      <c r="H91" s="38"/>
      <c r="I91" s="42" t="str">
        <f>IF(OR(B91="",F91=""),"",IF(B91="Einkauf",IFERROR(VLOOKUP(F91,Stammdaten!$A$8:$L$57,5,FALSE),0),IFERROR(VLOOKUP(F91,Stammdaten!$A$8:$L$57,6,FALSE),0)))</f>
        <v/>
      </c>
      <c r="J91" s="43" t="str">
        <f t="shared" si="4"/>
        <v/>
      </c>
      <c r="K91" s="53"/>
      <c r="L91" s="5"/>
      <c r="M91" s="56"/>
      <c r="N91" s="47" t="str">
        <f>IF(OR(A91="",F91="",H91=""),"",IF(OR(L91="Storniert",L91="Abgeschlossen"),0,MAX(0,H91-IF(B91="Einkauf",SUMIFS(Warenbewegungen!$F$8:$F$207,Warenbewegungen!$I$8:$I$207,A91,Warenbewegungen!$D$8:$D$207,F91,Warenbewegungen!$C$8:$C$207,"Wareneingang"),SUMIFS(Warenbewegungen!$F$8:$F$207,Warenbewegungen!$I$8:$I$207,A91,Warenbewegungen!$D$8:$D$207,F91,Warenbewegungen!$C$8:$C$207,"Warenausgang")))))</f>
        <v/>
      </c>
      <c r="O91" s="43" t="str">
        <f t="shared" si="5"/>
        <v/>
      </c>
    </row>
    <row r="92" spans="1:15" x14ac:dyDescent="0.25">
      <c r="A92" s="4"/>
      <c r="B92" s="5"/>
      <c r="C92" s="35"/>
      <c r="D92" s="6"/>
      <c r="E92" s="23" t="str">
        <f>IF(D92="","",IFERROR(VLOOKUP(D92,Stammdaten!$N$8:$V$37,3,FALSE),"Partner-ID prüfen"))</f>
        <v/>
      </c>
      <c r="F92" s="20"/>
      <c r="G92" s="23" t="str">
        <f>IF(F92="","",IFERROR(VLOOKUP(F92,Stammdaten!$A$8:$L$57,2,FALSE),"Artikel-ID prüfen"))</f>
        <v/>
      </c>
      <c r="H92" s="38"/>
      <c r="I92" s="42" t="str">
        <f>IF(OR(B92="",F92=""),"",IF(B92="Einkauf",IFERROR(VLOOKUP(F92,Stammdaten!$A$8:$L$57,5,FALSE),0),IFERROR(VLOOKUP(F92,Stammdaten!$A$8:$L$57,6,FALSE),0)))</f>
        <v/>
      </c>
      <c r="J92" s="43" t="str">
        <f t="shared" si="4"/>
        <v/>
      </c>
      <c r="K92" s="53"/>
      <c r="L92" s="5"/>
      <c r="M92" s="56"/>
      <c r="N92" s="47" t="str">
        <f>IF(OR(A92="",F92="",H92=""),"",IF(OR(L92="Storniert",L92="Abgeschlossen"),0,MAX(0,H92-IF(B92="Einkauf",SUMIFS(Warenbewegungen!$F$8:$F$207,Warenbewegungen!$I$8:$I$207,A92,Warenbewegungen!$D$8:$D$207,F92,Warenbewegungen!$C$8:$C$207,"Wareneingang"),SUMIFS(Warenbewegungen!$F$8:$F$207,Warenbewegungen!$I$8:$I$207,A92,Warenbewegungen!$D$8:$D$207,F92,Warenbewegungen!$C$8:$C$207,"Warenausgang")))))</f>
        <v/>
      </c>
      <c r="O92" s="43" t="str">
        <f t="shared" si="5"/>
        <v/>
      </c>
    </row>
    <row r="93" spans="1:15" x14ac:dyDescent="0.25">
      <c r="A93" s="4"/>
      <c r="B93" s="5"/>
      <c r="C93" s="35"/>
      <c r="D93" s="6"/>
      <c r="E93" s="23" t="str">
        <f>IF(D93="","",IFERROR(VLOOKUP(D93,Stammdaten!$N$8:$V$37,3,FALSE),"Partner-ID prüfen"))</f>
        <v/>
      </c>
      <c r="F93" s="20"/>
      <c r="G93" s="23" t="str">
        <f>IF(F93="","",IFERROR(VLOOKUP(F93,Stammdaten!$A$8:$L$57,2,FALSE),"Artikel-ID prüfen"))</f>
        <v/>
      </c>
      <c r="H93" s="38"/>
      <c r="I93" s="42" t="str">
        <f>IF(OR(B93="",F93=""),"",IF(B93="Einkauf",IFERROR(VLOOKUP(F93,Stammdaten!$A$8:$L$57,5,FALSE),0),IFERROR(VLOOKUP(F93,Stammdaten!$A$8:$L$57,6,FALSE),0)))</f>
        <v/>
      </c>
      <c r="J93" s="43" t="str">
        <f t="shared" si="4"/>
        <v/>
      </c>
      <c r="K93" s="53"/>
      <c r="L93" s="5"/>
      <c r="M93" s="56"/>
      <c r="N93" s="47" t="str">
        <f>IF(OR(A93="",F93="",H93=""),"",IF(OR(L93="Storniert",L93="Abgeschlossen"),0,MAX(0,H93-IF(B93="Einkauf",SUMIFS(Warenbewegungen!$F$8:$F$207,Warenbewegungen!$I$8:$I$207,A93,Warenbewegungen!$D$8:$D$207,F93,Warenbewegungen!$C$8:$C$207,"Wareneingang"),SUMIFS(Warenbewegungen!$F$8:$F$207,Warenbewegungen!$I$8:$I$207,A93,Warenbewegungen!$D$8:$D$207,F93,Warenbewegungen!$C$8:$C$207,"Warenausgang")))))</f>
        <v/>
      </c>
      <c r="O93" s="43" t="str">
        <f t="shared" si="5"/>
        <v/>
      </c>
    </row>
    <row r="94" spans="1:15" x14ac:dyDescent="0.25">
      <c r="A94" s="4"/>
      <c r="B94" s="5"/>
      <c r="C94" s="35"/>
      <c r="D94" s="6"/>
      <c r="E94" s="23" t="str">
        <f>IF(D94="","",IFERROR(VLOOKUP(D94,Stammdaten!$N$8:$V$37,3,FALSE),"Partner-ID prüfen"))</f>
        <v/>
      </c>
      <c r="F94" s="20"/>
      <c r="G94" s="23" t="str">
        <f>IF(F94="","",IFERROR(VLOOKUP(F94,Stammdaten!$A$8:$L$57,2,FALSE),"Artikel-ID prüfen"))</f>
        <v/>
      </c>
      <c r="H94" s="38"/>
      <c r="I94" s="42" t="str">
        <f>IF(OR(B94="",F94=""),"",IF(B94="Einkauf",IFERROR(VLOOKUP(F94,Stammdaten!$A$8:$L$57,5,FALSE),0),IFERROR(VLOOKUP(F94,Stammdaten!$A$8:$L$57,6,FALSE),0)))</f>
        <v/>
      </c>
      <c r="J94" s="43" t="str">
        <f t="shared" si="4"/>
        <v/>
      </c>
      <c r="K94" s="53"/>
      <c r="L94" s="5"/>
      <c r="M94" s="56"/>
      <c r="N94" s="47" t="str">
        <f>IF(OR(A94="",F94="",H94=""),"",IF(OR(L94="Storniert",L94="Abgeschlossen"),0,MAX(0,H94-IF(B94="Einkauf",SUMIFS(Warenbewegungen!$F$8:$F$207,Warenbewegungen!$I$8:$I$207,A94,Warenbewegungen!$D$8:$D$207,F94,Warenbewegungen!$C$8:$C$207,"Wareneingang"),SUMIFS(Warenbewegungen!$F$8:$F$207,Warenbewegungen!$I$8:$I$207,A94,Warenbewegungen!$D$8:$D$207,F94,Warenbewegungen!$C$8:$C$207,"Warenausgang")))))</f>
        <v/>
      </c>
      <c r="O94" s="43" t="str">
        <f t="shared" si="5"/>
        <v/>
      </c>
    </row>
    <row r="95" spans="1:15" x14ac:dyDescent="0.25">
      <c r="A95" s="4"/>
      <c r="B95" s="5"/>
      <c r="C95" s="35"/>
      <c r="D95" s="6"/>
      <c r="E95" s="23" t="str">
        <f>IF(D95="","",IFERROR(VLOOKUP(D95,Stammdaten!$N$8:$V$37,3,FALSE),"Partner-ID prüfen"))</f>
        <v/>
      </c>
      <c r="F95" s="20"/>
      <c r="G95" s="23" t="str">
        <f>IF(F95="","",IFERROR(VLOOKUP(F95,Stammdaten!$A$8:$L$57,2,FALSE),"Artikel-ID prüfen"))</f>
        <v/>
      </c>
      <c r="H95" s="38"/>
      <c r="I95" s="42" t="str">
        <f>IF(OR(B95="",F95=""),"",IF(B95="Einkauf",IFERROR(VLOOKUP(F95,Stammdaten!$A$8:$L$57,5,FALSE),0),IFERROR(VLOOKUP(F95,Stammdaten!$A$8:$L$57,6,FALSE),0)))</f>
        <v/>
      </c>
      <c r="J95" s="43" t="str">
        <f t="shared" si="4"/>
        <v/>
      </c>
      <c r="K95" s="53"/>
      <c r="L95" s="5"/>
      <c r="M95" s="56"/>
      <c r="N95" s="47" t="str">
        <f>IF(OR(A95="",F95="",H95=""),"",IF(OR(L95="Storniert",L95="Abgeschlossen"),0,MAX(0,H95-IF(B95="Einkauf",SUMIFS(Warenbewegungen!$F$8:$F$207,Warenbewegungen!$I$8:$I$207,A95,Warenbewegungen!$D$8:$D$207,F95,Warenbewegungen!$C$8:$C$207,"Wareneingang"),SUMIFS(Warenbewegungen!$F$8:$F$207,Warenbewegungen!$I$8:$I$207,A95,Warenbewegungen!$D$8:$D$207,F95,Warenbewegungen!$C$8:$C$207,"Warenausgang")))))</f>
        <v/>
      </c>
      <c r="O95" s="43" t="str">
        <f t="shared" si="5"/>
        <v/>
      </c>
    </row>
    <row r="96" spans="1:15" x14ac:dyDescent="0.25">
      <c r="A96" s="4"/>
      <c r="B96" s="5"/>
      <c r="C96" s="35"/>
      <c r="D96" s="6"/>
      <c r="E96" s="23" t="str">
        <f>IF(D96="","",IFERROR(VLOOKUP(D96,Stammdaten!$N$8:$V$37,3,FALSE),"Partner-ID prüfen"))</f>
        <v/>
      </c>
      <c r="F96" s="20"/>
      <c r="G96" s="23" t="str">
        <f>IF(F96="","",IFERROR(VLOOKUP(F96,Stammdaten!$A$8:$L$57,2,FALSE),"Artikel-ID prüfen"))</f>
        <v/>
      </c>
      <c r="H96" s="38"/>
      <c r="I96" s="42" t="str">
        <f>IF(OR(B96="",F96=""),"",IF(B96="Einkauf",IFERROR(VLOOKUP(F96,Stammdaten!$A$8:$L$57,5,FALSE),0),IFERROR(VLOOKUP(F96,Stammdaten!$A$8:$L$57,6,FALSE),0)))</f>
        <v/>
      </c>
      <c r="J96" s="43" t="str">
        <f t="shared" si="4"/>
        <v/>
      </c>
      <c r="K96" s="53"/>
      <c r="L96" s="5"/>
      <c r="M96" s="56"/>
      <c r="N96" s="47" t="str">
        <f>IF(OR(A96="",F96="",H96=""),"",IF(OR(L96="Storniert",L96="Abgeschlossen"),0,MAX(0,H96-IF(B96="Einkauf",SUMIFS(Warenbewegungen!$F$8:$F$207,Warenbewegungen!$I$8:$I$207,A96,Warenbewegungen!$D$8:$D$207,F96,Warenbewegungen!$C$8:$C$207,"Wareneingang"),SUMIFS(Warenbewegungen!$F$8:$F$207,Warenbewegungen!$I$8:$I$207,A96,Warenbewegungen!$D$8:$D$207,F96,Warenbewegungen!$C$8:$C$207,"Warenausgang")))))</f>
        <v/>
      </c>
      <c r="O96" s="43" t="str">
        <f t="shared" si="5"/>
        <v/>
      </c>
    </row>
    <row r="97" spans="1:15" x14ac:dyDescent="0.25">
      <c r="A97" s="4"/>
      <c r="B97" s="5"/>
      <c r="C97" s="35"/>
      <c r="D97" s="6"/>
      <c r="E97" s="23" t="str">
        <f>IF(D97="","",IFERROR(VLOOKUP(D97,Stammdaten!$N$8:$V$37,3,FALSE),"Partner-ID prüfen"))</f>
        <v/>
      </c>
      <c r="F97" s="20"/>
      <c r="G97" s="23" t="str">
        <f>IF(F97="","",IFERROR(VLOOKUP(F97,Stammdaten!$A$8:$L$57,2,FALSE),"Artikel-ID prüfen"))</f>
        <v/>
      </c>
      <c r="H97" s="38"/>
      <c r="I97" s="42" t="str">
        <f>IF(OR(B97="",F97=""),"",IF(B97="Einkauf",IFERROR(VLOOKUP(F97,Stammdaten!$A$8:$L$57,5,FALSE),0),IFERROR(VLOOKUP(F97,Stammdaten!$A$8:$L$57,6,FALSE),0)))</f>
        <v/>
      </c>
      <c r="J97" s="43" t="str">
        <f t="shared" si="4"/>
        <v/>
      </c>
      <c r="K97" s="53"/>
      <c r="L97" s="5"/>
      <c r="M97" s="56"/>
      <c r="N97" s="47" t="str">
        <f>IF(OR(A97="",F97="",H97=""),"",IF(OR(L97="Storniert",L97="Abgeschlossen"),0,MAX(0,H97-IF(B97="Einkauf",SUMIFS(Warenbewegungen!$F$8:$F$207,Warenbewegungen!$I$8:$I$207,A97,Warenbewegungen!$D$8:$D$207,F97,Warenbewegungen!$C$8:$C$207,"Wareneingang"),SUMIFS(Warenbewegungen!$F$8:$F$207,Warenbewegungen!$I$8:$I$207,A97,Warenbewegungen!$D$8:$D$207,F97,Warenbewegungen!$C$8:$C$207,"Warenausgang")))))</f>
        <v/>
      </c>
      <c r="O97" s="43" t="str">
        <f t="shared" si="5"/>
        <v/>
      </c>
    </row>
    <row r="98" spans="1:15" x14ac:dyDescent="0.25">
      <c r="A98" s="4"/>
      <c r="B98" s="5"/>
      <c r="C98" s="35"/>
      <c r="D98" s="6"/>
      <c r="E98" s="23" t="str">
        <f>IF(D98="","",IFERROR(VLOOKUP(D98,Stammdaten!$N$8:$V$37,3,FALSE),"Partner-ID prüfen"))</f>
        <v/>
      </c>
      <c r="F98" s="20"/>
      <c r="G98" s="23" t="str">
        <f>IF(F98="","",IFERROR(VLOOKUP(F98,Stammdaten!$A$8:$L$57,2,FALSE),"Artikel-ID prüfen"))</f>
        <v/>
      </c>
      <c r="H98" s="38"/>
      <c r="I98" s="42" t="str">
        <f>IF(OR(B98="",F98=""),"",IF(B98="Einkauf",IFERROR(VLOOKUP(F98,Stammdaten!$A$8:$L$57,5,FALSE),0),IFERROR(VLOOKUP(F98,Stammdaten!$A$8:$L$57,6,FALSE),0)))</f>
        <v/>
      </c>
      <c r="J98" s="43" t="str">
        <f t="shared" si="4"/>
        <v/>
      </c>
      <c r="K98" s="53"/>
      <c r="L98" s="5"/>
      <c r="M98" s="56"/>
      <c r="N98" s="47" t="str">
        <f>IF(OR(A98="",F98="",H98=""),"",IF(OR(L98="Storniert",L98="Abgeschlossen"),0,MAX(0,H98-IF(B98="Einkauf",SUMIFS(Warenbewegungen!$F$8:$F$207,Warenbewegungen!$I$8:$I$207,A98,Warenbewegungen!$D$8:$D$207,F98,Warenbewegungen!$C$8:$C$207,"Wareneingang"),SUMIFS(Warenbewegungen!$F$8:$F$207,Warenbewegungen!$I$8:$I$207,A98,Warenbewegungen!$D$8:$D$207,F98,Warenbewegungen!$C$8:$C$207,"Warenausgang")))))</f>
        <v/>
      </c>
      <c r="O98" s="43" t="str">
        <f t="shared" si="5"/>
        <v/>
      </c>
    </row>
    <row r="99" spans="1:15" x14ac:dyDescent="0.25">
      <c r="A99" s="4"/>
      <c r="B99" s="5"/>
      <c r="C99" s="35"/>
      <c r="D99" s="6"/>
      <c r="E99" s="23" t="str">
        <f>IF(D99="","",IFERROR(VLOOKUP(D99,Stammdaten!$N$8:$V$37,3,FALSE),"Partner-ID prüfen"))</f>
        <v/>
      </c>
      <c r="F99" s="20"/>
      <c r="G99" s="23" t="str">
        <f>IF(F99="","",IFERROR(VLOOKUP(F99,Stammdaten!$A$8:$L$57,2,FALSE),"Artikel-ID prüfen"))</f>
        <v/>
      </c>
      <c r="H99" s="38"/>
      <c r="I99" s="42" t="str">
        <f>IF(OR(B99="",F99=""),"",IF(B99="Einkauf",IFERROR(VLOOKUP(F99,Stammdaten!$A$8:$L$57,5,FALSE),0),IFERROR(VLOOKUP(F99,Stammdaten!$A$8:$L$57,6,FALSE),0)))</f>
        <v/>
      </c>
      <c r="J99" s="43" t="str">
        <f t="shared" si="4"/>
        <v/>
      </c>
      <c r="K99" s="53"/>
      <c r="L99" s="5"/>
      <c r="M99" s="56"/>
      <c r="N99" s="47" t="str">
        <f>IF(OR(A99="",F99="",H99=""),"",IF(OR(L99="Storniert",L99="Abgeschlossen"),0,MAX(0,H99-IF(B99="Einkauf",SUMIFS(Warenbewegungen!$F$8:$F$207,Warenbewegungen!$I$8:$I$207,A99,Warenbewegungen!$D$8:$D$207,F99,Warenbewegungen!$C$8:$C$207,"Wareneingang"),SUMIFS(Warenbewegungen!$F$8:$F$207,Warenbewegungen!$I$8:$I$207,A99,Warenbewegungen!$D$8:$D$207,F99,Warenbewegungen!$C$8:$C$207,"Warenausgang")))))</f>
        <v/>
      </c>
      <c r="O99" s="43" t="str">
        <f t="shared" si="5"/>
        <v/>
      </c>
    </row>
    <row r="100" spans="1:15" x14ac:dyDescent="0.25">
      <c r="A100" s="4"/>
      <c r="B100" s="5"/>
      <c r="C100" s="35"/>
      <c r="D100" s="6"/>
      <c r="E100" s="23" t="str">
        <f>IF(D100="","",IFERROR(VLOOKUP(D100,Stammdaten!$N$8:$V$37,3,FALSE),"Partner-ID prüfen"))</f>
        <v/>
      </c>
      <c r="F100" s="20"/>
      <c r="G100" s="23" t="str">
        <f>IF(F100="","",IFERROR(VLOOKUP(F100,Stammdaten!$A$8:$L$57,2,FALSE),"Artikel-ID prüfen"))</f>
        <v/>
      </c>
      <c r="H100" s="38"/>
      <c r="I100" s="42" t="str">
        <f>IF(OR(B100="",F100=""),"",IF(B100="Einkauf",IFERROR(VLOOKUP(F100,Stammdaten!$A$8:$L$57,5,FALSE),0),IFERROR(VLOOKUP(F100,Stammdaten!$A$8:$L$57,6,FALSE),0)))</f>
        <v/>
      </c>
      <c r="J100" s="43" t="str">
        <f t="shared" si="4"/>
        <v/>
      </c>
      <c r="K100" s="53"/>
      <c r="L100" s="5"/>
      <c r="M100" s="56"/>
      <c r="N100" s="47" t="str">
        <f>IF(OR(A100="",F100="",H100=""),"",IF(OR(L100="Storniert",L100="Abgeschlossen"),0,MAX(0,H100-IF(B100="Einkauf",SUMIFS(Warenbewegungen!$F$8:$F$207,Warenbewegungen!$I$8:$I$207,A100,Warenbewegungen!$D$8:$D$207,F100,Warenbewegungen!$C$8:$C$207,"Wareneingang"),SUMIFS(Warenbewegungen!$F$8:$F$207,Warenbewegungen!$I$8:$I$207,A100,Warenbewegungen!$D$8:$D$207,F100,Warenbewegungen!$C$8:$C$207,"Warenausgang")))))</f>
        <v/>
      </c>
      <c r="O100" s="43" t="str">
        <f t="shared" si="5"/>
        <v/>
      </c>
    </row>
    <row r="101" spans="1:15" x14ac:dyDescent="0.25">
      <c r="A101" s="4"/>
      <c r="B101" s="5"/>
      <c r="C101" s="35"/>
      <c r="D101" s="6"/>
      <c r="E101" s="23" t="str">
        <f>IF(D101="","",IFERROR(VLOOKUP(D101,Stammdaten!$N$8:$V$37,3,FALSE),"Partner-ID prüfen"))</f>
        <v/>
      </c>
      <c r="F101" s="20"/>
      <c r="G101" s="23" t="str">
        <f>IF(F101="","",IFERROR(VLOOKUP(F101,Stammdaten!$A$8:$L$57,2,FALSE),"Artikel-ID prüfen"))</f>
        <v/>
      </c>
      <c r="H101" s="38"/>
      <c r="I101" s="42" t="str">
        <f>IF(OR(B101="",F101=""),"",IF(B101="Einkauf",IFERROR(VLOOKUP(F101,Stammdaten!$A$8:$L$57,5,FALSE),0),IFERROR(VLOOKUP(F101,Stammdaten!$A$8:$L$57,6,FALSE),0)))</f>
        <v/>
      </c>
      <c r="J101" s="43" t="str">
        <f t="shared" si="4"/>
        <v/>
      </c>
      <c r="K101" s="53"/>
      <c r="L101" s="5"/>
      <c r="M101" s="56"/>
      <c r="N101" s="47" t="str">
        <f>IF(OR(A101="",F101="",H101=""),"",IF(OR(L101="Storniert",L101="Abgeschlossen"),0,MAX(0,H101-IF(B101="Einkauf",SUMIFS(Warenbewegungen!$F$8:$F$207,Warenbewegungen!$I$8:$I$207,A101,Warenbewegungen!$D$8:$D$207,F101,Warenbewegungen!$C$8:$C$207,"Wareneingang"),SUMIFS(Warenbewegungen!$F$8:$F$207,Warenbewegungen!$I$8:$I$207,A101,Warenbewegungen!$D$8:$D$207,F101,Warenbewegungen!$C$8:$C$207,"Warenausgang")))))</f>
        <v/>
      </c>
      <c r="O101" s="43" t="str">
        <f t="shared" si="5"/>
        <v/>
      </c>
    </row>
    <row r="102" spans="1:15" x14ac:dyDescent="0.25">
      <c r="A102" s="4"/>
      <c r="B102" s="5"/>
      <c r="C102" s="35"/>
      <c r="D102" s="6"/>
      <c r="E102" s="23" t="str">
        <f>IF(D102="","",IFERROR(VLOOKUP(D102,Stammdaten!$N$8:$V$37,3,FALSE),"Partner-ID prüfen"))</f>
        <v/>
      </c>
      <c r="F102" s="20"/>
      <c r="G102" s="23" t="str">
        <f>IF(F102="","",IFERROR(VLOOKUP(F102,Stammdaten!$A$8:$L$57,2,FALSE),"Artikel-ID prüfen"))</f>
        <v/>
      </c>
      <c r="H102" s="38"/>
      <c r="I102" s="42" t="str">
        <f>IF(OR(B102="",F102=""),"",IF(B102="Einkauf",IFERROR(VLOOKUP(F102,Stammdaten!$A$8:$L$57,5,FALSE),0),IFERROR(VLOOKUP(F102,Stammdaten!$A$8:$L$57,6,FALSE),0)))</f>
        <v/>
      </c>
      <c r="J102" s="43" t="str">
        <f t="shared" si="4"/>
        <v/>
      </c>
      <c r="K102" s="53"/>
      <c r="L102" s="5"/>
      <c r="M102" s="56"/>
      <c r="N102" s="47" t="str">
        <f>IF(OR(A102="",F102="",H102=""),"",IF(OR(L102="Storniert",L102="Abgeschlossen"),0,MAX(0,H102-IF(B102="Einkauf",SUMIFS(Warenbewegungen!$F$8:$F$207,Warenbewegungen!$I$8:$I$207,A102,Warenbewegungen!$D$8:$D$207,F102,Warenbewegungen!$C$8:$C$207,"Wareneingang"),SUMIFS(Warenbewegungen!$F$8:$F$207,Warenbewegungen!$I$8:$I$207,A102,Warenbewegungen!$D$8:$D$207,F102,Warenbewegungen!$C$8:$C$207,"Warenausgang")))))</f>
        <v/>
      </c>
      <c r="O102" s="43" t="str">
        <f t="shared" si="5"/>
        <v/>
      </c>
    </row>
    <row r="103" spans="1:15" x14ac:dyDescent="0.25">
      <c r="A103" s="4"/>
      <c r="B103" s="5"/>
      <c r="C103" s="35"/>
      <c r="D103" s="6"/>
      <c r="E103" s="23" t="str">
        <f>IF(D103="","",IFERROR(VLOOKUP(D103,Stammdaten!$N$8:$V$37,3,FALSE),"Partner-ID prüfen"))</f>
        <v/>
      </c>
      <c r="F103" s="20"/>
      <c r="G103" s="23" t="str">
        <f>IF(F103="","",IFERROR(VLOOKUP(F103,Stammdaten!$A$8:$L$57,2,FALSE),"Artikel-ID prüfen"))</f>
        <v/>
      </c>
      <c r="H103" s="38"/>
      <c r="I103" s="42" t="str">
        <f>IF(OR(B103="",F103=""),"",IF(B103="Einkauf",IFERROR(VLOOKUP(F103,Stammdaten!$A$8:$L$57,5,FALSE),0),IFERROR(VLOOKUP(F103,Stammdaten!$A$8:$L$57,6,FALSE),0)))</f>
        <v/>
      </c>
      <c r="J103" s="43" t="str">
        <f t="shared" si="4"/>
        <v/>
      </c>
      <c r="K103" s="53"/>
      <c r="L103" s="5"/>
      <c r="M103" s="56"/>
      <c r="N103" s="47" t="str">
        <f>IF(OR(A103="",F103="",H103=""),"",IF(OR(L103="Storniert",L103="Abgeschlossen"),0,MAX(0,H103-IF(B103="Einkauf",SUMIFS(Warenbewegungen!$F$8:$F$207,Warenbewegungen!$I$8:$I$207,A103,Warenbewegungen!$D$8:$D$207,F103,Warenbewegungen!$C$8:$C$207,"Wareneingang"),SUMIFS(Warenbewegungen!$F$8:$F$207,Warenbewegungen!$I$8:$I$207,A103,Warenbewegungen!$D$8:$D$207,F103,Warenbewegungen!$C$8:$C$207,"Warenausgang")))))</f>
        <v/>
      </c>
      <c r="O103" s="43" t="str">
        <f t="shared" si="5"/>
        <v/>
      </c>
    </row>
    <row r="104" spans="1:15" x14ac:dyDescent="0.25">
      <c r="A104" s="4"/>
      <c r="B104" s="5"/>
      <c r="C104" s="35"/>
      <c r="D104" s="6"/>
      <c r="E104" s="23" t="str">
        <f>IF(D104="","",IFERROR(VLOOKUP(D104,Stammdaten!$N$8:$V$37,3,FALSE),"Partner-ID prüfen"))</f>
        <v/>
      </c>
      <c r="F104" s="20"/>
      <c r="G104" s="23" t="str">
        <f>IF(F104="","",IFERROR(VLOOKUP(F104,Stammdaten!$A$8:$L$57,2,FALSE),"Artikel-ID prüfen"))</f>
        <v/>
      </c>
      <c r="H104" s="38"/>
      <c r="I104" s="42" t="str">
        <f>IF(OR(B104="",F104=""),"",IF(B104="Einkauf",IFERROR(VLOOKUP(F104,Stammdaten!$A$8:$L$57,5,FALSE),0),IFERROR(VLOOKUP(F104,Stammdaten!$A$8:$L$57,6,FALSE),0)))</f>
        <v/>
      </c>
      <c r="J104" s="43" t="str">
        <f t="shared" ref="J104:J135" si="6">IF(OR(H104="",I104=""),"",H104*I104)</f>
        <v/>
      </c>
      <c r="K104" s="53"/>
      <c r="L104" s="5"/>
      <c r="M104" s="56"/>
      <c r="N104" s="47" t="str">
        <f>IF(OR(A104="",F104="",H104=""),"",IF(OR(L104="Storniert",L104="Abgeschlossen"),0,MAX(0,H104-IF(B104="Einkauf",SUMIFS(Warenbewegungen!$F$8:$F$207,Warenbewegungen!$I$8:$I$207,A104,Warenbewegungen!$D$8:$D$207,F104,Warenbewegungen!$C$8:$C$207,"Wareneingang"),SUMIFS(Warenbewegungen!$F$8:$F$207,Warenbewegungen!$I$8:$I$207,A104,Warenbewegungen!$D$8:$D$207,F104,Warenbewegungen!$C$8:$C$207,"Warenausgang")))))</f>
        <v/>
      </c>
      <c r="O104" s="43" t="str">
        <f t="shared" ref="O104:O135" si="7">IF(N104="","",N104*I104)</f>
        <v/>
      </c>
    </row>
    <row r="105" spans="1:15" x14ac:dyDescent="0.25">
      <c r="A105" s="4"/>
      <c r="B105" s="5"/>
      <c r="C105" s="35"/>
      <c r="D105" s="6"/>
      <c r="E105" s="23" t="str">
        <f>IF(D105="","",IFERROR(VLOOKUP(D105,Stammdaten!$N$8:$V$37,3,FALSE),"Partner-ID prüfen"))</f>
        <v/>
      </c>
      <c r="F105" s="20"/>
      <c r="G105" s="23" t="str">
        <f>IF(F105="","",IFERROR(VLOOKUP(F105,Stammdaten!$A$8:$L$57,2,FALSE),"Artikel-ID prüfen"))</f>
        <v/>
      </c>
      <c r="H105" s="38"/>
      <c r="I105" s="42" t="str">
        <f>IF(OR(B105="",F105=""),"",IF(B105="Einkauf",IFERROR(VLOOKUP(F105,Stammdaten!$A$8:$L$57,5,FALSE),0),IFERROR(VLOOKUP(F105,Stammdaten!$A$8:$L$57,6,FALSE),0)))</f>
        <v/>
      </c>
      <c r="J105" s="43" t="str">
        <f t="shared" si="6"/>
        <v/>
      </c>
      <c r="K105" s="53"/>
      <c r="L105" s="5"/>
      <c r="M105" s="56"/>
      <c r="N105" s="47" t="str">
        <f>IF(OR(A105="",F105="",H105=""),"",IF(OR(L105="Storniert",L105="Abgeschlossen"),0,MAX(0,H105-IF(B105="Einkauf",SUMIFS(Warenbewegungen!$F$8:$F$207,Warenbewegungen!$I$8:$I$207,A105,Warenbewegungen!$D$8:$D$207,F105,Warenbewegungen!$C$8:$C$207,"Wareneingang"),SUMIFS(Warenbewegungen!$F$8:$F$207,Warenbewegungen!$I$8:$I$207,A105,Warenbewegungen!$D$8:$D$207,F105,Warenbewegungen!$C$8:$C$207,"Warenausgang")))))</f>
        <v/>
      </c>
      <c r="O105" s="43" t="str">
        <f t="shared" si="7"/>
        <v/>
      </c>
    </row>
    <row r="106" spans="1:15" x14ac:dyDescent="0.25">
      <c r="A106" s="4"/>
      <c r="B106" s="5"/>
      <c r="C106" s="35"/>
      <c r="D106" s="6"/>
      <c r="E106" s="23" t="str">
        <f>IF(D106="","",IFERROR(VLOOKUP(D106,Stammdaten!$N$8:$V$37,3,FALSE),"Partner-ID prüfen"))</f>
        <v/>
      </c>
      <c r="F106" s="20"/>
      <c r="G106" s="23" t="str">
        <f>IF(F106="","",IFERROR(VLOOKUP(F106,Stammdaten!$A$8:$L$57,2,FALSE),"Artikel-ID prüfen"))</f>
        <v/>
      </c>
      <c r="H106" s="38"/>
      <c r="I106" s="42" t="str">
        <f>IF(OR(B106="",F106=""),"",IF(B106="Einkauf",IFERROR(VLOOKUP(F106,Stammdaten!$A$8:$L$57,5,FALSE),0),IFERROR(VLOOKUP(F106,Stammdaten!$A$8:$L$57,6,FALSE),0)))</f>
        <v/>
      </c>
      <c r="J106" s="43" t="str">
        <f t="shared" si="6"/>
        <v/>
      </c>
      <c r="K106" s="53"/>
      <c r="L106" s="5"/>
      <c r="M106" s="56"/>
      <c r="N106" s="47" t="str">
        <f>IF(OR(A106="",F106="",H106=""),"",IF(OR(L106="Storniert",L106="Abgeschlossen"),0,MAX(0,H106-IF(B106="Einkauf",SUMIFS(Warenbewegungen!$F$8:$F$207,Warenbewegungen!$I$8:$I$207,A106,Warenbewegungen!$D$8:$D$207,F106,Warenbewegungen!$C$8:$C$207,"Wareneingang"),SUMIFS(Warenbewegungen!$F$8:$F$207,Warenbewegungen!$I$8:$I$207,A106,Warenbewegungen!$D$8:$D$207,F106,Warenbewegungen!$C$8:$C$207,"Warenausgang")))))</f>
        <v/>
      </c>
      <c r="O106" s="43" t="str">
        <f t="shared" si="7"/>
        <v/>
      </c>
    </row>
    <row r="107" spans="1:15" x14ac:dyDescent="0.25">
      <c r="A107" s="4"/>
      <c r="B107" s="5"/>
      <c r="C107" s="35"/>
      <c r="D107" s="6"/>
      <c r="E107" s="23" t="str">
        <f>IF(D107="","",IFERROR(VLOOKUP(D107,Stammdaten!$N$8:$V$37,3,FALSE),"Partner-ID prüfen"))</f>
        <v/>
      </c>
      <c r="F107" s="20"/>
      <c r="G107" s="23" t="str">
        <f>IF(F107="","",IFERROR(VLOOKUP(F107,Stammdaten!$A$8:$L$57,2,FALSE),"Artikel-ID prüfen"))</f>
        <v/>
      </c>
      <c r="H107" s="38"/>
      <c r="I107" s="42" t="str">
        <f>IF(OR(B107="",F107=""),"",IF(B107="Einkauf",IFERROR(VLOOKUP(F107,Stammdaten!$A$8:$L$57,5,FALSE),0),IFERROR(VLOOKUP(F107,Stammdaten!$A$8:$L$57,6,FALSE),0)))</f>
        <v/>
      </c>
      <c r="J107" s="43" t="str">
        <f t="shared" si="6"/>
        <v/>
      </c>
      <c r="K107" s="53"/>
      <c r="L107" s="5"/>
      <c r="M107" s="56"/>
      <c r="N107" s="47" t="str">
        <f>IF(OR(A107="",F107="",H107=""),"",IF(OR(L107="Storniert",L107="Abgeschlossen"),0,MAX(0,H107-IF(B107="Einkauf",SUMIFS(Warenbewegungen!$F$8:$F$207,Warenbewegungen!$I$8:$I$207,A107,Warenbewegungen!$D$8:$D$207,F107,Warenbewegungen!$C$8:$C$207,"Wareneingang"),SUMIFS(Warenbewegungen!$F$8:$F$207,Warenbewegungen!$I$8:$I$207,A107,Warenbewegungen!$D$8:$D$207,F107,Warenbewegungen!$C$8:$C$207,"Warenausgang")))))</f>
        <v/>
      </c>
      <c r="O107" s="43" t="str">
        <f t="shared" si="7"/>
        <v/>
      </c>
    </row>
    <row r="108" spans="1:15" x14ac:dyDescent="0.25">
      <c r="A108" s="4"/>
      <c r="B108" s="5"/>
      <c r="C108" s="35"/>
      <c r="D108" s="6"/>
      <c r="E108" s="23" t="str">
        <f>IF(D108="","",IFERROR(VLOOKUP(D108,Stammdaten!$N$8:$V$37,3,FALSE),"Partner-ID prüfen"))</f>
        <v/>
      </c>
      <c r="F108" s="20"/>
      <c r="G108" s="23" t="str">
        <f>IF(F108="","",IFERROR(VLOOKUP(F108,Stammdaten!$A$8:$L$57,2,FALSE),"Artikel-ID prüfen"))</f>
        <v/>
      </c>
      <c r="H108" s="38"/>
      <c r="I108" s="42" t="str">
        <f>IF(OR(B108="",F108=""),"",IF(B108="Einkauf",IFERROR(VLOOKUP(F108,Stammdaten!$A$8:$L$57,5,FALSE),0),IFERROR(VLOOKUP(F108,Stammdaten!$A$8:$L$57,6,FALSE),0)))</f>
        <v/>
      </c>
      <c r="J108" s="43" t="str">
        <f t="shared" si="6"/>
        <v/>
      </c>
      <c r="K108" s="53"/>
      <c r="L108" s="5"/>
      <c r="M108" s="56"/>
      <c r="N108" s="47" t="str">
        <f>IF(OR(A108="",F108="",H108=""),"",IF(OR(L108="Storniert",L108="Abgeschlossen"),0,MAX(0,H108-IF(B108="Einkauf",SUMIFS(Warenbewegungen!$F$8:$F$207,Warenbewegungen!$I$8:$I$207,A108,Warenbewegungen!$D$8:$D$207,F108,Warenbewegungen!$C$8:$C$207,"Wareneingang"),SUMIFS(Warenbewegungen!$F$8:$F$207,Warenbewegungen!$I$8:$I$207,A108,Warenbewegungen!$D$8:$D$207,F108,Warenbewegungen!$C$8:$C$207,"Warenausgang")))))</f>
        <v/>
      </c>
      <c r="O108" s="43" t="str">
        <f t="shared" si="7"/>
        <v/>
      </c>
    </row>
    <row r="109" spans="1:15" x14ac:dyDescent="0.25">
      <c r="A109" s="4"/>
      <c r="B109" s="5"/>
      <c r="C109" s="35"/>
      <c r="D109" s="6"/>
      <c r="E109" s="23" t="str">
        <f>IF(D109="","",IFERROR(VLOOKUP(D109,Stammdaten!$N$8:$V$37,3,FALSE),"Partner-ID prüfen"))</f>
        <v/>
      </c>
      <c r="F109" s="20"/>
      <c r="G109" s="23" t="str">
        <f>IF(F109="","",IFERROR(VLOOKUP(F109,Stammdaten!$A$8:$L$57,2,FALSE),"Artikel-ID prüfen"))</f>
        <v/>
      </c>
      <c r="H109" s="38"/>
      <c r="I109" s="42" t="str">
        <f>IF(OR(B109="",F109=""),"",IF(B109="Einkauf",IFERROR(VLOOKUP(F109,Stammdaten!$A$8:$L$57,5,FALSE),0),IFERROR(VLOOKUP(F109,Stammdaten!$A$8:$L$57,6,FALSE),0)))</f>
        <v/>
      </c>
      <c r="J109" s="43" t="str">
        <f t="shared" si="6"/>
        <v/>
      </c>
      <c r="K109" s="53"/>
      <c r="L109" s="5"/>
      <c r="M109" s="56"/>
      <c r="N109" s="47" t="str">
        <f>IF(OR(A109="",F109="",H109=""),"",IF(OR(L109="Storniert",L109="Abgeschlossen"),0,MAX(0,H109-IF(B109="Einkauf",SUMIFS(Warenbewegungen!$F$8:$F$207,Warenbewegungen!$I$8:$I$207,A109,Warenbewegungen!$D$8:$D$207,F109,Warenbewegungen!$C$8:$C$207,"Wareneingang"),SUMIFS(Warenbewegungen!$F$8:$F$207,Warenbewegungen!$I$8:$I$207,A109,Warenbewegungen!$D$8:$D$207,F109,Warenbewegungen!$C$8:$C$207,"Warenausgang")))))</f>
        <v/>
      </c>
      <c r="O109" s="43" t="str">
        <f t="shared" si="7"/>
        <v/>
      </c>
    </row>
    <row r="110" spans="1:15" x14ac:dyDescent="0.25">
      <c r="A110" s="4"/>
      <c r="B110" s="5"/>
      <c r="C110" s="35"/>
      <c r="D110" s="6"/>
      <c r="E110" s="23" t="str">
        <f>IF(D110="","",IFERROR(VLOOKUP(D110,Stammdaten!$N$8:$V$37,3,FALSE),"Partner-ID prüfen"))</f>
        <v/>
      </c>
      <c r="F110" s="20"/>
      <c r="G110" s="23" t="str">
        <f>IF(F110="","",IFERROR(VLOOKUP(F110,Stammdaten!$A$8:$L$57,2,FALSE),"Artikel-ID prüfen"))</f>
        <v/>
      </c>
      <c r="H110" s="38"/>
      <c r="I110" s="42" t="str">
        <f>IF(OR(B110="",F110=""),"",IF(B110="Einkauf",IFERROR(VLOOKUP(F110,Stammdaten!$A$8:$L$57,5,FALSE),0),IFERROR(VLOOKUP(F110,Stammdaten!$A$8:$L$57,6,FALSE),0)))</f>
        <v/>
      </c>
      <c r="J110" s="43" t="str">
        <f t="shared" si="6"/>
        <v/>
      </c>
      <c r="K110" s="53"/>
      <c r="L110" s="5"/>
      <c r="M110" s="56"/>
      <c r="N110" s="47" t="str">
        <f>IF(OR(A110="",F110="",H110=""),"",IF(OR(L110="Storniert",L110="Abgeschlossen"),0,MAX(0,H110-IF(B110="Einkauf",SUMIFS(Warenbewegungen!$F$8:$F$207,Warenbewegungen!$I$8:$I$207,A110,Warenbewegungen!$D$8:$D$207,F110,Warenbewegungen!$C$8:$C$207,"Wareneingang"),SUMIFS(Warenbewegungen!$F$8:$F$207,Warenbewegungen!$I$8:$I$207,A110,Warenbewegungen!$D$8:$D$207,F110,Warenbewegungen!$C$8:$C$207,"Warenausgang")))))</f>
        <v/>
      </c>
      <c r="O110" s="43" t="str">
        <f t="shared" si="7"/>
        <v/>
      </c>
    </row>
    <row r="111" spans="1:15" x14ac:dyDescent="0.25">
      <c r="A111" s="4"/>
      <c r="B111" s="5"/>
      <c r="C111" s="35"/>
      <c r="D111" s="6"/>
      <c r="E111" s="23" t="str">
        <f>IF(D111="","",IFERROR(VLOOKUP(D111,Stammdaten!$N$8:$V$37,3,FALSE),"Partner-ID prüfen"))</f>
        <v/>
      </c>
      <c r="F111" s="20"/>
      <c r="G111" s="23" t="str">
        <f>IF(F111="","",IFERROR(VLOOKUP(F111,Stammdaten!$A$8:$L$57,2,FALSE),"Artikel-ID prüfen"))</f>
        <v/>
      </c>
      <c r="H111" s="38"/>
      <c r="I111" s="42" t="str">
        <f>IF(OR(B111="",F111=""),"",IF(B111="Einkauf",IFERROR(VLOOKUP(F111,Stammdaten!$A$8:$L$57,5,FALSE),0),IFERROR(VLOOKUP(F111,Stammdaten!$A$8:$L$57,6,FALSE),0)))</f>
        <v/>
      </c>
      <c r="J111" s="43" t="str">
        <f t="shared" si="6"/>
        <v/>
      </c>
      <c r="K111" s="53"/>
      <c r="L111" s="5"/>
      <c r="M111" s="56"/>
      <c r="N111" s="47" t="str">
        <f>IF(OR(A111="",F111="",H111=""),"",IF(OR(L111="Storniert",L111="Abgeschlossen"),0,MAX(0,H111-IF(B111="Einkauf",SUMIFS(Warenbewegungen!$F$8:$F$207,Warenbewegungen!$I$8:$I$207,A111,Warenbewegungen!$D$8:$D$207,F111,Warenbewegungen!$C$8:$C$207,"Wareneingang"),SUMIFS(Warenbewegungen!$F$8:$F$207,Warenbewegungen!$I$8:$I$207,A111,Warenbewegungen!$D$8:$D$207,F111,Warenbewegungen!$C$8:$C$207,"Warenausgang")))))</f>
        <v/>
      </c>
      <c r="O111" s="43" t="str">
        <f t="shared" si="7"/>
        <v/>
      </c>
    </row>
    <row r="112" spans="1:15" x14ac:dyDescent="0.25">
      <c r="A112" s="4"/>
      <c r="B112" s="5"/>
      <c r="C112" s="35"/>
      <c r="D112" s="6"/>
      <c r="E112" s="23" t="str">
        <f>IF(D112="","",IFERROR(VLOOKUP(D112,Stammdaten!$N$8:$V$37,3,FALSE),"Partner-ID prüfen"))</f>
        <v/>
      </c>
      <c r="F112" s="20"/>
      <c r="G112" s="23" t="str">
        <f>IF(F112="","",IFERROR(VLOOKUP(F112,Stammdaten!$A$8:$L$57,2,FALSE),"Artikel-ID prüfen"))</f>
        <v/>
      </c>
      <c r="H112" s="38"/>
      <c r="I112" s="42" t="str">
        <f>IF(OR(B112="",F112=""),"",IF(B112="Einkauf",IFERROR(VLOOKUP(F112,Stammdaten!$A$8:$L$57,5,FALSE),0),IFERROR(VLOOKUP(F112,Stammdaten!$A$8:$L$57,6,FALSE),0)))</f>
        <v/>
      </c>
      <c r="J112" s="43" t="str">
        <f t="shared" si="6"/>
        <v/>
      </c>
      <c r="K112" s="53"/>
      <c r="L112" s="5"/>
      <c r="M112" s="56"/>
      <c r="N112" s="47" t="str">
        <f>IF(OR(A112="",F112="",H112=""),"",IF(OR(L112="Storniert",L112="Abgeschlossen"),0,MAX(0,H112-IF(B112="Einkauf",SUMIFS(Warenbewegungen!$F$8:$F$207,Warenbewegungen!$I$8:$I$207,A112,Warenbewegungen!$D$8:$D$207,F112,Warenbewegungen!$C$8:$C$207,"Wareneingang"),SUMIFS(Warenbewegungen!$F$8:$F$207,Warenbewegungen!$I$8:$I$207,A112,Warenbewegungen!$D$8:$D$207,F112,Warenbewegungen!$C$8:$C$207,"Warenausgang")))))</f>
        <v/>
      </c>
      <c r="O112" s="43" t="str">
        <f t="shared" si="7"/>
        <v/>
      </c>
    </row>
    <row r="113" spans="1:15" x14ac:dyDescent="0.25">
      <c r="A113" s="4"/>
      <c r="B113" s="5"/>
      <c r="C113" s="35"/>
      <c r="D113" s="6"/>
      <c r="E113" s="23" t="str">
        <f>IF(D113="","",IFERROR(VLOOKUP(D113,Stammdaten!$N$8:$V$37,3,FALSE),"Partner-ID prüfen"))</f>
        <v/>
      </c>
      <c r="F113" s="20"/>
      <c r="G113" s="23" t="str">
        <f>IF(F113="","",IFERROR(VLOOKUP(F113,Stammdaten!$A$8:$L$57,2,FALSE),"Artikel-ID prüfen"))</f>
        <v/>
      </c>
      <c r="H113" s="38"/>
      <c r="I113" s="42" t="str">
        <f>IF(OR(B113="",F113=""),"",IF(B113="Einkauf",IFERROR(VLOOKUP(F113,Stammdaten!$A$8:$L$57,5,FALSE),0),IFERROR(VLOOKUP(F113,Stammdaten!$A$8:$L$57,6,FALSE),0)))</f>
        <v/>
      </c>
      <c r="J113" s="43" t="str">
        <f t="shared" si="6"/>
        <v/>
      </c>
      <c r="K113" s="53"/>
      <c r="L113" s="5"/>
      <c r="M113" s="56"/>
      <c r="N113" s="47" t="str">
        <f>IF(OR(A113="",F113="",H113=""),"",IF(OR(L113="Storniert",L113="Abgeschlossen"),0,MAX(0,H113-IF(B113="Einkauf",SUMIFS(Warenbewegungen!$F$8:$F$207,Warenbewegungen!$I$8:$I$207,A113,Warenbewegungen!$D$8:$D$207,F113,Warenbewegungen!$C$8:$C$207,"Wareneingang"),SUMIFS(Warenbewegungen!$F$8:$F$207,Warenbewegungen!$I$8:$I$207,A113,Warenbewegungen!$D$8:$D$207,F113,Warenbewegungen!$C$8:$C$207,"Warenausgang")))))</f>
        <v/>
      </c>
      <c r="O113" s="43" t="str">
        <f t="shared" si="7"/>
        <v/>
      </c>
    </row>
    <row r="114" spans="1:15" x14ac:dyDescent="0.25">
      <c r="A114" s="4"/>
      <c r="B114" s="5"/>
      <c r="C114" s="35"/>
      <c r="D114" s="6"/>
      <c r="E114" s="23" t="str">
        <f>IF(D114="","",IFERROR(VLOOKUP(D114,Stammdaten!$N$8:$V$37,3,FALSE),"Partner-ID prüfen"))</f>
        <v/>
      </c>
      <c r="F114" s="20"/>
      <c r="G114" s="23" t="str">
        <f>IF(F114="","",IFERROR(VLOOKUP(F114,Stammdaten!$A$8:$L$57,2,FALSE),"Artikel-ID prüfen"))</f>
        <v/>
      </c>
      <c r="H114" s="38"/>
      <c r="I114" s="42" t="str">
        <f>IF(OR(B114="",F114=""),"",IF(B114="Einkauf",IFERROR(VLOOKUP(F114,Stammdaten!$A$8:$L$57,5,FALSE),0),IFERROR(VLOOKUP(F114,Stammdaten!$A$8:$L$57,6,FALSE),0)))</f>
        <v/>
      </c>
      <c r="J114" s="43" t="str">
        <f t="shared" si="6"/>
        <v/>
      </c>
      <c r="K114" s="53"/>
      <c r="L114" s="5"/>
      <c r="M114" s="56"/>
      <c r="N114" s="47" t="str">
        <f>IF(OR(A114="",F114="",H114=""),"",IF(OR(L114="Storniert",L114="Abgeschlossen"),0,MAX(0,H114-IF(B114="Einkauf",SUMIFS(Warenbewegungen!$F$8:$F$207,Warenbewegungen!$I$8:$I$207,A114,Warenbewegungen!$D$8:$D$207,F114,Warenbewegungen!$C$8:$C$207,"Wareneingang"),SUMIFS(Warenbewegungen!$F$8:$F$207,Warenbewegungen!$I$8:$I$207,A114,Warenbewegungen!$D$8:$D$207,F114,Warenbewegungen!$C$8:$C$207,"Warenausgang")))))</f>
        <v/>
      </c>
      <c r="O114" s="43" t="str">
        <f t="shared" si="7"/>
        <v/>
      </c>
    </row>
    <row r="115" spans="1:15" x14ac:dyDescent="0.25">
      <c r="A115" s="4"/>
      <c r="B115" s="5"/>
      <c r="C115" s="35"/>
      <c r="D115" s="6"/>
      <c r="E115" s="23" t="str">
        <f>IF(D115="","",IFERROR(VLOOKUP(D115,Stammdaten!$N$8:$V$37,3,FALSE),"Partner-ID prüfen"))</f>
        <v/>
      </c>
      <c r="F115" s="20"/>
      <c r="G115" s="23" t="str">
        <f>IF(F115="","",IFERROR(VLOOKUP(F115,Stammdaten!$A$8:$L$57,2,FALSE),"Artikel-ID prüfen"))</f>
        <v/>
      </c>
      <c r="H115" s="38"/>
      <c r="I115" s="42" t="str">
        <f>IF(OR(B115="",F115=""),"",IF(B115="Einkauf",IFERROR(VLOOKUP(F115,Stammdaten!$A$8:$L$57,5,FALSE),0),IFERROR(VLOOKUP(F115,Stammdaten!$A$8:$L$57,6,FALSE),0)))</f>
        <v/>
      </c>
      <c r="J115" s="43" t="str">
        <f t="shared" si="6"/>
        <v/>
      </c>
      <c r="K115" s="53"/>
      <c r="L115" s="5"/>
      <c r="M115" s="56"/>
      <c r="N115" s="47" t="str">
        <f>IF(OR(A115="",F115="",H115=""),"",IF(OR(L115="Storniert",L115="Abgeschlossen"),0,MAX(0,H115-IF(B115="Einkauf",SUMIFS(Warenbewegungen!$F$8:$F$207,Warenbewegungen!$I$8:$I$207,A115,Warenbewegungen!$D$8:$D$207,F115,Warenbewegungen!$C$8:$C$207,"Wareneingang"),SUMIFS(Warenbewegungen!$F$8:$F$207,Warenbewegungen!$I$8:$I$207,A115,Warenbewegungen!$D$8:$D$207,F115,Warenbewegungen!$C$8:$C$207,"Warenausgang")))))</f>
        <v/>
      </c>
      <c r="O115" s="43" t="str">
        <f t="shared" si="7"/>
        <v/>
      </c>
    </row>
    <row r="116" spans="1:15" x14ac:dyDescent="0.25">
      <c r="A116" s="4"/>
      <c r="B116" s="5"/>
      <c r="C116" s="35"/>
      <c r="D116" s="6"/>
      <c r="E116" s="23" t="str">
        <f>IF(D116="","",IFERROR(VLOOKUP(D116,Stammdaten!$N$8:$V$37,3,FALSE),"Partner-ID prüfen"))</f>
        <v/>
      </c>
      <c r="F116" s="20"/>
      <c r="G116" s="23" t="str">
        <f>IF(F116="","",IFERROR(VLOOKUP(F116,Stammdaten!$A$8:$L$57,2,FALSE),"Artikel-ID prüfen"))</f>
        <v/>
      </c>
      <c r="H116" s="38"/>
      <c r="I116" s="42" t="str">
        <f>IF(OR(B116="",F116=""),"",IF(B116="Einkauf",IFERROR(VLOOKUP(F116,Stammdaten!$A$8:$L$57,5,FALSE),0),IFERROR(VLOOKUP(F116,Stammdaten!$A$8:$L$57,6,FALSE),0)))</f>
        <v/>
      </c>
      <c r="J116" s="43" t="str">
        <f t="shared" si="6"/>
        <v/>
      </c>
      <c r="K116" s="53"/>
      <c r="L116" s="5"/>
      <c r="M116" s="56"/>
      <c r="N116" s="47" t="str">
        <f>IF(OR(A116="",F116="",H116=""),"",IF(OR(L116="Storniert",L116="Abgeschlossen"),0,MAX(0,H116-IF(B116="Einkauf",SUMIFS(Warenbewegungen!$F$8:$F$207,Warenbewegungen!$I$8:$I$207,A116,Warenbewegungen!$D$8:$D$207,F116,Warenbewegungen!$C$8:$C$207,"Wareneingang"),SUMIFS(Warenbewegungen!$F$8:$F$207,Warenbewegungen!$I$8:$I$207,A116,Warenbewegungen!$D$8:$D$207,F116,Warenbewegungen!$C$8:$C$207,"Warenausgang")))))</f>
        <v/>
      </c>
      <c r="O116" s="43" t="str">
        <f t="shared" si="7"/>
        <v/>
      </c>
    </row>
    <row r="117" spans="1:15" x14ac:dyDescent="0.25">
      <c r="A117" s="4"/>
      <c r="B117" s="5"/>
      <c r="C117" s="35"/>
      <c r="D117" s="6"/>
      <c r="E117" s="23" t="str">
        <f>IF(D117="","",IFERROR(VLOOKUP(D117,Stammdaten!$N$8:$V$37,3,FALSE),"Partner-ID prüfen"))</f>
        <v/>
      </c>
      <c r="F117" s="20"/>
      <c r="G117" s="23" t="str">
        <f>IF(F117="","",IFERROR(VLOOKUP(F117,Stammdaten!$A$8:$L$57,2,FALSE),"Artikel-ID prüfen"))</f>
        <v/>
      </c>
      <c r="H117" s="38"/>
      <c r="I117" s="42" t="str">
        <f>IF(OR(B117="",F117=""),"",IF(B117="Einkauf",IFERROR(VLOOKUP(F117,Stammdaten!$A$8:$L$57,5,FALSE),0),IFERROR(VLOOKUP(F117,Stammdaten!$A$8:$L$57,6,FALSE),0)))</f>
        <v/>
      </c>
      <c r="J117" s="43" t="str">
        <f t="shared" si="6"/>
        <v/>
      </c>
      <c r="K117" s="53"/>
      <c r="L117" s="5"/>
      <c r="M117" s="56"/>
      <c r="N117" s="47" t="str">
        <f>IF(OR(A117="",F117="",H117=""),"",IF(OR(L117="Storniert",L117="Abgeschlossen"),0,MAX(0,H117-IF(B117="Einkauf",SUMIFS(Warenbewegungen!$F$8:$F$207,Warenbewegungen!$I$8:$I$207,A117,Warenbewegungen!$D$8:$D$207,F117,Warenbewegungen!$C$8:$C$207,"Wareneingang"),SUMIFS(Warenbewegungen!$F$8:$F$207,Warenbewegungen!$I$8:$I$207,A117,Warenbewegungen!$D$8:$D$207,F117,Warenbewegungen!$C$8:$C$207,"Warenausgang")))))</f>
        <v/>
      </c>
      <c r="O117" s="43" t="str">
        <f t="shared" si="7"/>
        <v/>
      </c>
    </row>
    <row r="118" spans="1:15" x14ac:dyDescent="0.25">
      <c r="A118" s="4"/>
      <c r="B118" s="5"/>
      <c r="C118" s="35"/>
      <c r="D118" s="6"/>
      <c r="E118" s="23" t="str">
        <f>IF(D118="","",IFERROR(VLOOKUP(D118,Stammdaten!$N$8:$V$37,3,FALSE),"Partner-ID prüfen"))</f>
        <v/>
      </c>
      <c r="F118" s="20"/>
      <c r="G118" s="23" t="str">
        <f>IF(F118="","",IFERROR(VLOOKUP(F118,Stammdaten!$A$8:$L$57,2,FALSE),"Artikel-ID prüfen"))</f>
        <v/>
      </c>
      <c r="H118" s="38"/>
      <c r="I118" s="42" t="str">
        <f>IF(OR(B118="",F118=""),"",IF(B118="Einkauf",IFERROR(VLOOKUP(F118,Stammdaten!$A$8:$L$57,5,FALSE),0),IFERROR(VLOOKUP(F118,Stammdaten!$A$8:$L$57,6,FALSE),0)))</f>
        <v/>
      </c>
      <c r="J118" s="43" t="str">
        <f t="shared" si="6"/>
        <v/>
      </c>
      <c r="K118" s="53"/>
      <c r="L118" s="5"/>
      <c r="M118" s="56"/>
      <c r="N118" s="47" t="str">
        <f>IF(OR(A118="",F118="",H118=""),"",IF(OR(L118="Storniert",L118="Abgeschlossen"),0,MAX(0,H118-IF(B118="Einkauf",SUMIFS(Warenbewegungen!$F$8:$F$207,Warenbewegungen!$I$8:$I$207,A118,Warenbewegungen!$D$8:$D$207,F118,Warenbewegungen!$C$8:$C$207,"Wareneingang"),SUMIFS(Warenbewegungen!$F$8:$F$207,Warenbewegungen!$I$8:$I$207,A118,Warenbewegungen!$D$8:$D$207,F118,Warenbewegungen!$C$8:$C$207,"Warenausgang")))))</f>
        <v/>
      </c>
      <c r="O118" s="43" t="str">
        <f t="shared" si="7"/>
        <v/>
      </c>
    </row>
    <row r="119" spans="1:15" x14ac:dyDescent="0.25">
      <c r="A119" s="4"/>
      <c r="B119" s="5"/>
      <c r="C119" s="35"/>
      <c r="D119" s="6"/>
      <c r="E119" s="23" t="str">
        <f>IF(D119="","",IFERROR(VLOOKUP(D119,Stammdaten!$N$8:$V$37,3,FALSE),"Partner-ID prüfen"))</f>
        <v/>
      </c>
      <c r="F119" s="20"/>
      <c r="G119" s="23" t="str">
        <f>IF(F119="","",IFERROR(VLOOKUP(F119,Stammdaten!$A$8:$L$57,2,FALSE),"Artikel-ID prüfen"))</f>
        <v/>
      </c>
      <c r="H119" s="38"/>
      <c r="I119" s="42" t="str">
        <f>IF(OR(B119="",F119=""),"",IF(B119="Einkauf",IFERROR(VLOOKUP(F119,Stammdaten!$A$8:$L$57,5,FALSE),0),IFERROR(VLOOKUP(F119,Stammdaten!$A$8:$L$57,6,FALSE),0)))</f>
        <v/>
      </c>
      <c r="J119" s="43" t="str">
        <f t="shared" si="6"/>
        <v/>
      </c>
      <c r="K119" s="53"/>
      <c r="L119" s="5"/>
      <c r="M119" s="56"/>
      <c r="N119" s="47" t="str">
        <f>IF(OR(A119="",F119="",H119=""),"",IF(OR(L119="Storniert",L119="Abgeschlossen"),0,MAX(0,H119-IF(B119="Einkauf",SUMIFS(Warenbewegungen!$F$8:$F$207,Warenbewegungen!$I$8:$I$207,A119,Warenbewegungen!$D$8:$D$207,F119,Warenbewegungen!$C$8:$C$207,"Wareneingang"),SUMIFS(Warenbewegungen!$F$8:$F$207,Warenbewegungen!$I$8:$I$207,A119,Warenbewegungen!$D$8:$D$207,F119,Warenbewegungen!$C$8:$C$207,"Warenausgang")))))</f>
        <v/>
      </c>
      <c r="O119" s="43" t="str">
        <f t="shared" si="7"/>
        <v/>
      </c>
    </row>
    <row r="120" spans="1:15" x14ac:dyDescent="0.25">
      <c r="A120" s="4"/>
      <c r="B120" s="5"/>
      <c r="C120" s="35"/>
      <c r="D120" s="6"/>
      <c r="E120" s="23" t="str">
        <f>IF(D120="","",IFERROR(VLOOKUP(D120,Stammdaten!$N$8:$V$37,3,FALSE),"Partner-ID prüfen"))</f>
        <v/>
      </c>
      <c r="F120" s="20"/>
      <c r="G120" s="23" t="str">
        <f>IF(F120="","",IFERROR(VLOOKUP(F120,Stammdaten!$A$8:$L$57,2,FALSE),"Artikel-ID prüfen"))</f>
        <v/>
      </c>
      <c r="H120" s="38"/>
      <c r="I120" s="42" t="str">
        <f>IF(OR(B120="",F120=""),"",IF(B120="Einkauf",IFERROR(VLOOKUP(F120,Stammdaten!$A$8:$L$57,5,FALSE),0),IFERROR(VLOOKUP(F120,Stammdaten!$A$8:$L$57,6,FALSE),0)))</f>
        <v/>
      </c>
      <c r="J120" s="43" t="str">
        <f t="shared" si="6"/>
        <v/>
      </c>
      <c r="K120" s="53"/>
      <c r="L120" s="5"/>
      <c r="M120" s="56"/>
      <c r="N120" s="47" t="str">
        <f>IF(OR(A120="",F120="",H120=""),"",IF(OR(L120="Storniert",L120="Abgeschlossen"),0,MAX(0,H120-IF(B120="Einkauf",SUMIFS(Warenbewegungen!$F$8:$F$207,Warenbewegungen!$I$8:$I$207,A120,Warenbewegungen!$D$8:$D$207,F120,Warenbewegungen!$C$8:$C$207,"Wareneingang"),SUMIFS(Warenbewegungen!$F$8:$F$207,Warenbewegungen!$I$8:$I$207,A120,Warenbewegungen!$D$8:$D$207,F120,Warenbewegungen!$C$8:$C$207,"Warenausgang")))))</f>
        <v/>
      </c>
      <c r="O120" s="43" t="str">
        <f t="shared" si="7"/>
        <v/>
      </c>
    </row>
    <row r="121" spans="1:15" x14ac:dyDescent="0.25">
      <c r="A121" s="4"/>
      <c r="B121" s="5"/>
      <c r="C121" s="35"/>
      <c r="D121" s="6"/>
      <c r="E121" s="23" t="str">
        <f>IF(D121="","",IFERROR(VLOOKUP(D121,Stammdaten!$N$8:$V$37,3,FALSE),"Partner-ID prüfen"))</f>
        <v/>
      </c>
      <c r="F121" s="20"/>
      <c r="G121" s="23" t="str">
        <f>IF(F121="","",IFERROR(VLOOKUP(F121,Stammdaten!$A$8:$L$57,2,FALSE),"Artikel-ID prüfen"))</f>
        <v/>
      </c>
      <c r="H121" s="38"/>
      <c r="I121" s="42" t="str">
        <f>IF(OR(B121="",F121=""),"",IF(B121="Einkauf",IFERROR(VLOOKUP(F121,Stammdaten!$A$8:$L$57,5,FALSE),0),IFERROR(VLOOKUP(F121,Stammdaten!$A$8:$L$57,6,FALSE),0)))</f>
        <v/>
      </c>
      <c r="J121" s="43" t="str">
        <f t="shared" si="6"/>
        <v/>
      </c>
      <c r="K121" s="53"/>
      <c r="L121" s="5"/>
      <c r="M121" s="56"/>
      <c r="N121" s="47" t="str">
        <f>IF(OR(A121="",F121="",H121=""),"",IF(OR(L121="Storniert",L121="Abgeschlossen"),0,MAX(0,H121-IF(B121="Einkauf",SUMIFS(Warenbewegungen!$F$8:$F$207,Warenbewegungen!$I$8:$I$207,A121,Warenbewegungen!$D$8:$D$207,F121,Warenbewegungen!$C$8:$C$207,"Wareneingang"),SUMIFS(Warenbewegungen!$F$8:$F$207,Warenbewegungen!$I$8:$I$207,A121,Warenbewegungen!$D$8:$D$207,F121,Warenbewegungen!$C$8:$C$207,"Warenausgang")))))</f>
        <v/>
      </c>
      <c r="O121" s="43" t="str">
        <f t="shared" si="7"/>
        <v/>
      </c>
    </row>
    <row r="122" spans="1:15" x14ac:dyDescent="0.25">
      <c r="A122" s="4"/>
      <c r="B122" s="5"/>
      <c r="C122" s="35"/>
      <c r="D122" s="6"/>
      <c r="E122" s="23" t="str">
        <f>IF(D122="","",IFERROR(VLOOKUP(D122,Stammdaten!$N$8:$V$37,3,FALSE),"Partner-ID prüfen"))</f>
        <v/>
      </c>
      <c r="F122" s="20"/>
      <c r="G122" s="23" t="str">
        <f>IF(F122="","",IFERROR(VLOOKUP(F122,Stammdaten!$A$8:$L$57,2,FALSE),"Artikel-ID prüfen"))</f>
        <v/>
      </c>
      <c r="H122" s="38"/>
      <c r="I122" s="42" t="str">
        <f>IF(OR(B122="",F122=""),"",IF(B122="Einkauf",IFERROR(VLOOKUP(F122,Stammdaten!$A$8:$L$57,5,FALSE),0),IFERROR(VLOOKUP(F122,Stammdaten!$A$8:$L$57,6,FALSE),0)))</f>
        <v/>
      </c>
      <c r="J122" s="43" t="str">
        <f t="shared" si="6"/>
        <v/>
      </c>
      <c r="K122" s="53"/>
      <c r="L122" s="5"/>
      <c r="M122" s="56"/>
      <c r="N122" s="47" t="str">
        <f>IF(OR(A122="",F122="",H122=""),"",IF(OR(L122="Storniert",L122="Abgeschlossen"),0,MAX(0,H122-IF(B122="Einkauf",SUMIFS(Warenbewegungen!$F$8:$F$207,Warenbewegungen!$I$8:$I$207,A122,Warenbewegungen!$D$8:$D$207,F122,Warenbewegungen!$C$8:$C$207,"Wareneingang"),SUMIFS(Warenbewegungen!$F$8:$F$207,Warenbewegungen!$I$8:$I$207,A122,Warenbewegungen!$D$8:$D$207,F122,Warenbewegungen!$C$8:$C$207,"Warenausgang")))))</f>
        <v/>
      </c>
      <c r="O122" s="43" t="str">
        <f t="shared" si="7"/>
        <v/>
      </c>
    </row>
    <row r="123" spans="1:15" x14ac:dyDescent="0.25">
      <c r="A123" s="4"/>
      <c r="B123" s="5"/>
      <c r="C123" s="35"/>
      <c r="D123" s="6"/>
      <c r="E123" s="23" t="str">
        <f>IF(D123="","",IFERROR(VLOOKUP(D123,Stammdaten!$N$8:$V$37,3,FALSE),"Partner-ID prüfen"))</f>
        <v/>
      </c>
      <c r="F123" s="20"/>
      <c r="G123" s="23" t="str">
        <f>IF(F123="","",IFERROR(VLOOKUP(F123,Stammdaten!$A$8:$L$57,2,FALSE),"Artikel-ID prüfen"))</f>
        <v/>
      </c>
      <c r="H123" s="38"/>
      <c r="I123" s="42" t="str">
        <f>IF(OR(B123="",F123=""),"",IF(B123="Einkauf",IFERROR(VLOOKUP(F123,Stammdaten!$A$8:$L$57,5,FALSE),0),IFERROR(VLOOKUP(F123,Stammdaten!$A$8:$L$57,6,FALSE),0)))</f>
        <v/>
      </c>
      <c r="J123" s="43" t="str">
        <f t="shared" si="6"/>
        <v/>
      </c>
      <c r="K123" s="53"/>
      <c r="L123" s="5"/>
      <c r="M123" s="56"/>
      <c r="N123" s="47" t="str">
        <f>IF(OR(A123="",F123="",H123=""),"",IF(OR(L123="Storniert",L123="Abgeschlossen"),0,MAX(0,H123-IF(B123="Einkauf",SUMIFS(Warenbewegungen!$F$8:$F$207,Warenbewegungen!$I$8:$I$207,A123,Warenbewegungen!$D$8:$D$207,F123,Warenbewegungen!$C$8:$C$207,"Wareneingang"),SUMIFS(Warenbewegungen!$F$8:$F$207,Warenbewegungen!$I$8:$I$207,A123,Warenbewegungen!$D$8:$D$207,F123,Warenbewegungen!$C$8:$C$207,"Warenausgang")))))</f>
        <v/>
      </c>
      <c r="O123" s="43" t="str">
        <f t="shared" si="7"/>
        <v/>
      </c>
    </row>
    <row r="124" spans="1:15" x14ac:dyDescent="0.25">
      <c r="A124" s="4"/>
      <c r="B124" s="5"/>
      <c r="C124" s="35"/>
      <c r="D124" s="6"/>
      <c r="E124" s="23" t="str">
        <f>IF(D124="","",IFERROR(VLOOKUP(D124,Stammdaten!$N$8:$V$37,3,FALSE),"Partner-ID prüfen"))</f>
        <v/>
      </c>
      <c r="F124" s="20"/>
      <c r="G124" s="23" t="str">
        <f>IF(F124="","",IFERROR(VLOOKUP(F124,Stammdaten!$A$8:$L$57,2,FALSE),"Artikel-ID prüfen"))</f>
        <v/>
      </c>
      <c r="H124" s="38"/>
      <c r="I124" s="42" t="str">
        <f>IF(OR(B124="",F124=""),"",IF(B124="Einkauf",IFERROR(VLOOKUP(F124,Stammdaten!$A$8:$L$57,5,FALSE),0),IFERROR(VLOOKUP(F124,Stammdaten!$A$8:$L$57,6,FALSE),0)))</f>
        <v/>
      </c>
      <c r="J124" s="43" t="str">
        <f t="shared" si="6"/>
        <v/>
      </c>
      <c r="K124" s="53"/>
      <c r="L124" s="5"/>
      <c r="M124" s="56"/>
      <c r="N124" s="47" t="str">
        <f>IF(OR(A124="",F124="",H124=""),"",IF(OR(L124="Storniert",L124="Abgeschlossen"),0,MAX(0,H124-IF(B124="Einkauf",SUMIFS(Warenbewegungen!$F$8:$F$207,Warenbewegungen!$I$8:$I$207,A124,Warenbewegungen!$D$8:$D$207,F124,Warenbewegungen!$C$8:$C$207,"Wareneingang"),SUMIFS(Warenbewegungen!$F$8:$F$207,Warenbewegungen!$I$8:$I$207,A124,Warenbewegungen!$D$8:$D$207,F124,Warenbewegungen!$C$8:$C$207,"Warenausgang")))))</f>
        <v/>
      </c>
      <c r="O124" s="43" t="str">
        <f t="shared" si="7"/>
        <v/>
      </c>
    </row>
    <row r="125" spans="1:15" x14ac:dyDescent="0.25">
      <c r="A125" s="4"/>
      <c r="B125" s="5"/>
      <c r="C125" s="35"/>
      <c r="D125" s="6"/>
      <c r="E125" s="23" t="str">
        <f>IF(D125="","",IFERROR(VLOOKUP(D125,Stammdaten!$N$8:$V$37,3,FALSE),"Partner-ID prüfen"))</f>
        <v/>
      </c>
      <c r="F125" s="20"/>
      <c r="G125" s="23" t="str">
        <f>IF(F125="","",IFERROR(VLOOKUP(F125,Stammdaten!$A$8:$L$57,2,FALSE),"Artikel-ID prüfen"))</f>
        <v/>
      </c>
      <c r="H125" s="38"/>
      <c r="I125" s="42" t="str">
        <f>IF(OR(B125="",F125=""),"",IF(B125="Einkauf",IFERROR(VLOOKUP(F125,Stammdaten!$A$8:$L$57,5,FALSE),0),IFERROR(VLOOKUP(F125,Stammdaten!$A$8:$L$57,6,FALSE),0)))</f>
        <v/>
      </c>
      <c r="J125" s="43" t="str">
        <f t="shared" si="6"/>
        <v/>
      </c>
      <c r="K125" s="53"/>
      <c r="L125" s="5"/>
      <c r="M125" s="56"/>
      <c r="N125" s="47" t="str">
        <f>IF(OR(A125="",F125="",H125=""),"",IF(OR(L125="Storniert",L125="Abgeschlossen"),0,MAX(0,H125-IF(B125="Einkauf",SUMIFS(Warenbewegungen!$F$8:$F$207,Warenbewegungen!$I$8:$I$207,A125,Warenbewegungen!$D$8:$D$207,F125,Warenbewegungen!$C$8:$C$207,"Wareneingang"),SUMIFS(Warenbewegungen!$F$8:$F$207,Warenbewegungen!$I$8:$I$207,A125,Warenbewegungen!$D$8:$D$207,F125,Warenbewegungen!$C$8:$C$207,"Warenausgang")))))</f>
        <v/>
      </c>
      <c r="O125" s="43" t="str">
        <f t="shared" si="7"/>
        <v/>
      </c>
    </row>
    <row r="126" spans="1:15" x14ac:dyDescent="0.25">
      <c r="A126" s="4"/>
      <c r="B126" s="5"/>
      <c r="C126" s="35"/>
      <c r="D126" s="6"/>
      <c r="E126" s="23" t="str">
        <f>IF(D126="","",IFERROR(VLOOKUP(D126,Stammdaten!$N$8:$V$37,3,FALSE),"Partner-ID prüfen"))</f>
        <v/>
      </c>
      <c r="F126" s="20"/>
      <c r="G126" s="23" t="str">
        <f>IF(F126="","",IFERROR(VLOOKUP(F126,Stammdaten!$A$8:$L$57,2,FALSE),"Artikel-ID prüfen"))</f>
        <v/>
      </c>
      <c r="H126" s="38"/>
      <c r="I126" s="42" t="str">
        <f>IF(OR(B126="",F126=""),"",IF(B126="Einkauf",IFERROR(VLOOKUP(F126,Stammdaten!$A$8:$L$57,5,FALSE),0),IFERROR(VLOOKUP(F126,Stammdaten!$A$8:$L$57,6,FALSE),0)))</f>
        <v/>
      </c>
      <c r="J126" s="43" t="str">
        <f t="shared" si="6"/>
        <v/>
      </c>
      <c r="K126" s="53"/>
      <c r="L126" s="5"/>
      <c r="M126" s="56"/>
      <c r="N126" s="47" t="str">
        <f>IF(OR(A126="",F126="",H126=""),"",IF(OR(L126="Storniert",L126="Abgeschlossen"),0,MAX(0,H126-IF(B126="Einkauf",SUMIFS(Warenbewegungen!$F$8:$F$207,Warenbewegungen!$I$8:$I$207,A126,Warenbewegungen!$D$8:$D$207,F126,Warenbewegungen!$C$8:$C$207,"Wareneingang"),SUMIFS(Warenbewegungen!$F$8:$F$207,Warenbewegungen!$I$8:$I$207,A126,Warenbewegungen!$D$8:$D$207,F126,Warenbewegungen!$C$8:$C$207,"Warenausgang")))))</f>
        <v/>
      </c>
      <c r="O126" s="43" t="str">
        <f t="shared" si="7"/>
        <v/>
      </c>
    </row>
    <row r="127" spans="1:15" x14ac:dyDescent="0.25">
      <c r="A127" s="4"/>
      <c r="B127" s="5"/>
      <c r="C127" s="35"/>
      <c r="D127" s="6"/>
      <c r="E127" s="23" t="str">
        <f>IF(D127="","",IFERROR(VLOOKUP(D127,Stammdaten!$N$8:$V$37,3,FALSE),"Partner-ID prüfen"))</f>
        <v/>
      </c>
      <c r="F127" s="20"/>
      <c r="G127" s="23" t="str">
        <f>IF(F127="","",IFERROR(VLOOKUP(F127,Stammdaten!$A$8:$L$57,2,FALSE),"Artikel-ID prüfen"))</f>
        <v/>
      </c>
      <c r="H127" s="38"/>
      <c r="I127" s="42" t="str">
        <f>IF(OR(B127="",F127=""),"",IF(B127="Einkauf",IFERROR(VLOOKUP(F127,Stammdaten!$A$8:$L$57,5,FALSE),0),IFERROR(VLOOKUP(F127,Stammdaten!$A$8:$L$57,6,FALSE),0)))</f>
        <v/>
      </c>
      <c r="J127" s="43" t="str">
        <f t="shared" si="6"/>
        <v/>
      </c>
      <c r="K127" s="53"/>
      <c r="L127" s="5"/>
      <c r="M127" s="56"/>
      <c r="N127" s="47" t="str">
        <f>IF(OR(A127="",F127="",H127=""),"",IF(OR(L127="Storniert",L127="Abgeschlossen"),0,MAX(0,H127-IF(B127="Einkauf",SUMIFS(Warenbewegungen!$F$8:$F$207,Warenbewegungen!$I$8:$I$207,A127,Warenbewegungen!$D$8:$D$207,F127,Warenbewegungen!$C$8:$C$207,"Wareneingang"),SUMIFS(Warenbewegungen!$F$8:$F$207,Warenbewegungen!$I$8:$I$207,A127,Warenbewegungen!$D$8:$D$207,F127,Warenbewegungen!$C$8:$C$207,"Warenausgang")))))</f>
        <v/>
      </c>
      <c r="O127" s="43" t="str">
        <f t="shared" si="7"/>
        <v/>
      </c>
    </row>
    <row r="128" spans="1:15" x14ac:dyDescent="0.25">
      <c r="A128" s="4"/>
      <c r="B128" s="5"/>
      <c r="C128" s="35"/>
      <c r="D128" s="6"/>
      <c r="E128" s="23" t="str">
        <f>IF(D128="","",IFERROR(VLOOKUP(D128,Stammdaten!$N$8:$V$37,3,FALSE),"Partner-ID prüfen"))</f>
        <v/>
      </c>
      <c r="F128" s="20"/>
      <c r="G128" s="23" t="str">
        <f>IF(F128="","",IFERROR(VLOOKUP(F128,Stammdaten!$A$8:$L$57,2,FALSE),"Artikel-ID prüfen"))</f>
        <v/>
      </c>
      <c r="H128" s="38"/>
      <c r="I128" s="42" t="str">
        <f>IF(OR(B128="",F128=""),"",IF(B128="Einkauf",IFERROR(VLOOKUP(F128,Stammdaten!$A$8:$L$57,5,FALSE),0),IFERROR(VLOOKUP(F128,Stammdaten!$A$8:$L$57,6,FALSE),0)))</f>
        <v/>
      </c>
      <c r="J128" s="43" t="str">
        <f t="shared" si="6"/>
        <v/>
      </c>
      <c r="K128" s="53"/>
      <c r="L128" s="5"/>
      <c r="M128" s="56"/>
      <c r="N128" s="47" t="str">
        <f>IF(OR(A128="",F128="",H128=""),"",IF(OR(L128="Storniert",L128="Abgeschlossen"),0,MAX(0,H128-IF(B128="Einkauf",SUMIFS(Warenbewegungen!$F$8:$F$207,Warenbewegungen!$I$8:$I$207,A128,Warenbewegungen!$D$8:$D$207,F128,Warenbewegungen!$C$8:$C$207,"Wareneingang"),SUMIFS(Warenbewegungen!$F$8:$F$207,Warenbewegungen!$I$8:$I$207,A128,Warenbewegungen!$D$8:$D$207,F128,Warenbewegungen!$C$8:$C$207,"Warenausgang")))))</f>
        <v/>
      </c>
      <c r="O128" s="43" t="str">
        <f t="shared" si="7"/>
        <v/>
      </c>
    </row>
    <row r="129" spans="1:15" x14ac:dyDescent="0.25">
      <c r="A129" s="4"/>
      <c r="B129" s="5"/>
      <c r="C129" s="35"/>
      <c r="D129" s="6"/>
      <c r="E129" s="23" t="str">
        <f>IF(D129="","",IFERROR(VLOOKUP(D129,Stammdaten!$N$8:$V$37,3,FALSE),"Partner-ID prüfen"))</f>
        <v/>
      </c>
      <c r="F129" s="20"/>
      <c r="G129" s="23" t="str">
        <f>IF(F129="","",IFERROR(VLOOKUP(F129,Stammdaten!$A$8:$L$57,2,FALSE),"Artikel-ID prüfen"))</f>
        <v/>
      </c>
      <c r="H129" s="38"/>
      <c r="I129" s="42" t="str">
        <f>IF(OR(B129="",F129=""),"",IF(B129="Einkauf",IFERROR(VLOOKUP(F129,Stammdaten!$A$8:$L$57,5,FALSE),0),IFERROR(VLOOKUP(F129,Stammdaten!$A$8:$L$57,6,FALSE),0)))</f>
        <v/>
      </c>
      <c r="J129" s="43" t="str">
        <f t="shared" si="6"/>
        <v/>
      </c>
      <c r="K129" s="53"/>
      <c r="L129" s="5"/>
      <c r="M129" s="56"/>
      <c r="N129" s="47" t="str">
        <f>IF(OR(A129="",F129="",H129=""),"",IF(OR(L129="Storniert",L129="Abgeschlossen"),0,MAX(0,H129-IF(B129="Einkauf",SUMIFS(Warenbewegungen!$F$8:$F$207,Warenbewegungen!$I$8:$I$207,A129,Warenbewegungen!$D$8:$D$207,F129,Warenbewegungen!$C$8:$C$207,"Wareneingang"),SUMIFS(Warenbewegungen!$F$8:$F$207,Warenbewegungen!$I$8:$I$207,A129,Warenbewegungen!$D$8:$D$207,F129,Warenbewegungen!$C$8:$C$207,"Warenausgang")))))</f>
        <v/>
      </c>
      <c r="O129" s="43" t="str">
        <f t="shared" si="7"/>
        <v/>
      </c>
    </row>
    <row r="130" spans="1:15" x14ac:dyDescent="0.25">
      <c r="A130" s="4"/>
      <c r="B130" s="5"/>
      <c r="C130" s="35"/>
      <c r="D130" s="6"/>
      <c r="E130" s="23" t="str">
        <f>IF(D130="","",IFERROR(VLOOKUP(D130,Stammdaten!$N$8:$V$37,3,FALSE),"Partner-ID prüfen"))</f>
        <v/>
      </c>
      <c r="F130" s="20"/>
      <c r="G130" s="23" t="str">
        <f>IF(F130="","",IFERROR(VLOOKUP(F130,Stammdaten!$A$8:$L$57,2,FALSE),"Artikel-ID prüfen"))</f>
        <v/>
      </c>
      <c r="H130" s="38"/>
      <c r="I130" s="42" t="str">
        <f>IF(OR(B130="",F130=""),"",IF(B130="Einkauf",IFERROR(VLOOKUP(F130,Stammdaten!$A$8:$L$57,5,FALSE),0),IFERROR(VLOOKUP(F130,Stammdaten!$A$8:$L$57,6,FALSE),0)))</f>
        <v/>
      </c>
      <c r="J130" s="43" t="str">
        <f t="shared" si="6"/>
        <v/>
      </c>
      <c r="K130" s="53"/>
      <c r="L130" s="5"/>
      <c r="M130" s="56"/>
      <c r="N130" s="47" t="str">
        <f>IF(OR(A130="",F130="",H130=""),"",IF(OR(L130="Storniert",L130="Abgeschlossen"),0,MAX(0,H130-IF(B130="Einkauf",SUMIFS(Warenbewegungen!$F$8:$F$207,Warenbewegungen!$I$8:$I$207,A130,Warenbewegungen!$D$8:$D$207,F130,Warenbewegungen!$C$8:$C$207,"Wareneingang"),SUMIFS(Warenbewegungen!$F$8:$F$207,Warenbewegungen!$I$8:$I$207,A130,Warenbewegungen!$D$8:$D$207,F130,Warenbewegungen!$C$8:$C$207,"Warenausgang")))))</f>
        <v/>
      </c>
      <c r="O130" s="43" t="str">
        <f t="shared" si="7"/>
        <v/>
      </c>
    </row>
    <row r="131" spans="1:15" x14ac:dyDescent="0.25">
      <c r="A131" s="4"/>
      <c r="B131" s="5"/>
      <c r="C131" s="35"/>
      <c r="D131" s="6"/>
      <c r="E131" s="23" t="str">
        <f>IF(D131="","",IFERROR(VLOOKUP(D131,Stammdaten!$N$8:$V$37,3,FALSE),"Partner-ID prüfen"))</f>
        <v/>
      </c>
      <c r="F131" s="20"/>
      <c r="G131" s="23" t="str">
        <f>IF(F131="","",IFERROR(VLOOKUP(F131,Stammdaten!$A$8:$L$57,2,FALSE),"Artikel-ID prüfen"))</f>
        <v/>
      </c>
      <c r="H131" s="38"/>
      <c r="I131" s="42" t="str">
        <f>IF(OR(B131="",F131=""),"",IF(B131="Einkauf",IFERROR(VLOOKUP(F131,Stammdaten!$A$8:$L$57,5,FALSE),0),IFERROR(VLOOKUP(F131,Stammdaten!$A$8:$L$57,6,FALSE),0)))</f>
        <v/>
      </c>
      <c r="J131" s="43" t="str">
        <f t="shared" si="6"/>
        <v/>
      </c>
      <c r="K131" s="53"/>
      <c r="L131" s="5"/>
      <c r="M131" s="56"/>
      <c r="N131" s="47" t="str">
        <f>IF(OR(A131="",F131="",H131=""),"",IF(OR(L131="Storniert",L131="Abgeschlossen"),0,MAX(0,H131-IF(B131="Einkauf",SUMIFS(Warenbewegungen!$F$8:$F$207,Warenbewegungen!$I$8:$I$207,A131,Warenbewegungen!$D$8:$D$207,F131,Warenbewegungen!$C$8:$C$207,"Wareneingang"),SUMIFS(Warenbewegungen!$F$8:$F$207,Warenbewegungen!$I$8:$I$207,A131,Warenbewegungen!$D$8:$D$207,F131,Warenbewegungen!$C$8:$C$207,"Warenausgang")))))</f>
        <v/>
      </c>
      <c r="O131" s="43" t="str">
        <f t="shared" si="7"/>
        <v/>
      </c>
    </row>
    <row r="132" spans="1:15" x14ac:dyDescent="0.25">
      <c r="A132" s="4"/>
      <c r="B132" s="5"/>
      <c r="C132" s="35"/>
      <c r="D132" s="6"/>
      <c r="E132" s="23" t="str">
        <f>IF(D132="","",IFERROR(VLOOKUP(D132,Stammdaten!$N$8:$V$37,3,FALSE),"Partner-ID prüfen"))</f>
        <v/>
      </c>
      <c r="F132" s="20"/>
      <c r="G132" s="23" t="str">
        <f>IF(F132="","",IFERROR(VLOOKUP(F132,Stammdaten!$A$8:$L$57,2,FALSE),"Artikel-ID prüfen"))</f>
        <v/>
      </c>
      <c r="H132" s="38"/>
      <c r="I132" s="42" t="str">
        <f>IF(OR(B132="",F132=""),"",IF(B132="Einkauf",IFERROR(VLOOKUP(F132,Stammdaten!$A$8:$L$57,5,FALSE),0),IFERROR(VLOOKUP(F132,Stammdaten!$A$8:$L$57,6,FALSE),0)))</f>
        <v/>
      </c>
      <c r="J132" s="43" t="str">
        <f t="shared" si="6"/>
        <v/>
      </c>
      <c r="K132" s="53"/>
      <c r="L132" s="5"/>
      <c r="M132" s="56"/>
      <c r="N132" s="47" t="str">
        <f>IF(OR(A132="",F132="",H132=""),"",IF(OR(L132="Storniert",L132="Abgeschlossen"),0,MAX(0,H132-IF(B132="Einkauf",SUMIFS(Warenbewegungen!$F$8:$F$207,Warenbewegungen!$I$8:$I$207,A132,Warenbewegungen!$D$8:$D$207,F132,Warenbewegungen!$C$8:$C$207,"Wareneingang"),SUMIFS(Warenbewegungen!$F$8:$F$207,Warenbewegungen!$I$8:$I$207,A132,Warenbewegungen!$D$8:$D$207,F132,Warenbewegungen!$C$8:$C$207,"Warenausgang")))))</f>
        <v/>
      </c>
      <c r="O132" s="43" t="str">
        <f t="shared" si="7"/>
        <v/>
      </c>
    </row>
    <row r="133" spans="1:15" x14ac:dyDescent="0.25">
      <c r="A133" s="4"/>
      <c r="B133" s="5"/>
      <c r="C133" s="35"/>
      <c r="D133" s="6"/>
      <c r="E133" s="23" t="str">
        <f>IF(D133="","",IFERROR(VLOOKUP(D133,Stammdaten!$N$8:$V$37,3,FALSE),"Partner-ID prüfen"))</f>
        <v/>
      </c>
      <c r="F133" s="20"/>
      <c r="G133" s="23" t="str">
        <f>IF(F133="","",IFERROR(VLOOKUP(F133,Stammdaten!$A$8:$L$57,2,FALSE),"Artikel-ID prüfen"))</f>
        <v/>
      </c>
      <c r="H133" s="38"/>
      <c r="I133" s="42" t="str">
        <f>IF(OR(B133="",F133=""),"",IF(B133="Einkauf",IFERROR(VLOOKUP(F133,Stammdaten!$A$8:$L$57,5,FALSE),0),IFERROR(VLOOKUP(F133,Stammdaten!$A$8:$L$57,6,FALSE),0)))</f>
        <v/>
      </c>
      <c r="J133" s="43" t="str">
        <f t="shared" si="6"/>
        <v/>
      </c>
      <c r="K133" s="53"/>
      <c r="L133" s="5"/>
      <c r="M133" s="56"/>
      <c r="N133" s="47" t="str">
        <f>IF(OR(A133="",F133="",H133=""),"",IF(OR(L133="Storniert",L133="Abgeschlossen"),0,MAX(0,H133-IF(B133="Einkauf",SUMIFS(Warenbewegungen!$F$8:$F$207,Warenbewegungen!$I$8:$I$207,A133,Warenbewegungen!$D$8:$D$207,F133,Warenbewegungen!$C$8:$C$207,"Wareneingang"),SUMIFS(Warenbewegungen!$F$8:$F$207,Warenbewegungen!$I$8:$I$207,A133,Warenbewegungen!$D$8:$D$207,F133,Warenbewegungen!$C$8:$C$207,"Warenausgang")))))</f>
        <v/>
      </c>
      <c r="O133" s="43" t="str">
        <f t="shared" si="7"/>
        <v/>
      </c>
    </row>
    <row r="134" spans="1:15" x14ac:dyDescent="0.25">
      <c r="A134" s="4"/>
      <c r="B134" s="5"/>
      <c r="C134" s="35"/>
      <c r="D134" s="6"/>
      <c r="E134" s="23" t="str">
        <f>IF(D134="","",IFERROR(VLOOKUP(D134,Stammdaten!$N$8:$V$37,3,FALSE),"Partner-ID prüfen"))</f>
        <v/>
      </c>
      <c r="F134" s="20"/>
      <c r="G134" s="23" t="str">
        <f>IF(F134="","",IFERROR(VLOOKUP(F134,Stammdaten!$A$8:$L$57,2,FALSE),"Artikel-ID prüfen"))</f>
        <v/>
      </c>
      <c r="H134" s="38"/>
      <c r="I134" s="42" t="str">
        <f>IF(OR(B134="",F134=""),"",IF(B134="Einkauf",IFERROR(VLOOKUP(F134,Stammdaten!$A$8:$L$57,5,FALSE),0),IFERROR(VLOOKUP(F134,Stammdaten!$A$8:$L$57,6,FALSE),0)))</f>
        <v/>
      </c>
      <c r="J134" s="43" t="str">
        <f t="shared" si="6"/>
        <v/>
      </c>
      <c r="K134" s="53"/>
      <c r="L134" s="5"/>
      <c r="M134" s="56"/>
      <c r="N134" s="47" t="str">
        <f>IF(OR(A134="",F134="",H134=""),"",IF(OR(L134="Storniert",L134="Abgeschlossen"),0,MAX(0,H134-IF(B134="Einkauf",SUMIFS(Warenbewegungen!$F$8:$F$207,Warenbewegungen!$I$8:$I$207,A134,Warenbewegungen!$D$8:$D$207,F134,Warenbewegungen!$C$8:$C$207,"Wareneingang"),SUMIFS(Warenbewegungen!$F$8:$F$207,Warenbewegungen!$I$8:$I$207,A134,Warenbewegungen!$D$8:$D$207,F134,Warenbewegungen!$C$8:$C$207,"Warenausgang")))))</f>
        <v/>
      </c>
      <c r="O134" s="43" t="str">
        <f t="shared" si="7"/>
        <v/>
      </c>
    </row>
    <row r="135" spans="1:15" x14ac:dyDescent="0.25">
      <c r="A135" s="4"/>
      <c r="B135" s="5"/>
      <c r="C135" s="35"/>
      <c r="D135" s="6"/>
      <c r="E135" s="23" t="str">
        <f>IF(D135="","",IFERROR(VLOOKUP(D135,Stammdaten!$N$8:$V$37,3,FALSE),"Partner-ID prüfen"))</f>
        <v/>
      </c>
      <c r="F135" s="20"/>
      <c r="G135" s="23" t="str">
        <f>IF(F135="","",IFERROR(VLOOKUP(F135,Stammdaten!$A$8:$L$57,2,FALSE),"Artikel-ID prüfen"))</f>
        <v/>
      </c>
      <c r="H135" s="38"/>
      <c r="I135" s="42" t="str">
        <f>IF(OR(B135="",F135=""),"",IF(B135="Einkauf",IFERROR(VLOOKUP(F135,Stammdaten!$A$8:$L$57,5,FALSE),0),IFERROR(VLOOKUP(F135,Stammdaten!$A$8:$L$57,6,FALSE),0)))</f>
        <v/>
      </c>
      <c r="J135" s="43" t="str">
        <f t="shared" si="6"/>
        <v/>
      </c>
      <c r="K135" s="53"/>
      <c r="L135" s="5"/>
      <c r="M135" s="56"/>
      <c r="N135" s="47" t="str">
        <f>IF(OR(A135="",F135="",H135=""),"",IF(OR(L135="Storniert",L135="Abgeschlossen"),0,MAX(0,H135-IF(B135="Einkauf",SUMIFS(Warenbewegungen!$F$8:$F$207,Warenbewegungen!$I$8:$I$207,A135,Warenbewegungen!$D$8:$D$207,F135,Warenbewegungen!$C$8:$C$207,"Wareneingang"),SUMIFS(Warenbewegungen!$F$8:$F$207,Warenbewegungen!$I$8:$I$207,A135,Warenbewegungen!$D$8:$D$207,F135,Warenbewegungen!$C$8:$C$207,"Warenausgang")))))</f>
        <v/>
      </c>
      <c r="O135" s="43" t="str">
        <f t="shared" si="7"/>
        <v/>
      </c>
    </row>
    <row r="136" spans="1:15" x14ac:dyDescent="0.25">
      <c r="A136" s="4"/>
      <c r="B136" s="5"/>
      <c r="C136" s="35"/>
      <c r="D136" s="6"/>
      <c r="E136" s="23" t="str">
        <f>IF(D136="","",IFERROR(VLOOKUP(D136,Stammdaten!$N$8:$V$37,3,FALSE),"Partner-ID prüfen"))</f>
        <v/>
      </c>
      <c r="F136" s="20"/>
      <c r="G136" s="23" t="str">
        <f>IF(F136="","",IFERROR(VLOOKUP(F136,Stammdaten!$A$8:$L$57,2,FALSE),"Artikel-ID prüfen"))</f>
        <v/>
      </c>
      <c r="H136" s="38"/>
      <c r="I136" s="42" t="str">
        <f>IF(OR(B136="",F136=""),"",IF(B136="Einkauf",IFERROR(VLOOKUP(F136,Stammdaten!$A$8:$L$57,5,FALSE),0),IFERROR(VLOOKUP(F136,Stammdaten!$A$8:$L$57,6,FALSE),0)))</f>
        <v/>
      </c>
      <c r="J136" s="43" t="str">
        <f t="shared" ref="J136:J167" si="8">IF(OR(H136="",I136=""),"",H136*I136)</f>
        <v/>
      </c>
      <c r="K136" s="53"/>
      <c r="L136" s="5"/>
      <c r="M136" s="56"/>
      <c r="N136" s="47" t="str">
        <f>IF(OR(A136="",F136="",H136=""),"",IF(OR(L136="Storniert",L136="Abgeschlossen"),0,MAX(0,H136-IF(B136="Einkauf",SUMIFS(Warenbewegungen!$F$8:$F$207,Warenbewegungen!$I$8:$I$207,A136,Warenbewegungen!$D$8:$D$207,F136,Warenbewegungen!$C$8:$C$207,"Wareneingang"),SUMIFS(Warenbewegungen!$F$8:$F$207,Warenbewegungen!$I$8:$I$207,A136,Warenbewegungen!$D$8:$D$207,F136,Warenbewegungen!$C$8:$C$207,"Warenausgang")))))</f>
        <v/>
      </c>
      <c r="O136" s="43" t="str">
        <f t="shared" ref="O136:O167" si="9">IF(N136="","",N136*I136)</f>
        <v/>
      </c>
    </row>
    <row r="137" spans="1:15" x14ac:dyDescent="0.25">
      <c r="A137" s="4"/>
      <c r="B137" s="5"/>
      <c r="C137" s="35"/>
      <c r="D137" s="6"/>
      <c r="E137" s="23" t="str">
        <f>IF(D137="","",IFERROR(VLOOKUP(D137,Stammdaten!$N$8:$V$37,3,FALSE),"Partner-ID prüfen"))</f>
        <v/>
      </c>
      <c r="F137" s="20"/>
      <c r="G137" s="23" t="str">
        <f>IF(F137="","",IFERROR(VLOOKUP(F137,Stammdaten!$A$8:$L$57,2,FALSE),"Artikel-ID prüfen"))</f>
        <v/>
      </c>
      <c r="H137" s="38"/>
      <c r="I137" s="42" t="str">
        <f>IF(OR(B137="",F137=""),"",IF(B137="Einkauf",IFERROR(VLOOKUP(F137,Stammdaten!$A$8:$L$57,5,FALSE),0),IFERROR(VLOOKUP(F137,Stammdaten!$A$8:$L$57,6,FALSE),0)))</f>
        <v/>
      </c>
      <c r="J137" s="43" t="str">
        <f t="shared" si="8"/>
        <v/>
      </c>
      <c r="K137" s="53"/>
      <c r="L137" s="5"/>
      <c r="M137" s="56"/>
      <c r="N137" s="47" t="str">
        <f>IF(OR(A137="",F137="",H137=""),"",IF(OR(L137="Storniert",L137="Abgeschlossen"),0,MAX(0,H137-IF(B137="Einkauf",SUMIFS(Warenbewegungen!$F$8:$F$207,Warenbewegungen!$I$8:$I$207,A137,Warenbewegungen!$D$8:$D$207,F137,Warenbewegungen!$C$8:$C$207,"Wareneingang"),SUMIFS(Warenbewegungen!$F$8:$F$207,Warenbewegungen!$I$8:$I$207,A137,Warenbewegungen!$D$8:$D$207,F137,Warenbewegungen!$C$8:$C$207,"Warenausgang")))))</f>
        <v/>
      </c>
      <c r="O137" s="43" t="str">
        <f t="shared" si="9"/>
        <v/>
      </c>
    </row>
    <row r="138" spans="1:15" x14ac:dyDescent="0.25">
      <c r="A138" s="4"/>
      <c r="B138" s="5"/>
      <c r="C138" s="35"/>
      <c r="D138" s="6"/>
      <c r="E138" s="23" t="str">
        <f>IF(D138="","",IFERROR(VLOOKUP(D138,Stammdaten!$N$8:$V$37,3,FALSE),"Partner-ID prüfen"))</f>
        <v/>
      </c>
      <c r="F138" s="20"/>
      <c r="G138" s="23" t="str">
        <f>IF(F138="","",IFERROR(VLOOKUP(F138,Stammdaten!$A$8:$L$57,2,FALSE),"Artikel-ID prüfen"))</f>
        <v/>
      </c>
      <c r="H138" s="38"/>
      <c r="I138" s="42" t="str">
        <f>IF(OR(B138="",F138=""),"",IF(B138="Einkauf",IFERROR(VLOOKUP(F138,Stammdaten!$A$8:$L$57,5,FALSE),0),IFERROR(VLOOKUP(F138,Stammdaten!$A$8:$L$57,6,FALSE),0)))</f>
        <v/>
      </c>
      <c r="J138" s="43" t="str">
        <f t="shared" si="8"/>
        <v/>
      </c>
      <c r="K138" s="53"/>
      <c r="L138" s="5"/>
      <c r="M138" s="56"/>
      <c r="N138" s="47" t="str">
        <f>IF(OR(A138="",F138="",H138=""),"",IF(OR(L138="Storniert",L138="Abgeschlossen"),0,MAX(0,H138-IF(B138="Einkauf",SUMIFS(Warenbewegungen!$F$8:$F$207,Warenbewegungen!$I$8:$I$207,A138,Warenbewegungen!$D$8:$D$207,F138,Warenbewegungen!$C$8:$C$207,"Wareneingang"),SUMIFS(Warenbewegungen!$F$8:$F$207,Warenbewegungen!$I$8:$I$207,A138,Warenbewegungen!$D$8:$D$207,F138,Warenbewegungen!$C$8:$C$207,"Warenausgang")))))</f>
        <v/>
      </c>
      <c r="O138" s="43" t="str">
        <f t="shared" si="9"/>
        <v/>
      </c>
    </row>
    <row r="139" spans="1:15" x14ac:dyDescent="0.25">
      <c r="A139" s="4"/>
      <c r="B139" s="5"/>
      <c r="C139" s="35"/>
      <c r="D139" s="6"/>
      <c r="E139" s="23" t="str">
        <f>IF(D139="","",IFERROR(VLOOKUP(D139,Stammdaten!$N$8:$V$37,3,FALSE),"Partner-ID prüfen"))</f>
        <v/>
      </c>
      <c r="F139" s="20"/>
      <c r="G139" s="23" t="str">
        <f>IF(F139="","",IFERROR(VLOOKUP(F139,Stammdaten!$A$8:$L$57,2,FALSE),"Artikel-ID prüfen"))</f>
        <v/>
      </c>
      <c r="H139" s="38"/>
      <c r="I139" s="42" t="str">
        <f>IF(OR(B139="",F139=""),"",IF(B139="Einkauf",IFERROR(VLOOKUP(F139,Stammdaten!$A$8:$L$57,5,FALSE),0),IFERROR(VLOOKUP(F139,Stammdaten!$A$8:$L$57,6,FALSE),0)))</f>
        <v/>
      </c>
      <c r="J139" s="43" t="str">
        <f t="shared" si="8"/>
        <v/>
      </c>
      <c r="K139" s="53"/>
      <c r="L139" s="5"/>
      <c r="M139" s="56"/>
      <c r="N139" s="47" t="str">
        <f>IF(OR(A139="",F139="",H139=""),"",IF(OR(L139="Storniert",L139="Abgeschlossen"),0,MAX(0,H139-IF(B139="Einkauf",SUMIFS(Warenbewegungen!$F$8:$F$207,Warenbewegungen!$I$8:$I$207,A139,Warenbewegungen!$D$8:$D$207,F139,Warenbewegungen!$C$8:$C$207,"Wareneingang"),SUMIFS(Warenbewegungen!$F$8:$F$207,Warenbewegungen!$I$8:$I$207,A139,Warenbewegungen!$D$8:$D$207,F139,Warenbewegungen!$C$8:$C$207,"Warenausgang")))))</f>
        <v/>
      </c>
      <c r="O139" s="43" t="str">
        <f t="shared" si="9"/>
        <v/>
      </c>
    </row>
    <row r="140" spans="1:15" x14ac:dyDescent="0.25">
      <c r="A140" s="4"/>
      <c r="B140" s="5"/>
      <c r="C140" s="35"/>
      <c r="D140" s="6"/>
      <c r="E140" s="23" t="str">
        <f>IF(D140="","",IFERROR(VLOOKUP(D140,Stammdaten!$N$8:$V$37,3,FALSE),"Partner-ID prüfen"))</f>
        <v/>
      </c>
      <c r="F140" s="20"/>
      <c r="G140" s="23" t="str">
        <f>IF(F140="","",IFERROR(VLOOKUP(F140,Stammdaten!$A$8:$L$57,2,FALSE),"Artikel-ID prüfen"))</f>
        <v/>
      </c>
      <c r="H140" s="38"/>
      <c r="I140" s="42" t="str">
        <f>IF(OR(B140="",F140=""),"",IF(B140="Einkauf",IFERROR(VLOOKUP(F140,Stammdaten!$A$8:$L$57,5,FALSE),0),IFERROR(VLOOKUP(F140,Stammdaten!$A$8:$L$57,6,FALSE),0)))</f>
        <v/>
      </c>
      <c r="J140" s="43" t="str">
        <f t="shared" si="8"/>
        <v/>
      </c>
      <c r="K140" s="53"/>
      <c r="L140" s="5"/>
      <c r="M140" s="56"/>
      <c r="N140" s="47" t="str">
        <f>IF(OR(A140="",F140="",H140=""),"",IF(OR(L140="Storniert",L140="Abgeschlossen"),0,MAX(0,H140-IF(B140="Einkauf",SUMIFS(Warenbewegungen!$F$8:$F$207,Warenbewegungen!$I$8:$I$207,A140,Warenbewegungen!$D$8:$D$207,F140,Warenbewegungen!$C$8:$C$207,"Wareneingang"),SUMIFS(Warenbewegungen!$F$8:$F$207,Warenbewegungen!$I$8:$I$207,A140,Warenbewegungen!$D$8:$D$207,F140,Warenbewegungen!$C$8:$C$207,"Warenausgang")))))</f>
        <v/>
      </c>
      <c r="O140" s="43" t="str">
        <f t="shared" si="9"/>
        <v/>
      </c>
    </row>
    <row r="141" spans="1:15" x14ac:dyDescent="0.25">
      <c r="A141" s="4"/>
      <c r="B141" s="5"/>
      <c r="C141" s="35"/>
      <c r="D141" s="6"/>
      <c r="E141" s="23" t="str">
        <f>IF(D141="","",IFERROR(VLOOKUP(D141,Stammdaten!$N$8:$V$37,3,FALSE),"Partner-ID prüfen"))</f>
        <v/>
      </c>
      <c r="F141" s="20"/>
      <c r="G141" s="23" t="str">
        <f>IF(F141="","",IFERROR(VLOOKUP(F141,Stammdaten!$A$8:$L$57,2,FALSE),"Artikel-ID prüfen"))</f>
        <v/>
      </c>
      <c r="H141" s="38"/>
      <c r="I141" s="42" t="str">
        <f>IF(OR(B141="",F141=""),"",IF(B141="Einkauf",IFERROR(VLOOKUP(F141,Stammdaten!$A$8:$L$57,5,FALSE),0),IFERROR(VLOOKUP(F141,Stammdaten!$A$8:$L$57,6,FALSE),0)))</f>
        <v/>
      </c>
      <c r="J141" s="43" t="str">
        <f t="shared" si="8"/>
        <v/>
      </c>
      <c r="K141" s="53"/>
      <c r="L141" s="5"/>
      <c r="M141" s="56"/>
      <c r="N141" s="47" t="str">
        <f>IF(OR(A141="",F141="",H141=""),"",IF(OR(L141="Storniert",L141="Abgeschlossen"),0,MAX(0,H141-IF(B141="Einkauf",SUMIFS(Warenbewegungen!$F$8:$F$207,Warenbewegungen!$I$8:$I$207,A141,Warenbewegungen!$D$8:$D$207,F141,Warenbewegungen!$C$8:$C$207,"Wareneingang"),SUMIFS(Warenbewegungen!$F$8:$F$207,Warenbewegungen!$I$8:$I$207,A141,Warenbewegungen!$D$8:$D$207,F141,Warenbewegungen!$C$8:$C$207,"Warenausgang")))))</f>
        <v/>
      </c>
      <c r="O141" s="43" t="str">
        <f t="shared" si="9"/>
        <v/>
      </c>
    </row>
    <row r="142" spans="1:15" x14ac:dyDescent="0.25">
      <c r="A142" s="4"/>
      <c r="B142" s="5"/>
      <c r="C142" s="35"/>
      <c r="D142" s="6"/>
      <c r="E142" s="23" t="str">
        <f>IF(D142="","",IFERROR(VLOOKUP(D142,Stammdaten!$N$8:$V$37,3,FALSE),"Partner-ID prüfen"))</f>
        <v/>
      </c>
      <c r="F142" s="20"/>
      <c r="G142" s="23" t="str">
        <f>IF(F142="","",IFERROR(VLOOKUP(F142,Stammdaten!$A$8:$L$57,2,FALSE),"Artikel-ID prüfen"))</f>
        <v/>
      </c>
      <c r="H142" s="38"/>
      <c r="I142" s="42" t="str">
        <f>IF(OR(B142="",F142=""),"",IF(B142="Einkauf",IFERROR(VLOOKUP(F142,Stammdaten!$A$8:$L$57,5,FALSE),0),IFERROR(VLOOKUP(F142,Stammdaten!$A$8:$L$57,6,FALSE),0)))</f>
        <v/>
      </c>
      <c r="J142" s="43" t="str">
        <f t="shared" si="8"/>
        <v/>
      </c>
      <c r="K142" s="53"/>
      <c r="L142" s="5"/>
      <c r="M142" s="56"/>
      <c r="N142" s="47" t="str">
        <f>IF(OR(A142="",F142="",H142=""),"",IF(OR(L142="Storniert",L142="Abgeschlossen"),0,MAX(0,H142-IF(B142="Einkauf",SUMIFS(Warenbewegungen!$F$8:$F$207,Warenbewegungen!$I$8:$I$207,A142,Warenbewegungen!$D$8:$D$207,F142,Warenbewegungen!$C$8:$C$207,"Wareneingang"),SUMIFS(Warenbewegungen!$F$8:$F$207,Warenbewegungen!$I$8:$I$207,A142,Warenbewegungen!$D$8:$D$207,F142,Warenbewegungen!$C$8:$C$207,"Warenausgang")))))</f>
        <v/>
      </c>
      <c r="O142" s="43" t="str">
        <f t="shared" si="9"/>
        <v/>
      </c>
    </row>
    <row r="143" spans="1:15" x14ac:dyDescent="0.25">
      <c r="A143" s="4"/>
      <c r="B143" s="5"/>
      <c r="C143" s="35"/>
      <c r="D143" s="6"/>
      <c r="E143" s="23" t="str">
        <f>IF(D143="","",IFERROR(VLOOKUP(D143,Stammdaten!$N$8:$V$37,3,FALSE),"Partner-ID prüfen"))</f>
        <v/>
      </c>
      <c r="F143" s="20"/>
      <c r="G143" s="23" t="str">
        <f>IF(F143="","",IFERROR(VLOOKUP(F143,Stammdaten!$A$8:$L$57,2,FALSE),"Artikel-ID prüfen"))</f>
        <v/>
      </c>
      <c r="H143" s="38"/>
      <c r="I143" s="42" t="str">
        <f>IF(OR(B143="",F143=""),"",IF(B143="Einkauf",IFERROR(VLOOKUP(F143,Stammdaten!$A$8:$L$57,5,FALSE),0),IFERROR(VLOOKUP(F143,Stammdaten!$A$8:$L$57,6,FALSE),0)))</f>
        <v/>
      </c>
      <c r="J143" s="43" t="str">
        <f t="shared" si="8"/>
        <v/>
      </c>
      <c r="K143" s="53"/>
      <c r="L143" s="5"/>
      <c r="M143" s="56"/>
      <c r="N143" s="47" t="str">
        <f>IF(OR(A143="",F143="",H143=""),"",IF(OR(L143="Storniert",L143="Abgeschlossen"),0,MAX(0,H143-IF(B143="Einkauf",SUMIFS(Warenbewegungen!$F$8:$F$207,Warenbewegungen!$I$8:$I$207,A143,Warenbewegungen!$D$8:$D$207,F143,Warenbewegungen!$C$8:$C$207,"Wareneingang"),SUMIFS(Warenbewegungen!$F$8:$F$207,Warenbewegungen!$I$8:$I$207,A143,Warenbewegungen!$D$8:$D$207,F143,Warenbewegungen!$C$8:$C$207,"Warenausgang")))))</f>
        <v/>
      </c>
      <c r="O143" s="43" t="str">
        <f t="shared" si="9"/>
        <v/>
      </c>
    </row>
    <row r="144" spans="1:15" x14ac:dyDescent="0.25">
      <c r="A144" s="4"/>
      <c r="B144" s="5"/>
      <c r="C144" s="35"/>
      <c r="D144" s="6"/>
      <c r="E144" s="23" t="str">
        <f>IF(D144="","",IFERROR(VLOOKUP(D144,Stammdaten!$N$8:$V$37,3,FALSE),"Partner-ID prüfen"))</f>
        <v/>
      </c>
      <c r="F144" s="20"/>
      <c r="G144" s="23" t="str">
        <f>IF(F144="","",IFERROR(VLOOKUP(F144,Stammdaten!$A$8:$L$57,2,FALSE),"Artikel-ID prüfen"))</f>
        <v/>
      </c>
      <c r="H144" s="38"/>
      <c r="I144" s="42" t="str">
        <f>IF(OR(B144="",F144=""),"",IF(B144="Einkauf",IFERROR(VLOOKUP(F144,Stammdaten!$A$8:$L$57,5,FALSE),0),IFERROR(VLOOKUP(F144,Stammdaten!$A$8:$L$57,6,FALSE),0)))</f>
        <v/>
      </c>
      <c r="J144" s="43" t="str">
        <f t="shared" si="8"/>
        <v/>
      </c>
      <c r="K144" s="53"/>
      <c r="L144" s="5"/>
      <c r="M144" s="56"/>
      <c r="N144" s="47" t="str">
        <f>IF(OR(A144="",F144="",H144=""),"",IF(OR(L144="Storniert",L144="Abgeschlossen"),0,MAX(0,H144-IF(B144="Einkauf",SUMIFS(Warenbewegungen!$F$8:$F$207,Warenbewegungen!$I$8:$I$207,A144,Warenbewegungen!$D$8:$D$207,F144,Warenbewegungen!$C$8:$C$207,"Wareneingang"),SUMIFS(Warenbewegungen!$F$8:$F$207,Warenbewegungen!$I$8:$I$207,A144,Warenbewegungen!$D$8:$D$207,F144,Warenbewegungen!$C$8:$C$207,"Warenausgang")))))</f>
        <v/>
      </c>
      <c r="O144" s="43" t="str">
        <f t="shared" si="9"/>
        <v/>
      </c>
    </row>
    <row r="145" spans="1:15" x14ac:dyDescent="0.25">
      <c r="A145" s="4"/>
      <c r="B145" s="5"/>
      <c r="C145" s="35"/>
      <c r="D145" s="6"/>
      <c r="E145" s="23" t="str">
        <f>IF(D145="","",IFERROR(VLOOKUP(D145,Stammdaten!$N$8:$V$37,3,FALSE),"Partner-ID prüfen"))</f>
        <v/>
      </c>
      <c r="F145" s="20"/>
      <c r="G145" s="23" t="str">
        <f>IF(F145="","",IFERROR(VLOOKUP(F145,Stammdaten!$A$8:$L$57,2,FALSE),"Artikel-ID prüfen"))</f>
        <v/>
      </c>
      <c r="H145" s="38"/>
      <c r="I145" s="42" t="str">
        <f>IF(OR(B145="",F145=""),"",IF(B145="Einkauf",IFERROR(VLOOKUP(F145,Stammdaten!$A$8:$L$57,5,FALSE),0),IFERROR(VLOOKUP(F145,Stammdaten!$A$8:$L$57,6,FALSE),0)))</f>
        <v/>
      </c>
      <c r="J145" s="43" t="str">
        <f t="shared" si="8"/>
        <v/>
      </c>
      <c r="K145" s="53"/>
      <c r="L145" s="5"/>
      <c r="M145" s="56"/>
      <c r="N145" s="47" t="str">
        <f>IF(OR(A145="",F145="",H145=""),"",IF(OR(L145="Storniert",L145="Abgeschlossen"),0,MAX(0,H145-IF(B145="Einkauf",SUMIFS(Warenbewegungen!$F$8:$F$207,Warenbewegungen!$I$8:$I$207,A145,Warenbewegungen!$D$8:$D$207,F145,Warenbewegungen!$C$8:$C$207,"Wareneingang"),SUMIFS(Warenbewegungen!$F$8:$F$207,Warenbewegungen!$I$8:$I$207,A145,Warenbewegungen!$D$8:$D$207,F145,Warenbewegungen!$C$8:$C$207,"Warenausgang")))))</f>
        <v/>
      </c>
      <c r="O145" s="43" t="str">
        <f t="shared" si="9"/>
        <v/>
      </c>
    </row>
    <row r="146" spans="1:15" x14ac:dyDescent="0.25">
      <c r="A146" s="4"/>
      <c r="B146" s="5"/>
      <c r="C146" s="35"/>
      <c r="D146" s="6"/>
      <c r="E146" s="23" t="str">
        <f>IF(D146="","",IFERROR(VLOOKUP(D146,Stammdaten!$N$8:$V$37,3,FALSE),"Partner-ID prüfen"))</f>
        <v/>
      </c>
      <c r="F146" s="20"/>
      <c r="G146" s="23" t="str">
        <f>IF(F146="","",IFERROR(VLOOKUP(F146,Stammdaten!$A$8:$L$57,2,FALSE),"Artikel-ID prüfen"))</f>
        <v/>
      </c>
      <c r="H146" s="38"/>
      <c r="I146" s="42" t="str">
        <f>IF(OR(B146="",F146=""),"",IF(B146="Einkauf",IFERROR(VLOOKUP(F146,Stammdaten!$A$8:$L$57,5,FALSE),0),IFERROR(VLOOKUP(F146,Stammdaten!$A$8:$L$57,6,FALSE),0)))</f>
        <v/>
      </c>
      <c r="J146" s="43" t="str">
        <f t="shared" si="8"/>
        <v/>
      </c>
      <c r="K146" s="53"/>
      <c r="L146" s="5"/>
      <c r="M146" s="56"/>
      <c r="N146" s="47" t="str">
        <f>IF(OR(A146="",F146="",H146=""),"",IF(OR(L146="Storniert",L146="Abgeschlossen"),0,MAX(0,H146-IF(B146="Einkauf",SUMIFS(Warenbewegungen!$F$8:$F$207,Warenbewegungen!$I$8:$I$207,A146,Warenbewegungen!$D$8:$D$207,F146,Warenbewegungen!$C$8:$C$207,"Wareneingang"),SUMIFS(Warenbewegungen!$F$8:$F$207,Warenbewegungen!$I$8:$I$207,A146,Warenbewegungen!$D$8:$D$207,F146,Warenbewegungen!$C$8:$C$207,"Warenausgang")))))</f>
        <v/>
      </c>
      <c r="O146" s="43" t="str">
        <f t="shared" si="9"/>
        <v/>
      </c>
    </row>
    <row r="147" spans="1:15" x14ac:dyDescent="0.25">
      <c r="A147" s="4"/>
      <c r="B147" s="5"/>
      <c r="C147" s="35"/>
      <c r="D147" s="6"/>
      <c r="E147" s="23" t="str">
        <f>IF(D147="","",IFERROR(VLOOKUP(D147,Stammdaten!$N$8:$V$37,3,FALSE),"Partner-ID prüfen"))</f>
        <v/>
      </c>
      <c r="F147" s="20"/>
      <c r="G147" s="23" t="str">
        <f>IF(F147="","",IFERROR(VLOOKUP(F147,Stammdaten!$A$8:$L$57,2,FALSE),"Artikel-ID prüfen"))</f>
        <v/>
      </c>
      <c r="H147" s="38"/>
      <c r="I147" s="42" t="str">
        <f>IF(OR(B147="",F147=""),"",IF(B147="Einkauf",IFERROR(VLOOKUP(F147,Stammdaten!$A$8:$L$57,5,FALSE),0),IFERROR(VLOOKUP(F147,Stammdaten!$A$8:$L$57,6,FALSE),0)))</f>
        <v/>
      </c>
      <c r="J147" s="43" t="str">
        <f t="shared" si="8"/>
        <v/>
      </c>
      <c r="K147" s="53"/>
      <c r="L147" s="5"/>
      <c r="M147" s="56"/>
      <c r="N147" s="47" t="str">
        <f>IF(OR(A147="",F147="",H147=""),"",IF(OR(L147="Storniert",L147="Abgeschlossen"),0,MAX(0,H147-IF(B147="Einkauf",SUMIFS(Warenbewegungen!$F$8:$F$207,Warenbewegungen!$I$8:$I$207,A147,Warenbewegungen!$D$8:$D$207,F147,Warenbewegungen!$C$8:$C$207,"Wareneingang"),SUMIFS(Warenbewegungen!$F$8:$F$207,Warenbewegungen!$I$8:$I$207,A147,Warenbewegungen!$D$8:$D$207,F147,Warenbewegungen!$C$8:$C$207,"Warenausgang")))))</f>
        <v/>
      </c>
      <c r="O147" s="43" t="str">
        <f t="shared" si="9"/>
        <v/>
      </c>
    </row>
    <row r="148" spans="1:15" x14ac:dyDescent="0.25">
      <c r="A148" s="4"/>
      <c r="B148" s="5"/>
      <c r="C148" s="35"/>
      <c r="D148" s="6"/>
      <c r="E148" s="23" t="str">
        <f>IF(D148="","",IFERROR(VLOOKUP(D148,Stammdaten!$N$8:$V$37,3,FALSE),"Partner-ID prüfen"))</f>
        <v/>
      </c>
      <c r="F148" s="20"/>
      <c r="G148" s="23" t="str">
        <f>IF(F148="","",IFERROR(VLOOKUP(F148,Stammdaten!$A$8:$L$57,2,FALSE),"Artikel-ID prüfen"))</f>
        <v/>
      </c>
      <c r="H148" s="38"/>
      <c r="I148" s="42" t="str">
        <f>IF(OR(B148="",F148=""),"",IF(B148="Einkauf",IFERROR(VLOOKUP(F148,Stammdaten!$A$8:$L$57,5,FALSE),0),IFERROR(VLOOKUP(F148,Stammdaten!$A$8:$L$57,6,FALSE),0)))</f>
        <v/>
      </c>
      <c r="J148" s="43" t="str">
        <f t="shared" si="8"/>
        <v/>
      </c>
      <c r="K148" s="53"/>
      <c r="L148" s="5"/>
      <c r="M148" s="56"/>
      <c r="N148" s="47" t="str">
        <f>IF(OR(A148="",F148="",H148=""),"",IF(OR(L148="Storniert",L148="Abgeschlossen"),0,MAX(0,H148-IF(B148="Einkauf",SUMIFS(Warenbewegungen!$F$8:$F$207,Warenbewegungen!$I$8:$I$207,A148,Warenbewegungen!$D$8:$D$207,F148,Warenbewegungen!$C$8:$C$207,"Wareneingang"),SUMIFS(Warenbewegungen!$F$8:$F$207,Warenbewegungen!$I$8:$I$207,A148,Warenbewegungen!$D$8:$D$207,F148,Warenbewegungen!$C$8:$C$207,"Warenausgang")))))</f>
        <v/>
      </c>
      <c r="O148" s="43" t="str">
        <f t="shared" si="9"/>
        <v/>
      </c>
    </row>
    <row r="149" spans="1:15" x14ac:dyDescent="0.25">
      <c r="A149" s="4"/>
      <c r="B149" s="5"/>
      <c r="C149" s="35"/>
      <c r="D149" s="6"/>
      <c r="E149" s="23" t="str">
        <f>IF(D149="","",IFERROR(VLOOKUP(D149,Stammdaten!$N$8:$V$37,3,FALSE),"Partner-ID prüfen"))</f>
        <v/>
      </c>
      <c r="F149" s="20"/>
      <c r="G149" s="23" t="str">
        <f>IF(F149="","",IFERROR(VLOOKUP(F149,Stammdaten!$A$8:$L$57,2,FALSE),"Artikel-ID prüfen"))</f>
        <v/>
      </c>
      <c r="H149" s="38"/>
      <c r="I149" s="42" t="str">
        <f>IF(OR(B149="",F149=""),"",IF(B149="Einkauf",IFERROR(VLOOKUP(F149,Stammdaten!$A$8:$L$57,5,FALSE),0),IFERROR(VLOOKUP(F149,Stammdaten!$A$8:$L$57,6,FALSE),0)))</f>
        <v/>
      </c>
      <c r="J149" s="43" t="str">
        <f t="shared" si="8"/>
        <v/>
      </c>
      <c r="K149" s="53"/>
      <c r="L149" s="5"/>
      <c r="M149" s="56"/>
      <c r="N149" s="47" t="str">
        <f>IF(OR(A149="",F149="",H149=""),"",IF(OR(L149="Storniert",L149="Abgeschlossen"),0,MAX(0,H149-IF(B149="Einkauf",SUMIFS(Warenbewegungen!$F$8:$F$207,Warenbewegungen!$I$8:$I$207,A149,Warenbewegungen!$D$8:$D$207,F149,Warenbewegungen!$C$8:$C$207,"Wareneingang"),SUMIFS(Warenbewegungen!$F$8:$F$207,Warenbewegungen!$I$8:$I$207,A149,Warenbewegungen!$D$8:$D$207,F149,Warenbewegungen!$C$8:$C$207,"Warenausgang")))))</f>
        <v/>
      </c>
      <c r="O149" s="43" t="str">
        <f t="shared" si="9"/>
        <v/>
      </c>
    </row>
    <row r="150" spans="1:15" x14ac:dyDescent="0.25">
      <c r="A150" s="4"/>
      <c r="B150" s="5"/>
      <c r="C150" s="35"/>
      <c r="D150" s="6"/>
      <c r="E150" s="23" t="str">
        <f>IF(D150="","",IFERROR(VLOOKUP(D150,Stammdaten!$N$8:$V$37,3,FALSE),"Partner-ID prüfen"))</f>
        <v/>
      </c>
      <c r="F150" s="20"/>
      <c r="G150" s="23" t="str">
        <f>IF(F150="","",IFERROR(VLOOKUP(F150,Stammdaten!$A$8:$L$57,2,FALSE),"Artikel-ID prüfen"))</f>
        <v/>
      </c>
      <c r="H150" s="38"/>
      <c r="I150" s="42" t="str">
        <f>IF(OR(B150="",F150=""),"",IF(B150="Einkauf",IFERROR(VLOOKUP(F150,Stammdaten!$A$8:$L$57,5,FALSE),0),IFERROR(VLOOKUP(F150,Stammdaten!$A$8:$L$57,6,FALSE),0)))</f>
        <v/>
      </c>
      <c r="J150" s="43" t="str">
        <f t="shared" si="8"/>
        <v/>
      </c>
      <c r="K150" s="53"/>
      <c r="L150" s="5"/>
      <c r="M150" s="56"/>
      <c r="N150" s="47" t="str">
        <f>IF(OR(A150="",F150="",H150=""),"",IF(OR(L150="Storniert",L150="Abgeschlossen"),0,MAX(0,H150-IF(B150="Einkauf",SUMIFS(Warenbewegungen!$F$8:$F$207,Warenbewegungen!$I$8:$I$207,A150,Warenbewegungen!$D$8:$D$207,F150,Warenbewegungen!$C$8:$C$207,"Wareneingang"),SUMIFS(Warenbewegungen!$F$8:$F$207,Warenbewegungen!$I$8:$I$207,A150,Warenbewegungen!$D$8:$D$207,F150,Warenbewegungen!$C$8:$C$207,"Warenausgang")))))</f>
        <v/>
      </c>
      <c r="O150" s="43" t="str">
        <f t="shared" si="9"/>
        <v/>
      </c>
    </row>
    <row r="151" spans="1:15" x14ac:dyDescent="0.25">
      <c r="A151" s="4"/>
      <c r="B151" s="5"/>
      <c r="C151" s="35"/>
      <c r="D151" s="6"/>
      <c r="E151" s="23" t="str">
        <f>IF(D151="","",IFERROR(VLOOKUP(D151,Stammdaten!$N$8:$V$37,3,FALSE),"Partner-ID prüfen"))</f>
        <v/>
      </c>
      <c r="F151" s="20"/>
      <c r="G151" s="23" t="str">
        <f>IF(F151="","",IFERROR(VLOOKUP(F151,Stammdaten!$A$8:$L$57,2,FALSE),"Artikel-ID prüfen"))</f>
        <v/>
      </c>
      <c r="H151" s="38"/>
      <c r="I151" s="42" t="str">
        <f>IF(OR(B151="",F151=""),"",IF(B151="Einkauf",IFERROR(VLOOKUP(F151,Stammdaten!$A$8:$L$57,5,FALSE),0),IFERROR(VLOOKUP(F151,Stammdaten!$A$8:$L$57,6,FALSE),0)))</f>
        <v/>
      </c>
      <c r="J151" s="43" t="str">
        <f t="shared" si="8"/>
        <v/>
      </c>
      <c r="K151" s="53"/>
      <c r="L151" s="5"/>
      <c r="M151" s="56"/>
      <c r="N151" s="47" t="str">
        <f>IF(OR(A151="",F151="",H151=""),"",IF(OR(L151="Storniert",L151="Abgeschlossen"),0,MAX(0,H151-IF(B151="Einkauf",SUMIFS(Warenbewegungen!$F$8:$F$207,Warenbewegungen!$I$8:$I$207,A151,Warenbewegungen!$D$8:$D$207,F151,Warenbewegungen!$C$8:$C$207,"Wareneingang"),SUMIFS(Warenbewegungen!$F$8:$F$207,Warenbewegungen!$I$8:$I$207,A151,Warenbewegungen!$D$8:$D$207,F151,Warenbewegungen!$C$8:$C$207,"Warenausgang")))))</f>
        <v/>
      </c>
      <c r="O151" s="43" t="str">
        <f t="shared" si="9"/>
        <v/>
      </c>
    </row>
    <row r="152" spans="1:15" x14ac:dyDescent="0.25">
      <c r="A152" s="4"/>
      <c r="B152" s="5"/>
      <c r="C152" s="35"/>
      <c r="D152" s="6"/>
      <c r="E152" s="23" t="str">
        <f>IF(D152="","",IFERROR(VLOOKUP(D152,Stammdaten!$N$8:$V$37,3,FALSE),"Partner-ID prüfen"))</f>
        <v/>
      </c>
      <c r="F152" s="20"/>
      <c r="G152" s="23" t="str">
        <f>IF(F152="","",IFERROR(VLOOKUP(F152,Stammdaten!$A$8:$L$57,2,FALSE),"Artikel-ID prüfen"))</f>
        <v/>
      </c>
      <c r="H152" s="38"/>
      <c r="I152" s="42" t="str">
        <f>IF(OR(B152="",F152=""),"",IF(B152="Einkauf",IFERROR(VLOOKUP(F152,Stammdaten!$A$8:$L$57,5,FALSE),0),IFERROR(VLOOKUP(F152,Stammdaten!$A$8:$L$57,6,FALSE),0)))</f>
        <v/>
      </c>
      <c r="J152" s="43" t="str">
        <f t="shared" si="8"/>
        <v/>
      </c>
      <c r="K152" s="53"/>
      <c r="L152" s="5"/>
      <c r="M152" s="56"/>
      <c r="N152" s="47" t="str">
        <f>IF(OR(A152="",F152="",H152=""),"",IF(OR(L152="Storniert",L152="Abgeschlossen"),0,MAX(0,H152-IF(B152="Einkauf",SUMIFS(Warenbewegungen!$F$8:$F$207,Warenbewegungen!$I$8:$I$207,A152,Warenbewegungen!$D$8:$D$207,F152,Warenbewegungen!$C$8:$C$207,"Wareneingang"),SUMIFS(Warenbewegungen!$F$8:$F$207,Warenbewegungen!$I$8:$I$207,A152,Warenbewegungen!$D$8:$D$207,F152,Warenbewegungen!$C$8:$C$207,"Warenausgang")))))</f>
        <v/>
      </c>
      <c r="O152" s="43" t="str">
        <f t="shared" si="9"/>
        <v/>
      </c>
    </row>
    <row r="153" spans="1:15" x14ac:dyDescent="0.25">
      <c r="A153" s="4"/>
      <c r="B153" s="5"/>
      <c r="C153" s="35"/>
      <c r="D153" s="6"/>
      <c r="E153" s="23" t="str">
        <f>IF(D153="","",IFERROR(VLOOKUP(D153,Stammdaten!$N$8:$V$37,3,FALSE),"Partner-ID prüfen"))</f>
        <v/>
      </c>
      <c r="F153" s="20"/>
      <c r="G153" s="23" t="str">
        <f>IF(F153="","",IFERROR(VLOOKUP(F153,Stammdaten!$A$8:$L$57,2,FALSE),"Artikel-ID prüfen"))</f>
        <v/>
      </c>
      <c r="H153" s="38"/>
      <c r="I153" s="42" t="str">
        <f>IF(OR(B153="",F153=""),"",IF(B153="Einkauf",IFERROR(VLOOKUP(F153,Stammdaten!$A$8:$L$57,5,FALSE),0),IFERROR(VLOOKUP(F153,Stammdaten!$A$8:$L$57,6,FALSE),0)))</f>
        <v/>
      </c>
      <c r="J153" s="43" t="str">
        <f t="shared" si="8"/>
        <v/>
      </c>
      <c r="K153" s="53"/>
      <c r="L153" s="5"/>
      <c r="M153" s="56"/>
      <c r="N153" s="47" t="str">
        <f>IF(OR(A153="",F153="",H153=""),"",IF(OR(L153="Storniert",L153="Abgeschlossen"),0,MAX(0,H153-IF(B153="Einkauf",SUMIFS(Warenbewegungen!$F$8:$F$207,Warenbewegungen!$I$8:$I$207,A153,Warenbewegungen!$D$8:$D$207,F153,Warenbewegungen!$C$8:$C$207,"Wareneingang"),SUMIFS(Warenbewegungen!$F$8:$F$207,Warenbewegungen!$I$8:$I$207,A153,Warenbewegungen!$D$8:$D$207,F153,Warenbewegungen!$C$8:$C$207,"Warenausgang")))))</f>
        <v/>
      </c>
      <c r="O153" s="43" t="str">
        <f t="shared" si="9"/>
        <v/>
      </c>
    </row>
    <row r="154" spans="1:15" x14ac:dyDescent="0.25">
      <c r="A154" s="4"/>
      <c r="B154" s="5"/>
      <c r="C154" s="35"/>
      <c r="D154" s="6"/>
      <c r="E154" s="23" t="str">
        <f>IF(D154="","",IFERROR(VLOOKUP(D154,Stammdaten!$N$8:$V$37,3,FALSE),"Partner-ID prüfen"))</f>
        <v/>
      </c>
      <c r="F154" s="20"/>
      <c r="G154" s="23" t="str">
        <f>IF(F154="","",IFERROR(VLOOKUP(F154,Stammdaten!$A$8:$L$57,2,FALSE),"Artikel-ID prüfen"))</f>
        <v/>
      </c>
      <c r="H154" s="38"/>
      <c r="I154" s="42" t="str">
        <f>IF(OR(B154="",F154=""),"",IF(B154="Einkauf",IFERROR(VLOOKUP(F154,Stammdaten!$A$8:$L$57,5,FALSE),0),IFERROR(VLOOKUP(F154,Stammdaten!$A$8:$L$57,6,FALSE),0)))</f>
        <v/>
      </c>
      <c r="J154" s="43" t="str">
        <f t="shared" si="8"/>
        <v/>
      </c>
      <c r="K154" s="53"/>
      <c r="L154" s="5"/>
      <c r="M154" s="56"/>
      <c r="N154" s="47" t="str">
        <f>IF(OR(A154="",F154="",H154=""),"",IF(OR(L154="Storniert",L154="Abgeschlossen"),0,MAX(0,H154-IF(B154="Einkauf",SUMIFS(Warenbewegungen!$F$8:$F$207,Warenbewegungen!$I$8:$I$207,A154,Warenbewegungen!$D$8:$D$207,F154,Warenbewegungen!$C$8:$C$207,"Wareneingang"),SUMIFS(Warenbewegungen!$F$8:$F$207,Warenbewegungen!$I$8:$I$207,A154,Warenbewegungen!$D$8:$D$207,F154,Warenbewegungen!$C$8:$C$207,"Warenausgang")))))</f>
        <v/>
      </c>
      <c r="O154" s="43" t="str">
        <f t="shared" si="9"/>
        <v/>
      </c>
    </row>
    <row r="155" spans="1:15" x14ac:dyDescent="0.25">
      <c r="A155" s="4"/>
      <c r="B155" s="5"/>
      <c r="C155" s="35"/>
      <c r="D155" s="6"/>
      <c r="E155" s="23" t="str">
        <f>IF(D155="","",IFERROR(VLOOKUP(D155,Stammdaten!$N$8:$V$37,3,FALSE),"Partner-ID prüfen"))</f>
        <v/>
      </c>
      <c r="F155" s="20"/>
      <c r="G155" s="23" t="str">
        <f>IF(F155="","",IFERROR(VLOOKUP(F155,Stammdaten!$A$8:$L$57,2,FALSE),"Artikel-ID prüfen"))</f>
        <v/>
      </c>
      <c r="H155" s="38"/>
      <c r="I155" s="42" t="str">
        <f>IF(OR(B155="",F155=""),"",IF(B155="Einkauf",IFERROR(VLOOKUP(F155,Stammdaten!$A$8:$L$57,5,FALSE),0),IFERROR(VLOOKUP(F155,Stammdaten!$A$8:$L$57,6,FALSE),0)))</f>
        <v/>
      </c>
      <c r="J155" s="43" t="str">
        <f t="shared" si="8"/>
        <v/>
      </c>
      <c r="K155" s="53"/>
      <c r="L155" s="5"/>
      <c r="M155" s="56"/>
      <c r="N155" s="47" t="str">
        <f>IF(OR(A155="",F155="",H155=""),"",IF(OR(L155="Storniert",L155="Abgeschlossen"),0,MAX(0,H155-IF(B155="Einkauf",SUMIFS(Warenbewegungen!$F$8:$F$207,Warenbewegungen!$I$8:$I$207,A155,Warenbewegungen!$D$8:$D$207,F155,Warenbewegungen!$C$8:$C$207,"Wareneingang"),SUMIFS(Warenbewegungen!$F$8:$F$207,Warenbewegungen!$I$8:$I$207,A155,Warenbewegungen!$D$8:$D$207,F155,Warenbewegungen!$C$8:$C$207,"Warenausgang")))))</f>
        <v/>
      </c>
      <c r="O155" s="43" t="str">
        <f t="shared" si="9"/>
        <v/>
      </c>
    </row>
    <row r="156" spans="1:15" x14ac:dyDescent="0.25">
      <c r="A156" s="4"/>
      <c r="B156" s="5"/>
      <c r="C156" s="35"/>
      <c r="D156" s="6"/>
      <c r="E156" s="23" t="str">
        <f>IF(D156="","",IFERROR(VLOOKUP(D156,Stammdaten!$N$8:$V$37,3,FALSE),"Partner-ID prüfen"))</f>
        <v/>
      </c>
      <c r="F156" s="20"/>
      <c r="G156" s="23" t="str">
        <f>IF(F156="","",IFERROR(VLOOKUP(F156,Stammdaten!$A$8:$L$57,2,FALSE),"Artikel-ID prüfen"))</f>
        <v/>
      </c>
      <c r="H156" s="38"/>
      <c r="I156" s="42" t="str">
        <f>IF(OR(B156="",F156=""),"",IF(B156="Einkauf",IFERROR(VLOOKUP(F156,Stammdaten!$A$8:$L$57,5,FALSE),0),IFERROR(VLOOKUP(F156,Stammdaten!$A$8:$L$57,6,FALSE),0)))</f>
        <v/>
      </c>
      <c r="J156" s="43" t="str">
        <f t="shared" si="8"/>
        <v/>
      </c>
      <c r="K156" s="53"/>
      <c r="L156" s="5"/>
      <c r="M156" s="56"/>
      <c r="N156" s="47" t="str">
        <f>IF(OR(A156="",F156="",H156=""),"",IF(OR(L156="Storniert",L156="Abgeschlossen"),0,MAX(0,H156-IF(B156="Einkauf",SUMIFS(Warenbewegungen!$F$8:$F$207,Warenbewegungen!$I$8:$I$207,A156,Warenbewegungen!$D$8:$D$207,F156,Warenbewegungen!$C$8:$C$207,"Wareneingang"),SUMIFS(Warenbewegungen!$F$8:$F$207,Warenbewegungen!$I$8:$I$207,A156,Warenbewegungen!$D$8:$D$207,F156,Warenbewegungen!$C$8:$C$207,"Warenausgang")))))</f>
        <v/>
      </c>
      <c r="O156" s="43" t="str">
        <f t="shared" si="9"/>
        <v/>
      </c>
    </row>
    <row r="157" spans="1:15" x14ac:dyDescent="0.25">
      <c r="A157" s="7"/>
      <c r="B157" s="8"/>
      <c r="C157" s="36"/>
      <c r="D157" s="9"/>
      <c r="E157" s="24" t="str">
        <f>IF(D157="","",IFERROR(VLOOKUP(D157,Stammdaten!$N$8:$V$37,3,FALSE),"Partner-ID prüfen"))</f>
        <v/>
      </c>
      <c r="F157" s="21"/>
      <c r="G157" s="24" t="str">
        <f>IF(F157="","",IFERROR(VLOOKUP(F157,Stammdaten!$A$8:$L$57,2,FALSE),"Artikel-ID prüfen"))</f>
        <v/>
      </c>
      <c r="H157" s="39"/>
      <c r="I157" s="44" t="str">
        <f>IF(OR(B157="",F157=""),"",IF(B157="Einkauf",IFERROR(VLOOKUP(F157,Stammdaten!$A$8:$L$57,5,FALSE),0),IFERROR(VLOOKUP(F157,Stammdaten!$A$8:$L$57,6,FALSE),0)))</f>
        <v/>
      </c>
      <c r="J157" s="45" t="str">
        <f t="shared" si="8"/>
        <v/>
      </c>
      <c r="K157" s="54"/>
      <c r="L157" s="8"/>
      <c r="M157" s="57"/>
      <c r="N157" s="48" t="str">
        <f>IF(OR(A157="",F157="",H157=""),"",IF(OR(L157="Storniert",L157="Abgeschlossen"),0,MAX(0,H157-IF(B157="Einkauf",SUMIFS(Warenbewegungen!$F$8:$F$207,Warenbewegungen!$I$8:$I$207,A157,Warenbewegungen!$D$8:$D$207,F157,Warenbewegungen!$C$8:$C$207,"Wareneingang"),SUMIFS(Warenbewegungen!$F$8:$F$207,Warenbewegungen!$I$8:$I$207,A157,Warenbewegungen!$D$8:$D$207,F157,Warenbewegungen!$C$8:$C$207,"Warenausgang")))))</f>
        <v/>
      </c>
      <c r="O157" s="45" t="str">
        <f t="shared" si="9"/>
        <v/>
      </c>
    </row>
  </sheetData>
  <mergeCells count="3">
    <mergeCell ref="A1:O2"/>
    <mergeCell ref="A3:O3"/>
    <mergeCell ref="A5:O5"/>
  </mergeCells>
  <conditionalFormatting sqref="L8:L157">
    <cfRule type="expression" dxfId="3" priority="1">
      <formula>OR(L8="Offen",L8="Bestellt")</formula>
    </cfRule>
    <cfRule type="expression" dxfId="2" priority="2">
      <formula>L8="Teilgeliefert"</formula>
    </cfRule>
    <cfRule type="expression" dxfId="1" priority="3">
      <formula>OR(L8="Geliefert",L8="Abgeschlossen")</formula>
    </cfRule>
    <cfRule type="expression" dxfId="0" priority="4">
      <formula>L8="Storniert"</formula>
    </cfRule>
  </conditionalFormatting>
  <conditionalFormatting sqref="N8:N157">
    <cfRule type="dataBar" priority="5">
      <dataBar>
        <cfvo type="min"/>
        <cfvo type="max"/>
        <color rgb="FFD89058"/>
      </dataBar>
    </cfRule>
    <cfRule type="dataBar" priority="6">
      <dataBar>
        <cfvo type="min"/>
        <cfvo type="max"/>
        <color rgb="FFD89058"/>
      </dataBar>
      <extLst>
        <ext xmlns:x14="http://schemas.microsoft.com/office/spreadsheetml/2009/9/main" uri="{B025F937-C7B1-47D3-B67F-A62EFF666E3E}">
          <x14:id>{ACFB8928-296A-33A3-B312-BAB66538CB63}</x14:id>
        </ext>
      </extLst>
    </cfRule>
  </conditionalFormatting>
  <dataValidations count="2">
    <dataValidation type="list" sqref="B8:B157" xr:uid="{00000000-0002-0000-0300-000000000000}">
      <formula1>"Einkauf,Verkauf"</formula1>
    </dataValidation>
    <dataValidation type="list" sqref="L8:L157" xr:uid="{00000000-0002-0000-0300-000003000000}">
      <formula1>"Entwurf,Offen,Bestellt,Teilgeliefert,Geliefert,Abgeschlossen,Storniert"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FB8928-296A-33A3-B312-BAB66538CB63}">
            <x14:dataBar>
              <x14:cfvo type="min"/>
              <x14:cfvo type="max"/>
              <x14:negativeFillColor auto="1"/>
              <x14:axisColor auto="1"/>
            </x14:dataBar>
          </x14:cfRule>
          <xm:sqref>N8:N157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300-000001000000}">
          <x14:formula1>
            <xm:f>Stammdaten!$N$8:$N$37</xm:f>
          </x14:formula1>
          <xm:sqref>D8:D157</xm:sqref>
        </x14:dataValidation>
        <x14:dataValidation type="list" xr:uid="{00000000-0002-0000-0300-000002000000}">
          <x14:formula1>
            <xm:f>Stammdaten!$A$8:$A$57</xm:f>
          </x14:formula1>
          <xm:sqref>F8:F157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Stammdaten</vt:lpstr>
      <vt:lpstr>Warenbewegungen</vt:lpstr>
      <vt:lpstr>Aufträge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2026-07-15T17:03:26Z</dcterms:modified>
</cp:coreProperties>
</file>