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9D1693E-5D5D-4DEB-BD21-5EF4F70B8860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Artikel" sheetId="2" r:id="rId2"/>
    <sheet name="Lager" sheetId="3" r:id="rId3"/>
    <sheet name="Zugänge" sheetId="4" r:id="rId4"/>
    <sheet name="Abgänge" sheetId="5" r:id="rId5"/>
    <sheet name="Lieferanten" sheetId="6" r:id="rId6"/>
    <sheet name="Bestellungen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" i="7" l="1"/>
  <c r="H17" i="7" s="1"/>
  <c r="D17" i="7"/>
  <c r="G16" i="7"/>
  <c r="H16" i="7" s="1"/>
  <c r="D16" i="7"/>
  <c r="G15" i="7"/>
  <c r="H15" i="7" s="1"/>
  <c r="D15" i="7"/>
  <c r="G14" i="7"/>
  <c r="H14" i="7" s="1"/>
  <c r="D14" i="7"/>
  <c r="G13" i="7"/>
  <c r="H13" i="7" s="1"/>
  <c r="D13" i="7"/>
  <c r="G12" i="7"/>
  <c r="H12" i="7" s="1"/>
  <c r="D12" i="7"/>
  <c r="G11" i="7"/>
  <c r="H11" i="7" s="1"/>
  <c r="D11" i="7"/>
  <c r="H10" i="7"/>
  <c r="G10" i="7"/>
  <c r="D10" i="7"/>
  <c r="H9" i="7"/>
  <c r="G9" i="7"/>
  <c r="D9" i="7"/>
  <c r="G8" i="7"/>
  <c r="H8" i="7" s="1"/>
  <c r="D8" i="7"/>
  <c r="G7" i="7"/>
  <c r="H7" i="7" s="1"/>
  <c r="D7" i="7"/>
  <c r="G6" i="7"/>
  <c r="H6" i="7" s="1"/>
  <c r="D6" i="7"/>
  <c r="G5" i="7"/>
  <c r="H5" i="7" s="1"/>
  <c r="D5" i="7"/>
  <c r="H4" i="7"/>
  <c r="G4" i="7"/>
  <c r="D4" i="7"/>
  <c r="G21" i="5"/>
  <c r="H21" i="5" s="1"/>
  <c r="B21" i="5"/>
  <c r="H20" i="5"/>
  <c r="G20" i="5"/>
  <c r="B20" i="5"/>
  <c r="G19" i="5"/>
  <c r="H19" i="5" s="1"/>
  <c r="B19" i="5"/>
  <c r="G18" i="5"/>
  <c r="H18" i="5" s="1"/>
  <c r="B18" i="5"/>
  <c r="G17" i="5"/>
  <c r="H17" i="5" s="1"/>
  <c r="B17" i="5"/>
  <c r="G16" i="5"/>
  <c r="H16" i="5" s="1"/>
  <c r="B16" i="5"/>
  <c r="G15" i="5"/>
  <c r="H15" i="5" s="1"/>
  <c r="B15" i="5"/>
  <c r="H14" i="5"/>
  <c r="G14" i="5"/>
  <c r="B14" i="5"/>
  <c r="G13" i="5"/>
  <c r="H13" i="5" s="1"/>
  <c r="B13" i="5"/>
  <c r="H12" i="5"/>
  <c r="G12" i="5"/>
  <c r="B12" i="5"/>
  <c r="G11" i="5"/>
  <c r="H11" i="5" s="1"/>
  <c r="B11" i="5"/>
  <c r="G10" i="5"/>
  <c r="H10" i="5" s="1"/>
  <c r="B10" i="5"/>
  <c r="G9" i="5"/>
  <c r="F20" i="1" s="1"/>
  <c r="B9" i="5"/>
  <c r="H8" i="5"/>
  <c r="G8" i="5"/>
  <c r="F28" i="1" s="1"/>
  <c r="B8" i="5"/>
  <c r="H7" i="5"/>
  <c r="G7" i="5"/>
  <c r="B7" i="5"/>
  <c r="G6" i="5"/>
  <c r="H6" i="5" s="1"/>
  <c r="B6" i="5"/>
  <c r="G5" i="5"/>
  <c r="H5" i="5" s="1"/>
  <c r="B5" i="5"/>
  <c r="G4" i="5"/>
  <c r="H4" i="5" s="1"/>
  <c r="B4" i="5"/>
  <c r="B15" i="4"/>
  <c r="B14" i="4"/>
  <c r="B13" i="4"/>
  <c r="B12" i="4"/>
  <c r="B11" i="4"/>
  <c r="B10" i="4"/>
  <c r="B9" i="4"/>
  <c r="B8" i="4"/>
  <c r="B7" i="4"/>
  <c r="B6" i="4"/>
  <c r="B5" i="4"/>
  <c r="B4" i="4"/>
  <c r="H15" i="3"/>
  <c r="F15" i="3"/>
  <c r="E15" i="3"/>
  <c r="G15" i="3" s="1"/>
  <c r="C15" i="3"/>
  <c r="B15" i="3"/>
  <c r="A15" i="3"/>
  <c r="H14" i="3"/>
  <c r="A14" i="3"/>
  <c r="F14" i="3" s="1"/>
  <c r="B13" i="3"/>
  <c r="A13" i="3"/>
  <c r="E13" i="3" s="1"/>
  <c r="H12" i="3"/>
  <c r="F12" i="3"/>
  <c r="E12" i="3"/>
  <c r="G12" i="3" s="1"/>
  <c r="C12" i="3"/>
  <c r="A12" i="3"/>
  <c r="B12" i="3" s="1"/>
  <c r="A11" i="3"/>
  <c r="H11" i="3" s="1"/>
  <c r="H10" i="3"/>
  <c r="F10" i="3"/>
  <c r="E10" i="3"/>
  <c r="G10" i="3" s="1"/>
  <c r="C10" i="3"/>
  <c r="B10" i="3"/>
  <c r="A10" i="3"/>
  <c r="H9" i="3"/>
  <c r="A9" i="3"/>
  <c r="F9" i="3" s="1"/>
  <c r="A8" i="3"/>
  <c r="E8" i="3" s="1"/>
  <c r="F7" i="3"/>
  <c r="E7" i="3"/>
  <c r="G7" i="3" s="1"/>
  <c r="C7" i="3"/>
  <c r="B7" i="3"/>
  <c r="A7" i="3"/>
  <c r="H7" i="3" s="1"/>
  <c r="A6" i="3"/>
  <c r="B6" i="3" s="1"/>
  <c r="H5" i="3"/>
  <c r="C5" i="3"/>
  <c r="B5" i="3"/>
  <c r="A5" i="3"/>
  <c r="F5" i="3" s="1"/>
  <c r="A4" i="3"/>
  <c r="E28" i="1"/>
  <c r="G28" i="1" s="1"/>
  <c r="B28" i="1"/>
  <c r="A28" i="1"/>
  <c r="B27" i="1"/>
  <c r="A27" i="1"/>
  <c r="B26" i="1"/>
  <c r="A26" i="1"/>
  <c r="F26" i="1" s="1"/>
  <c r="E25" i="1"/>
  <c r="G25" i="1" s="1"/>
  <c r="B25" i="1"/>
  <c r="A25" i="1"/>
  <c r="B24" i="1"/>
  <c r="A24" i="1"/>
  <c r="F24" i="1" s="1"/>
  <c r="B23" i="1"/>
  <c r="A23" i="1"/>
  <c r="F22" i="1"/>
  <c r="E22" i="1"/>
  <c r="G22" i="1" s="1"/>
  <c r="B22" i="1"/>
  <c r="A22" i="1"/>
  <c r="B21" i="1"/>
  <c r="A21" i="1"/>
  <c r="F21" i="1" s="1"/>
  <c r="E20" i="1"/>
  <c r="G20" i="1" s="1"/>
  <c r="B20" i="1"/>
  <c r="A20" i="1"/>
  <c r="F19" i="1"/>
  <c r="B19" i="1"/>
  <c r="A19" i="1"/>
  <c r="E19" i="1" s="1"/>
  <c r="G19" i="1" s="1"/>
  <c r="B18" i="1"/>
  <c r="A18" i="1"/>
  <c r="E17" i="1"/>
  <c r="B17" i="1"/>
  <c r="A17" i="1"/>
  <c r="A13" i="1"/>
  <c r="E10" i="1"/>
  <c r="A10" i="1"/>
  <c r="A7" i="1"/>
  <c r="C20" i="1" l="1"/>
  <c r="J7" i="3"/>
  <c r="I7" i="3"/>
  <c r="D20" i="1" s="1"/>
  <c r="D23" i="1"/>
  <c r="H20" i="1"/>
  <c r="I20" i="1" s="1"/>
  <c r="H22" i="1"/>
  <c r="I22" i="1" s="1"/>
  <c r="I12" i="3"/>
  <c r="D25" i="1" s="1"/>
  <c r="J12" i="3"/>
  <c r="E13" i="1"/>
  <c r="C27" i="1"/>
  <c r="G8" i="3"/>
  <c r="I19" i="1"/>
  <c r="J15" i="3"/>
  <c r="I15" i="3"/>
  <c r="C23" i="1"/>
  <c r="J10" i="3"/>
  <c r="I10" i="3"/>
  <c r="H28" i="1"/>
  <c r="I28" i="1" s="1"/>
  <c r="F18" i="1"/>
  <c r="C25" i="1"/>
  <c r="E27" i="1"/>
  <c r="G27" i="1" s="1"/>
  <c r="B4" i="3"/>
  <c r="E6" i="3"/>
  <c r="G6" i="3" s="1"/>
  <c r="H9" i="5"/>
  <c r="I10" i="1" s="1"/>
  <c r="B8" i="3"/>
  <c r="E18" i="1"/>
  <c r="G18" i="1" s="1"/>
  <c r="C6" i="3"/>
  <c r="F8" i="3"/>
  <c r="C4" i="3"/>
  <c r="F6" i="3"/>
  <c r="C8" i="3"/>
  <c r="F27" i="1"/>
  <c r="H8" i="3"/>
  <c r="F25" i="1"/>
  <c r="C11" i="3"/>
  <c r="F13" i="3"/>
  <c r="G13" i="3" s="1"/>
  <c r="F23" i="1"/>
  <c r="H4" i="3"/>
  <c r="B9" i="3"/>
  <c r="E11" i="3"/>
  <c r="G11" i="3" s="1"/>
  <c r="H6" i="3"/>
  <c r="E23" i="1"/>
  <c r="G23" i="1" s="1"/>
  <c r="C19" i="1"/>
  <c r="E21" i="1"/>
  <c r="G21" i="1" s="1"/>
  <c r="H21" i="1" s="1"/>
  <c r="I21" i="1" s="1"/>
  <c r="C9" i="3"/>
  <c r="F11" i="3"/>
  <c r="H13" i="3"/>
  <c r="E4" i="3"/>
  <c r="C13" i="3"/>
  <c r="B11" i="3"/>
  <c r="C28" i="1"/>
  <c r="E9" i="3"/>
  <c r="G9" i="3" s="1"/>
  <c r="F4" i="3"/>
  <c r="D28" i="1"/>
  <c r="F17" i="1"/>
  <c r="H19" i="1"/>
  <c r="C24" i="1"/>
  <c r="E26" i="1"/>
  <c r="G26" i="1" s="1"/>
  <c r="H26" i="1" s="1"/>
  <c r="I26" i="1" s="1"/>
  <c r="E5" i="3"/>
  <c r="G5" i="3" s="1"/>
  <c r="C14" i="3"/>
  <c r="G17" i="1"/>
  <c r="E14" i="3"/>
  <c r="G14" i="3" s="1"/>
  <c r="B14" i="3"/>
  <c r="E24" i="1"/>
  <c r="G24" i="1" s="1"/>
  <c r="H24" i="1" s="1"/>
  <c r="I24" i="1" s="1"/>
  <c r="C26" i="1" l="1"/>
  <c r="J13" i="3"/>
  <c r="I13" i="3"/>
  <c r="D26" i="1" s="1"/>
  <c r="F29" i="1"/>
  <c r="H17" i="1"/>
  <c r="H27" i="1"/>
  <c r="I27" i="1"/>
  <c r="I5" i="3"/>
  <c r="D18" i="1" s="1"/>
  <c r="J5" i="3"/>
  <c r="I8" i="3"/>
  <c r="D21" i="1" s="1"/>
  <c r="J8" i="3"/>
  <c r="H25" i="1"/>
  <c r="I25" i="1" s="1"/>
  <c r="C21" i="1"/>
  <c r="C18" i="1"/>
  <c r="I6" i="3"/>
  <c r="D19" i="1" s="1"/>
  <c r="J6" i="3"/>
  <c r="F16" i="3"/>
  <c r="J11" i="3"/>
  <c r="I11" i="3"/>
  <c r="D24" i="1" s="1"/>
  <c r="E16" i="3"/>
  <c r="G4" i="3"/>
  <c r="J9" i="3"/>
  <c r="I9" i="3"/>
  <c r="D22" i="1" s="1"/>
  <c r="J14" i="3"/>
  <c r="I14" i="3"/>
  <c r="D27" i="1" s="1"/>
  <c r="H18" i="1"/>
  <c r="I18" i="1" s="1"/>
  <c r="E29" i="1"/>
  <c r="C22" i="1"/>
  <c r="G29" i="1"/>
  <c r="H23" i="1"/>
  <c r="I23" i="1" s="1"/>
  <c r="H29" i="1" l="1"/>
  <c r="I13" i="1" s="1"/>
  <c r="I17" i="1"/>
  <c r="I29" i="1"/>
  <c r="G16" i="3"/>
  <c r="J4" i="3"/>
  <c r="J16" i="3" s="1"/>
  <c r="E7" i="1" s="1"/>
  <c r="I4" i="3"/>
  <c r="C17" i="1"/>
  <c r="D17" i="1" l="1"/>
  <c r="I7" i="1"/>
</calcChain>
</file>

<file path=xl/sharedStrings.xml><?xml version="1.0" encoding="utf-8"?>
<sst xmlns="http://schemas.openxmlformats.org/spreadsheetml/2006/main" count="334" uniqueCount="186">
  <si>
    <t>NORDWERK HANDEL GMBH</t>
  </si>
  <si>
    <t>Warenwirtschaftssystem · Vorlage · Geschäftsjahr 2026</t>
  </si>
  <si>
    <t>KENNZAHLEN AUF EINEN BLICK</t>
  </si>
  <si>
    <t>ARTIKEL GESAMT</t>
  </si>
  <si>
    <t>LAGERWERT (EK)</t>
  </si>
  <si>
    <t>ARTIKEL UNTER MELDEBESTAND</t>
  </si>
  <si>
    <t>ZUGÄNGE GESAMT (STK.)</t>
  </si>
  <si>
    <t>ABGÄNGE GESAMT (STK.)</t>
  </si>
  <si>
    <t>UMSATZ GESAMT (VK)</t>
  </si>
  <si>
    <t>OFFENE BESTELLUNGEN</t>
  </si>
  <si>
    <t>EINKAUFSVOLUMEN (€)</t>
  </si>
  <si>
    <t>ROHERTRAG GESAMT (€)</t>
  </si>
  <si>
    <t>BESTAND &amp; ERTRAG JE ARTIKEL</t>
  </si>
  <si>
    <t>Artikel-Nr.</t>
  </si>
  <si>
    <t>Bezeichnung</t>
  </si>
  <si>
    <t>Bestand</t>
  </si>
  <si>
    <t>Status</t>
  </si>
  <si>
    <t>Abgang (Stk.)</t>
  </si>
  <si>
    <t>Umsatz (€)</t>
  </si>
  <si>
    <t>Wareneinsatz (€)</t>
  </si>
  <si>
    <t>Rohertrag (€)</t>
  </si>
  <si>
    <t>Marge (%)</t>
  </si>
  <si>
    <t>GESAMT</t>
  </si>
  <si>
    <t>LEGENDE:  Blauer Text = Eingabewerte (änderbar)   ·   Grüner Text = Verknüpfung aus anderen Blättern   ·   Schwarzer Text = automatische Formel   ·   Rot = Meldebestand unterschritten</t>
  </si>
  <si>
    <t>Hinweis: Firmenname, Artikel, Preise, Lieferanten und Kunden sind Beispieldaten und können vollständig überschrieben werden. Alle Kennzahlen berechnen sich automatisch neu.</t>
  </si>
  <si>
    <t>ARTIKELSTAMMDATEN</t>
  </si>
  <si>
    <t>Zentrale Artikelliste – Grundlage für alle weiteren Module. Blau = Eingaben.</t>
  </si>
  <si>
    <t>Artikelnummer</t>
  </si>
  <si>
    <t>Artikelbezeichnung</t>
  </si>
  <si>
    <t>Warengruppe</t>
  </si>
  <si>
    <t>Einheit</t>
  </si>
  <si>
    <t>EK netto (€)</t>
  </si>
  <si>
    <t>VK netto (€)</t>
  </si>
  <si>
    <t>MwSt.</t>
  </si>
  <si>
    <t>Mindestbestand</t>
  </si>
  <si>
    <t>Lagerort</t>
  </si>
  <si>
    <t>Bemerkung</t>
  </si>
  <si>
    <t>ART-1001</t>
  </si>
  <si>
    <t>Mineralwasser still 0,5 L (24er-Kasten)</t>
  </si>
  <si>
    <t>Getränke</t>
  </si>
  <si>
    <t>Kasten</t>
  </si>
  <si>
    <t>A-01</t>
  </si>
  <si>
    <t>ART-1002</t>
  </si>
  <si>
    <t>Cola Classic 1,0 L (12er-Kasten)</t>
  </si>
  <si>
    <t>A-02</t>
  </si>
  <si>
    <t>ART-1003</t>
  </si>
  <si>
    <t>Kaffeebohnen Röstung 1 kg</t>
  </si>
  <si>
    <t>Beutel</t>
  </si>
  <si>
    <t>A-03</t>
  </si>
  <si>
    <t>ART-1004</t>
  </si>
  <si>
    <t>Allzweckreiniger Konzentrat 5 L</t>
  </si>
  <si>
    <t>Reinigung</t>
  </si>
  <si>
    <t>Kanister</t>
  </si>
  <si>
    <t>B-01</t>
  </si>
  <si>
    <t>ART-1005</t>
  </si>
  <si>
    <t>Einweghandschuhe Nitril (100 St.)</t>
  </si>
  <si>
    <t>Box</t>
  </si>
  <si>
    <t>B-02</t>
  </si>
  <si>
    <t>ART-1006</t>
  </si>
  <si>
    <t>Faltkarton 400×300×300 mm</t>
  </si>
  <si>
    <t>Verpackung</t>
  </si>
  <si>
    <t>Stück</t>
  </si>
  <si>
    <t>C-01</t>
  </si>
  <si>
    <t>ART-1007</t>
  </si>
  <si>
    <t>Packband transparent 66 m</t>
  </si>
  <si>
    <t>Rolle</t>
  </si>
  <si>
    <t>C-02</t>
  </si>
  <si>
    <t>ART-1008</t>
  </si>
  <si>
    <t>LED-Leuchtmittel E27 9 W</t>
  </si>
  <si>
    <t>Elektro</t>
  </si>
  <si>
    <t>D-01</t>
  </si>
  <si>
    <t>ART-1009</t>
  </si>
  <si>
    <t>Verlängerungskabel 5 m</t>
  </si>
  <si>
    <t>D-02</t>
  </si>
  <si>
    <t>ART-1010</t>
  </si>
  <si>
    <t>Akkuschrauber kompakt 12 V</t>
  </si>
  <si>
    <t>Werkzeug</t>
  </si>
  <si>
    <t>E-01</t>
  </si>
  <si>
    <t>ART-1011</t>
  </si>
  <si>
    <t>Schraubensortiment 220-tlg.</t>
  </si>
  <si>
    <t>Set</t>
  </si>
  <si>
    <t>E-02</t>
  </si>
  <si>
    <t>ART-1012</t>
  </si>
  <si>
    <t>Arbeitshandschuhe Gr. L</t>
  </si>
  <si>
    <t>Paar</t>
  </si>
  <si>
    <t>E-03</t>
  </si>
  <si>
    <t>LAGERVERWALTUNG &amp; BESTANDSFÜHRUNG</t>
  </si>
  <si>
    <t>Bestand = Anfangsbestand + Zugänge − Abgänge  ·  automatisch aus den Bewegungsmodulen.</t>
  </si>
  <si>
    <t>Anfangsbestand</t>
  </si>
  <si>
    <t>Zugänge (Σ)</t>
  </si>
  <si>
    <t>Abgänge (Σ)</t>
  </si>
  <si>
    <t>Aktueller Bestand</t>
  </si>
  <si>
    <t>Meldebestand</t>
  </si>
  <si>
    <t>Lagerwert (€)</t>
  </si>
  <si>
    <t>WARENEINGÄNGE (ZUGÄNGE)</t>
  </si>
  <si>
    <t>Jeden Wareneingang erfassen – fließt automatisch in die Lagerverwaltung ein.</t>
  </si>
  <si>
    <t>Menge</t>
  </si>
  <si>
    <t>Datum</t>
  </si>
  <si>
    <t>Lieferant</t>
  </si>
  <si>
    <t>Bestellnummer</t>
  </si>
  <si>
    <t>Nordquell Getränke</t>
  </si>
  <si>
    <t>BE-2026-001</t>
  </si>
  <si>
    <t>Bohnenkontor Handel</t>
  </si>
  <si>
    <t>BE-2026-002</t>
  </si>
  <si>
    <t>CleanPro Vertrieb</t>
  </si>
  <si>
    <t>BE-2026-003</t>
  </si>
  <si>
    <t>PackWerk Logistik</t>
  </si>
  <si>
    <t>BE-2026-004</t>
  </si>
  <si>
    <t>ElektroDirekt GmbH</t>
  </si>
  <si>
    <t>BE-2026-005</t>
  </si>
  <si>
    <t>ToolLine Handel</t>
  </si>
  <si>
    <t>BE-2026-006</t>
  </si>
  <si>
    <t>WARENAUSGÄNGE (ABGÄNGE / VERKÄUFE)</t>
  </si>
  <si>
    <t>Jeden Verkauf erfassen – reduziert automatisch den Bestand, Umsatz wird berechnet.</t>
  </si>
  <si>
    <t>Kunde / Empfänger</t>
  </si>
  <si>
    <t>Belegnummer</t>
  </si>
  <si>
    <t>VK-Preis (€)</t>
  </si>
  <si>
    <t>Kiosk Sonneneck</t>
  </si>
  <si>
    <t>VK-2026-001</t>
  </si>
  <si>
    <t>Café Central</t>
  </si>
  <si>
    <t>VK-2026-002</t>
  </si>
  <si>
    <t>Gebäudeservice Nord</t>
  </si>
  <si>
    <t>VK-2026-003</t>
  </si>
  <si>
    <t>Versandhaus Wittmann</t>
  </si>
  <si>
    <t>VK-2026-004</t>
  </si>
  <si>
    <t>Elektro Sander</t>
  </si>
  <si>
    <t>VK-2026-005</t>
  </si>
  <si>
    <t>Bau &amp; Montage Freytag</t>
  </si>
  <si>
    <t>VK-2026-006</t>
  </si>
  <si>
    <t>VK-2026-007</t>
  </si>
  <si>
    <t>Bäckerei Lorenz</t>
  </si>
  <si>
    <t>VK-2026-008</t>
  </si>
  <si>
    <t>VK-2026-009</t>
  </si>
  <si>
    <t>Hausmeister Team Süd</t>
  </si>
  <si>
    <t>VK-2026-010</t>
  </si>
  <si>
    <t>VK-2026-011</t>
  </si>
  <si>
    <t>Praxis Dr. Behrens</t>
  </si>
  <si>
    <t>VK-2026-012</t>
  </si>
  <si>
    <t>LIEFERANTENVERWALTUNG</t>
  </si>
  <si>
    <t>Stammdaten und Konditionen aller Lieferanten pflegen.</t>
  </si>
  <si>
    <t>Lieferanten-Nr.</t>
  </si>
  <si>
    <t>Lieferantenname</t>
  </si>
  <si>
    <t>Kontaktperson</t>
  </si>
  <si>
    <t>E-Mail</t>
  </si>
  <si>
    <t>Telefon</t>
  </si>
  <si>
    <t>Lieferzeit (Tage)</t>
  </si>
  <si>
    <t>Zahlungsziel (Tage)</t>
  </si>
  <si>
    <t>Zahlungsart</t>
  </si>
  <si>
    <t>LF-01</t>
  </si>
  <si>
    <t>Fr. Ahlers</t>
  </si>
  <si>
    <t>bestellung@nordquell-beispiel.de</t>
  </si>
  <si>
    <t>+49 441 5550100</t>
  </si>
  <si>
    <t>Überweisung</t>
  </si>
  <si>
    <t>LF-02</t>
  </si>
  <si>
    <t>Hr. Petersen</t>
  </si>
  <si>
    <t>einkauf@bohnenkontor-beispiel.de</t>
  </si>
  <si>
    <t>+49 40 5550200</t>
  </si>
  <si>
    <t>SEPA-Lastschrift</t>
  </si>
  <si>
    <t>LF-03</t>
  </si>
  <si>
    <t>Fr. Marquardt</t>
  </si>
  <si>
    <t>service@cleanpro-beispiel.de</t>
  </si>
  <si>
    <t>+49 30 5550300</t>
  </si>
  <si>
    <t>LF-04</t>
  </si>
  <si>
    <t>Hr. Timm</t>
  </si>
  <si>
    <t>order@packwerk-beispiel.de</t>
  </si>
  <si>
    <t>+49 421 5550400</t>
  </si>
  <si>
    <t>LF-05</t>
  </si>
  <si>
    <t>Fr. Renner</t>
  </si>
  <si>
    <t>vertrieb@elektrodirekt-beispiel.de</t>
  </si>
  <si>
    <t>+49 89 5550500</t>
  </si>
  <si>
    <t>Kreditkarte</t>
  </si>
  <si>
    <t>LF-06</t>
  </si>
  <si>
    <t>Hr. Grote</t>
  </si>
  <si>
    <t>kontakt@toolline-beispiel.de</t>
  </si>
  <si>
    <t>+49 511 5550600</t>
  </si>
  <si>
    <t>BESTELLWESEN (EINKAUF)</t>
  </si>
  <si>
    <t>Bestellungen bei Lieferanten erfassen und verfolgen  ·  Status: Offen / Bestellt / Geliefert / Abgeschlossen.</t>
  </si>
  <si>
    <t>Bestelldatum</t>
  </si>
  <si>
    <t>EK-Preis (€)</t>
  </si>
  <si>
    <t>Bestellwert (€)</t>
  </si>
  <si>
    <t>Lieferdatum (geplant)</t>
  </si>
  <si>
    <t>Geliefert</t>
  </si>
  <si>
    <t>BE-2026-007</t>
  </si>
  <si>
    <t>Bestellt</t>
  </si>
  <si>
    <t>BE-2026-008</t>
  </si>
  <si>
    <t>Offen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</si>
</sst>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.0%"/>
    <numFmt numFmtId="166" formatCode="dd\.mm\.yyyy"/>
  </numFmts>
  <fonts count="16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i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8"/>
      <color rgb="FF1A6B66"/>
      <name val="Calibri"/>
      <charset val="1"/>
    </font>
    <font>
      <b/>
      <sz val="20"/>
      <color rgb="FF0E4D4A"/>
      <name val="Calibri"/>
      <charset val="1"/>
    </font>
    <font>
      <b/>
      <sz val="20"/>
      <color rgb="FFC8781E"/>
      <name val="Calibri"/>
      <charset val="1"/>
    </font>
    <font>
      <b/>
      <sz val="20"/>
      <color rgb="FFC0392B"/>
      <name val="Calibri"/>
      <charset val="1"/>
    </font>
    <font>
      <b/>
      <sz val="10"/>
      <color rgb="FFFFFFFF"/>
      <name val="Calibri"/>
      <charset val="1"/>
    </font>
    <font>
      <sz val="10"/>
      <color rgb="FF2E7D32"/>
      <name val="Calibri"/>
      <charset val="1"/>
    </font>
    <font>
      <b/>
      <sz val="10"/>
      <color rgb="FF23302F"/>
      <name val="Calibri"/>
      <charset val="1"/>
    </font>
    <font>
      <sz val="10"/>
      <color rgb="FF23302F"/>
      <name val="Calibri"/>
      <charset val="1"/>
    </font>
    <font>
      <i/>
      <sz val="8"/>
      <color rgb="FF6B7B79"/>
      <name val="Calibri"/>
      <charset val="1"/>
    </font>
    <font>
      <b/>
      <sz val="15"/>
      <color rgb="FFFFFFFF"/>
      <name val="Calibri"/>
      <charset val="1"/>
    </font>
    <font>
      <i/>
      <sz val="9"/>
      <color rgb="FFFFFFFF"/>
      <name val="Calibri"/>
      <charset val="1"/>
    </font>
    <font>
      <sz val="10"/>
      <color rgb="FF1F5FBF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0E4D4A"/>
        <bgColor rgb="FF1A6B66"/>
      </patternFill>
    </fill>
    <fill>
      <patternFill patternType="solid">
        <fgColor rgb="FF1A6B66"/>
        <bgColor rgb="FF008080"/>
      </patternFill>
    </fill>
    <fill>
      <patternFill patternType="solid">
        <fgColor rgb="FFE3EEEC"/>
        <bgColor rgb="FFE4F2E4"/>
      </patternFill>
    </fill>
    <fill>
      <patternFill patternType="solid">
        <fgColor rgb="FFF4F8F7"/>
        <bgColor rgb="FFFFFFFF"/>
      </patternFill>
    </fill>
  </fills>
  <borders count="4">
    <border>
      <left/>
      <right/>
      <top/>
      <bottom/>
      <diagonal/>
    </border>
    <border>
      <left style="medium">
        <color rgb="FF0E4D4A"/>
      </left>
      <right style="medium">
        <color rgb="FF0E4D4A"/>
      </right>
      <top style="medium">
        <color rgb="FF0E4D4A"/>
      </top>
      <bottom/>
      <diagonal/>
    </border>
    <border>
      <left style="medium">
        <color rgb="FF0E4D4A"/>
      </left>
      <right style="medium">
        <color rgb="FF0E4D4A"/>
      </right>
      <top/>
      <bottom style="medium">
        <color rgb="FF0E4D4A"/>
      </bottom>
      <diagonal/>
    </border>
    <border>
      <left style="thin">
        <color rgb="FFC9D6D4"/>
      </left>
      <right style="thin">
        <color rgb="FFC9D6D4"/>
      </right>
      <top style="thin">
        <color rgb="FFC9D6D4"/>
      </top>
      <bottom style="thin">
        <color rgb="FFC9D6D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4" fillId="3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164" fontId="5" fillId="4" borderId="2" xfId="0" applyNumberFormat="1" applyFont="1" applyFill="1" applyBorder="1" applyAlignment="1">
      <alignment horizontal="left" vertical="center" indent="1"/>
    </xf>
    <xf numFmtId="3" fontId="7" fillId="4" borderId="2" xfId="0" applyNumberFormat="1" applyFont="1" applyFill="1" applyBorder="1" applyAlignment="1">
      <alignment horizontal="left" vertical="center" indent="1"/>
    </xf>
    <xf numFmtId="164" fontId="6" fillId="4" borderId="2" xfId="0" applyNumberFormat="1" applyFont="1" applyFill="1" applyBorder="1" applyAlignment="1">
      <alignment horizontal="left" vertical="center" indent="1"/>
    </xf>
    <xf numFmtId="3" fontId="5" fillId="4" borderId="2" xfId="0" applyNumberFormat="1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right" vertical="center"/>
    </xf>
    <xf numFmtId="164" fontId="10" fillId="5" borderId="3" xfId="0" applyNumberFormat="1" applyFont="1" applyFill="1" applyBorder="1" applyAlignment="1">
      <alignment horizontal="right" vertical="center"/>
    </xf>
    <xf numFmtId="165" fontId="11" fillId="5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0" fillId="3" borderId="3" xfId="0" applyFill="1" applyBorder="1"/>
    <xf numFmtId="0" fontId="8" fillId="3" borderId="3" xfId="0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right" vertical="center"/>
    </xf>
    <xf numFmtId="165" fontId="15" fillId="0" borderId="3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164" fontId="15" fillId="5" borderId="3" xfId="0" applyNumberFormat="1" applyFont="1" applyFill="1" applyBorder="1" applyAlignment="1">
      <alignment horizontal="right" vertical="center"/>
    </xf>
    <xf numFmtId="165" fontId="15" fillId="5" borderId="3" xfId="0" applyNumberFormat="1" applyFont="1" applyFill="1" applyBorder="1" applyAlignment="1">
      <alignment horizontal="center" vertical="center" wrapText="1"/>
    </xf>
    <xf numFmtId="3" fontId="15" fillId="5" borderId="3" xfId="0" applyNumberFormat="1" applyFont="1" applyFill="1" applyBorder="1" applyAlignment="1">
      <alignment horizontal="center" vertical="center" wrapText="1"/>
    </xf>
    <xf numFmtId="166" fontId="15" fillId="0" borderId="3" xfId="0" applyNumberFormat="1" applyFont="1" applyBorder="1" applyAlignment="1">
      <alignment horizontal="center" vertical="center" wrapText="1"/>
    </xf>
    <xf numFmtId="166" fontId="15" fillId="5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right" vertical="center"/>
    </xf>
    <xf numFmtId="164" fontId="9" fillId="5" borderId="3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8">
    <dxf>
      <font>
        <b/>
        <sz val="10"/>
        <color rgb="FF2E7D32"/>
        <name val="Calibri"/>
        <charset val="1"/>
      </font>
      <fill>
        <patternFill>
          <bgColor rgb="FFE4F2E4"/>
        </patternFill>
      </fill>
    </dxf>
    <dxf>
      <font>
        <b/>
        <sz val="10"/>
        <color rgb="FFC8781E"/>
        <name val="Calibri"/>
        <charset val="1"/>
      </font>
      <fill>
        <patternFill>
          <bgColor rgb="FFFFF1D6"/>
        </patternFill>
      </fill>
    </dxf>
    <dxf>
      <font>
        <b/>
        <sz val="10"/>
        <color rgb="FFC0392B"/>
        <name val="Calibri"/>
        <charset val="1"/>
      </font>
      <fill>
        <patternFill>
          <bgColor rgb="FFFBE4E1"/>
        </patternFill>
      </fill>
    </dxf>
    <dxf>
      <font>
        <b/>
        <sz val="10"/>
        <color rgb="FF2E7D32"/>
        <name val="Calibri"/>
        <charset val="1"/>
      </font>
      <fill>
        <patternFill>
          <bgColor rgb="FFE4F2E4"/>
        </patternFill>
      </fill>
    </dxf>
    <dxf>
      <font>
        <b/>
        <sz val="10"/>
        <color rgb="FFC0392B"/>
        <name val="Calibri"/>
        <charset val="1"/>
      </font>
      <fill>
        <patternFill>
          <bgColor rgb="FFFBE4E1"/>
        </patternFill>
      </fill>
    </dxf>
    <dxf>
      <font>
        <b/>
        <sz val="10"/>
        <color rgb="FFC0392B"/>
        <name val="Calibri"/>
        <charset val="1"/>
      </font>
      <fill>
        <patternFill>
          <bgColor rgb="FFFBE4E1"/>
        </patternFill>
      </fill>
    </dxf>
    <dxf>
      <font>
        <b/>
        <sz val="10"/>
        <color rgb="FF2E7D32"/>
        <name val="Calibri"/>
        <charset val="1"/>
      </font>
      <fill>
        <patternFill>
          <bgColor rgb="FFE4F2E4"/>
        </patternFill>
      </fill>
    </dxf>
    <dxf>
      <font>
        <b/>
        <sz val="10"/>
        <color rgb="FFC0392B"/>
        <name val="Calibri"/>
        <charset val="1"/>
      </font>
      <fill>
        <patternFill>
          <bgColor rgb="FFFBE4E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66"/>
      <rgbColor rgb="FFC0C0C0"/>
      <rgbColor rgb="FF6B7B79"/>
      <rgbColor rgb="FF9999FF"/>
      <rgbColor rgb="FF993366"/>
      <rgbColor rgb="FFFFF1D6"/>
      <rgbColor rgb="FFE3EEEC"/>
      <rgbColor rgb="FF660066"/>
      <rgbColor rgb="FFFF8080"/>
      <rgbColor rgb="FF1F5FBF"/>
      <rgbColor rgb="FFC9D6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8F7"/>
      <rgbColor rgb="FFE4F2E4"/>
      <rgbColor rgb="FFFFFF99"/>
      <rgbColor rgb="FF99CCFF"/>
      <rgbColor rgb="FFFF99CC"/>
      <rgbColor rgb="FFCC99FF"/>
      <rgbColor rgb="FFFBE4E1"/>
      <rgbColor rgb="FF3366FF"/>
      <rgbColor rgb="FF33CCCC"/>
      <rgbColor rgb="FF99CC00"/>
      <rgbColor rgb="FFFFCC00"/>
      <rgbColor rgb="FFFF9900"/>
      <rgbColor rgb="FFC8781E"/>
      <rgbColor rgb="FF666699"/>
      <rgbColor rgb="FF969696"/>
      <rgbColor rgb="FF0E4D4A"/>
      <rgbColor rgb="FF2E7D32"/>
      <rgbColor rgb="FF003300"/>
      <rgbColor rgb="FF333300"/>
      <rgbColor rgb="FFC0392B"/>
      <rgbColor rgb="FF993366"/>
      <rgbColor rgb="FF333399"/>
      <rgbColor rgb="FF2330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E4D4A"/>
    <pageSetUpPr fitToPage="1"/>
  </sheetPr>
  <dimension ref="A1:L32"/>
  <sheetViews>
    <sheetView showGridLines="0" tabSelected="1" zoomScaleNormal="100" workbookViewId="0">
      <pane ySplit="2" topLeftCell="A3" activePane="bottomLeft" state="frozen"/>
      <selection pane="bottomLeft" activeCell="N31" sqref="N31"/>
    </sheetView>
  </sheetViews>
  <sheetFormatPr baseColWidth="10" defaultColWidth="8.7109375" defaultRowHeight="15" x14ac:dyDescent="0.25"/>
  <cols>
    <col min="1" max="1" width="9.28515625" bestFit="1" customWidth="1"/>
    <col min="2" max="2" width="32" bestFit="1" customWidth="1"/>
    <col min="3" max="3" width="7.28515625" bestFit="1" customWidth="1"/>
    <col min="4" max="4" width="12.140625" bestFit="1" customWidth="1"/>
    <col min="5" max="5" width="11.140625" bestFit="1" customWidth="1"/>
    <col min="6" max="6" width="9.28515625" bestFit="1" customWidth="1"/>
    <col min="7" max="7" width="14.28515625" bestFit="1" customWidth="1"/>
    <col min="8" max="8" width="15" customWidth="1"/>
    <col min="9" max="9" width="11" customWidth="1"/>
    <col min="10" max="10" width="3" customWidth="1"/>
    <col min="11" max="11" width="11" customWidth="1"/>
    <col min="12" max="12" width="3" customWidth="1"/>
  </cols>
  <sheetData>
    <row r="1" spans="1:12" ht="39.7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9.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2" ht="24" customHeight="1" x14ac:dyDescent="0.2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6" spans="1:12" ht="15.75" customHeight="1" x14ac:dyDescent="0.25">
      <c r="A6" s="8" t="s">
        <v>3</v>
      </c>
      <c r="B6" s="8"/>
      <c r="C6" s="8"/>
      <c r="E6" s="8" t="s">
        <v>4</v>
      </c>
      <c r="F6" s="8"/>
      <c r="G6" s="8"/>
      <c r="I6" s="8" t="s">
        <v>5</v>
      </c>
      <c r="J6" s="8"/>
      <c r="K6" s="8"/>
    </row>
    <row r="7" spans="1:12" ht="30" customHeight="1" x14ac:dyDescent="0.25">
      <c r="A7" s="7">
        <f>COUNTA(Artikel!$A$4:$A$203)</f>
        <v>12</v>
      </c>
      <c r="B7" s="7"/>
      <c r="C7" s="7"/>
      <c r="E7" s="6">
        <f>Lager!$J$16</f>
        <v>2650.8999999999996</v>
      </c>
      <c r="F7" s="6"/>
      <c r="G7" s="6"/>
      <c r="I7" s="5">
        <f>COUNTIF(Lager!$I$4:$I$15,"Nachbestellen")</f>
        <v>2</v>
      </c>
      <c r="J7" s="5"/>
      <c r="K7" s="5"/>
    </row>
    <row r="9" spans="1:12" ht="15.75" customHeight="1" x14ac:dyDescent="0.25">
      <c r="A9" s="8" t="s">
        <v>6</v>
      </c>
      <c r="B9" s="8"/>
      <c r="C9" s="8"/>
      <c r="E9" s="8" t="s">
        <v>7</v>
      </c>
      <c r="F9" s="8"/>
      <c r="G9" s="8"/>
      <c r="I9" s="8" t="s">
        <v>8</v>
      </c>
      <c r="J9" s="8"/>
      <c r="K9" s="8"/>
    </row>
    <row r="10" spans="1:12" ht="30" customHeight="1" x14ac:dyDescent="0.25">
      <c r="A10" s="7">
        <f>SUM(Zugänge!$C$4:$C$203)</f>
        <v>894</v>
      </c>
      <c r="B10" s="7"/>
      <c r="C10" s="7"/>
      <c r="E10" s="7">
        <f>SUM(Abgänge!$C$4:$C$203)</f>
        <v>737</v>
      </c>
      <c r="F10" s="7"/>
      <c r="G10" s="7"/>
      <c r="I10" s="6">
        <f>SUM(Abgänge!$H$4:$H$203)</f>
        <v>4333.4000000000005</v>
      </c>
      <c r="J10" s="6"/>
      <c r="K10" s="6"/>
    </row>
    <row r="12" spans="1:12" ht="15.75" customHeight="1" x14ac:dyDescent="0.25">
      <c r="A12" s="8" t="s">
        <v>9</v>
      </c>
      <c r="B12" s="8"/>
      <c r="C12" s="8"/>
      <c r="E12" s="8" t="s">
        <v>10</v>
      </c>
      <c r="F12" s="8"/>
      <c r="G12" s="8"/>
      <c r="I12" s="8" t="s">
        <v>11</v>
      </c>
      <c r="J12" s="8"/>
      <c r="K12" s="8"/>
    </row>
    <row r="13" spans="1:12" ht="30" customHeight="1" x14ac:dyDescent="0.25">
      <c r="A13" s="5">
        <f>COUNTIF(Bestellungen!$J$4:$J$203,"Offen")</f>
        <v>1</v>
      </c>
      <c r="B13" s="5"/>
      <c r="C13" s="5"/>
      <c r="E13" s="6">
        <f>SUM(Bestellungen!$H$4:$H$203)</f>
        <v>2916.8</v>
      </c>
      <c r="F13" s="6"/>
      <c r="G13" s="6"/>
      <c r="I13" s="4">
        <f>$H$29</f>
        <v>2145</v>
      </c>
      <c r="J13" s="4"/>
      <c r="K13" s="4"/>
    </row>
    <row r="15" spans="1:12" ht="24" customHeight="1" x14ac:dyDescent="0.25">
      <c r="A15" s="9" t="s">
        <v>12</v>
      </c>
      <c r="B15" s="9"/>
      <c r="C15" s="9"/>
      <c r="D15" s="9"/>
      <c r="E15" s="9"/>
      <c r="F15" s="9"/>
      <c r="G15" s="9"/>
      <c r="H15" s="9"/>
      <c r="I15" s="9"/>
    </row>
    <row r="16" spans="1:12" ht="30" customHeight="1" x14ac:dyDescent="0.25">
      <c r="A16" s="12" t="s">
        <v>13</v>
      </c>
      <c r="B16" s="12" t="s">
        <v>14</v>
      </c>
      <c r="C16" s="12" t="s">
        <v>15</v>
      </c>
      <c r="D16" s="12" t="s">
        <v>16</v>
      </c>
      <c r="E16" s="12" t="s">
        <v>17</v>
      </c>
      <c r="F16" s="12" t="s">
        <v>18</v>
      </c>
      <c r="G16" s="12" t="s">
        <v>19</v>
      </c>
      <c r="H16" s="12" t="s">
        <v>20</v>
      </c>
      <c r="I16" s="12" t="s">
        <v>21</v>
      </c>
    </row>
    <row r="17" spans="1:12" ht="18.75" customHeight="1" x14ac:dyDescent="0.25">
      <c r="A17" s="13" t="str">
        <f>Artikel!A4</f>
        <v>ART-1001</v>
      </c>
      <c r="B17" s="14" t="str">
        <f>Artikel!B4</f>
        <v>Mineralwasser still 0,5 L (24er-Kasten)</v>
      </c>
      <c r="C17" s="13">
        <f>IFERROR(VLOOKUP(A17,Lager!$A$4:$J$15,7,0),0)</f>
        <v>63</v>
      </c>
      <c r="D17" s="15" t="str">
        <f>IFERROR(VLOOKUP(A17,Lager!$A$4:$J$15,9,0),"")</f>
        <v>OK</v>
      </c>
      <c r="E17" s="16">
        <f>SUMIFS(Abgänge!$C$4:$C$203,Abgänge!$A$4:$A$203,A17)</f>
        <v>37</v>
      </c>
      <c r="F17" s="17">
        <f>SUMPRODUCT((Abgänge!$A$4:$A$203=A17)*Abgänge!$C$4:$C$203*Abgänge!$G$4:$G$203)</f>
        <v>329.3</v>
      </c>
      <c r="G17" s="17">
        <f>E17*IFERROR(VLOOKUP(A17,Artikel!$A$4:$E$15,5,0),0)</f>
        <v>177.6</v>
      </c>
      <c r="H17" s="18">
        <f t="shared" ref="H17:H28" si="0">F17-G17</f>
        <v>151.70000000000002</v>
      </c>
      <c r="I17" s="19">
        <f t="shared" ref="I17:I29" si="1">IF(F17=0,0,H17/F17)</f>
        <v>0.4606741573033708</v>
      </c>
    </row>
    <row r="18" spans="1:12" ht="18.75" customHeight="1" x14ac:dyDescent="0.25">
      <c r="A18" s="20" t="str">
        <f>Artikel!A5</f>
        <v>ART-1002</v>
      </c>
      <c r="B18" s="21" t="str">
        <f>Artikel!B5</f>
        <v>Cola Classic 1,0 L (12er-Kasten)</v>
      </c>
      <c r="C18" s="20">
        <f>IFERROR(VLOOKUP(A18,Lager!$A$4:$J$15,7,0),0)</f>
        <v>48</v>
      </c>
      <c r="D18" s="22" t="str">
        <f>IFERROR(VLOOKUP(A18,Lager!$A$4:$J$15,9,0),"")</f>
        <v>OK</v>
      </c>
      <c r="E18" s="23">
        <f>SUMIFS(Abgänge!$C$4:$C$203,Abgänge!$A$4:$A$203,A18)</f>
        <v>30</v>
      </c>
      <c r="F18" s="24">
        <f>SUMPRODUCT((Abgänge!$A$4:$A$203=A18)*Abgänge!$C$4:$C$203*Abgänge!$G$4:$G$203)</f>
        <v>345</v>
      </c>
      <c r="G18" s="24">
        <f>E18*IFERROR(VLOOKUP(A18,Artikel!$A$4:$E$15,5,0),0)</f>
        <v>186</v>
      </c>
      <c r="H18" s="25">
        <f t="shared" si="0"/>
        <v>159</v>
      </c>
      <c r="I18" s="26">
        <f t="shared" si="1"/>
        <v>0.46086956521739131</v>
      </c>
    </row>
    <row r="19" spans="1:12" ht="18.75" customHeight="1" x14ac:dyDescent="0.25">
      <c r="A19" s="13" t="str">
        <f>Artikel!A6</f>
        <v>ART-1003</v>
      </c>
      <c r="B19" s="14" t="str">
        <f>Artikel!B6</f>
        <v>Kaffeebohnen Röstung 1 kg</v>
      </c>
      <c r="C19" s="13">
        <f>IFERROR(VLOOKUP(A19,Lager!$A$4:$J$15,7,0),0)</f>
        <v>28</v>
      </c>
      <c r="D19" s="15" t="str">
        <f>IFERROR(VLOOKUP(A19,Lager!$A$4:$J$15,9,0),"")</f>
        <v>OK</v>
      </c>
      <c r="E19" s="16">
        <f>SUMIFS(Abgänge!$C$4:$C$203,Abgänge!$A$4:$A$203,A19)</f>
        <v>22</v>
      </c>
      <c r="F19" s="17">
        <f>SUMPRODUCT((Abgänge!$A$4:$A$203=A19)*Abgänge!$C$4:$C$203*Abgänge!$G$4:$G$203)</f>
        <v>305.8</v>
      </c>
      <c r="G19" s="17">
        <f>E19*IFERROR(VLOOKUP(A19,Artikel!$A$4:$E$15,5,0),0)</f>
        <v>165</v>
      </c>
      <c r="H19" s="18">
        <f t="shared" si="0"/>
        <v>140.80000000000001</v>
      </c>
      <c r="I19" s="19">
        <f t="shared" si="1"/>
        <v>0.46043165467625902</v>
      </c>
    </row>
    <row r="20" spans="1:12" ht="18.75" customHeight="1" x14ac:dyDescent="0.25">
      <c r="A20" s="20" t="str">
        <f>Artikel!A7</f>
        <v>ART-1004</v>
      </c>
      <c r="B20" s="21" t="str">
        <f>Artikel!B7</f>
        <v>Allzweckreiniger Konzentrat 5 L</v>
      </c>
      <c r="C20" s="20">
        <f>IFERROR(VLOOKUP(A20,Lager!$A$4:$J$15,7,0),0)</f>
        <v>18</v>
      </c>
      <c r="D20" s="22" t="str">
        <f>IFERROR(VLOOKUP(A20,Lager!$A$4:$J$15,9,0),"")</f>
        <v>Nachbestellen</v>
      </c>
      <c r="E20" s="23">
        <f>SUMIFS(Abgänge!$C$4:$C$203,Abgänge!$A$4:$A$203,A20)</f>
        <v>30</v>
      </c>
      <c r="F20" s="24">
        <f>SUMPRODUCT((Abgänge!$A$4:$A$203=A20)*Abgänge!$C$4:$C$203*Abgänge!$G$4:$G$203)</f>
        <v>298.5</v>
      </c>
      <c r="G20" s="24">
        <f>E20*IFERROR(VLOOKUP(A20,Artikel!$A$4:$E$15,5,0),0)</f>
        <v>162</v>
      </c>
      <c r="H20" s="25">
        <f t="shared" si="0"/>
        <v>136.5</v>
      </c>
      <c r="I20" s="26">
        <f t="shared" si="1"/>
        <v>0.457286432160804</v>
      </c>
    </row>
    <row r="21" spans="1:12" ht="18.75" customHeight="1" x14ac:dyDescent="0.25">
      <c r="A21" s="13" t="str">
        <f>Artikel!A8</f>
        <v>ART-1005</v>
      </c>
      <c r="B21" s="14" t="str">
        <f>Artikel!B8</f>
        <v>Einweghandschuhe Nitril (100 St.)</v>
      </c>
      <c r="C21" s="13">
        <f>IFERROR(VLOOKUP(A21,Lager!$A$4:$J$15,7,0),0)</f>
        <v>75</v>
      </c>
      <c r="D21" s="15" t="str">
        <f>IFERROR(VLOOKUP(A21,Lager!$A$4:$J$15,9,0),"")</f>
        <v>OK</v>
      </c>
      <c r="E21" s="16">
        <f>SUMIFS(Abgänge!$C$4:$C$203,Abgänge!$A$4:$A$203,A21)</f>
        <v>65</v>
      </c>
      <c r="F21" s="17">
        <f>SUMPRODUCT((Abgänge!$A$4:$A$203=A21)*Abgänge!$C$4:$C$203*Abgänge!$G$4:$G$203)</f>
        <v>421.85</v>
      </c>
      <c r="G21" s="17">
        <f>E21*IFERROR(VLOOKUP(A21,Artikel!$A$4:$E$15,5,0),0)</f>
        <v>208</v>
      </c>
      <c r="H21" s="18">
        <f t="shared" si="0"/>
        <v>213.85000000000002</v>
      </c>
      <c r="I21" s="19">
        <f t="shared" si="1"/>
        <v>0.50693374422187987</v>
      </c>
    </row>
    <row r="22" spans="1:12" ht="18.75" customHeight="1" x14ac:dyDescent="0.25">
      <c r="A22" s="20" t="str">
        <f>Artikel!A9</f>
        <v>ART-1006</v>
      </c>
      <c r="B22" s="21" t="str">
        <f>Artikel!B9</f>
        <v>Faltkarton 400×300×300 mm</v>
      </c>
      <c r="C22" s="20">
        <f>IFERROR(VLOOKUP(A22,Lager!$A$4:$J$15,7,0),0)</f>
        <v>280</v>
      </c>
      <c r="D22" s="22" t="str">
        <f>IFERROR(VLOOKUP(A22,Lager!$A$4:$J$15,9,0),"")</f>
        <v>OK</v>
      </c>
      <c r="E22" s="23">
        <f>SUMIFS(Abgänge!$C$4:$C$203,Abgänge!$A$4:$A$203,A22)</f>
        <v>270</v>
      </c>
      <c r="F22" s="24">
        <f>SUMPRODUCT((Abgänge!$A$4:$A$203=A22)*Abgänge!$C$4:$C$203*Abgänge!$G$4:$G$203)</f>
        <v>348.3</v>
      </c>
      <c r="G22" s="24">
        <f>E22*IFERROR(VLOOKUP(A22,Artikel!$A$4:$E$15,5,0),0)</f>
        <v>175.5</v>
      </c>
      <c r="H22" s="25">
        <f t="shared" si="0"/>
        <v>172.8</v>
      </c>
      <c r="I22" s="26">
        <f t="shared" si="1"/>
        <v>0.49612403100775193</v>
      </c>
    </row>
    <row r="23" spans="1:12" ht="18.75" customHeight="1" x14ac:dyDescent="0.25">
      <c r="A23" s="13" t="str">
        <f>Artikel!A10</f>
        <v>ART-1007</v>
      </c>
      <c r="B23" s="14" t="str">
        <f>Artikel!B10</f>
        <v>Packband transparent 66 m</v>
      </c>
      <c r="C23" s="13">
        <f>IFERROR(VLOOKUP(A23,Lager!$A$4:$J$15,7,0),0)</f>
        <v>260</v>
      </c>
      <c r="D23" s="15" t="str">
        <f>IFERROR(VLOOKUP(A23,Lager!$A$4:$J$15,9,0),"")</f>
        <v>OK</v>
      </c>
      <c r="E23" s="16">
        <f>SUMIFS(Abgänge!$C$4:$C$203,Abgänge!$A$4:$A$203,A23)</f>
        <v>120</v>
      </c>
      <c r="F23" s="17">
        <f>SUMPRODUCT((Abgänge!$A$4:$A$203=A23)*Abgänge!$C$4:$C$203*Abgänge!$G$4:$G$203)</f>
        <v>238.8</v>
      </c>
      <c r="G23" s="17">
        <f>E23*IFERROR(VLOOKUP(A23,Artikel!$A$4:$E$15,5,0),0)</f>
        <v>108</v>
      </c>
      <c r="H23" s="18">
        <f t="shared" si="0"/>
        <v>130.80000000000001</v>
      </c>
      <c r="I23" s="19">
        <f t="shared" si="1"/>
        <v>0.54773869346733672</v>
      </c>
    </row>
    <row r="24" spans="1:12" ht="18.75" customHeight="1" x14ac:dyDescent="0.25">
      <c r="A24" s="20" t="str">
        <f>Artikel!A11</f>
        <v>ART-1008</v>
      </c>
      <c r="B24" s="21" t="str">
        <f>Artikel!B11</f>
        <v>LED-Leuchtmittel E27 9 W</v>
      </c>
      <c r="C24" s="20">
        <f>IFERROR(VLOOKUP(A24,Lager!$A$4:$J$15,7,0),0)</f>
        <v>120</v>
      </c>
      <c r="D24" s="22" t="str">
        <f>IFERROR(VLOOKUP(A24,Lager!$A$4:$J$15,9,0),"")</f>
        <v>OK</v>
      </c>
      <c r="E24" s="23">
        <f>SUMIFS(Abgänge!$C$4:$C$203,Abgänge!$A$4:$A$203,A24)</f>
        <v>80</v>
      </c>
      <c r="F24" s="24">
        <f>SUMPRODUCT((Abgänge!$A$4:$A$203=A24)*Abgänge!$C$4:$C$203*Abgänge!$G$4:$G$203)</f>
        <v>359.20000000000005</v>
      </c>
      <c r="G24" s="24">
        <f>E24*IFERROR(VLOOKUP(A24,Artikel!$A$4:$E$15,5,0),0)</f>
        <v>144</v>
      </c>
      <c r="H24" s="25">
        <f t="shared" si="0"/>
        <v>215.20000000000005</v>
      </c>
      <c r="I24" s="26">
        <f t="shared" si="1"/>
        <v>0.59910913140311806</v>
      </c>
    </row>
    <row r="25" spans="1:12" ht="18.75" customHeight="1" x14ac:dyDescent="0.25">
      <c r="A25" s="13" t="str">
        <f>Artikel!A12</f>
        <v>ART-1009</v>
      </c>
      <c r="B25" s="14" t="str">
        <f>Artikel!B12</f>
        <v>Verlängerungskabel 5 m</v>
      </c>
      <c r="C25" s="13">
        <f>IFERROR(VLOOKUP(A25,Lager!$A$4:$J$15,7,0),0)</f>
        <v>65</v>
      </c>
      <c r="D25" s="15" t="str">
        <f>IFERROR(VLOOKUP(A25,Lager!$A$4:$J$15,9,0),"")</f>
        <v>OK</v>
      </c>
      <c r="E25" s="16">
        <f>SUMIFS(Abgänge!$C$4:$C$203,Abgänge!$A$4:$A$203,A25)</f>
        <v>25</v>
      </c>
      <c r="F25" s="17">
        <f>SUMPRODUCT((Abgänge!$A$4:$A$203=A25)*Abgänge!$C$4:$C$203*Abgänge!$G$4:$G$203)</f>
        <v>224.75</v>
      </c>
      <c r="G25" s="17">
        <f>E25*IFERROR(VLOOKUP(A25,Artikel!$A$4:$E$15,5,0),0)</f>
        <v>102.49999999999999</v>
      </c>
      <c r="H25" s="18">
        <f t="shared" si="0"/>
        <v>122.25000000000001</v>
      </c>
      <c r="I25" s="19">
        <f t="shared" si="1"/>
        <v>0.5439377085650724</v>
      </c>
    </row>
    <row r="26" spans="1:12" ht="18.75" customHeight="1" x14ac:dyDescent="0.25">
      <c r="A26" s="20" t="str">
        <f>Artikel!A13</f>
        <v>ART-1010</v>
      </c>
      <c r="B26" s="21" t="str">
        <f>Artikel!B13</f>
        <v>Akkuschrauber kompakt 12 V</v>
      </c>
      <c r="C26" s="20">
        <f>IFERROR(VLOOKUP(A26,Lager!$A$4:$J$15,7,0),0)</f>
        <v>6</v>
      </c>
      <c r="D26" s="22" t="str">
        <f>IFERROR(VLOOKUP(A26,Lager!$A$4:$J$15,9,0),"")</f>
        <v>Nachbestellen</v>
      </c>
      <c r="E26" s="23">
        <f>SUMIFS(Abgänge!$C$4:$C$203,Abgänge!$A$4:$A$203,A26)</f>
        <v>16</v>
      </c>
      <c r="F26" s="24">
        <f>SUMPRODUCT((Abgänge!$A$4:$A$203=A26)*Abgänge!$C$4:$C$203*Abgänge!$G$4:$G$203)</f>
        <v>1118.4000000000001</v>
      </c>
      <c r="G26" s="24">
        <f>E26*IFERROR(VLOOKUP(A26,Artikel!$A$4:$E$15,5,0),0)</f>
        <v>608</v>
      </c>
      <c r="H26" s="25">
        <f t="shared" si="0"/>
        <v>510.40000000000009</v>
      </c>
      <c r="I26" s="26">
        <f t="shared" si="1"/>
        <v>0.45636623748211735</v>
      </c>
    </row>
    <row r="27" spans="1:12" ht="18.75" customHeight="1" x14ac:dyDescent="0.25">
      <c r="A27" s="13" t="str">
        <f>Artikel!A14</f>
        <v>ART-1011</v>
      </c>
      <c r="B27" s="14" t="str">
        <f>Artikel!B14</f>
        <v>Schraubensortiment 220-tlg.</v>
      </c>
      <c r="C27" s="13">
        <f>IFERROR(VLOOKUP(A27,Lager!$A$4:$J$15,7,0),0)</f>
        <v>28</v>
      </c>
      <c r="D27" s="15" t="str">
        <f>IFERROR(VLOOKUP(A27,Lager!$A$4:$J$15,9,0),"")</f>
        <v>OK</v>
      </c>
      <c r="E27" s="16">
        <f>SUMIFS(Abgänge!$C$4:$C$203,Abgänge!$A$4:$A$203,A27)</f>
        <v>12</v>
      </c>
      <c r="F27" s="17">
        <f>SUMPRODUCT((Abgänge!$A$4:$A$203=A27)*Abgänge!$C$4:$C$203*Abgänge!$G$4:$G$203)</f>
        <v>178.8</v>
      </c>
      <c r="G27" s="17">
        <f>E27*IFERROR(VLOOKUP(A27,Artikel!$A$4:$E$15,5,0),0)</f>
        <v>82.800000000000011</v>
      </c>
      <c r="H27" s="18">
        <f t="shared" si="0"/>
        <v>96</v>
      </c>
      <c r="I27" s="19">
        <f t="shared" si="1"/>
        <v>0.53691275167785235</v>
      </c>
    </row>
    <row r="28" spans="1:12" ht="18.75" customHeight="1" x14ac:dyDescent="0.25">
      <c r="A28" s="20" t="str">
        <f>Artikel!A15</f>
        <v>ART-1012</v>
      </c>
      <c r="B28" s="21" t="str">
        <f>Artikel!B15</f>
        <v>Arbeitshandschuhe Gr. L</v>
      </c>
      <c r="C28" s="20">
        <f>IFERROR(VLOOKUP(A28,Lager!$A$4:$J$15,7,0),0)</f>
        <v>80</v>
      </c>
      <c r="D28" s="22" t="str">
        <f>IFERROR(VLOOKUP(A28,Lager!$A$4:$J$15,9,0),"")</f>
        <v>OK</v>
      </c>
      <c r="E28" s="23">
        <f>SUMIFS(Abgänge!$C$4:$C$203,Abgänge!$A$4:$A$203,A28)</f>
        <v>30</v>
      </c>
      <c r="F28" s="24">
        <f>SUMPRODUCT((Abgänge!$A$4:$A$203=A28)*Abgänge!$C$4:$C$203*Abgänge!$G$4:$G$203)</f>
        <v>164.70000000000002</v>
      </c>
      <c r="G28" s="24">
        <f>E28*IFERROR(VLOOKUP(A28,Artikel!$A$4:$E$15,5,0),0)</f>
        <v>69</v>
      </c>
      <c r="H28" s="25">
        <f t="shared" si="0"/>
        <v>95.700000000000017</v>
      </c>
      <c r="I28" s="26">
        <f t="shared" si="1"/>
        <v>0.58105646630236796</v>
      </c>
    </row>
    <row r="29" spans="1:12" x14ac:dyDescent="0.25">
      <c r="A29" s="27" t="s">
        <v>22</v>
      </c>
      <c r="B29" s="28"/>
      <c r="C29" s="28"/>
      <c r="D29" s="28"/>
      <c r="E29" s="29">
        <f>SUM(E17:E28)</f>
        <v>737</v>
      </c>
      <c r="F29" s="30">
        <f>SUM(F17:F28)</f>
        <v>4333.3999999999996</v>
      </c>
      <c r="G29" s="30">
        <f>SUM(G17:G28)</f>
        <v>2188.4</v>
      </c>
      <c r="H29" s="30">
        <f>SUM(H17:H28)</f>
        <v>2145</v>
      </c>
      <c r="I29" s="31">
        <f t="shared" si="1"/>
        <v>0.49499238473254265</v>
      </c>
    </row>
    <row r="31" spans="1:12" x14ac:dyDescent="0.25">
      <c r="A31" s="3" t="s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 t="s">
        <v>24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</sheetData>
  <mergeCells count="24">
    <mergeCell ref="A32:L32"/>
    <mergeCell ref="A13:C13"/>
    <mergeCell ref="E13:G13"/>
    <mergeCell ref="I13:K13"/>
    <mergeCell ref="A15:I15"/>
    <mergeCell ref="A31:L31"/>
    <mergeCell ref="A10:C10"/>
    <mergeCell ref="E10:G10"/>
    <mergeCell ref="I10:K10"/>
    <mergeCell ref="A12:C12"/>
    <mergeCell ref="E12:G12"/>
    <mergeCell ref="I12:K12"/>
    <mergeCell ref="A7:C7"/>
    <mergeCell ref="E7:G7"/>
    <mergeCell ref="I7:K7"/>
    <mergeCell ref="A9:C9"/>
    <mergeCell ref="E9:G9"/>
    <mergeCell ref="I9:K9"/>
    <mergeCell ref="A1:L1"/>
    <mergeCell ref="A2:L2"/>
    <mergeCell ref="A4:L4"/>
    <mergeCell ref="A6:C6"/>
    <mergeCell ref="E6:G6"/>
    <mergeCell ref="I6:K6"/>
  </mergeCells>
  <conditionalFormatting sqref="D17:D28">
    <cfRule type="cellIs" dxfId="7" priority="2" operator="equal">
      <formula>"Nachbestellen"</formula>
    </cfRule>
    <cfRule type="cellIs" dxfId="6" priority="3" operator="equal">
      <formula>"OK"</formula>
    </cfRule>
  </conditionalFormatting>
  <pageMargins left="0.75" right="0.75" top="1" bottom="1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E4D4A"/>
    <pageSetUpPr fitToPage="1"/>
  </sheetPr>
  <dimension ref="A1:J15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13" customWidth="1"/>
    <col min="2" max="2" width="34" customWidth="1"/>
    <col min="3" max="3" width="15" customWidth="1"/>
    <col min="4" max="4" width="9" customWidth="1"/>
    <col min="5" max="6" width="15" customWidth="1"/>
    <col min="7" max="7" width="8" customWidth="1"/>
    <col min="8" max="8" width="15" customWidth="1"/>
    <col min="9" max="9" width="10" customWidth="1"/>
    <col min="10" max="10" width="22" customWidth="1"/>
  </cols>
  <sheetData>
    <row r="1" spans="1:10" ht="33.75" customHeight="1" x14ac:dyDescent="0.25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2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25">
      <c r="A3" s="12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</row>
    <row r="4" spans="1:10" ht="19.5" customHeight="1" x14ac:dyDescent="0.25">
      <c r="A4" s="32" t="s">
        <v>37</v>
      </c>
      <c r="B4" s="32" t="s">
        <v>38</v>
      </c>
      <c r="C4" s="32" t="s">
        <v>39</v>
      </c>
      <c r="D4" s="33" t="s">
        <v>40</v>
      </c>
      <c r="E4" s="34">
        <v>4.8</v>
      </c>
      <c r="F4" s="34">
        <v>8.9</v>
      </c>
      <c r="G4" s="35">
        <v>7.0000000000000007E-2</v>
      </c>
      <c r="H4" s="36">
        <v>40</v>
      </c>
      <c r="I4" s="33" t="s">
        <v>41</v>
      </c>
      <c r="J4" s="32"/>
    </row>
    <row r="5" spans="1:10" ht="19.5" customHeight="1" x14ac:dyDescent="0.25">
      <c r="A5" s="37" t="s">
        <v>42</v>
      </c>
      <c r="B5" s="37" t="s">
        <v>43</v>
      </c>
      <c r="C5" s="37" t="s">
        <v>39</v>
      </c>
      <c r="D5" s="38" t="s">
        <v>40</v>
      </c>
      <c r="E5" s="39">
        <v>6.2</v>
      </c>
      <c r="F5" s="39">
        <v>11.5</v>
      </c>
      <c r="G5" s="40">
        <v>0.19</v>
      </c>
      <c r="H5" s="41">
        <v>30</v>
      </c>
      <c r="I5" s="38" t="s">
        <v>44</v>
      </c>
      <c r="J5" s="37"/>
    </row>
    <row r="6" spans="1:10" ht="19.5" customHeight="1" x14ac:dyDescent="0.25">
      <c r="A6" s="32" t="s">
        <v>45</v>
      </c>
      <c r="B6" s="32" t="s">
        <v>46</v>
      </c>
      <c r="C6" s="32" t="s">
        <v>39</v>
      </c>
      <c r="D6" s="33" t="s">
        <v>47</v>
      </c>
      <c r="E6" s="34">
        <v>7.5</v>
      </c>
      <c r="F6" s="34">
        <v>13.9</v>
      </c>
      <c r="G6" s="35">
        <v>7.0000000000000007E-2</v>
      </c>
      <c r="H6" s="36">
        <v>25</v>
      </c>
      <c r="I6" s="33" t="s">
        <v>48</v>
      </c>
      <c r="J6" s="32"/>
    </row>
    <row r="7" spans="1:10" ht="19.5" customHeight="1" x14ac:dyDescent="0.25">
      <c r="A7" s="37" t="s">
        <v>49</v>
      </c>
      <c r="B7" s="37" t="s">
        <v>50</v>
      </c>
      <c r="C7" s="37" t="s">
        <v>51</v>
      </c>
      <c r="D7" s="38" t="s">
        <v>52</v>
      </c>
      <c r="E7" s="39">
        <v>5.4</v>
      </c>
      <c r="F7" s="39">
        <v>9.9499999999999993</v>
      </c>
      <c r="G7" s="40">
        <v>0.19</v>
      </c>
      <c r="H7" s="41">
        <v>20</v>
      </c>
      <c r="I7" s="38" t="s">
        <v>53</v>
      </c>
      <c r="J7" s="37"/>
    </row>
    <row r="8" spans="1:10" ht="19.5" customHeight="1" x14ac:dyDescent="0.25">
      <c r="A8" s="32" t="s">
        <v>54</v>
      </c>
      <c r="B8" s="32" t="s">
        <v>55</v>
      </c>
      <c r="C8" s="32" t="s">
        <v>51</v>
      </c>
      <c r="D8" s="33" t="s">
        <v>56</v>
      </c>
      <c r="E8" s="34">
        <v>3.2</v>
      </c>
      <c r="F8" s="34">
        <v>6.49</v>
      </c>
      <c r="G8" s="35">
        <v>0.19</v>
      </c>
      <c r="H8" s="36">
        <v>60</v>
      </c>
      <c r="I8" s="33" t="s">
        <v>57</v>
      </c>
      <c r="J8" s="32"/>
    </row>
    <row r="9" spans="1:10" ht="19.5" customHeight="1" x14ac:dyDescent="0.25">
      <c r="A9" s="37" t="s">
        <v>58</v>
      </c>
      <c r="B9" s="37" t="s">
        <v>59</v>
      </c>
      <c r="C9" s="37" t="s">
        <v>60</v>
      </c>
      <c r="D9" s="38" t="s">
        <v>61</v>
      </c>
      <c r="E9" s="39">
        <v>0.65</v>
      </c>
      <c r="F9" s="39">
        <v>1.29</v>
      </c>
      <c r="G9" s="40">
        <v>0.19</v>
      </c>
      <c r="H9" s="41">
        <v>200</v>
      </c>
      <c r="I9" s="38" t="s">
        <v>62</v>
      </c>
      <c r="J9" s="37"/>
    </row>
    <row r="10" spans="1:10" ht="19.5" customHeight="1" x14ac:dyDescent="0.25">
      <c r="A10" s="32" t="s">
        <v>63</v>
      </c>
      <c r="B10" s="32" t="s">
        <v>64</v>
      </c>
      <c r="C10" s="32" t="s">
        <v>60</v>
      </c>
      <c r="D10" s="33" t="s">
        <v>65</v>
      </c>
      <c r="E10" s="34">
        <v>0.9</v>
      </c>
      <c r="F10" s="34">
        <v>1.99</v>
      </c>
      <c r="G10" s="35">
        <v>0.19</v>
      </c>
      <c r="H10" s="36">
        <v>150</v>
      </c>
      <c r="I10" s="33" t="s">
        <v>66</v>
      </c>
      <c r="J10" s="32"/>
    </row>
    <row r="11" spans="1:10" ht="19.5" customHeight="1" x14ac:dyDescent="0.25">
      <c r="A11" s="37" t="s">
        <v>67</v>
      </c>
      <c r="B11" s="37" t="s">
        <v>68</v>
      </c>
      <c r="C11" s="37" t="s">
        <v>69</v>
      </c>
      <c r="D11" s="38" t="s">
        <v>61</v>
      </c>
      <c r="E11" s="39">
        <v>1.8</v>
      </c>
      <c r="F11" s="39">
        <v>4.49</v>
      </c>
      <c r="G11" s="40">
        <v>0.19</v>
      </c>
      <c r="H11" s="41">
        <v>80</v>
      </c>
      <c r="I11" s="38" t="s">
        <v>70</v>
      </c>
      <c r="J11" s="37"/>
    </row>
    <row r="12" spans="1:10" ht="19.5" customHeight="1" x14ac:dyDescent="0.25">
      <c r="A12" s="32" t="s">
        <v>71</v>
      </c>
      <c r="B12" s="32" t="s">
        <v>72</v>
      </c>
      <c r="C12" s="32" t="s">
        <v>69</v>
      </c>
      <c r="D12" s="33" t="s">
        <v>61</v>
      </c>
      <c r="E12" s="34">
        <v>4.0999999999999996</v>
      </c>
      <c r="F12" s="34">
        <v>8.99</v>
      </c>
      <c r="G12" s="35">
        <v>0.19</v>
      </c>
      <c r="H12" s="36">
        <v>40</v>
      </c>
      <c r="I12" s="33" t="s">
        <v>73</v>
      </c>
      <c r="J12" s="32"/>
    </row>
    <row r="13" spans="1:10" ht="19.5" customHeight="1" x14ac:dyDescent="0.25">
      <c r="A13" s="37" t="s">
        <v>74</v>
      </c>
      <c r="B13" s="37" t="s">
        <v>75</v>
      </c>
      <c r="C13" s="37" t="s">
        <v>76</v>
      </c>
      <c r="D13" s="38" t="s">
        <v>61</v>
      </c>
      <c r="E13" s="39">
        <v>38</v>
      </c>
      <c r="F13" s="39">
        <v>69.900000000000006</v>
      </c>
      <c r="G13" s="40">
        <v>0.19</v>
      </c>
      <c r="H13" s="41">
        <v>8</v>
      </c>
      <c r="I13" s="38" t="s">
        <v>77</v>
      </c>
      <c r="J13" s="37"/>
    </row>
    <row r="14" spans="1:10" ht="19.5" customHeight="1" x14ac:dyDescent="0.25">
      <c r="A14" s="32" t="s">
        <v>78</v>
      </c>
      <c r="B14" s="32" t="s">
        <v>79</v>
      </c>
      <c r="C14" s="32" t="s">
        <v>76</v>
      </c>
      <c r="D14" s="33" t="s">
        <v>80</v>
      </c>
      <c r="E14" s="34">
        <v>6.9</v>
      </c>
      <c r="F14" s="34">
        <v>14.9</v>
      </c>
      <c r="G14" s="35">
        <v>0.19</v>
      </c>
      <c r="H14" s="36">
        <v>15</v>
      </c>
      <c r="I14" s="33" t="s">
        <v>81</v>
      </c>
      <c r="J14" s="32"/>
    </row>
    <row r="15" spans="1:10" ht="19.5" customHeight="1" x14ac:dyDescent="0.25">
      <c r="A15" s="37" t="s">
        <v>82</v>
      </c>
      <c r="B15" s="37" t="s">
        <v>83</v>
      </c>
      <c r="C15" s="37" t="s">
        <v>76</v>
      </c>
      <c r="D15" s="38" t="s">
        <v>84</v>
      </c>
      <c r="E15" s="39">
        <v>2.2999999999999998</v>
      </c>
      <c r="F15" s="39">
        <v>5.49</v>
      </c>
      <c r="G15" s="40">
        <v>0.19</v>
      </c>
      <c r="H15" s="41">
        <v>50</v>
      </c>
      <c r="I15" s="38" t="s">
        <v>85</v>
      </c>
      <c r="J15" s="37"/>
    </row>
  </sheetData>
  <mergeCells count="2">
    <mergeCell ref="A1:J1"/>
    <mergeCell ref="A2:J2"/>
  </mergeCells>
  <pageMargins left="0.75" right="0.75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E4D4A"/>
    <pageSetUpPr fitToPage="1"/>
  </sheetPr>
  <dimension ref="A1:J16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13" customWidth="1"/>
    <col min="2" max="2" width="34" customWidth="1"/>
    <col min="3" max="3" width="10" customWidth="1"/>
    <col min="4" max="6" width="15" customWidth="1"/>
    <col min="7" max="7" width="16" customWidth="1"/>
    <col min="8" max="8" width="14" customWidth="1"/>
    <col min="9" max="9" width="16" customWidth="1"/>
    <col min="10" max="10" width="15" customWidth="1"/>
  </cols>
  <sheetData>
    <row r="1" spans="1:10" ht="33.75" customHeight="1" x14ac:dyDescent="0.25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25">
      <c r="A2" s="1" t="s">
        <v>87</v>
      </c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25">
      <c r="A3" s="12" t="s">
        <v>27</v>
      </c>
      <c r="B3" s="12" t="s">
        <v>28</v>
      </c>
      <c r="C3" s="12" t="s">
        <v>35</v>
      </c>
      <c r="D3" s="12" t="s">
        <v>88</v>
      </c>
      <c r="E3" s="12" t="s">
        <v>89</v>
      </c>
      <c r="F3" s="12" t="s">
        <v>90</v>
      </c>
      <c r="G3" s="12" t="s">
        <v>91</v>
      </c>
      <c r="H3" s="12" t="s">
        <v>92</v>
      </c>
      <c r="I3" s="12" t="s">
        <v>16</v>
      </c>
      <c r="J3" s="12" t="s">
        <v>93</v>
      </c>
    </row>
    <row r="4" spans="1:10" ht="19.5" customHeight="1" x14ac:dyDescent="0.25">
      <c r="A4" s="14" t="str">
        <f>Artikel!A4</f>
        <v>ART-1001</v>
      </c>
      <c r="B4" s="14" t="str">
        <f>IFERROR(VLOOKUP(A4,Artikel!$A$4:$B$15,2,0),"")</f>
        <v>Mineralwasser still 0,5 L (24er-Kasten)</v>
      </c>
      <c r="C4" s="13" t="str">
        <f>IFERROR(VLOOKUP(A4,Artikel!$A$4:$I$15,9,0),"")</f>
        <v>A-01</v>
      </c>
      <c r="D4" s="33">
        <v>60</v>
      </c>
      <c r="E4" s="16">
        <f>SUMIFS(Zugänge!$C$4:$C$203,Zugänge!$A$4:$A$203,A4)</f>
        <v>40</v>
      </c>
      <c r="F4" s="16">
        <f>SUMIFS(Abgänge!$C$4:$C$203,Abgänge!$A$4:$A$203,A4)</f>
        <v>37</v>
      </c>
      <c r="G4" s="15">
        <f t="shared" ref="G4:G15" si="0">D4+E4-F4</f>
        <v>63</v>
      </c>
      <c r="H4" s="13">
        <f>IFERROR(VLOOKUP(A4,Artikel!$A$4:$H$15,8,0),0)</f>
        <v>40</v>
      </c>
      <c r="I4" s="15" t="str">
        <f t="shared" ref="I4:I15" si="1">IF(G4&lt;H4,"Nachbestellen","OK")</f>
        <v>OK</v>
      </c>
      <c r="J4" s="17">
        <f>G4*IFERROR(VLOOKUP(A4,Artikel!$A$4:$E$15,5,0),0)</f>
        <v>302.39999999999998</v>
      </c>
    </row>
    <row r="5" spans="1:10" ht="19.5" customHeight="1" x14ac:dyDescent="0.25">
      <c r="A5" s="14" t="str">
        <f>Artikel!A5</f>
        <v>ART-1002</v>
      </c>
      <c r="B5" s="14" t="str">
        <f>IFERROR(VLOOKUP(A5,Artikel!$A$4:$B$15,2,0),"")</f>
        <v>Cola Classic 1,0 L (12er-Kasten)</v>
      </c>
      <c r="C5" s="13" t="str">
        <f>IFERROR(VLOOKUP(A5,Artikel!$A$4:$I$15,9,0),"")</f>
        <v>A-02</v>
      </c>
      <c r="D5" s="33">
        <v>48</v>
      </c>
      <c r="E5" s="16">
        <f>SUMIFS(Zugänge!$C$4:$C$203,Zugänge!$A$4:$A$203,A5)</f>
        <v>30</v>
      </c>
      <c r="F5" s="16">
        <f>SUMIFS(Abgänge!$C$4:$C$203,Abgänge!$A$4:$A$203,A5)</f>
        <v>30</v>
      </c>
      <c r="G5" s="15">
        <f t="shared" si="0"/>
        <v>48</v>
      </c>
      <c r="H5" s="13">
        <f>IFERROR(VLOOKUP(A5,Artikel!$A$4:$H$15,8,0),0)</f>
        <v>30</v>
      </c>
      <c r="I5" s="15" t="str">
        <f t="shared" si="1"/>
        <v>OK</v>
      </c>
      <c r="J5" s="17">
        <f>G5*IFERROR(VLOOKUP(A5,Artikel!$A$4:$E$15,5,0),0)</f>
        <v>297.60000000000002</v>
      </c>
    </row>
    <row r="6" spans="1:10" ht="19.5" customHeight="1" x14ac:dyDescent="0.25">
      <c r="A6" s="14" t="str">
        <f>Artikel!A6</f>
        <v>ART-1003</v>
      </c>
      <c r="B6" s="14" t="str">
        <f>IFERROR(VLOOKUP(A6,Artikel!$A$4:$B$15,2,0),"")</f>
        <v>Kaffeebohnen Röstung 1 kg</v>
      </c>
      <c r="C6" s="13" t="str">
        <f>IFERROR(VLOOKUP(A6,Artikel!$A$4:$I$15,9,0),"")</f>
        <v>A-03</v>
      </c>
      <c r="D6" s="33">
        <v>30</v>
      </c>
      <c r="E6" s="16">
        <f>SUMIFS(Zugänge!$C$4:$C$203,Zugänge!$A$4:$A$203,A6)</f>
        <v>20</v>
      </c>
      <c r="F6" s="16">
        <f>SUMIFS(Abgänge!$C$4:$C$203,Abgänge!$A$4:$A$203,A6)</f>
        <v>22</v>
      </c>
      <c r="G6" s="15">
        <f t="shared" si="0"/>
        <v>28</v>
      </c>
      <c r="H6" s="13">
        <f>IFERROR(VLOOKUP(A6,Artikel!$A$4:$H$15,8,0),0)</f>
        <v>25</v>
      </c>
      <c r="I6" s="15" t="str">
        <f t="shared" si="1"/>
        <v>OK</v>
      </c>
      <c r="J6" s="17">
        <f>G6*IFERROR(VLOOKUP(A6,Artikel!$A$4:$E$15,5,0),0)</f>
        <v>210</v>
      </c>
    </row>
    <row r="7" spans="1:10" ht="19.5" customHeight="1" x14ac:dyDescent="0.25">
      <c r="A7" s="14" t="str">
        <f>Artikel!A7</f>
        <v>ART-1004</v>
      </c>
      <c r="B7" s="14" t="str">
        <f>IFERROR(VLOOKUP(A7,Artikel!$A$4:$B$15,2,0),"")</f>
        <v>Allzweckreiniger Konzentrat 5 L</v>
      </c>
      <c r="C7" s="13" t="str">
        <f>IFERROR(VLOOKUP(A7,Artikel!$A$4:$I$15,9,0),"")</f>
        <v>B-01</v>
      </c>
      <c r="D7" s="33">
        <v>24</v>
      </c>
      <c r="E7" s="16">
        <f>SUMIFS(Zugänge!$C$4:$C$203,Zugänge!$A$4:$A$203,A7)</f>
        <v>24</v>
      </c>
      <c r="F7" s="16">
        <f>SUMIFS(Abgänge!$C$4:$C$203,Abgänge!$A$4:$A$203,A7)</f>
        <v>30</v>
      </c>
      <c r="G7" s="15">
        <f t="shared" si="0"/>
        <v>18</v>
      </c>
      <c r="H7" s="13">
        <f>IFERROR(VLOOKUP(A7,Artikel!$A$4:$H$15,8,0),0)</f>
        <v>20</v>
      </c>
      <c r="I7" s="15" t="str">
        <f t="shared" si="1"/>
        <v>Nachbestellen</v>
      </c>
      <c r="J7" s="17">
        <f>G7*IFERROR(VLOOKUP(A7,Artikel!$A$4:$E$15,5,0),0)</f>
        <v>97.2</v>
      </c>
    </row>
    <row r="8" spans="1:10" ht="19.5" customHeight="1" x14ac:dyDescent="0.25">
      <c r="A8" s="14" t="str">
        <f>Artikel!A8</f>
        <v>ART-1005</v>
      </c>
      <c r="B8" s="14" t="str">
        <f>IFERROR(VLOOKUP(A8,Artikel!$A$4:$B$15,2,0),"")</f>
        <v>Einweghandschuhe Nitril (100 St.)</v>
      </c>
      <c r="C8" s="13" t="str">
        <f>IFERROR(VLOOKUP(A8,Artikel!$A$4:$I$15,9,0),"")</f>
        <v>B-02</v>
      </c>
      <c r="D8" s="33">
        <v>80</v>
      </c>
      <c r="E8" s="16">
        <f>SUMIFS(Zugänge!$C$4:$C$203,Zugänge!$A$4:$A$203,A8)</f>
        <v>60</v>
      </c>
      <c r="F8" s="16">
        <f>SUMIFS(Abgänge!$C$4:$C$203,Abgänge!$A$4:$A$203,A8)</f>
        <v>65</v>
      </c>
      <c r="G8" s="15">
        <f t="shared" si="0"/>
        <v>75</v>
      </c>
      <c r="H8" s="13">
        <f>IFERROR(VLOOKUP(A8,Artikel!$A$4:$H$15,8,0),0)</f>
        <v>60</v>
      </c>
      <c r="I8" s="15" t="str">
        <f t="shared" si="1"/>
        <v>OK</v>
      </c>
      <c r="J8" s="17">
        <f>G8*IFERROR(VLOOKUP(A8,Artikel!$A$4:$E$15,5,0),0)</f>
        <v>240</v>
      </c>
    </row>
    <row r="9" spans="1:10" ht="19.5" customHeight="1" x14ac:dyDescent="0.25">
      <c r="A9" s="14" t="str">
        <f>Artikel!A9</f>
        <v>ART-1006</v>
      </c>
      <c r="B9" s="14" t="str">
        <f>IFERROR(VLOOKUP(A9,Artikel!$A$4:$B$15,2,0),"")</f>
        <v>Faltkarton 400×300×300 mm</v>
      </c>
      <c r="C9" s="13" t="str">
        <f>IFERROR(VLOOKUP(A9,Artikel!$A$4:$I$15,9,0),"")</f>
        <v>C-01</v>
      </c>
      <c r="D9" s="33">
        <v>250</v>
      </c>
      <c r="E9" s="16">
        <f>SUMIFS(Zugänge!$C$4:$C$203,Zugänge!$A$4:$A$203,A9)</f>
        <v>300</v>
      </c>
      <c r="F9" s="16">
        <f>SUMIFS(Abgänge!$C$4:$C$203,Abgänge!$A$4:$A$203,A9)</f>
        <v>270</v>
      </c>
      <c r="G9" s="15">
        <f t="shared" si="0"/>
        <v>280</v>
      </c>
      <c r="H9" s="13">
        <f>IFERROR(VLOOKUP(A9,Artikel!$A$4:$H$15,8,0),0)</f>
        <v>200</v>
      </c>
      <c r="I9" s="15" t="str">
        <f t="shared" si="1"/>
        <v>OK</v>
      </c>
      <c r="J9" s="17">
        <f>G9*IFERROR(VLOOKUP(A9,Artikel!$A$4:$E$15,5,0),0)</f>
        <v>182</v>
      </c>
    </row>
    <row r="10" spans="1:10" ht="19.5" customHeight="1" x14ac:dyDescent="0.25">
      <c r="A10" s="14" t="str">
        <f>Artikel!A10</f>
        <v>ART-1007</v>
      </c>
      <c r="B10" s="14" t="str">
        <f>IFERROR(VLOOKUP(A10,Artikel!$A$4:$B$15,2,0),"")</f>
        <v>Packband transparent 66 m</v>
      </c>
      <c r="C10" s="13" t="str">
        <f>IFERROR(VLOOKUP(A10,Artikel!$A$4:$I$15,9,0),"")</f>
        <v>C-02</v>
      </c>
      <c r="D10" s="33">
        <v>180</v>
      </c>
      <c r="E10" s="16">
        <f>SUMIFS(Zugänge!$C$4:$C$203,Zugänge!$A$4:$A$203,A10)</f>
        <v>200</v>
      </c>
      <c r="F10" s="16">
        <f>SUMIFS(Abgänge!$C$4:$C$203,Abgänge!$A$4:$A$203,A10)</f>
        <v>120</v>
      </c>
      <c r="G10" s="15">
        <f t="shared" si="0"/>
        <v>260</v>
      </c>
      <c r="H10" s="13">
        <f>IFERROR(VLOOKUP(A10,Artikel!$A$4:$H$15,8,0),0)</f>
        <v>150</v>
      </c>
      <c r="I10" s="15" t="str">
        <f t="shared" si="1"/>
        <v>OK</v>
      </c>
      <c r="J10" s="17">
        <f>G10*IFERROR(VLOOKUP(A10,Artikel!$A$4:$E$15,5,0),0)</f>
        <v>234</v>
      </c>
    </row>
    <row r="11" spans="1:10" ht="19.5" customHeight="1" x14ac:dyDescent="0.25">
      <c r="A11" s="14" t="str">
        <f>Artikel!A11</f>
        <v>ART-1008</v>
      </c>
      <c r="B11" s="14" t="str">
        <f>IFERROR(VLOOKUP(A11,Artikel!$A$4:$B$15,2,0),"")</f>
        <v>LED-Leuchtmittel E27 9 W</v>
      </c>
      <c r="C11" s="13" t="str">
        <f>IFERROR(VLOOKUP(A11,Artikel!$A$4:$I$15,9,0),"")</f>
        <v>D-01</v>
      </c>
      <c r="D11" s="33">
        <v>100</v>
      </c>
      <c r="E11" s="16">
        <f>SUMIFS(Zugänge!$C$4:$C$203,Zugänge!$A$4:$A$203,A11)</f>
        <v>100</v>
      </c>
      <c r="F11" s="16">
        <f>SUMIFS(Abgänge!$C$4:$C$203,Abgänge!$A$4:$A$203,A11)</f>
        <v>80</v>
      </c>
      <c r="G11" s="15">
        <f t="shared" si="0"/>
        <v>120</v>
      </c>
      <c r="H11" s="13">
        <f>IFERROR(VLOOKUP(A11,Artikel!$A$4:$H$15,8,0),0)</f>
        <v>80</v>
      </c>
      <c r="I11" s="15" t="str">
        <f t="shared" si="1"/>
        <v>OK</v>
      </c>
      <c r="J11" s="17">
        <f>G11*IFERROR(VLOOKUP(A11,Artikel!$A$4:$E$15,5,0),0)</f>
        <v>216</v>
      </c>
    </row>
    <row r="12" spans="1:10" ht="19.5" customHeight="1" x14ac:dyDescent="0.25">
      <c r="A12" s="14" t="str">
        <f>Artikel!A12</f>
        <v>ART-1009</v>
      </c>
      <c r="B12" s="14" t="str">
        <f>IFERROR(VLOOKUP(A12,Artikel!$A$4:$B$15,2,0),"")</f>
        <v>Verlängerungskabel 5 m</v>
      </c>
      <c r="C12" s="13" t="str">
        <f>IFERROR(VLOOKUP(A12,Artikel!$A$4:$I$15,9,0),"")</f>
        <v>D-02</v>
      </c>
      <c r="D12" s="33">
        <v>50</v>
      </c>
      <c r="E12" s="16">
        <f>SUMIFS(Zugänge!$C$4:$C$203,Zugänge!$A$4:$A$203,A12)</f>
        <v>40</v>
      </c>
      <c r="F12" s="16">
        <f>SUMIFS(Abgänge!$C$4:$C$203,Abgänge!$A$4:$A$203,A12)</f>
        <v>25</v>
      </c>
      <c r="G12" s="15">
        <f t="shared" si="0"/>
        <v>65</v>
      </c>
      <c r="H12" s="13">
        <f>IFERROR(VLOOKUP(A12,Artikel!$A$4:$H$15,8,0),0)</f>
        <v>40</v>
      </c>
      <c r="I12" s="15" t="str">
        <f t="shared" si="1"/>
        <v>OK</v>
      </c>
      <c r="J12" s="17">
        <f>G12*IFERROR(VLOOKUP(A12,Artikel!$A$4:$E$15,5,0),0)</f>
        <v>266.5</v>
      </c>
    </row>
    <row r="13" spans="1:10" ht="19.5" customHeight="1" x14ac:dyDescent="0.25">
      <c r="A13" s="14" t="str">
        <f>Artikel!A13</f>
        <v>ART-1010</v>
      </c>
      <c r="B13" s="14" t="str">
        <f>IFERROR(VLOOKUP(A13,Artikel!$A$4:$B$15,2,0),"")</f>
        <v>Akkuschrauber kompakt 12 V</v>
      </c>
      <c r="C13" s="13" t="str">
        <f>IFERROR(VLOOKUP(A13,Artikel!$A$4:$I$15,9,0),"")</f>
        <v>E-01</v>
      </c>
      <c r="D13" s="33">
        <v>12</v>
      </c>
      <c r="E13" s="16">
        <f>SUMIFS(Zugänge!$C$4:$C$203,Zugänge!$A$4:$A$203,A13)</f>
        <v>10</v>
      </c>
      <c r="F13" s="16">
        <f>SUMIFS(Abgänge!$C$4:$C$203,Abgänge!$A$4:$A$203,A13)</f>
        <v>16</v>
      </c>
      <c r="G13" s="15">
        <f t="shared" si="0"/>
        <v>6</v>
      </c>
      <c r="H13" s="13">
        <f>IFERROR(VLOOKUP(A13,Artikel!$A$4:$H$15,8,0),0)</f>
        <v>8</v>
      </c>
      <c r="I13" s="15" t="str">
        <f t="shared" si="1"/>
        <v>Nachbestellen</v>
      </c>
      <c r="J13" s="17">
        <f>G13*IFERROR(VLOOKUP(A13,Artikel!$A$4:$E$15,5,0),0)</f>
        <v>228</v>
      </c>
    </row>
    <row r="14" spans="1:10" ht="19.5" customHeight="1" x14ac:dyDescent="0.25">
      <c r="A14" s="14" t="str">
        <f>Artikel!A14</f>
        <v>ART-1011</v>
      </c>
      <c r="B14" s="14" t="str">
        <f>IFERROR(VLOOKUP(A14,Artikel!$A$4:$B$15,2,0),"")</f>
        <v>Schraubensortiment 220-tlg.</v>
      </c>
      <c r="C14" s="13" t="str">
        <f>IFERROR(VLOOKUP(A14,Artikel!$A$4:$I$15,9,0),"")</f>
        <v>E-02</v>
      </c>
      <c r="D14" s="33">
        <v>20</v>
      </c>
      <c r="E14" s="16">
        <f>SUMIFS(Zugänge!$C$4:$C$203,Zugänge!$A$4:$A$203,A14)</f>
        <v>20</v>
      </c>
      <c r="F14" s="16">
        <f>SUMIFS(Abgänge!$C$4:$C$203,Abgänge!$A$4:$A$203,A14)</f>
        <v>12</v>
      </c>
      <c r="G14" s="15">
        <f t="shared" si="0"/>
        <v>28</v>
      </c>
      <c r="H14" s="13">
        <f>IFERROR(VLOOKUP(A14,Artikel!$A$4:$H$15,8,0),0)</f>
        <v>15</v>
      </c>
      <c r="I14" s="15" t="str">
        <f t="shared" si="1"/>
        <v>OK</v>
      </c>
      <c r="J14" s="17">
        <f>G14*IFERROR(VLOOKUP(A14,Artikel!$A$4:$E$15,5,0),0)</f>
        <v>193.20000000000002</v>
      </c>
    </row>
    <row r="15" spans="1:10" ht="19.5" customHeight="1" x14ac:dyDescent="0.25">
      <c r="A15" s="14" t="str">
        <f>Artikel!A15</f>
        <v>ART-1012</v>
      </c>
      <c r="B15" s="14" t="str">
        <f>IFERROR(VLOOKUP(A15,Artikel!$A$4:$B$15,2,0),"")</f>
        <v>Arbeitshandschuhe Gr. L</v>
      </c>
      <c r="C15" s="13" t="str">
        <f>IFERROR(VLOOKUP(A15,Artikel!$A$4:$I$15,9,0),"")</f>
        <v>E-03</v>
      </c>
      <c r="D15" s="33">
        <v>60</v>
      </c>
      <c r="E15" s="16">
        <f>SUMIFS(Zugänge!$C$4:$C$203,Zugänge!$A$4:$A$203,A15)</f>
        <v>50</v>
      </c>
      <c r="F15" s="16">
        <f>SUMIFS(Abgänge!$C$4:$C$203,Abgänge!$A$4:$A$203,A15)</f>
        <v>30</v>
      </c>
      <c r="G15" s="15">
        <f t="shared" si="0"/>
        <v>80</v>
      </c>
      <c r="H15" s="13">
        <f>IFERROR(VLOOKUP(A15,Artikel!$A$4:$H$15,8,0),0)</f>
        <v>50</v>
      </c>
      <c r="I15" s="15" t="str">
        <f t="shared" si="1"/>
        <v>OK</v>
      </c>
      <c r="J15" s="17">
        <f>G15*IFERROR(VLOOKUP(A15,Artikel!$A$4:$E$15,5,0),0)</f>
        <v>184</v>
      </c>
    </row>
    <row r="16" spans="1:10" x14ac:dyDescent="0.25">
      <c r="A16" s="27" t="s">
        <v>22</v>
      </c>
      <c r="B16" s="28"/>
      <c r="C16" s="28"/>
      <c r="D16" s="28"/>
      <c r="E16" s="29">
        <f>SUM(E4:E15)</f>
        <v>894</v>
      </c>
      <c r="F16" s="29">
        <f>SUM(F4:F15)</f>
        <v>737</v>
      </c>
      <c r="G16" s="29">
        <f>SUM(G4:G15)</f>
        <v>1071</v>
      </c>
      <c r="H16" s="28"/>
      <c r="I16" s="28"/>
      <c r="J16" s="30">
        <f>SUM(J4:J15)</f>
        <v>2650.8999999999996</v>
      </c>
    </row>
  </sheetData>
  <mergeCells count="2">
    <mergeCell ref="A1:J1"/>
    <mergeCell ref="A2:J2"/>
  </mergeCells>
  <conditionalFormatting sqref="G4:G15">
    <cfRule type="expression" dxfId="5" priority="4">
      <formula>$G4&lt;$H4</formula>
    </cfRule>
  </conditionalFormatting>
  <conditionalFormatting sqref="I4:I15">
    <cfRule type="cellIs" dxfId="4" priority="2" operator="equal">
      <formula>"Nachbestellen"</formula>
    </cfRule>
    <cfRule type="cellIs" dxfId="3" priority="3" operator="equal">
      <formula>"OK"</formula>
    </cfRule>
  </conditionalFormatting>
  <pageMargins left="0.75" right="0.75" top="1" bottom="1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6B66"/>
    <pageSetUpPr fitToPage="1"/>
  </sheetPr>
  <dimension ref="A1:G15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13" customWidth="1"/>
    <col min="2" max="2" width="34" customWidth="1"/>
    <col min="3" max="3" width="10" customWidth="1"/>
    <col min="4" max="4" width="13" customWidth="1"/>
    <col min="5" max="5" width="22" customWidth="1"/>
    <col min="6" max="6" width="16" customWidth="1"/>
    <col min="7" max="7" width="22" customWidth="1"/>
  </cols>
  <sheetData>
    <row r="1" spans="1:7" ht="33.75" customHeight="1" x14ac:dyDescent="0.25">
      <c r="A1" s="2" t="s">
        <v>94</v>
      </c>
      <c r="B1" s="2"/>
      <c r="C1" s="2"/>
      <c r="D1" s="2"/>
      <c r="E1" s="2"/>
      <c r="F1" s="2"/>
      <c r="G1" s="2"/>
    </row>
    <row r="2" spans="1:7" ht="18" customHeight="1" x14ac:dyDescent="0.25">
      <c r="A2" s="1" t="s">
        <v>95</v>
      </c>
      <c r="B2" s="1"/>
      <c r="C2" s="1"/>
      <c r="D2" s="1"/>
      <c r="E2" s="1"/>
      <c r="F2" s="1"/>
      <c r="G2" s="1"/>
    </row>
    <row r="3" spans="1:7" ht="30" customHeight="1" x14ac:dyDescent="0.25">
      <c r="A3" s="12" t="s">
        <v>27</v>
      </c>
      <c r="B3" s="12" t="s">
        <v>28</v>
      </c>
      <c r="C3" s="12" t="s">
        <v>96</v>
      </c>
      <c r="D3" s="12" t="s">
        <v>97</v>
      </c>
      <c r="E3" s="12" t="s">
        <v>98</v>
      </c>
      <c r="F3" s="12" t="s">
        <v>99</v>
      </c>
      <c r="G3" s="12" t="s">
        <v>36</v>
      </c>
    </row>
    <row r="4" spans="1:7" ht="18.75" customHeight="1" x14ac:dyDescent="0.25">
      <c r="A4" s="33" t="s">
        <v>37</v>
      </c>
      <c r="B4" s="14" t="str">
        <f>IFERROR(VLOOKUP(A4,Artikel!$A$4:$B$15,2,0),"")</f>
        <v>Mineralwasser still 0,5 L (24er-Kasten)</v>
      </c>
      <c r="C4" s="33">
        <v>40</v>
      </c>
      <c r="D4" s="42">
        <v>46030</v>
      </c>
      <c r="E4" s="32" t="s">
        <v>100</v>
      </c>
      <c r="F4" s="33" t="s">
        <v>101</v>
      </c>
      <c r="G4" s="32"/>
    </row>
    <row r="5" spans="1:7" ht="18.75" customHeight="1" x14ac:dyDescent="0.25">
      <c r="A5" s="38" t="s">
        <v>42</v>
      </c>
      <c r="B5" s="21" t="str">
        <f>IFERROR(VLOOKUP(A5,Artikel!$A$4:$B$15,2,0),"")</f>
        <v>Cola Classic 1,0 L (12er-Kasten)</v>
      </c>
      <c r="C5" s="38">
        <v>30</v>
      </c>
      <c r="D5" s="43">
        <v>46030</v>
      </c>
      <c r="E5" s="37" t="s">
        <v>100</v>
      </c>
      <c r="F5" s="38" t="s">
        <v>101</v>
      </c>
      <c r="G5" s="37"/>
    </row>
    <row r="6" spans="1:7" ht="18.75" customHeight="1" x14ac:dyDescent="0.25">
      <c r="A6" s="33" t="s">
        <v>45</v>
      </c>
      <c r="B6" s="14" t="str">
        <f>IFERROR(VLOOKUP(A6,Artikel!$A$4:$B$15,2,0),"")</f>
        <v>Kaffeebohnen Röstung 1 kg</v>
      </c>
      <c r="C6" s="33">
        <v>20</v>
      </c>
      <c r="D6" s="42">
        <v>46032</v>
      </c>
      <c r="E6" s="32" t="s">
        <v>102</v>
      </c>
      <c r="F6" s="33" t="s">
        <v>103</v>
      </c>
      <c r="G6" s="32"/>
    </row>
    <row r="7" spans="1:7" ht="18.75" customHeight="1" x14ac:dyDescent="0.25">
      <c r="A7" s="38" t="s">
        <v>49</v>
      </c>
      <c r="B7" s="21" t="str">
        <f>IFERROR(VLOOKUP(A7,Artikel!$A$4:$B$15,2,0),"")</f>
        <v>Allzweckreiniger Konzentrat 5 L</v>
      </c>
      <c r="C7" s="38">
        <v>24</v>
      </c>
      <c r="D7" s="43">
        <v>46034</v>
      </c>
      <c r="E7" s="37" t="s">
        <v>104</v>
      </c>
      <c r="F7" s="38" t="s">
        <v>105</v>
      </c>
      <c r="G7" s="37"/>
    </row>
    <row r="8" spans="1:7" ht="18.75" customHeight="1" x14ac:dyDescent="0.25">
      <c r="A8" s="33" t="s">
        <v>54</v>
      </c>
      <c r="B8" s="14" t="str">
        <f>IFERROR(VLOOKUP(A8,Artikel!$A$4:$B$15,2,0),"")</f>
        <v>Einweghandschuhe Nitril (100 St.)</v>
      </c>
      <c r="C8" s="33">
        <v>60</v>
      </c>
      <c r="D8" s="42">
        <v>46034</v>
      </c>
      <c r="E8" s="32" t="s">
        <v>104</v>
      </c>
      <c r="F8" s="33" t="s">
        <v>105</v>
      </c>
      <c r="G8" s="32"/>
    </row>
    <row r="9" spans="1:7" ht="18.75" customHeight="1" x14ac:dyDescent="0.25">
      <c r="A9" s="38" t="s">
        <v>58</v>
      </c>
      <c r="B9" s="21" t="str">
        <f>IFERROR(VLOOKUP(A9,Artikel!$A$4:$B$15,2,0),"")</f>
        <v>Faltkarton 400×300×300 mm</v>
      </c>
      <c r="C9" s="38">
        <v>300</v>
      </c>
      <c r="D9" s="43">
        <v>46036</v>
      </c>
      <c r="E9" s="37" t="s">
        <v>106</v>
      </c>
      <c r="F9" s="38" t="s">
        <v>107</v>
      </c>
      <c r="G9" s="37"/>
    </row>
    <row r="10" spans="1:7" ht="18.75" customHeight="1" x14ac:dyDescent="0.25">
      <c r="A10" s="33" t="s">
        <v>63</v>
      </c>
      <c r="B10" s="14" t="str">
        <f>IFERROR(VLOOKUP(A10,Artikel!$A$4:$B$15,2,0),"")</f>
        <v>Packband transparent 66 m</v>
      </c>
      <c r="C10" s="33">
        <v>200</v>
      </c>
      <c r="D10" s="42">
        <v>46036</v>
      </c>
      <c r="E10" s="32" t="s">
        <v>106</v>
      </c>
      <c r="F10" s="33" t="s">
        <v>107</v>
      </c>
      <c r="G10" s="32"/>
    </row>
    <row r="11" spans="1:7" ht="18.75" customHeight="1" x14ac:dyDescent="0.25">
      <c r="A11" s="38" t="s">
        <v>67</v>
      </c>
      <c r="B11" s="21" t="str">
        <f>IFERROR(VLOOKUP(A11,Artikel!$A$4:$B$15,2,0),"")</f>
        <v>LED-Leuchtmittel E27 9 W</v>
      </c>
      <c r="C11" s="38">
        <v>100</v>
      </c>
      <c r="D11" s="43">
        <v>46038</v>
      </c>
      <c r="E11" s="37" t="s">
        <v>108</v>
      </c>
      <c r="F11" s="38" t="s">
        <v>109</v>
      </c>
      <c r="G11" s="37"/>
    </row>
    <row r="12" spans="1:7" ht="18.75" customHeight="1" x14ac:dyDescent="0.25">
      <c r="A12" s="33" t="s">
        <v>71</v>
      </c>
      <c r="B12" s="14" t="str">
        <f>IFERROR(VLOOKUP(A12,Artikel!$A$4:$B$15,2,0),"")</f>
        <v>Verlängerungskabel 5 m</v>
      </c>
      <c r="C12" s="33">
        <v>40</v>
      </c>
      <c r="D12" s="42">
        <v>46038</v>
      </c>
      <c r="E12" s="32" t="s">
        <v>108</v>
      </c>
      <c r="F12" s="33" t="s">
        <v>109</v>
      </c>
      <c r="G12" s="32"/>
    </row>
    <row r="13" spans="1:7" ht="18.75" customHeight="1" x14ac:dyDescent="0.25">
      <c r="A13" s="38" t="s">
        <v>74</v>
      </c>
      <c r="B13" s="21" t="str">
        <f>IFERROR(VLOOKUP(A13,Artikel!$A$4:$B$15,2,0),"")</f>
        <v>Akkuschrauber kompakt 12 V</v>
      </c>
      <c r="C13" s="38">
        <v>10</v>
      </c>
      <c r="D13" s="43">
        <v>46042</v>
      </c>
      <c r="E13" s="37" t="s">
        <v>110</v>
      </c>
      <c r="F13" s="38" t="s">
        <v>111</v>
      </c>
      <c r="G13" s="37"/>
    </row>
    <row r="14" spans="1:7" ht="18.75" customHeight="1" x14ac:dyDescent="0.25">
      <c r="A14" s="33" t="s">
        <v>78</v>
      </c>
      <c r="B14" s="14" t="str">
        <f>IFERROR(VLOOKUP(A14,Artikel!$A$4:$B$15,2,0),"")</f>
        <v>Schraubensortiment 220-tlg.</v>
      </c>
      <c r="C14" s="33">
        <v>20</v>
      </c>
      <c r="D14" s="42">
        <v>46042</v>
      </c>
      <c r="E14" s="32" t="s">
        <v>110</v>
      </c>
      <c r="F14" s="33" t="s">
        <v>111</v>
      </c>
      <c r="G14" s="32"/>
    </row>
    <row r="15" spans="1:7" ht="18.75" customHeight="1" x14ac:dyDescent="0.25">
      <c r="A15" s="38" t="s">
        <v>82</v>
      </c>
      <c r="B15" s="21" t="str">
        <f>IFERROR(VLOOKUP(A15,Artikel!$A$4:$B$15,2,0),"")</f>
        <v>Arbeitshandschuhe Gr. L</v>
      </c>
      <c r="C15" s="38">
        <v>50</v>
      </c>
      <c r="D15" s="43">
        <v>46042</v>
      </c>
      <c r="E15" s="37" t="s">
        <v>110</v>
      </c>
      <c r="F15" s="38" t="s">
        <v>111</v>
      </c>
      <c r="G15" s="37"/>
    </row>
  </sheetData>
  <mergeCells count="2">
    <mergeCell ref="A1:G1"/>
    <mergeCell ref="A2:G2"/>
  </mergeCells>
  <pageMargins left="0.75" right="0.75" top="1" bottom="1" header="0.511811023622047" footer="0.511811023622047"/>
  <pageSetup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A6B66"/>
    <pageSetUpPr fitToPage="1"/>
  </sheetPr>
  <dimension ref="A1:I2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13" customWidth="1"/>
    <col min="2" max="2" width="34" customWidth="1"/>
    <col min="3" max="3" width="10" customWidth="1"/>
    <col min="4" max="4" width="13" customWidth="1"/>
    <col min="5" max="5" width="24" customWidth="1"/>
    <col min="6" max="6" width="16" customWidth="1"/>
    <col min="7" max="8" width="14" customWidth="1"/>
    <col min="9" max="9" width="20" customWidth="1"/>
  </cols>
  <sheetData>
    <row r="1" spans="1:9" ht="33.75" customHeight="1" x14ac:dyDescent="0.25">
      <c r="A1" s="2" t="s">
        <v>112</v>
      </c>
      <c r="B1" s="2"/>
      <c r="C1" s="2"/>
      <c r="D1" s="2"/>
      <c r="E1" s="2"/>
      <c r="F1" s="2"/>
      <c r="G1" s="2"/>
      <c r="H1" s="2"/>
      <c r="I1" s="2"/>
    </row>
    <row r="2" spans="1:9" ht="18" customHeight="1" x14ac:dyDescent="0.25">
      <c r="A2" s="1" t="s">
        <v>113</v>
      </c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2" t="s">
        <v>27</v>
      </c>
      <c r="B3" s="12" t="s">
        <v>28</v>
      </c>
      <c r="C3" s="12" t="s">
        <v>96</v>
      </c>
      <c r="D3" s="12" t="s">
        <v>97</v>
      </c>
      <c r="E3" s="12" t="s">
        <v>114</v>
      </c>
      <c r="F3" s="12" t="s">
        <v>115</v>
      </c>
      <c r="G3" s="12" t="s">
        <v>116</v>
      </c>
      <c r="H3" s="12" t="s">
        <v>18</v>
      </c>
      <c r="I3" s="12" t="s">
        <v>36</v>
      </c>
    </row>
    <row r="4" spans="1:9" ht="18.75" customHeight="1" x14ac:dyDescent="0.25">
      <c r="A4" s="33" t="s">
        <v>37</v>
      </c>
      <c r="B4" s="14" t="str">
        <f>IFERROR(VLOOKUP(A4,Artikel!$A$4:$B$15,2,0),"")</f>
        <v>Mineralwasser still 0,5 L (24er-Kasten)</v>
      </c>
      <c r="C4" s="33">
        <v>22</v>
      </c>
      <c r="D4" s="42">
        <v>46037</v>
      </c>
      <c r="E4" s="32" t="s">
        <v>117</v>
      </c>
      <c r="F4" s="33" t="s">
        <v>118</v>
      </c>
      <c r="G4" s="44">
        <f>IFERROR(VLOOKUP(A4,Artikel!$A$4:$F$15,6,0),0)</f>
        <v>8.9</v>
      </c>
      <c r="H4" s="17">
        <f t="shared" ref="H4:H21" si="0">C4*G4</f>
        <v>195.8</v>
      </c>
      <c r="I4" s="32"/>
    </row>
    <row r="5" spans="1:9" ht="18.75" customHeight="1" x14ac:dyDescent="0.25">
      <c r="A5" s="38" t="s">
        <v>42</v>
      </c>
      <c r="B5" s="21" t="str">
        <f>IFERROR(VLOOKUP(A5,Artikel!$A$4:$B$15,2,0),"")</f>
        <v>Cola Classic 1,0 L (12er-Kasten)</v>
      </c>
      <c r="C5" s="38">
        <v>18</v>
      </c>
      <c r="D5" s="43">
        <v>46038</v>
      </c>
      <c r="E5" s="37" t="s">
        <v>119</v>
      </c>
      <c r="F5" s="38" t="s">
        <v>120</v>
      </c>
      <c r="G5" s="45">
        <f>IFERROR(VLOOKUP(A5,Artikel!$A$4:$F$15,6,0),0)</f>
        <v>11.5</v>
      </c>
      <c r="H5" s="24">
        <f t="shared" si="0"/>
        <v>207</v>
      </c>
      <c r="I5" s="37"/>
    </row>
    <row r="6" spans="1:9" ht="18.75" customHeight="1" x14ac:dyDescent="0.25">
      <c r="A6" s="33" t="s">
        <v>45</v>
      </c>
      <c r="B6" s="14" t="str">
        <f>IFERROR(VLOOKUP(A6,Artikel!$A$4:$B$15,2,0),"")</f>
        <v>Kaffeebohnen Röstung 1 kg</v>
      </c>
      <c r="C6" s="33">
        <v>14</v>
      </c>
      <c r="D6" s="42">
        <v>46039</v>
      </c>
      <c r="E6" s="32" t="s">
        <v>119</v>
      </c>
      <c r="F6" s="33" t="s">
        <v>120</v>
      </c>
      <c r="G6" s="44">
        <f>IFERROR(VLOOKUP(A6,Artikel!$A$4:$F$15,6,0),0)</f>
        <v>13.9</v>
      </c>
      <c r="H6" s="17">
        <f t="shared" si="0"/>
        <v>194.6</v>
      </c>
      <c r="I6" s="32"/>
    </row>
    <row r="7" spans="1:9" ht="18.75" customHeight="1" x14ac:dyDescent="0.25">
      <c r="A7" s="38" t="s">
        <v>49</v>
      </c>
      <c r="B7" s="21" t="str">
        <f>IFERROR(VLOOKUP(A7,Artikel!$A$4:$B$15,2,0),"")</f>
        <v>Allzweckreiniger Konzentrat 5 L</v>
      </c>
      <c r="C7" s="38">
        <v>30</v>
      </c>
      <c r="D7" s="43">
        <v>46041</v>
      </c>
      <c r="E7" s="37" t="s">
        <v>121</v>
      </c>
      <c r="F7" s="38" t="s">
        <v>122</v>
      </c>
      <c r="G7" s="45">
        <f>IFERROR(VLOOKUP(A7,Artikel!$A$4:$F$15,6,0),0)</f>
        <v>9.9499999999999993</v>
      </c>
      <c r="H7" s="24">
        <f t="shared" si="0"/>
        <v>298.5</v>
      </c>
      <c r="I7" s="37"/>
    </row>
    <row r="8" spans="1:9" ht="18.75" customHeight="1" x14ac:dyDescent="0.25">
      <c r="A8" s="33" t="s">
        <v>54</v>
      </c>
      <c r="B8" s="14" t="str">
        <f>IFERROR(VLOOKUP(A8,Artikel!$A$4:$B$15,2,0),"")</f>
        <v>Einweghandschuhe Nitril (100 St.)</v>
      </c>
      <c r="C8" s="33">
        <v>45</v>
      </c>
      <c r="D8" s="42">
        <v>46042</v>
      </c>
      <c r="E8" s="32" t="s">
        <v>121</v>
      </c>
      <c r="F8" s="33" t="s">
        <v>122</v>
      </c>
      <c r="G8" s="44">
        <f>IFERROR(VLOOKUP(A8,Artikel!$A$4:$F$15,6,0),0)</f>
        <v>6.49</v>
      </c>
      <c r="H8" s="17">
        <f t="shared" si="0"/>
        <v>292.05</v>
      </c>
      <c r="I8" s="32"/>
    </row>
    <row r="9" spans="1:9" ht="18.75" customHeight="1" x14ac:dyDescent="0.25">
      <c r="A9" s="38" t="s">
        <v>58</v>
      </c>
      <c r="B9" s="21" t="str">
        <f>IFERROR(VLOOKUP(A9,Artikel!$A$4:$B$15,2,0),"")</f>
        <v>Faltkarton 400×300×300 mm</v>
      </c>
      <c r="C9" s="38">
        <v>180</v>
      </c>
      <c r="D9" s="43">
        <v>46043</v>
      </c>
      <c r="E9" s="37" t="s">
        <v>123</v>
      </c>
      <c r="F9" s="38" t="s">
        <v>124</v>
      </c>
      <c r="G9" s="45">
        <f>IFERROR(VLOOKUP(A9,Artikel!$A$4:$F$15,6,0),0)</f>
        <v>1.29</v>
      </c>
      <c r="H9" s="24">
        <f t="shared" si="0"/>
        <v>232.20000000000002</v>
      </c>
      <c r="I9" s="37"/>
    </row>
    <row r="10" spans="1:9" ht="18.75" customHeight="1" x14ac:dyDescent="0.25">
      <c r="A10" s="33" t="s">
        <v>63</v>
      </c>
      <c r="B10" s="14" t="str">
        <f>IFERROR(VLOOKUP(A10,Artikel!$A$4:$B$15,2,0),"")</f>
        <v>Packband transparent 66 m</v>
      </c>
      <c r="C10" s="33">
        <v>120</v>
      </c>
      <c r="D10" s="42">
        <v>46043</v>
      </c>
      <c r="E10" s="32" t="s">
        <v>123</v>
      </c>
      <c r="F10" s="33" t="s">
        <v>124</v>
      </c>
      <c r="G10" s="44">
        <f>IFERROR(VLOOKUP(A10,Artikel!$A$4:$F$15,6,0),0)</f>
        <v>1.99</v>
      </c>
      <c r="H10" s="17">
        <f t="shared" si="0"/>
        <v>238.8</v>
      </c>
      <c r="I10" s="32"/>
    </row>
    <row r="11" spans="1:9" ht="18.75" customHeight="1" x14ac:dyDescent="0.25">
      <c r="A11" s="38" t="s">
        <v>67</v>
      </c>
      <c r="B11" s="21" t="str">
        <f>IFERROR(VLOOKUP(A11,Artikel!$A$4:$B$15,2,0),"")</f>
        <v>LED-Leuchtmittel E27 9 W</v>
      </c>
      <c r="C11" s="38">
        <v>60</v>
      </c>
      <c r="D11" s="43">
        <v>46045</v>
      </c>
      <c r="E11" s="37" t="s">
        <v>125</v>
      </c>
      <c r="F11" s="38" t="s">
        <v>126</v>
      </c>
      <c r="G11" s="45">
        <f>IFERROR(VLOOKUP(A11,Artikel!$A$4:$F$15,6,0),0)</f>
        <v>4.49</v>
      </c>
      <c r="H11" s="24">
        <f t="shared" si="0"/>
        <v>269.40000000000003</v>
      </c>
      <c r="I11" s="37"/>
    </row>
    <row r="12" spans="1:9" ht="18.75" customHeight="1" x14ac:dyDescent="0.25">
      <c r="A12" s="33" t="s">
        <v>71</v>
      </c>
      <c r="B12" s="14" t="str">
        <f>IFERROR(VLOOKUP(A12,Artikel!$A$4:$B$15,2,0),"")</f>
        <v>Verlängerungskabel 5 m</v>
      </c>
      <c r="C12" s="33">
        <v>25</v>
      </c>
      <c r="D12" s="42">
        <v>46046</v>
      </c>
      <c r="E12" s="32" t="s">
        <v>125</v>
      </c>
      <c r="F12" s="33" t="s">
        <v>126</v>
      </c>
      <c r="G12" s="44">
        <f>IFERROR(VLOOKUP(A12,Artikel!$A$4:$F$15,6,0),0)</f>
        <v>8.99</v>
      </c>
      <c r="H12" s="17">
        <f t="shared" si="0"/>
        <v>224.75</v>
      </c>
      <c r="I12" s="32"/>
    </row>
    <row r="13" spans="1:9" ht="18.75" customHeight="1" x14ac:dyDescent="0.25">
      <c r="A13" s="38" t="s">
        <v>74</v>
      </c>
      <c r="B13" s="21" t="str">
        <f>IFERROR(VLOOKUP(A13,Artikel!$A$4:$B$15,2,0),"")</f>
        <v>Akkuschrauber kompakt 12 V</v>
      </c>
      <c r="C13" s="38">
        <v>16</v>
      </c>
      <c r="D13" s="43">
        <v>46049</v>
      </c>
      <c r="E13" s="37" t="s">
        <v>127</v>
      </c>
      <c r="F13" s="38" t="s">
        <v>128</v>
      </c>
      <c r="G13" s="45">
        <f>IFERROR(VLOOKUP(A13,Artikel!$A$4:$F$15,6,0),0)</f>
        <v>69.900000000000006</v>
      </c>
      <c r="H13" s="24">
        <f t="shared" si="0"/>
        <v>1118.4000000000001</v>
      </c>
      <c r="I13" s="37"/>
    </row>
    <row r="14" spans="1:9" ht="18.75" customHeight="1" x14ac:dyDescent="0.25">
      <c r="A14" s="33" t="s">
        <v>78</v>
      </c>
      <c r="B14" s="14" t="str">
        <f>IFERROR(VLOOKUP(A14,Artikel!$A$4:$B$15,2,0),"")</f>
        <v>Schraubensortiment 220-tlg.</v>
      </c>
      <c r="C14" s="33">
        <v>12</v>
      </c>
      <c r="D14" s="42">
        <v>46050</v>
      </c>
      <c r="E14" s="32" t="s">
        <v>127</v>
      </c>
      <c r="F14" s="33" t="s">
        <v>128</v>
      </c>
      <c r="G14" s="44">
        <f>IFERROR(VLOOKUP(A14,Artikel!$A$4:$F$15,6,0),0)</f>
        <v>14.9</v>
      </c>
      <c r="H14" s="17">
        <f t="shared" si="0"/>
        <v>178.8</v>
      </c>
      <c r="I14" s="32"/>
    </row>
    <row r="15" spans="1:9" ht="18.75" customHeight="1" x14ac:dyDescent="0.25">
      <c r="A15" s="38" t="s">
        <v>82</v>
      </c>
      <c r="B15" s="21" t="str">
        <f>IFERROR(VLOOKUP(A15,Artikel!$A$4:$B$15,2,0),"")</f>
        <v>Arbeitshandschuhe Gr. L</v>
      </c>
      <c r="C15" s="38">
        <v>30</v>
      </c>
      <c r="D15" s="43">
        <v>46051</v>
      </c>
      <c r="E15" s="37" t="s">
        <v>127</v>
      </c>
      <c r="F15" s="38" t="s">
        <v>128</v>
      </c>
      <c r="G15" s="45">
        <f>IFERROR(VLOOKUP(A15,Artikel!$A$4:$F$15,6,0),0)</f>
        <v>5.49</v>
      </c>
      <c r="H15" s="24">
        <f t="shared" si="0"/>
        <v>164.70000000000002</v>
      </c>
      <c r="I15" s="37"/>
    </row>
    <row r="16" spans="1:9" ht="18.75" customHeight="1" x14ac:dyDescent="0.25">
      <c r="A16" s="33" t="s">
        <v>37</v>
      </c>
      <c r="B16" s="14" t="str">
        <f>IFERROR(VLOOKUP(A16,Artikel!$A$4:$B$15,2,0),"")</f>
        <v>Mineralwasser still 0,5 L (24er-Kasten)</v>
      </c>
      <c r="C16" s="33">
        <v>15</v>
      </c>
      <c r="D16" s="42">
        <v>46056</v>
      </c>
      <c r="E16" s="32" t="s">
        <v>117</v>
      </c>
      <c r="F16" s="33" t="s">
        <v>129</v>
      </c>
      <c r="G16" s="44">
        <f>IFERROR(VLOOKUP(A16,Artikel!$A$4:$F$15,6,0),0)</f>
        <v>8.9</v>
      </c>
      <c r="H16" s="17">
        <f t="shared" si="0"/>
        <v>133.5</v>
      </c>
      <c r="I16" s="32"/>
    </row>
    <row r="17" spans="1:9" ht="18.75" customHeight="1" x14ac:dyDescent="0.25">
      <c r="A17" s="38" t="s">
        <v>45</v>
      </c>
      <c r="B17" s="21" t="str">
        <f>IFERROR(VLOOKUP(A17,Artikel!$A$4:$B$15,2,0),"")</f>
        <v>Kaffeebohnen Röstung 1 kg</v>
      </c>
      <c r="C17" s="38">
        <v>8</v>
      </c>
      <c r="D17" s="43">
        <v>46058</v>
      </c>
      <c r="E17" s="37" t="s">
        <v>130</v>
      </c>
      <c r="F17" s="38" t="s">
        <v>131</v>
      </c>
      <c r="G17" s="45">
        <f>IFERROR(VLOOKUP(A17,Artikel!$A$4:$F$15,6,0),0)</f>
        <v>13.9</v>
      </c>
      <c r="H17" s="24">
        <f t="shared" si="0"/>
        <v>111.2</v>
      </c>
      <c r="I17" s="37"/>
    </row>
    <row r="18" spans="1:9" ht="18.75" customHeight="1" x14ac:dyDescent="0.25">
      <c r="A18" s="33" t="s">
        <v>58</v>
      </c>
      <c r="B18" s="14" t="str">
        <f>IFERROR(VLOOKUP(A18,Artikel!$A$4:$B$15,2,0),"")</f>
        <v>Faltkarton 400×300×300 mm</v>
      </c>
      <c r="C18" s="33">
        <v>90</v>
      </c>
      <c r="D18" s="42">
        <v>46059</v>
      </c>
      <c r="E18" s="32" t="s">
        <v>123</v>
      </c>
      <c r="F18" s="33" t="s">
        <v>132</v>
      </c>
      <c r="G18" s="44">
        <f>IFERROR(VLOOKUP(A18,Artikel!$A$4:$F$15,6,0),0)</f>
        <v>1.29</v>
      </c>
      <c r="H18" s="17">
        <f t="shared" si="0"/>
        <v>116.10000000000001</v>
      </c>
      <c r="I18" s="32"/>
    </row>
    <row r="19" spans="1:9" ht="18.75" customHeight="1" x14ac:dyDescent="0.25">
      <c r="A19" s="38" t="s">
        <v>67</v>
      </c>
      <c r="B19" s="21" t="str">
        <f>IFERROR(VLOOKUP(A19,Artikel!$A$4:$B$15,2,0),"")</f>
        <v>LED-Leuchtmittel E27 9 W</v>
      </c>
      <c r="C19" s="38">
        <v>20</v>
      </c>
      <c r="D19" s="43">
        <v>46062</v>
      </c>
      <c r="E19" s="37" t="s">
        <v>133</v>
      </c>
      <c r="F19" s="38" t="s">
        <v>134</v>
      </c>
      <c r="G19" s="45">
        <f>IFERROR(VLOOKUP(A19,Artikel!$A$4:$F$15,6,0),0)</f>
        <v>4.49</v>
      </c>
      <c r="H19" s="24">
        <f t="shared" si="0"/>
        <v>89.800000000000011</v>
      </c>
      <c r="I19" s="37"/>
    </row>
    <row r="20" spans="1:9" ht="18.75" customHeight="1" x14ac:dyDescent="0.25">
      <c r="A20" s="33" t="s">
        <v>42</v>
      </c>
      <c r="B20" s="14" t="str">
        <f>IFERROR(VLOOKUP(A20,Artikel!$A$4:$B$15,2,0),"")</f>
        <v>Cola Classic 1,0 L (12er-Kasten)</v>
      </c>
      <c r="C20" s="33">
        <v>12</v>
      </c>
      <c r="D20" s="42">
        <v>46064</v>
      </c>
      <c r="E20" s="32" t="s">
        <v>119</v>
      </c>
      <c r="F20" s="33" t="s">
        <v>135</v>
      </c>
      <c r="G20" s="44">
        <f>IFERROR(VLOOKUP(A20,Artikel!$A$4:$F$15,6,0),0)</f>
        <v>11.5</v>
      </c>
      <c r="H20" s="17">
        <f t="shared" si="0"/>
        <v>138</v>
      </c>
      <c r="I20" s="32"/>
    </row>
    <row r="21" spans="1:9" ht="18.75" customHeight="1" x14ac:dyDescent="0.25">
      <c r="A21" s="38" t="s">
        <v>54</v>
      </c>
      <c r="B21" s="21" t="str">
        <f>IFERROR(VLOOKUP(A21,Artikel!$A$4:$B$15,2,0),"")</f>
        <v>Einweghandschuhe Nitril (100 St.)</v>
      </c>
      <c r="C21" s="38">
        <v>20</v>
      </c>
      <c r="D21" s="43">
        <v>46065</v>
      </c>
      <c r="E21" s="37" t="s">
        <v>136</v>
      </c>
      <c r="F21" s="38" t="s">
        <v>137</v>
      </c>
      <c r="G21" s="45">
        <f>IFERROR(VLOOKUP(A21,Artikel!$A$4:$F$15,6,0),0)</f>
        <v>6.49</v>
      </c>
      <c r="H21" s="24">
        <f t="shared" si="0"/>
        <v>129.80000000000001</v>
      </c>
      <c r="I21" s="37"/>
    </row>
  </sheetData>
  <mergeCells count="2">
    <mergeCell ref="A1:I1"/>
    <mergeCell ref="A2:I2"/>
  </mergeCells>
  <pageMargins left="0.75" right="0.75" top="1" bottom="1" header="0.511811023622047" footer="0.511811023622047"/>
  <pageSetup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8781E"/>
    <pageSetUpPr fitToPage="1"/>
  </sheetPr>
  <dimension ref="A1:H9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4" customWidth="1"/>
    <col min="2" max="2" width="26" customWidth="1"/>
    <col min="3" max="3" width="18" customWidth="1"/>
    <col min="4" max="4" width="32" customWidth="1"/>
    <col min="5" max="5" width="18" customWidth="1"/>
    <col min="6" max="6" width="16" customWidth="1"/>
    <col min="7" max="8" width="18" customWidth="1"/>
  </cols>
  <sheetData>
    <row r="1" spans="1:8" ht="33.75" customHeight="1" x14ac:dyDescent="0.25">
      <c r="A1" s="2" t="s">
        <v>138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1" t="s">
        <v>139</v>
      </c>
      <c r="B2" s="1"/>
      <c r="C2" s="1"/>
      <c r="D2" s="1"/>
      <c r="E2" s="1"/>
      <c r="F2" s="1"/>
      <c r="G2" s="1"/>
      <c r="H2" s="1"/>
    </row>
    <row r="3" spans="1:8" ht="30" customHeight="1" x14ac:dyDescent="0.25">
      <c r="A3" s="12" t="s">
        <v>140</v>
      </c>
      <c r="B3" s="12" t="s">
        <v>141</v>
      </c>
      <c r="C3" s="12" t="s">
        <v>142</v>
      </c>
      <c r="D3" s="12" t="s">
        <v>143</v>
      </c>
      <c r="E3" s="12" t="s">
        <v>144</v>
      </c>
      <c r="F3" s="12" t="s">
        <v>145</v>
      </c>
      <c r="G3" s="12" t="s">
        <v>146</v>
      </c>
      <c r="H3" s="12" t="s">
        <v>147</v>
      </c>
    </row>
    <row r="4" spans="1:8" ht="18.75" customHeight="1" x14ac:dyDescent="0.25">
      <c r="A4" s="33" t="s">
        <v>148</v>
      </c>
      <c r="B4" s="32" t="s">
        <v>100</v>
      </c>
      <c r="C4" s="32" t="s">
        <v>149</v>
      </c>
      <c r="D4" s="32" t="s">
        <v>150</v>
      </c>
      <c r="E4" s="32" t="s">
        <v>151</v>
      </c>
      <c r="F4" s="33">
        <v>3</v>
      </c>
      <c r="G4" s="33">
        <v>14</v>
      </c>
      <c r="H4" s="33" t="s">
        <v>152</v>
      </c>
    </row>
    <row r="5" spans="1:8" ht="18.75" customHeight="1" x14ac:dyDescent="0.25">
      <c r="A5" s="38" t="s">
        <v>153</v>
      </c>
      <c r="B5" s="37" t="s">
        <v>102</v>
      </c>
      <c r="C5" s="37" t="s">
        <v>154</v>
      </c>
      <c r="D5" s="37" t="s">
        <v>155</v>
      </c>
      <c r="E5" s="37" t="s">
        <v>156</v>
      </c>
      <c r="F5" s="38">
        <v>5</v>
      </c>
      <c r="G5" s="38">
        <v>30</v>
      </c>
      <c r="H5" s="38" t="s">
        <v>157</v>
      </c>
    </row>
    <row r="6" spans="1:8" ht="18.75" customHeight="1" x14ac:dyDescent="0.25">
      <c r="A6" s="33" t="s">
        <v>158</v>
      </c>
      <c r="B6" s="32" t="s">
        <v>104</v>
      </c>
      <c r="C6" s="32" t="s">
        <v>159</v>
      </c>
      <c r="D6" s="32" t="s">
        <v>160</v>
      </c>
      <c r="E6" s="32" t="s">
        <v>161</v>
      </c>
      <c r="F6" s="33">
        <v>4</v>
      </c>
      <c r="G6" s="33">
        <v>30</v>
      </c>
      <c r="H6" s="33" t="s">
        <v>152</v>
      </c>
    </row>
    <row r="7" spans="1:8" ht="18.75" customHeight="1" x14ac:dyDescent="0.25">
      <c r="A7" s="38" t="s">
        <v>162</v>
      </c>
      <c r="B7" s="37" t="s">
        <v>106</v>
      </c>
      <c r="C7" s="37" t="s">
        <v>163</v>
      </c>
      <c r="D7" s="37" t="s">
        <v>164</v>
      </c>
      <c r="E7" s="37" t="s">
        <v>165</v>
      </c>
      <c r="F7" s="38">
        <v>2</v>
      </c>
      <c r="G7" s="38">
        <v>14</v>
      </c>
      <c r="H7" s="38" t="s">
        <v>152</v>
      </c>
    </row>
    <row r="8" spans="1:8" ht="18.75" customHeight="1" x14ac:dyDescent="0.25">
      <c r="A8" s="33" t="s">
        <v>166</v>
      </c>
      <c r="B8" s="32" t="s">
        <v>108</v>
      </c>
      <c r="C8" s="32" t="s">
        <v>167</v>
      </c>
      <c r="D8" s="32" t="s">
        <v>168</v>
      </c>
      <c r="E8" s="32" t="s">
        <v>169</v>
      </c>
      <c r="F8" s="33">
        <v>6</v>
      </c>
      <c r="G8" s="33">
        <v>30</v>
      </c>
      <c r="H8" s="33" t="s">
        <v>170</v>
      </c>
    </row>
    <row r="9" spans="1:8" ht="18.75" customHeight="1" x14ac:dyDescent="0.25">
      <c r="A9" s="38" t="s">
        <v>171</v>
      </c>
      <c r="B9" s="37" t="s">
        <v>110</v>
      </c>
      <c r="C9" s="37" t="s">
        <v>172</v>
      </c>
      <c r="D9" s="37" t="s">
        <v>173</v>
      </c>
      <c r="E9" s="37" t="s">
        <v>174</v>
      </c>
      <c r="F9" s="38">
        <v>5</v>
      </c>
      <c r="G9" s="38">
        <v>14</v>
      </c>
      <c r="H9" s="38" t="s">
        <v>152</v>
      </c>
    </row>
  </sheetData>
  <mergeCells count="2">
    <mergeCell ref="A1:H1"/>
    <mergeCell ref="A2:H2"/>
  </mergeCells>
  <dataValidations count="1">
    <dataValidation type="list" allowBlank="1" sqref="H4:H203" xr:uid="{00000000-0002-0000-0500-000000000000}">
      <formula1>"Überweisung,SEPA-Lastschrift,Kreditkarte,Vorkasse"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8781E"/>
    <pageSetUpPr fitToPage="1"/>
  </sheetPr>
  <dimension ref="A1:J17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15" customWidth="1"/>
    <col min="2" max="2" width="14" customWidth="1"/>
    <col min="3" max="3" width="13" customWidth="1"/>
    <col min="4" max="4" width="30" customWidth="1"/>
    <col min="5" max="5" width="22" customWidth="1"/>
    <col min="6" max="6" width="9" customWidth="1"/>
    <col min="7" max="7" width="14" customWidth="1"/>
    <col min="8" max="8" width="15" customWidth="1"/>
    <col min="9" max="9" width="18" customWidth="1"/>
    <col min="10" max="10" width="14" customWidth="1"/>
  </cols>
  <sheetData>
    <row r="1" spans="1:10" ht="33.75" customHeight="1" x14ac:dyDescent="0.25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25">
      <c r="A2" s="1" t="s">
        <v>176</v>
      </c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25">
      <c r="A3" s="12" t="s">
        <v>99</v>
      </c>
      <c r="B3" s="12" t="s">
        <v>177</v>
      </c>
      <c r="C3" s="12" t="s">
        <v>27</v>
      </c>
      <c r="D3" s="12" t="s">
        <v>28</v>
      </c>
      <c r="E3" s="12" t="s">
        <v>98</v>
      </c>
      <c r="F3" s="12" t="s">
        <v>96</v>
      </c>
      <c r="G3" s="12" t="s">
        <v>178</v>
      </c>
      <c r="H3" s="12" t="s">
        <v>179</v>
      </c>
      <c r="I3" s="12" t="s">
        <v>180</v>
      </c>
      <c r="J3" s="12" t="s">
        <v>16</v>
      </c>
    </row>
    <row r="4" spans="1:10" ht="18.75" customHeight="1" x14ac:dyDescent="0.25">
      <c r="A4" s="33" t="s">
        <v>101</v>
      </c>
      <c r="B4" s="42">
        <v>46027</v>
      </c>
      <c r="C4" s="33" t="s">
        <v>37</v>
      </c>
      <c r="D4" s="14" t="str">
        <f>IFERROR(VLOOKUP(C4,Artikel!$A$4:$B$15,2,0),"")</f>
        <v>Mineralwasser still 0,5 L (24er-Kasten)</v>
      </c>
      <c r="E4" s="32" t="s">
        <v>100</v>
      </c>
      <c r="F4" s="33">
        <v>40</v>
      </c>
      <c r="G4" s="44">
        <f>IFERROR(VLOOKUP(C4,Artikel!$A$4:$E$15,5,0),0)</f>
        <v>4.8</v>
      </c>
      <c r="H4" s="18">
        <f t="shared" ref="H4:H17" si="0">F4*G4</f>
        <v>192</v>
      </c>
      <c r="I4" s="42">
        <v>46030</v>
      </c>
      <c r="J4" s="15" t="s">
        <v>181</v>
      </c>
    </row>
    <row r="5" spans="1:10" ht="18.75" customHeight="1" x14ac:dyDescent="0.25">
      <c r="A5" s="38" t="s">
        <v>101</v>
      </c>
      <c r="B5" s="43">
        <v>46027</v>
      </c>
      <c r="C5" s="38" t="s">
        <v>42</v>
      </c>
      <c r="D5" s="21" t="str">
        <f>IFERROR(VLOOKUP(C5,Artikel!$A$4:$B$15,2,0),"")</f>
        <v>Cola Classic 1,0 L (12er-Kasten)</v>
      </c>
      <c r="E5" s="37" t="s">
        <v>100</v>
      </c>
      <c r="F5" s="38">
        <v>30</v>
      </c>
      <c r="G5" s="45">
        <f>IFERROR(VLOOKUP(C5,Artikel!$A$4:$E$15,5,0),0)</f>
        <v>6.2</v>
      </c>
      <c r="H5" s="25">
        <f t="shared" si="0"/>
        <v>186</v>
      </c>
      <c r="I5" s="43">
        <v>46030</v>
      </c>
      <c r="J5" s="22" t="s">
        <v>181</v>
      </c>
    </row>
    <row r="6" spans="1:10" ht="18.75" customHeight="1" x14ac:dyDescent="0.25">
      <c r="A6" s="33" t="s">
        <v>103</v>
      </c>
      <c r="B6" s="42">
        <v>46029</v>
      </c>
      <c r="C6" s="33" t="s">
        <v>45</v>
      </c>
      <c r="D6" s="14" t="str">
        <f>IFERROR(VLOOKUP(C6,Artikel!$A$4:$B$15,2,0),"")</f>
        <v>Kaffeebohnen Röstung 1 kg</v>
      </c>
      <c r="E6" s="32" t="s">
        <v>102</v>
      </c>
      <c r="F6" s="33">
        <v>20</v>
      </c>
      <c r="G6" s="44">
        <f>IFERROR(VLOOKUP(C6,Artikel!$A$4:$E$15,5,0),0)</f>
        <v>7.5</v>
      </c>
      <c r="H6" s="18">
        <f t="shared" si="0"/>
        <v>150</v>
      </c>
      <c r="I6" s="42">
        <v>46032</v>
      </c>
      <c r="J6" s="15" t="s">
        <v>181</v>
      </c>
    </row>
    <row r="7" spans="1:10" ht="18.75" customHeight="1" x14ac:dyDescent="0.25">
      <c r="A7" s="38" t="s">
        <v>105</v>
      </c>
      <c r="B7" s="43">
        <v>46031</v>
      </c>
      <c r="C7" s="38" t="s">
        <v>49</v>
      </c>
      <c r="D7" s="21" t="str">
        <f>IFERROR(VLOOKUP(C7,Artikel!$A$4:$B$15,2,0),"")</f>
        <v>Allzweckreiniger Konzentrat 5 L</v>
      </c>
      <c r="E7" s="37" t="s">
        <v>104</v>
      </c>
      <c r="F7" s="38">
        <v>24</v>
      </c>
      <c r="G7" s="45">
        <f>IFERROR(VLOOKUP(C7,Artikel!$A$4:$E$15,5,0),0)</f>
        <v>5.4</v>
      </c>
      <c r="H7" s="25">
        <f t="shared" si="0"/>
        <v>129.60000000000002</v>
      </c>
      <c r="I7" s="43">
        <v>46034</v>
      </c>
      <c r="J7" s="22" t="s">
        <v>181</v>
      </c>
    </row>
    <row r="8" spans="1:10" ht="18.75" customHeight="1" x14ac:dyDescent="0.25">
      <c r="A8" s="33" t="s">
        <v>105</v>
      </c>
      <c r="B8" s="42">
        <v>46031</v>
      </c>
      <c r="C8" s="33" t="s">
        <v>54</v>
      </c>
      <c r="D8" s="14" t="str">
        <f>IFERROR(VLOOKUP(C8,Artikel!$A$4:$B$15,2,0),"")</f>
        <v>Einweghandschuhe Nitril (100 St.)</v>
      </c>
      <c r="E8" s="32" t="s">
        <v>104</v>
      </c>
      <c r="F8" s="33">
        <v>60</v>
      </c>
      <c r="G8" s="44">
        <f>IFERROR(VLOOKUP(C8,Artikel!$A$4:$E$15,5,0),0)</f>
        <v>3.2</v>
      </c>
      <c r="H8" s="18">
        <f t="shared" si="0"/>
        <v>192</v>
      </c>
      <c r="I8" s="42">
        <v>46034</v>
      </c>
      <c r="J8" s="15" t="s">
        <v>181</v>
      </c>
    </row>
    <row r="9" spans="1:10" ht="18.75" customHeight="1" x14ac:dyDescent="0.25">
      <c r="A9" s="38" t="s">
        <v>107</v>
      </c>
      <c r="B9" s="43">
        <v>46034</v>
      </c>
      <c r="C9" s="38" t="s">
        <v>58</v>
      </c>
      <c r="D9" s="21" t="str">
        <f>IFERROR(VLOOKUP(C9,Artikel!$A$4:$B$15,2,0),"")</f>
        <v>Faltkarton 400×300×300 mm</v>
      </c>
      <c r="E9" s="37" t="s">
        <v>106</v>
      </c>
      <c r="F9" s="38">
        <v>300</v>
      </c>
      <c r="G9" s="45">
        <f>IFERROR(VLOOKUP(C9,Artikel!$A$4:$E$15,5,0),0)</f>
        <v>0.65</v>
      </c>
      <c r="H9" s="25">
        <f t="shared" si="0"/>
        <v>195</v>
      </c>
      <c r="I9" s="43">
        <v>46036</v>
      </c>
      <c r="J9" s="22" t="s">
        <v>181</v>
      </c>
    </row>
    <row r="10" spans="1:10" ht="18.75" customHeight="1" x14ac:dyDescent="0.25">
      <c r="A10" s="33" t="s">
        <v>107</v>
      </c>
      <c r="B10" s="42">
        <v>46034</v>
      </c>
      <c r="C10" s="33" t="s">
        <v>63</v>
      </c>
      <c r="D10" s="14" t="str">
        <f>IFERROR(VLOOKUP(C10,Artikel!$A$4:$B$15,2,0),"")</f>
        <v>Packband transparent 66 m</v>
      </c>
      <c r="E10" s="32" t="s">
        <v>106</v>
      </c>
      <c r="F10" s="33">
        <v>200</v>
      </c>
      <c r="G10" s="44">
        <f>IFERROR(VLOOKUP(C10,Artikel!$A$4:$E$15,5,0),0)</f>
        <v>0.9</v>
      </c>
      <c r="H10" s="18">
        <f t="shared" si="0"/>
        <v>180</v>
      </c>
      <c r="I10" s="42">
        <v>46036</v>
      </c>
      <c r="J10" s="15" t="s">
        <v>181</v>
      </c>
    </row>
    <row r="11" spans="1:10" ht="18.75" customHeight="1" x14ac:dyDescent="0.25">
      <c r="A11" s="38" t="s">
        <v>109</v>
      </c>
      <c r="B11" s="43">
        <v>46036</v>
      </c>
      <c r="C11" s="38" t="s">
        <v>67</v>
      </c>
      <c r="D11" s="21" t="str">
        <f>IFERROR(VLOOKUP(C11,Artikel!$A$4:$B$15,2,0),"")</f>
        <v>LED-Leuchtmittel E27 9 W</v>
      </c>
      <c r="E11" s="37" t="s">
        <v>108</v>
      </c>
      <c r="F11" s="38">
        <v>100</v>
      </c>
      <c r="G11" s="45">
        <f>IFERROR(VLOOKUP(C11,Artikel!$A$4:$E$15,5,0),0)</f>
        <v>1.8</v>
      </c>
      <c r="H11" s="25">
        <f t="shared" si="0"/>
        <v>180</v>
      </c>
      <c r="I11" s="43">
        <v>46038</v>
      </c>
      <c r="J11" s="22" t="s">
        <v>181</v>
      </c>
    </row>
    <row r="12" spans="1:10" ht="18.75" customHeight="1" x14ac:dyDescent="0.25">
      <c r="A12" s="33" t="s">
        <v>109</v>
      </c>
      <c r="B12" s="42">
        <v>46036</v>
      </c>
      <c r="C12" s="33" t="s">
        <v>71</v>
      </c>
      <c r="D12" s="14" t="str">
        <f>IFERROR(VLOOKUP(C12,Artikel!$A$4:$B$15,2,0),"")</f>
        <v>Verlängerungskabel 5 m</v>
      </c>
      <c r="E12" s="32" t="s">
        <v>108</v>
      </c>
      <c r="F12" s="33">
        <v>40</v>
      </c>
      <c r="G12" s="44">
        <f>IFERROR(VLOOKUP(C12,Artikel!$A$4:$E$15,5,0),0)</f>
        <v>4.0999999999999996</v>
      </c>
      <c r="H12" s="18">
        <f t="shared" si="0"/>
        <v>164</v>
      </c>
      <c r="I12" s="42">
        <v>46038</v>
      </c>
      <c r="J12" s="15" t="s">
        <v>181</v>
      </c>
    </row>
    <row r="13" spans="1:10" ht="18.75" customHeight="1" x14ac:dyDescent="0.25">
      <c r="A13" s="38" t="s">
        <v>111</v>
      </c>
      <c r="B13" s="43">
        <v>46040</v>
      </c>
      <c r="C13" s="38" t="s">
        <v>74</v>
      </c>
      <c r="D13" s="21" t="str">
        <f>IFERROR(VLOOKUP(C13,Artikel!$A$4:$B$15,2,0),"")</f>
        <v>Akkuschrauber kompakt 12 V</v>
      </c>
      <c r="E13" s="37" t="s">
        <v>110</v>
      </c>
      <c r="F13" s="38">
        <v>10</v>
      </c>
      <c r="G13" s="45">
        <f>IFERROR(VLOOKUP(C13,Artikel!$A$4:$E$15,5,0),0)</f>
        <v>38</v>
      </c>
      <c r="H13" s="25">
        <f t="shared" si="0"/>
        <v>380</v>
      </c>
      <c r="I13" s="43">
        <v>46042</v>
      </c>
      <c r="J13" s="22" t="s">
        <v>181</v>
      </c>
    </row>
    <row r="14" spans="1:10" ht="18.75" customHeight="1" x14ac:dyDescent="0.25">
      <c r="A14" s="33" t="s">
        <v>111</v>
      </c>
      <c r="B14" s="42">
        <v>46040</v>
      </c>
      <c r="C14" s="33" t="s">
        <v>78</v>
      </c>
      <c r="D14" s="14" t="str">
        <f>IFERROR(VLOOKUP(C14,Artikel!$A$4:$B$15,2,0),"")</f>
        <v>Schraubensortiment 220-tlg.</v>
      </c>
      <c r="E14" s="32" t="s">
        <v>110</v>
      </c>
      <c r="F14" s="33">
        <v>20</v>
      </c>
      <c r="G14" s="44">
        <f>IFERROR(VLOOKUP(C14,Artikel!$A$4:$E$15,5,0),0)</f>
        <v>6.9</v>
      </c>
      <c r="H14" s="18">
        <f t="shared" si="0"/>
        <v>138</v>
      </c>
      <c r="I14" s="42">
        <v>46042</v>
      </c>
      <c r="J14" s="15" t="s">
        <v>181</v>
      </c>
    </row>
    <row r="15" spans="1:10" ht="18.75" customHeight="1" x14ac:dyDescent="0.25">
      <c r="A15" s="38" t="s">
        <v>111</v>
      </c>
      <c r="B15" s="43">
        <v>46040</v>
      </c>
      <c r="C15" s="38" t="s">
        <v>82</v>
      </c>
      <c r="D15" s="21" t="str">
        <f>IFERROR(VLOOKUP(C15,Artikel!$A$4:$B$15,2,0),"")</f>
        <v>Arbeitshandschuhe Gr. L</v>
      </c>
      <c r="E15" s="37" t="s">
        <v>110</v>
      </c>
      <c r="F15" s="38">
        <v>50</v>
      </c>
      <c r="G15" s="45">
        <f>IFERROR(VLOOKUP(C15,Artikel!$A$4:$E$15,5,0),0)</f>
        <v>2.2999999999999998</v>
      </c>
      <c r="H15" s="25">
        <f t="shared" si="0"/>
        <v>114.99999999999999</v>
      </c>
      <c r="I15" s="43">
        <v>46042</v>
      </c>
      <c r="J15" s="22" t="s">
        <v>181</v>
      </c>
    </row>
    <row r="16" spans="1:10" ht="18.75" customHeight="1" x14ac:dyDescent="0.25">
      <c r="A16" s="33" t="s">
        <v>182</v>
      </c>
      <c r="B16" s="42">
        <v>46063</v>
      </c>
      <c r="C16" s="33" t="s">
        <v>49</v>
      </c>
      <c r="D16" s="14" t="str">
        <f>IFERROR(VLOOKUP(C16,Artikel!$A$4:$B$15,2,0),"")</f>
        <v>Allzweckreiniger Konzentrat 5 L</v>
      </c>
      <c r="E16" s="32" t="s">
        <v>104</v>
      </c>
      <c r="F16" s="33">
        <v>48</v>
      </c>
      <c r="G16" s="44">
        <f>IFERROR(VLOOKUP(C16,Artikel!$A$4:$E$15,5,0),0)</f>
        <v>5.4</v>
      </c>
      <c r="H16" s="18">
        <f t="shared" si="0"/>
        <v>259.20000000000005</v>
      </c>
      <c r="I16" s="42">
        <v>46067</v>
      </c>
      <c r="J16" s="15" t="s">
        <v>183</v>
      </c>
    </row>
    <row r="17" spans="1:10" ht="18.75" customHeight="1" x14ac:dyDescent="0.25">
      <c r="A17" s="38" t="s">
        <v>184</v>
      </c>
      <c r="B17" s="43">
        <v>46065</v>
      </c>
      <c r="C17" s="38" t="s">
        <v>74</v>
      </c>
      <c r="D17" s="21" t="str">
        <f>IFERROR(VLOOKUP(C17,Artikel!$A$4:$B$15,2,0),"")</f>
        <v>Akkuschrauber kompakt 12 V</v>
      </c>
      <c r="E17" s="37" t="s">
        <v>110</v>
      </c>
      <c r="F17" s="38">
        <v>12</v>
      </c>
      <c r="G17" s="45">
        <f>IFERROR(VLOOKUP(C17,Artikel!$A$4:$E$15,5,0),0)</f>
        <v>38</v>
      </c>
      <c r="H17" s="25">
        <f t="shared" si="0"/>
        <v>456</v>
      </c>
      <c r="I17" s="43">
        <v>46070</v>
      </c>
      <c r="J17" s="22" t="s">
        <v>185</v>
      </c>
    </row>
  </sheetData>
  <mergeCells count="2">
    <mergeCell ref="A1:J1"/>
    <mergeCell ref="A2:J2"/>
  </mergeCells>
  <conditionalFormatting sqref="J4:J17">
    <cfRule type="cellIs" dxfId="2" priority="2" operator="equal">
      <formula>"Offen"</formula>
    </cfRule>
    <cfRule type="cellIs" dxfId="1" priority="3" operator="equal">
      <formula>"Bestellt"</formula>
    </cfRule>
    <cfRule type="cellIs" dxfId="0" priority="4" operator="equal">
      <formula>"Geliefert"</formula>
    </cfRule>
  </conditionalFormatting>
  <dataValidations count="1">
    <dataValidation type="list" allowBlank="1" sqref="J4:J203" xr:uid="{00000000-0002-0000-0600-000000000000}">
      <formula1>"Offen,Bestellt,Geliefert,Abgeschlossen"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Übersicht</vt:lpstr>
      <vt:lpstr>Artikel</vt:lpstr>
      <vt:lpstr>Lager</vt:lpstr>
      <vt:lpstr>Zugänge</vt:lpstr>
      <vt:lpstr>Abgänge</vt:lpstr>
      <vt:lpstr>Lieferanten</vt:lpstr>
      <vt:lpstr>Bestellungen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2026-07-15T06:44:25Z</dcterms:created>
  <dcterms:modified xsi:type="dcterms:W3CDTF">2026-07-15T17:04:27Z</dcterms:modified>
  <dc:language>en-US</dc:language>
</cp:coreProperties>
</file>