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Artikel" sheetId="2" state="visible" r:id="rId4"/>
    <sheet name="Lager" sheetId="3" state="visible" r:id="rId5"/>
    <sheet name="Zugänge" sheetId="4" state="visible" r:id="rId6"/>
    <sheet name="Abgänge" sheetId="5" state="visible" r:id="rId7"/>
    <sheet name="Lieferanten" sheetId="6" state="visible" r:id="rId8"/>
    <sheet name="Bestellungen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<sst xmlns="http://schemas.openxmlformats.org/spreadsheetml/2006/main" count="364" uniqueCount="202">
  <si>
    <t xml:space="preserve">WARENWIRTSCHAFTSSYSTEM</t>
  </si>
  <si>
    <t xml:space="preserve">Übersicht &amp; Auswertung · Bestandsführung · Wareneingang / -ausgang · Einkauf</t>
  </si>
  <si>
    <t xml:space="preserve">Unternehmen (frei änderbar):</t>
  </si>
  <si>
    <t xml:space="preserve">Falkenberg Handels GmbH</t>
  </si>
  <si>
    <t xml:space="preserve">Geschäftsjahr:</t>
  </si>
  <si>
    <t xml:space="preserve">KENNZAHLEN IM ÜBERBLICK</t>
  </si>
  <si>
    <t xml:space="preserve">Artikel gesamt</t>
  </si>
  <si>
    <t xml:space="preserve">Aktive Artikel</t>
  </si>
  <si>
    <t xml:space="preserve">Artikel unter Meldebestand</t>
  </si>
  <si>
    <t xml:space="preserve">Lagerwert gesamt (EK)</t>
  </si>
  <si>
    <t xml:space="preserve">Zugänge gesamt (Stk.)</t>
  </si>
  <si>
    <t xml:space="preserve">Abgänge gesamt (Stk.)</t>
  </si>
  <si>
    <t xml:space="preserve">Umsatz gesamt (brutto)</t>
  </si>
  <si>
    <t xml:space="preserve">Rohertrag gesamt (netto)</t>
  </si>
  <si>
    <t xml:space="preserve">Offene Bestellungen</t>
  </si>
  <si>
    <t xml:space="preserve">BESTAND &amp; VERKAUFSANALYSE JE ARTIKEL</t>
  </si>
  <si>
    <t xml:space="preserve">Artikel-Nr.</t>
  </si>
  <si>
    <t xml:space="preserve">Artikelbezeichnung</t>
  </si>
  <si>
    <t xml:space="preserve">Verkauft (Stk.)</t>
  </si>
  <si>
    <t xml:space="preserve">Umsatz brutto</t>
  </si>
  <si>
    <t xml:space="preserve">Umsatz netto</t>
  </si>
  <si>
    <t xml:space="preserve">EK-Wert</t>
  </si>
  <si>
    <t xml:space="preserve">Rohertrag</t>
  </si>
  <si>
    <t xml:space="preserve">Marge</t>
  </si>
  <si>
    <t xml:space="preserve">GESAMT</t>
  </si>
  <si>
    <t xml:space="preserve">LEGENDE:  Cremefarbene Felder = manuelle Eingabe   |   weiße/graue Felder = automatisch berechnet   |   roter Status = Meldebestand erreicht → nachbestellen   |   Reihenfolge der Blätter: Artikel → Lager → Zugänge → Abgänge → Lieferanten → Bestellungen</t>
  </si>
  <si>
    <t xml:space="preserve">ARTIKELSTAMMDATEN</t>
  </si>
  <si>
    <t xml:space="preserve">Zentrale Produktdatenbank – Grundlage aller Module · Cremefarbene Felder = Eingabe</t>
  </si>
  <si>
    <t xml:space="preserve">Neue Artikel einfach in einer neuen Zeile ergänzen; VK netto und Rohmarge berechnen sich automatisch.</t>
  </si>
  <si>
    <t xml:space="preserve">Kategorie</t>
  </si>
  <si>
    <t xml:space="preserve">Einheit</t>
  </si>
  <si>
    <t xml:space="preserve">EK-Preis netto</t>
  </si>
  <si>
    <t xml:space="preserve">MwSt.</t>
  </si>
  <si>
    <t xml:space="preserve">VK-Preis brutto</t>
  </si>
  <si>
    <t xml:space="preserve">VK-Preis netto</t>
  </si>
  <si>
    <t xml:space="preserve">Rohmarge</t>
  </si>
  <si>
    <t xml:space="preserve">Mindest-
bestand</t>
  </si>
  <si>
    <t xml:space="preserve">Lagerort</t>
  </si>
  <si>
    <t xml:space="preserve">Lieferant</t>
  </si>
  <si>
    <t xml:space="preserve">Aktiv</t>
  </si>
  <si>
    <t xml:space="preserve">ART-1001</t>
  </si>
  <si>
    <t xml:space="preserve">Thermosflasche 0,5 L Edelstahl</t>
  </si>
  <si>
    <t xml:space="preserve">Küche</t>
  </si>
  <si>
    <t xml:space="preserve">Stk.</t>
  </si>
  <si>
    <t xml:space="preserve">A-01</t>
  </si>
  <si>
    <t xml:space="preserve">HanseWaren GmbH</t>
  </si>
  <si>
    <t xml:space="preserve">Ja</t>
  </si>
  <si>
    <t xml:space="preserve">ART-1002</t>
  </si>
  <si>
    <t xml:space="preserve">Kaffeebecher Keramik 350 ml</t>
  </si>
  <si>
    <t xml:space="preserve">A-02</t>
  </si>
  <si>
    <t xml:space="preserve">ART-1003</t>
  </si>
  <si>
    <t xml:space="preserve">Messerset 5-teilig</t>
  </si>
  <si>
    <t xml:space="preserve">Set</t>
  </si>
  <si>
    <t xml:space="preserve">A-03</t>
  </si>
  <si>
    <t xml:space="preserve">NordDepot Handels KG</t>
  </si>
  <si>
    <t xml:space="preserve">ART-1004</t>
  </si>
  <si>
    <t xml:space="preserve">Wäschekorb Kunststoff 45 L</t>
  </si>
  <si>
    <t xml:space="preserve">Haushalt</t>
  </si>
  <si>
    <t xml:space="preserve">B-01</t>
  </si>
  <si>
    <t xml:space="preserve">ART-1005</t>
  </si>
  <si>
    <t xml:space="preserve">Dampfbügeleisen 2400 W</t>
  </si>
  <si>
    <t xml:space="preserve">C-01</t>
  </si>
  <si>
    <t xml:space="preserve">ElektroPartner AG</t>
  </si>
  <si>
    <t xml:space="preserve">ART-1006</t>
  </si>
  <si>
    <t xml:space="preserve">LED-Schreibtischlampe dimmbar</t>
  </si>
  <si>
    <t xml:space="preserve">Elektro</t>
  </si>
  <si>
    <t xml:space="preserve">C-02</t>
  </si>
  <si>
    <t xml:space="preserve">ART-1007</t>
  </si>
  <si>
    <t xml:space="preserve">Gartenschlauch 20 m</t>
  </si>
  <si>
    <t xml:space="preserve">Garten</t>
  </si>
  <si>
    <t xml:space="preserve">D-01</t>
  </si>
  <si>
    <t xml:space="preserve">GrünLand Vertrieb GmbH</t>
  </si>
  <si>
    <t xml:space="preserve">ART-1008</t>
  </si>
  <si>
    <t xml:space="preserve">Blumentopf Terrakotta Ø 30 cm</t>
  </si>
  <si>
    <t xml:space="preserve">D-02</t>
  </si>
  <si>
    <t xml:space="preserve">ART-1009</t>
  </si>
  <si>
    <t xml:space="preserve">Picknickdecke wasserdicht</t>
  </si>
  <si>
    <t xml:space="preserve">Freizeit</t>
  </si>
  <si>
    <t xml:space="preserve">B-02</t>
  </si>
  <si>
    <t xml:space="preserve">TextilKontor GmbH</t>
  </si>
  <si>
    <t xml:space="preserve">ART-1010</t>
  </si>
  <si>
    <t xml:space="preserve">Trinkflasche Sport 750 ml</t>
  </si>
  <si>
    <t xml:space="preserve">B-03</t>
  </si>
  <si>
    <t xml:space="preserve">ART-1011</t>
  </si>
  <si>
    <t xml:space="preserve">Handtuch-Set Baumwolle 3-tlg.</t>
  </si>
  <si>
    <t xml:space="preserve">B-04</t>
  </si>
  <si>
    <t xml:space="preserve">ART-1012</t>
  </si>
  <si>
    <t xml:space="preserve">Akku-Handstaubsauger</t>
  </si>
  <si>
    <t xml:space="preserve">C-03</t>
  </si>
  <si>
    <t xml:space="preserve">Nein</t>
  </si>
  <si>
    <t xml:space="preserve">LAGERVERWALTUNG &amp; BESTANDSFÜHRUNG</t>
  </si>
  <si>
    <t xml:space="preserve">Aktueller Bestand = Anfangsbestand + Zugänge − Abgänge · Nur Anfangsbestand ist Eingabe</t>
  </si>
  <si>
    <t xml:space="preserve">Rote Statuszeile = Meldebestand erreicht/unterschritten → nachbestellen. Alle übrigen Werte sind verknüpft.</t>
  </si>
  <si>
    <t xml:space="preserve">Anfangs-
bestand</t>
  </si>
  <si>
    <t xml:space="preserve">Zugänge</t>
  </si>
  <si>
    <t xml:space="preserve">Abgänge</t>
  </si>
  <si>
    <t xml:space="preserve">Aktueller
Bestand</t>
  </si>
  <si>
    <t xml:space="preserve">Melde-
bestand</t>
  </si>
  <si>
    <t xml:space="preserve">Status</t>
  </si>
  <si>
    <t xml:space="preserve">EK-Preis</t>
  </si>
  <si>
    <t xml:space="preserve">Lagerwert (EK)</t>
  </si>
  <si>
    <t xml:space="preserve">WARENEINGÄNGE (ZUGÄNGE)</t>
  </si>
  <si>
    <t xml:space="preserve">Jede Lieferung hier erfassen – fließt automatisch in die Lagerverwaltung ein</t>
  </si>
  <si>
    <t xml:space="preserve">Artikelbezeichnung wird anhand der Artikel-Nr. automatisch ergänzt.</t>
  </si>
  <si>
    <t xml:space="preserve">Menge</t>
  </si>
  <si>
    <t xml:space="preserve">Datum</t>
  </si>
  <si>
    <t xml:space="preserve">Bestellnummer</t>
  </si>
  <si>
    <t xml:space="preserve">Bemerkung</t>
  </si>
  <si>
    <t xml:space="preserve">BE-2026-001</t>
  </si>
  <si>
    <t xml:space="preserve">BE-2026-002</t>
  </si>
  <si>
    <t xml:space="preserve">BE-2026-003</t>
  </si>
  <si>
    <t xml:space="preserve">BE-2026-004</t>
  </si>
  <si>
    <t xml:space="preserve">BE-2026-005</t>
  </si>
  <si>
    <t xml:space="preserve">Teillieferung 2</t>
  </si>
  <si>
    <t xml:space="preserve">WARENAUSGÄNGE (ABGÄNGE / VERKÄUFE)</t>
  </si>
  <si>
    <t xml:space="preserve">Jeden Verkauf/Ausgang erfassen – Bestand und Umsatz aktualisieren sich automatisch</t>
  </si>
  <si>
    <t xml:space="preserve">VK-Preis (brutto) und Umsatz werden automatisch aus den Stammdaten berechnet.</t>
  </si>
  <si>
    <t xml:space="preserve">Kunde / Empfänger</t>
  </si>
  <si>
    <t xml:space="preserve">Belegnummer</t>
  </si>
  <si>
    <t xml:space="preserve">Haushalt Meyer</t>
  </si>
  <si>
    <t xml:space="preserve">VK-2026-001</t>
  </si>
  <si>
    <t xml:space="preserve">Café Central</t>
  </si>
  <si>
    <t xml:space="preserve">VK-2026-002</t>
  </si>
  <si>
    <t xml:space="preserve">SportTreff Nord</t>
  </si>
  <si>
    <t xml:space="preserve">VK-2026-003</t>
  </si>
  <si>
    <t xml:space="preserve">Gartencenter Loh</t>
  </si>
  <si>
    <t xml:space="preserve">VK-2026-004</t>
  </si>
  <si>
    <t xml:space="preserve">Kochstudio Bremen</t>
  </si>
  <si>
    <t xml:space="preserve">VK-2026-005</t>
  </si>
  <si>
    <t xml:space="preserve">Wäscherei Klar</t>
  </si>
  <si>
    <t xml:space="preserve">VK-2026-006</t>
  </si>
  <si>
    <t xml:space="preserve">Büro Ellwanger</t>
  </si>
  <si>
    <t xml:space="preserve">VK-2026-007</t>
  </si>
  <si>
    <t xml:space="preserve">Elektro Hansen</t>
  </si>
  <si>
    <t xml:space="preserve">VK-2026-008</t>
  </si>
  <si>
    <t xml:space="preserve">VK-2026-009</t>
  </si>
  <si>
    <t xml:space="preserve">Fitness Loft</t>
  </si>
  <si>
    <t xml:space="preserve">VK-2026-010</t>
  </si>
  <si>
    <t xml:space="preserve">Onlineshop Direkt</t>
  </si>
  <si>
    <t xml:space="preserve">VK-2026-011</t>
  </si>
  <si>
    <t xml:space="preserve">VK-2026-012</t>
  </si>
  <si>
    <t xml:space="preserve">Grünflächen Amt</t>
  </si>
  <si>
    <t xml:space="preserve">VK-2026-013</t>
  </si>
  <si>
    <t xml:space="preserve">Hotel Seeblick</t>
  </si>
  <si>
    <t xml:space="preserve">VK-2026-014</t>
  </si>
  <si>
    <t xml:space="preserve">Campingpark West</t>
  </si>
  <si>
    <t xml:space="preserve">VK-2026-015</t>
  </si>
  <si>
    <t xml:space="preserve">VK-2026-016</t>
  </si>
  <si>
    <t xml:space="preserve">VK-2026-017</t>
  </si>
  <si>
    <t xml:space="preserve">VK-2026-018</t>
  </si>
  <si>
    <t xml:space="preserve">Reinigung Total</t>
  </si>
  <si>
    <t xml:space="preserve">VK-2026-019</t>
  </si>
  <si>
    <t xml:space="preserve">Auslaufartikel</t>
  </si>
  <si>
    <t xml:space="preserve">Bäckerei Sonne</t>
  </si>
  <si>
    <t xml:space="preserve">VK-2026-020</t>
  </si>
  <si>
    <t xml:space="preserve">LIEFERANTENVERWALTUNG</t>
  </si>
  <si>
    <t xml:space="preserve">Konditionen und Kontaktdaten aller Lieferanten zentral pflegen</t>
  </si>
  <si>
    <t xml:space="preserve">Der hier vergebene Name wird in Artikeln, Zugängen und Bestellungen verwendet.</t>
  </si>
  <si>
    <t xml:space="preserve">Lief.-Nr.</t>
  </si>
  <si>
    <t xml:space="preserve">Lieferantenname</t>
  </si>
  <si>
    <t xml:space="preserve">Kontaktperson</t>
  </si>
  <si>
    <t xml:space="preserve">E-Mail</t>
  </si>
  <si>
    <t xml:space="preserve">Telefon</t>
  </si>
  <si>
    <t xml:space="preserve">Lieferzeit (Tage)</t>
  </si>
  <si>
    <t xml:space="preserve">Zahlungsziel (Tage)</t>
  </si>
  <si>
    <t xml:space="preserve">Zahlungsart</t>
  </si>
  <si>
    <t xml:space="preserve">LF-01</t>
  </si>
  <si>
    <t xml:space="preserve">Frau Petra Behrens</t>
  </si>
  <si>
    <t xml:space="preserve">einkauf@hansewaren.example</t>
  </si>
  <si>
    <t xml:space="preserve">+49 421 5540120</t>
  </si>
  <si>
    <t xml:space="preserve">Überweisung</t>
  </si>
  <si>
    <t xml:space="preserve">LF-02</t>
  </si>
  <si>
    <t xml:space="preserve">Herr Jonas Klimke</t>
  </si>
  <si>
    <t xml:space="preserve">service@norddepot.example</t>
  </si>
  <si>
    <t xml:space="preserve">+49 40 78221345</t>
  </si>
  <si>
    <t xml:space="preserve">SEPA-Lastschrift</t>
  </si>
  <si>
    <t xml:space="preserve">LF-03</t>
  </si>
  <si>
    <t xml:space="preserve">Frau Sina Vogt</t>
  </si>
  <si>
    <t xml:space="preserve">bestellung@gruenland.example</t>
  </si>
  <si>
    <t xml:space="preserve">+49 511 3390088</t>
  </si>
  <si>
    <t xml:space="preserve">LF-04</t>
  </si>
  <si>
    <t xml:space="preserve">Herr Deniz Arslan</t>
  </si>
  <si>
    <t xml:space="preserve">b2b@elektropartner.example</t>
  </si>
  <si>
    <t xml:space="preserve">+49 69 90112255</t>
  </si>
  <si>
    <t xml:space="preserve">Kreditkarte</t>
  </si>
  <si>
    <t xml:space="preserve">LF-05</t>
  </si>
  <si>
    <t xml:space="preserve">Frau Meike Sander</t>
  </si>
  <si>
    <t xml:space="preserve">kontakt@textilkontor.example</t>
  </si>
  <si>
    <t xml:space="preserve">+49 231 4455670</t>
  </si>
  <si>
    <t xml:space="preserve">BESTELLWESEN (EINKAUF)</t>
  </si>
  <si>
    <t xml:space="preserve">Bestellungen bei Lieferanten erfassen und Status verfolgen</t>
  </si>
  <si>
    <t xml:space="preserve">Status: Offen · Bestellt · Geliefert · Abgeschlossen. Bestellwert wird automatisch berechnet.</t>
  </si>
  <si>
    <t xml:space="preserve">Bestell-Nr.</t>
  </si>
  <si>
    <t xml:space="preserve">Bestelldatum</t>
  </si>
  <si>
    <t xml:space="preserve">Bestellwert</t>
  </si>
  <si>
    <t xml:space="preserve">Liefertermin</t>
  </si>
  <si>
    <t xml:space="preserve">Geliefert</t>
  </si>
  <si>
    <t xml:space="preserve">BE-2026-006</t>
  </si>
  <si>
    <t xml:space="preserve">Bestellt</t>
  </si>
  <si>
    <t xml:space="preserve">BE-2026-007</t>
  </si>
  <si>
    <t xml:space="preserve">Offen</t>
  </si>
  <si>
    <t xml:space="preserve">BE-2026-008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</si>
</sst>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&quot;Stand: &quot;dd\.mm\.yyyy"/>
    <numFmt numFmtId="166" formatCode="#,##0"/>
    <numFmt numFmtId="167" formatCode="#,##0.00&quot; €&quot;"/>
    <numFmt numFmtId="168" formatCode="0.0%"/>
    <numFmt numFmtId="169" formatCode="dd\.mm\.yyyy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sz val="10.5"/>
      <color rgb="FFFFFFFF"/>
      <name val="Calibri"/>
      <family val="0"/>
      <charset val="1"/>
    </font>
    <font>
      <sz val="9"/>
      <color rgb="FF6C7C83"/>
      <name val="Calibri"/>
      <family val="0"/>
      <charset val="1"/>
    </font>
    <font>
      <b val="true"/>
      <sz val="10"/>
      <color rgb="FF17394A"/>
      <name val="Calibri"/>
      <family val="0"/>
      <charset val="1"/>
    </font>
    <font>
      <b val="true"/>
      <sz val="12"/>
      <color rgb="FF17394A"/>
      <name val="Calibri"/>
      <family val="0"/>
      <charset val="1"/>
    </font>
    <font>
      <b val="true"/>
      <sz val="20"/>
      <color rgb="FF17394A"/>
      <name val="Calibri"/>
      <family val="0"/>
      <charset val="1"/>
    </font>
    <font>
      <b val="true"/>
      <sz val="20"/>
      <color rgb="FFB02A2A"/>
      <name val="Calibri"/>
      <family val="0"/>
      <charset val="1"/>
    </font>
    <font>
      <b val="true"/>
      <sz val="20"/>
      <color rgb="FFC6902B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0"/>
      <color rgb="FF1F2A30"/>
      <name val="Calibri"/>
      <family val="0"/>
      <charset val="1"/>
    </font>
    <font>
      <i val="true"/>
      <sz val="8.5"/>
      <color rgb="FF6C7C83"/>
      <name val="Calibri"/>
      <family val="0"/>
      <charset val="1"/>
    </font>
    <font>
      <b val="true"/>
      <sz val="19"/>
      <color rgb="FFFFFFFF"/>
      <name val="Calibri"/>
      <family val="0"/>
      <charset val="1"/>
    </font>
    <font>
      <sz val="10"/>
      <color rgb="FFFFFFFF"/>
      <name val="Calibri"/>
      <family val="0"/>
      <charset val="1"/>
    </font>
    <font>
      <i val="true"/>
      <sz val="9"/>
      <color rgb="FF6C7C83"/>
      <name val="Calibri"/>
      <family val="0"/>
      <charset val="1"/>
    </font>
    <font>
      <i val="true"/>
      <sz val="10"/>
      <color rgb="FF5A6B72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7394A"/>
        <bgColor rgb="FF1F2A30"/>
      </patternFill>
    </fill>
    <fill>
      <patternFill patternType="solid">
        <fgColor rgb="FF245A6E"/>
        <bgColor rgb="FF1F5C8A"/>
      </patternFill>
    </fill>
    <fill>
      <patternFill patternType="solid">
        <fgColor rgb="FFFBF6E7"/>
        <bgColor rgb="FFF5F8F9"/>
      </patternFill>
    </fill>
    <fill>
      <patternFill patternType="solid">
        <fgColor rgb="FFE9F0F2"/>
        <bgColor rgb="FFECEFF1"/>
      </patternFill>
    </fill>
    <fill>
      <patternFill patternType="solid">
        <fgColor rgb="FFFFFFFF"/>
        <bgColor rgb="FFF5F8F9"/>
      </patternFill>
    </fill>
    <fill>
      <patternFill patternType="solid">
        <fgColor rgb="FFF5F8F9"/>
        <bgColor rgb="FFFBF6E7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>
        <color rgb="FFD6E0E4"/>
      </left>
      <right style="thin">
        <color rgb="FFD6E0E4"/>
      </right>
      <top style="thin">
        <color rgb="FFD6E0E4"/>
      </top>
      <bottom style="thin">
        <color rgb="FFD6E0E4"/>
      </bottom>
      <diagonal/>
    </border>
    <border diagonalUp="false" diagonalDown="false">
      <left style="thin">
        <color rgb="FFD6E0E4"/>
      </left>
      <right style="thin">
        <color rgb="FFD6E0E4"/>
      </right>
      <top style="medium">
        <color rgb="FFC6902B"/>
      </top>
      <bottom/>
      <diagonal/>
    </border>
    <border diagonalUp="false" diagonalDown="false">
      <left style="thin">
        <color rgb="FFD6E0E4"/>
      </left>
      <right style="thin">
        <color rgb="FFD6E0E4"/>
      </right>
      <top/>
      <bottom style="thin">
        <color rgb="FFD6E0E4"/>
      </bottom>
      <diagonal/>
    </border>
    <border diagonalUp="false" diagonalDown="false">
      <left/>
      <right/>
      <top/>
      <bottom style="medium">
        <color rgb="FF17394A"/>
      </bottom>
      <diagonal/>
    </border>
    <border diagonalUp="false" diagonalDown="false">
      <left/>
      <right/>
      <top/>
      <bottom style="thin">
        <color rgb="FFE4EBEE"/>
      </bottom>
      <diagonal/>
    </border>
    <border diagonalUp="false" diagonalDown="false">
      <left/>
      <right/>
      <top style="medium">
        <color rgb="FFC6902B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1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3" fillId="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6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3" fillId="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3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7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3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3" fillId="4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3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6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8" fillId="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8" fillId="6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7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8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8" fillId="7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Calibri"/>
        <charset val="1"/>
        <family val="0"/>
        <b val="1"/>
        <color rgb="FFB02A2A"/>
        <sz val="10"/>
      </font>
      <fill>
        <patternFill>
          <bgColor rgb="FFF7E4E4"/>
        </patternFill>
      </fill>
    </dxf>
    <dxf>
      <font>
        <name val="Calibri"/>
        <charset val="1"/>
        <family val="0"/>
        <b val="1"/>
        <color rgb="FF1E7D46"/>
        <sz val="10"/>
      </font>
      <fill>
        <patternFill>
          <bgColor rgb="FFE4F2E9"/>
        </patternFill>
      </fill>
    </dxf>
    <dxf>
      <font>
        <name val="Calibri"/>
        <charset val="1"/>
        <family val="0"/>
        <b val="1"/>
        <color rgb="FFB9770E"/>
        <sz val="10"/>
      </font>
      <fill>
        <patternFill>
          <bgColor rgb="FFFBEFD8"/>
        </patternFill>
      </fill>
    </dxf>
    <dxf>
      <font>
        <name val="Calibri"/>
        <charset val="1"/>
        <family val="0"/>
        <b val="1"/>
        <color rgb="FF1F5C8A"/>
        <sz val="10"/>
      </font>
      <fill>
        <patternFill>
          <bgColor rgb="FFE5EFF7"/>
        </patternFill>
      </fill>
    </dxf>
    <dxf>
      <font>
        <name val="Calibri"/>
        <charset val="1"/>
        <family val="0"/>
        <b val="1"/>
        <color rgb="FF5A6B72"/>
        <sz val="10"/>
      </font>
      <fill>
        <patternFill>
          <bgColor rgb="FFECEFF1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9770E"/>
      <rgbColor rgb="FF800080"/>
      <rgbColor rgb="FF1E7D46"/>
      <rgbColor rgb="FFE9F0F2"/>
      <rgbColor rgb="FF6C7C83"/>
      <rgbColor rgb="FF9999FF"/>
      <rgbColor rgb="FF993366"/>
      <rgbColor rgb="FFFBF6E7"/>
      <rgbColor rgb="FFE4F2E9"/>
      <rgbColor rgb="FF660066"/>
      <rgbColor rgb="FFFF8080"/>
      <rgbColor rgb="FF1F5C8A"/>
      <rgbColor rgb="FFD6E0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FF7"/>
      <rgbColor rgb="FFE4EBEE"/>
      <rgbColor rgb="FFFBEFD8"/>
      <rgbColor rgb="FFECEFF1"/>
      <rgbColor rgb="FFF5F8F9"/>
      <rgbColor rgb="FFCC99FF"/>
      <rgbColor rgb="FFF7E4E4"/>
      <rgbColor rgb="FF3366FF"/>
      <rgbColor rgb="FF33CCCC"/>
      <rgbColor rgb="FF99CC00"/>
      <rgbColor rgb="FFFFCC00"/>
      <rgbColor rgb="FFC6902B"/>
      <rgbColor rgb="FFFF6600"/>
      <rgbColor rgb="FF5A6B72"/>
      <rgbColor rgb="FF969696"/>
      <rgbColor rgb="FF17394A"/>
      <rgbColor rgb="FF339966"/>
      <rgbColor rgb="FF003300"/>
      <rgbColor rgb="FF333300"/>
      <rgbColor rgb="FFB02A2A"/>
      <rgbColor rgb="FF993366"/>
      <rgbColor rgb="FF245A6E"/>
      <rgbColor rgb="FF1F2A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7394A"/>
    <pageSetUpPr fitToPage="false"/>
  </sheetPr>
  <dimension ref="A1:L3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0" width="11.2"/>
  </cols>
  <sheetData>
    <row r="1" customFormat="false" ht="42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18" hidden="false" customHeight="true" outlineLevel="0" collapsed="false">
      <c r="A3" s="3" t="s">
        <v>2</v>
      </c>
      <c r="B3" s="3"/>
      <c r="C3" s="3"/>
      <c r="D3" s="3"/>
      <c r="E3" s="4" t="s">
        <v>3</v>
      </c>
      <c r="F3" s="4"/>
      <c r="G3" s="4"/>
      <c r="H3" s="4"/>
      <c r="I3" s="5" t="s">
        <v>4</v>
      </c>
      <c r="J3" s="6" t="n">
        <v>2026</v>
      </c>
      <c r="K3" s="7" t="n">
        <f aca="true">TODAY()</f>
        <v>46218</v>
      </c>
      <c r="L3" s="7"/>
    </row>
    <row r="4" customFormat="false" ht="7.5" hidden="false" customHeight="true" outlineLevel="0" collapsed="false"/>
    <row r="5" customFormat="false" ht="21.75" hidden="false" customHeight="true" outlineLevel="0" collapsed="false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customFormat="false" ht="18" hidden="false" customHeight="true" outlineLevel="0" collapsed="false">
      <c r="A6" s="9" t="s">
        <v>6</v>
      </c>
      <c r="B6" s="9"/>
      <c r="C6" s="9"/>
      <c r="D6" s="9"/>
      <c r="E6" s="9" t="s">
        <v>7</v>
      </c>
      <c r="F6" s="9"/>
      <c r="G6" s="9"/>
      <c r="H6" s="9"/>
      <c r="I6" s="9" t="s">
        <v>8</v>
      </c>
      <c r="J6" s="9"/>
      <c r="K6" s="9"/>
      <c r="L6" s="9"/>
    </row>
    <row r="7" customFormat="false" ht="30" hidden="false" customHeight="true" outlineLevel="0" collapsed="false">
      <c r="A7" s="10" t="n">
        <f aca="false">COUNTA(Artikel!A5:A500)</f>
        <v>12</v>
      </c>
      <c r="B7" s="10"/>
      <c r="C7" s="10"/>
      <c r="D7" s="10"/>
      <c r="E7" s="10" t="n">
        <f aca="false">COUNTIF(Artikel!M5:M500,"Ja")</f>
        <v>11</v>
      </c>
      <c r="F7" s="10"/>
      <c r="G7" s="10"/>
      <c r="H7" s="10"/>
      <c r="I7" s="11" t="n">
        <f aca="false">COUNTIF(Lager!I5:I16,"Nachbestellen")</f>
        <v>3</v>
      </c>
      <c r="J7" s="11"/>
      <c r="K7" s="11"/>
      <c r="L7" s="11"/>
    </row>
    <row r="8" customFormat="false" ht="6" hidden="false" customHeight="true" outlineLevel="0" collapsed="false"/>
    <row r="9" customFormat="false" ht="18" hidden="false" customHeight="true" outlineLevel="0" collapsed="false">
      <c r="A9" s="9" t="s">
        <v>9</v>
      </c>
      <c r="B9" s="9"/>
      <c r="C9" s="9"/>
      <c r="D9" s="9"/>
      <c r="E9" s="9" t="s">
        <v>10</v>
      </c>
      <c r="F9" s="9"/>
      <c r="G9" s="9"/>
      <c r="H9" s="9"/>
      <c r="I9" s="9" t="s">
        <v>11</v>
      </c>
      <c r="J9" s="9"/>
      <c r="K9" s="9"/>
      <c r="L9" s="9"/>
    </row>
    <row r="10" customFormat="false" ht="30" hidden="false" customHeight="true" outlineLevel="0" collapsed="false">
      <c r="A10" s="12" t="n">
        <f aca="false">SUM(Lager!K5:K16)</f>
        <v>1970.6</v>
      </c>
      <c r="B10" s="12"/>
      <c r="C10" s="12"/>
      <c r="D10" s="12"/>
      <c r="E10" s="10" t="n">
        <f aca="false">SUM(Zugänge!C5:C500)</f>
        <v>184</v>
      </c>
      <c r="F10" s="10"/>
      <c r="G10" s="10"/>
      <c r="H10" s="10"/>
      <c r="I10" s="10" t="n">
        <f aca="false">SUM(Abgänge!C5:C500)</f>
        <v>210</v>
      </c>
      <c r="J10" s="10"/>
      <c r="K10" s="10"/>
      <c r="L10" s="10"/>
    </row>
    <row r="11" customFormat="false" ht="6" hidden="false" customHeight="true" outlineLevel="0" collapsed="false"/>
    <row r="12" customFormat="false" ht="18" hidden="false" customHeight="true" outlineLevel="0" collapsed="false">
      <c r="A12" s="9" t="s">
        <v>12</v>
      </c>
      <c r="B12" s="9"/>
      <c r="C12" s="9"/>
      <c r="D12" s="9"/>
      <c r="E12" s="9" t="s">
        <v>13</v>
      </c>
      <c r="F12" s="9"/>
      <c r="G12" s="9"/>
      <c r="H12" s="9"/>
      <c r="I12" s="9" t="s">
        <v>14</v>
      </c>
      <c r="J12" s="9"/>
      <c r="K12" s="9"/>
      <c r="L12" s="9"/>
    </row>
    <row r="13" customFormat="false" ht="30" hidden="false" customHeight="true" outlineLevel="0" collapsed="false">
      <c r="A13" s="13" t="n">
        <f aca="false">SUM(Abgänge!H5:H500)</f>
        <v>3697.4</v>
      </c>
      <c r="B13" s="13"/>
      <c r="C13" s="13"/>
      <c r="D13" s="13"/>
      <c r="E13" s="13" t="n">
        <f aca="false">J29</f>
        <v>1653.45882352941</v>
      </c>
      <c r="F13" s="13"/>
      <c r="G13" s="13"/>
      <c r="H13" s="13"/>
      <c r="I13" s="10" t="n">
        <f aca="false">COUNTIF(Bestellungen!J5:J500,"Offen")+COUNTIF(Bestellungen!J5:J500,"Bestellt")</f>
        <v>3</v>
      </c>
      <c r="J13" s="10"/>
      <c r="K13" s="10"/>
      <c r="L13" s="10"/>
    </row>
    <row r="14" customFormat="false" ht="6" hidden="false" customHeight="true" outlineLevel="0" collapsed="false"/>
    <row r="15" customFormat="false" ht="21.75" hidden="false" customHeight="true" outlineLevel="0" collapsed="false">
      <c r="A15" s="8" t="s">
        <v>15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customFormat="false" ht="24" hidden="false" customHeight="true" outlineLevel="0" collapsed="false">
      <c r="A16" s="14" t="s">
        <v>16</v>
      </c>
      <c r="B16" s="14" t="s">
        <v>17</v>
      </c>
      <c r="C16" s="14"/>
      <c r="D16" s="14"/>
      <c r="E16" s="14" t="s">
        <v>18</v>
      </c>
      <c r="F16" s="14" t="s">
        <v>19</v>
      </c>
      <c r="G16" s="14"/>
      <c r="H16" s="14" t="s">
        <v>20</v>
      </c>
      <c r="I16" s="14" t="s">
        <v>21</v>
      </c>
      <c r="J16" s="14" t="s">
        <v>22</v>
      </c>
      <c r="K16" s="14"/>
      <c r="L16" s="14" t="s">
        <v>23</v>
      </c>
    </row>
    <row r="17" customFormat="false" ht="18" hidden="false" customHeight="true" outlineLevel="0" collapsed="false">
      <c r="A17" s="15" t="str">
        <f aca="false">Artikel!A5</f>
        <v>ART-1001</v>
      </c>
      <c r="B17" s="15" t="str">
        <f aca="false">Artikel!B5</f>
        <v>Thermosflasche 0,5 L Edelstahl</v>
      </c>
      <c r="C17" s="15"/>
      <c r="D17" s="15"/>
      <c r="E17" s="16" t="n">
        <f aca="false">SUMIF(Abgänge!$A$5:$A$500,$A17,Abgänge!$C$5:$C$500)</f>
        <v>18</v>
      </c>
      <c r="F17" s="17" t="n">
        <f aca="false">SUMIF(Abgänge!$A$5:$A$500,$A17,Abgänge!$H$5:$H$500)</f>
        <v>359.82</v>
      </c>
      <c r="G17" s="17"/>
      <c r="H17" s="17" t="n">
        <f aca="false">F17/(1+Artikel!F5)</f>
        <v>302.36974789916</v>
      </c>
      <c r="I17" s="17" t="n">
        <f aca="false">E17*Artikel!E5</f>
        <v>153</v>
      </c>
      <c r="J17" s="17" t="n">
        <f aca="false">H17-I17</f>
        <v>149.36974789916</v>
      </c>
      <c r="K17" s="17"/>
      <c r="L17" s="18" t="n">
        <f aca="false">IF(H17=0,0,J17/H17)</f>
        <v>0.49399699849925</v>
      </c>
    </row>
    <row r="18" customFormat="false" ht="18" hidden="false" customHeight="true" outlineLevel="0" collapsed="false">
      <c r="A18" s="19" t="str">
        <f aca="false">Artikel!A6</f>
        <v>ART-1002</v>
      </c>
      <c r="B18" s="19" t="str">
        <f aca="false">Artikel!B6</f>
        <v>Kaffeebecher Keramik 350 ml</v>
      </c>
      <c r="C18" s="19"/>
      <c r="D18" s="19"/>
      <c r="E18" s="20" t="n">
        <f aca="false">SUMIF(Abgänge!$A$5:$A$500,$A18,Abgänge!$C$5:$C$500)</f>
        <v>55</v>
      </c>
      <c r="F18" s="21" t="n">
        <f aca="false">SUMIF(Abgänge!$A$5:$A$500,$A18,Abgänge!$H$5:$H$500)</f>
        <v>356.95</v>
      </c>
      <c r="G18" s="21"/>
      <c r="H18" s="21" t="n">
        <f aca="false">F18/(1+Artikel!F6)</f>
        <v>299.957983193277</v>
      </c>
      <c r="I18" s="21" t="n">
        <f aca="false">E18*Artikel!E6</f>
        <v>121</v>
      </c>
      <c r="J18" s="21" t="n">
        <f aca="false">H18-I18</f>
        <v>178.957983193277</v>
      </c>
      <c r="K18" s="21"/>
      <c r="L18" s="22" t="n">
        <f aca="false">IF(H18=0,0,J18/H18)</f>
        <v>0.596610169491526</v>
      </c>
    </row>
    <row r="19" customFormat="false" ht="18" hidden="false" customHeight="true" outlineLevel="0" collapsed="false">
      <c r="A19" s="15" t="str">
        <f aca="false">Artikel!A7</f>
        <v>ART-1003</v>
      </c>
      <c r="B19" s="15" t="str">
        <f aca="false">Artikel!B7</f>
        <v>Messerset 5-teilig</v>
      </c>
      <c r="C19" s="15"/>
      <c r="D19" s="15"/>
      <c r="E19" s="16" t="n">
        <f aca="false">SUMIF(Abgänge!$A$5:$A$500,$A19,Abgänge!$C$5:$C$500)</f>
        <v>12</v>
      </c>
      <c r="F19" s="17" t="n">
        <f aca="false">SUMIF(Abgänge!$A$5:$A$500,$A19,Abgänge!$H$5:$H$500)</f>
        <v>539.88</v>
      </c>
      <c r="G19" s="17"/>
      <c r="H19" s="17" t="n">
        <f aca="false">F19/(1+Artikel!F7)</f>
        <v>453.680672268908</v>
      </c>
      <c r="I19" s="17" t="n">
        <f aca="false">E19*Artikel!E7</f>
        <v>216</v>
      </c>
      <c r="J19" s="17" t="n">
        <f aca="false">H19-I19</f>
        <v>237.680672268908</v>
      </c>
      <c r="K19" s="17"/>
      <c r="L19" s="18" t="n">
        <f aca="false">IF(H19=0,0,J19/H19)</f>
        <v>0.523894198710825</v>
      </c>
    </row>
    <row r="20" customFormat="false" ht="18" hidden="false" customHeight="true" outlineLevel="0" collapsed="false">
      <c r="A20" s="19" t="str">
        <f aca="false">Artikel!A8</f>
        <v>ART-1004</v>
      </c>
      <c r="B20" s="19" t="str">
        <f aca="false">Artikel!B8</f>
        <v>Wäschekorb Kunststoff 45 L</v>
      </c>
      <c r="C20" s="19"/>
      <c r="D20" s="19"/>
      <c r="E20" s="20" t="n">
        <f aca="false">SUMIF(Abgänge!$A$5:$A$500,$A20,Abgänge!$C$5:$C$500)</f>
        <v>14</v>
      </c>
      <c r="F20" s="21" t="n">
        <f aca="false">SUMIF(Abgänge!$A$5:$A$500,$A20,Abgänge!$H$5:$H$500)</f>
        <v>181.86</v>
      </c>
      <c r="G20" s="21"/>
      <c r="H20" s="21" t="n">
        <f aca="false">F20/(1+Artikel!F8)</f>
        <v>152.823529411765</v>
      </c>
      <c r="I20" s="21" t="n">
        <f aca="false">E20*Artikel!E8</f>
        <v>67.2</v>
      </c>
      <c r="J20" s="21" t="n">
        <f aca="false">H20-I20</f>
        <v>85.6235294117647</v>
      </c>
      <c r="K20" s="21"/>
      <c r="L20" s="22" t="n">
        <f aca="false">IF(H20=0,0,J20/H20)</f>
        <v>0.560277136258661</v>
      </c>
    </row>
    <row r="21" customFormat="false" ht="18" hidden="false" customHeight="true" outlineLevel="0" collapsed="false">
      <c r="A21" s="15" t="str">
        <f aca="false">Artikel!A9</f>
        <v>ART-1005</v>
      </c>
      <c r="B21" s="15" t="str">
        <f aca="false">Artikel!B9</f>
        <v>Dampfbügeleisen 2400 W</v>
      </c>
      <c r="C21" s="15"/>
      <c r="D21" s="15"/>
      <c r="E21" s="16" t="n">
        <f aca="false">SUMIF(Abgänge!$A$5:$A$500,$A21,Abgänge!$C$5:$C$500)</f>
        <v>9</v>
      </c>
      <c r="F21" s="17" t="n">
        <f aca="false">SUMIF(Abgänge!$A$5:$A$500,$A21,Abgänge!$H$5:$H$500)</f>
        <v>449.91</v>
      </c>
      <c r="G21" s="17"/>
      <c r="H21" s="17" t="n">
        <f aca="false">F21/(1+Artikel!F9)</f>
        <v>378.075630252101</v>
      </c>
      <c r="I21" s="17" t="n">
        <f aca="false">E21*Artikel!E9</f>
        <v>198</v>
      </c>
      <c r="J21" s="17" t="n">
        <f aca="false">H21-I21</f>
        <v>180.075630252101</v>
      </c>
      <c r="K21" s="17"/>
      <c r="L21" s="18" t="n">
        <f aca="false">IF(H21=0,0,J21/H21)</f>
        <v>0.47629525905181</v>
      </c>
    </row>
    <row r="22" customFormat="false" ht="18" hidden="false" customHeight="true" outlineLevel="0" collapsed="false">
      <c r="A22" s="19" t="str">
        <f aca="false">Artikel!A10</f>
        <v>ART-1006</v>
      </c>
      <c r="B22" s="19" t="str">
        <f aca="false">Artikel!B10</f>
        <v>LED-Schreibtischlampe dimmbar</v>
      </c>
      <c r="C22" s="19"/>
      <c r="D22" s="19"/>
      <c r="E22" s="20" t="n">
        <f aca="false">SUMIF(Abgänge!$A$5:$A$500,$A22,Abgänge!$C$5:$C$500)</f>
        <v>10</v>
      </c>
      <c r="F22" s="21" t="n">
        <f aca="false">SUMIF(Abgänge!$A$5:$A$500,$A22,Abgänge!$H$5:$H$500)</f>
        <v>299.9</v>
      </c>
      <c r="G22" s="21"/>
      <c r="H22" s="21" t="n">
        <f aca="false">F22/(1+Artikel!F10)</f>
        <v>252.016806722689</v>
      </c>
      <c r="I22" s="21" t="n">
        <f aca="false">E22*Artikel!E10</f>
        <v>125</v>
      </c>
      <c r="J22" s="21" t="n">
        <f aca="false">H22-I22</f>
        <v>127.016806722689</v>
      </c>
      <c r="K22" s="21"/>
      <c r="L22" s="22" t="n">
        <f aca="false">IF(H22=0,0,J22/H22)</f>
        <v>0.504001333777926</v>
      </c>
    </row>
    <row r="23" customFormat="false" ht="18" hidden="false" customHeight="true" outlineLevel="0" collapsed="false">
      <c r="A23" s="15" t="str">
        <f aca="false">Artikel!A11</f>
        <v>ART-1007</v>
      </c>
      <c r="B23" s="15" t="str">
        <f aca="false">Artikel!B11</f>
        <v>Gartenschlauch 20 m</v>
      </c>
      <c r="C23" s="15"/>
      <c r="D23" s="15"/>
      <c r="E23" s="16" t="n">
        <f aca="false">SUMIF(Abgänge!$A$5:$A$500,$A23,Abgänge!$C$5:$C$500)</f>
        <v>8</v>
      </c>
      <c r="F23" s="17" t="n">
        <f aca="false">SUMIF(Abgänge!$A$5:$A$500,$A23,Abgänge!$H$5:$H$500)</f>
        <v>199.92</v>
      </c>
      <c r="G23" s="17"/>
      <c r="H23" s="17" t="n">
        <f aca="false">F23/(1+Artikel!F11)</f>
        <v>168</v>
      </c>
      <c r="I23" s="17" t="n">
        <f aca="false">E23*Artikel!E11</f>
        <v>79.2</v>
      </c>
      <c r="J23" s="17" t="n">
        <f aca="false">H23-I23</f>
        <v>88.8</v>
      </c>
      <c r="K23" s="17"/>
      <c r="L23" s="18" t="n">
        <f aca="false">IF(H23=0,0,J23/H23)</f>
        <v>0.528571428571429</v>
      </c>
    </row>
    <row r="24" customFormat="false" ht="18" hidden="false" customHeight="true" outlineLevel="0" collapsed="false">
      <c r="A24" s="19" t="str">
        <f aca="false">Artikel!A12</f>
        <v>ART-1008</v>
      </c>
      <c r="B24" s="19" t="str">
        <f aca="false">Artikel!B12</f>
        <v>Blumentopf Terrakotta Ø 30 cm</v>
      </c>
      <c r="C24" s="19"/>
      <c r="D24" s="19"/>
      <c r="E24" s="20" t="n">
        <f aca="false">SUMIF(Abgänge!$A$5:$A$500,$A24,Abgänge!$C$5:$C$500)</f>
        <v>22</v>
      </c>
      <c r="F24" s="21" t="n">
        <f aca="false">SUMIF(Abgänge!$A$5:$A$500,$A24,Abgänge!$H$5:$H$500)</f>
        <v>329.78</v>
      </c>
      <c r="G24" s="21"/>
      <c r="H24" s="21" t="n">
        <f aca="false">F24/(1+Artikel!F12)</f>
        <v>277.126050420168</v>
      </c>
      <c r="I24" s="21" t="n">
        <f aca="false">E24*Artikel!E12</f>
        <v>121</v>
      </c>
      <c r="J24" s="21" t="n">
        <f aca="false">H24-I24</f>
        <v>156.126050420168</v>
      </c>
      <c r="K24" s="21"/>
      <c r="L24" s="22" t="n">
        <f aca="false">IF(H24=0,0,J24/H24)</f>
        <v>0.563375583722482</v>
      </c>
    </row>
    <row r="25" customFormat="false" ht="18" hidden="false" customHeight="true" outlineLevel="0" collapsed="false">
      <c r="A25" s="15" t="str">
        <f aca="false">Artikel!A13</f>
        <v>ART-1009</v>
      </c>
      <c r="B25" s="15" t="str">
        <f aca="false">Artikel!B13</f>
        <v>Picknickdecke wasserdicht</v>
      </c>
      <c r="C25" s="15"/>
      <c r="D25" s="15"/>
      <c r="E25" s="16" t="n">
        <f aca="false">SUMIF(Abgänge!$A$5:$A$500,$A25,Abgänge!$C$5:$C$500)</f>
        <v>7</v>
      </c>
      <c r="F25" s="17" t="n">
        <f aca="false">SUMIF(Abgänge!$A$5:$A$500,$A25,Abgänge!$H$5:$H$500)</f>
        <v>132.93</v>
      </c>
      <c r="G25" s="17"/>
      <c r="H25" s="17" t="n">
        <f aca="false">F25/(1+Artikel!F13)</f>
        <v>111.705882352941</v>
      </c>
      <c r="I25" s="17" t="n">
        <f aca="false">E25*Artikel!E13</f>
        <v>50.4</v>
      </c>
      <c r="J25" s="17" t="n">
        <f aca="false">H25-I25</f>
        <v>61.3058823529412</v>
      </c>
      <c r="K25" s="17"/>
      <c r="L25" s="18" t="n">
        <f aca="false">IF(H25=0,0,J25/H25)</f>
        <v>0.548815165876777</v>
      </c>
    </row>
    <row r="26" customFormat="false" ht="18" hidden="false" customHeight="true" outlineLevel="0" collapsed="false">
      <c r="A26" s="19" t="str">
        <f aca="false">Artikel!A14</f>
        <v>ART-1010</v>
      </c>
      <c r="B26" s="19" t="str">
        <f aca="false">Artikel!B14</f>
        <v>Trinkflasche Sport 750 ml</v>
      </c>
      <c r="C26" s="19"/>
      <c r="D26" s="19"/>
      <c r="E26" s="20" t="n">
        <f aca="false">SUMIF(Abgänge!$A$5:$A$500,$A26,Abgänge!$C$5:$C$500)</f>
        <v>40</v>
      </c>
      <c r="F26" s="21" t="n">
        <f aca="false">SUMIF(Abgänge!$A$5:$A$500,$A26,Abgänge!$H$5:$H$500)</f>
        <v>399.6</v>
      </c>
      <c r="G26" s="21"/>
      <c r="H26" s="21" t="n">
        <f aca="false">F26/(1+Artikel!F14)</f>
        <v>335.798319327731</v>
      </c>
      <c r="I26" s="21" t="n">
        <f aca="false">E26*Artikel!E14</f>
        <v>136</v>
      </c>
      <c r="J26" s="21" t="n">
        <f aca="false">H26-I26</f>
        <v>199.798319327731</v>
      </c>
      <c r="K26" s="21"/>
      <c r="L26" s="22" t="n">
        <f aca="false">IF(H26=0,0,J26/H26)</f>
        <v>0.594994994994995</v>
      </c>
    </row>
    <row r="27" customFormat="false" ht="18" hidden="false" customHeight="true" outlineLevel="0" collapsed="false">
      <c r="A27" s="15" t="str">
        <f aca="false">Artikel!A15</f>
        <v>ART-1011</v>
      </c>
      <c r="B27" s="15" t="str">
        <f aca="false">Artikel!B15</f>
        <v>Handtuch-Set Baumwolle 3-tlg.</v>
      </c>
      <c r="C27" s="15"/>
      <c r="D27" s="15"/>
      <c r="E27" s="16" t="n">
        <f aca="false">SUMIF(Abgänge!$A$5:$A$500,$A27,Abgänge!$C$5:$C$500)</f>
        <v>11</v>
      </c>
      <c r="F27" s="17" t="n">
        <f aca="false">SUMIF(Abgänge!$A$5:$A$500,$A27,Abgänge!$H$5:$H$500)</f>
        <v>186.89</v>
      </c>
      <c r="G27" s="17"/>
      <c r="H27" s="17" t="n">
        <f aca="false">F27/(1+Artikel!F15)</f>
        <v>157.050420168067</v>
      </c>
      <c r="I27" s="17" t="n">
        <f aca="false">E27*Artikel!E15</f>
        <v>74.8</v>
      </c>
      <c r="J27" s="17" t="n">
        <f aca="false">H27-I27</f>
        <v>82.2504201680672</v>
      </c>
      <c r="K27" s="17"/>
      <c r="L27" s="18" t="n">
        <f aca="false">IF(H27=0,0,J27/H27)</f>
        <v>0.523719835197175</v>
      </c>
    </row>
    <row r="28" customFormat="false" ht="18" hidden="false" customHeight="true" outlineLevel="0" collapsed="false">
      <c r="A28" s="19" t="str">
        <f aca="false">Artikel!A16</f>
        <v>ART-1012</v>
      </c>
      <c r="B28" s="19" t="str">
        <f aca="false">Artikel!B16</f>
        <v>Akku-Handstaubsauger</v>
      </c>
      <c r="C28" s="19"/>
      <c r="D28" s="19"/>
      <c r="E28" s="20" t="n">
        <f aca="false">SUMIF(Abgänge!$A$5:$A$500,$A28,Abgänge!$C$5:$C$500)</f>
        <v>4</v>
      </c>
      <c r="F28" s="21" t="n">
        <f aca="false">SUMIF(Abgänge!$A$5:$A$500,$A28,Abgänge!$H$5:$H$500)</f>
        <v>259.96</v>
      </c>
      <c r="G28" s="21"/>
      <c r="H28" s="21" t="n">
        <f aca="false">F28/(1+Artikel!F16)</f>
        <v>218.453781512605</v>
      </c>
      <c r="I28" s="21" t="n">
        <f aca="false">E28*Artikel!E16</f>
        <v>112</v>
      </c>
      <c r="J28" s="21" t="n">
        <f aca="false">H28-I28</f>
        <v>106.453781512605</v>
      </c>
      <c r="K28" s="21"/>
      <c r="L28" s="22" t="n">
        <f aca="false">IF(H28=0,0,J28/H28)</f>
        <v>0.487305739344515</v>
      </c>
    </row>
    <row r="29" customFormat="false" ht="21.75" hidden="false" customHeight="true" outlineLevel="0" collapsed="false">
      <c r="A29" s="23" t="s">
        <v>24</v>
      </c>
      <c r="B29" s="23"/>
      <c r="C29" s="23"/>
      <c r="D29" s="23"/>
      <c r="E29" s="24" t="n">
        <f aca="false">SUM(E17:E28)</f>
        <v>210</v>
      </c>
      <c r="F29" s="25" t="n">
        <f aca="false">SUM(F17:F28)</f>
        <v>3697.4</v>
      </c>
      <c r="G29" s="25"/>
      <c r="H29" s="25" t="n">
        <f aca="false">SUM(H17:H28)</f>
        <v>3107.05882352941</v>
      </c>
      <c r="I29" s="25" t="n">
        <f aca="false">SUM(I17:I28)</f>
        <v>1453.6</v>
      </c>
      <c r="J29" s="25" t="n">
        <f aca="false">SUM(J17:J28)</f>
        <v>1653.45882352941</v>
      </c>
      <c r="K29" s="25"/>
      <c r="L29" s="26" t="n">
        <f aca="false">IF(H29=0,0,J29/H29)</f>
        <v>0.532162059825824</v>
      </c>
    </row>
    <row r="31" customFormat="false" ht="27.75" hidden="false" customHeight="true" outlineLevel="0" collapsed="false">
      <c r="A31" s="27" t="s">
        <v>25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</row>
  </sheetData>
  <mergeCells count="68">
    <mergeCell ref="A1:L1"/>
    <mergeCell ref="A2:L2"/>
    <mergeCell ref="A3:D3"/>
    <mergeCell ref="E3:H3"/>
    <mergeCell ref="K3:L3"/>
    <mergeCell ref="A5:L5"/>
    <mergeCell ref="A6:D6"/>
    <mergeCell ref="E6:H6"/>
    <mergeCell ref="I6:L6"/>
    <mergeCell ref="A7:D7"/>
    <mergeCell ref="E7:H7"/>
    <mergeCell ref="I7:L7"/>
    <mergeCell ref="A9:D9"/>
    <mergeCell ref="E9:H9"/>
    <mergeCell ref="I9:L9"/>
    <mergeCell ref="A10:D10"/>
    <mergeCell ref="E10:H10"/>
    <mergeCell ref="I10:L10"/>
    <mergeCell ref="A12:D12"/>
    <mergeCell ref="E12:H12"/>
    <mergeCell ref="I12:L12"/>
    <mergeCell ref="A13:D13"/>
    <mergeCell ref="E13:H13"/>
    <mergeCell ref="I13:L13"/>
    <mergeCell ref="A15:L15"/>
    <mergeCell ref="B16:D16"/>
    <mergeCell ref="F16:G16"/>
    <mergeCell ref="J16:K16"/>
    <mergeCell ref="B17:D17"/>
    <mergeCell ref="F17:G17"/>
    <mergeCell ref="J17:K17"/>
    <mergeCell ref="B18:D18"/>
    <mergeCell ref="F18:G18"/>
    <mergeCell ref="J18:K18"/>
    <mergeCell ref="B19:D19"/>
    <mergeCell ref="F19:G19"/>
    <mergeCell ref="J19:K19"/>
    <mergeCell ref="B20:D20"/>
    <mergeCell ref="F20:G20"/>
    <mergeCell ref="J20:K20"/>
    <mergeCell ref="B21:D21"/>
    <mergeCell ref="F21:G21"/>
    <mergeCell ref="J21:K21"/>
    <mergeCell ref="B22:D22"/>
    <mergeCell ref="F22:G22"/>
    <mergeCell ref="J22:K22"/>
    <mergeCell ref="B23:D23"/>
    <mergeCell ref="F23:G23"/>
    <mergeCell ref="J23:K23"/>
    <mergeCell ref="B24:D24"/>
    <mergeCell ref="F24:G24"/>
    <mergeCell ref="J24:K24"/>
    <mergeCell ref="B25:D25"/>
    <mergeCell ref="F25:G25"/>
    <mergeCell ref="J25:K25"/>
    <mergeCell ref="B26:D26"/>
    <mergeCell ref="F26:G26"/>
    <mergeCell ref="J26:K26"/>
    <mergeCell ref="B27:D27"/>
    <mergeCell ref="F27:G27"/>
    <mergeCell ref="J27:K27"/>
    <mergeCell ref="B28:D28"/>
    <mergeCell ref="F28:G28"/>
    <mergeCell ref="J28:K28"/>
    <mergeCell ref="A29:D29"/>
    <mergeCell ref="F29:G29"/>
    <mergeCell ref="J29:K29"/>
    <mergeCell ref="A31:L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7394A"/>
    <pageSetUpPr fitToPage="false"/>
  </sheetPr>
  <dimension ref="A1:M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30"/>
    <col collapsed="false" customWidth="true" hidden="false" outlineLevel="0" max="3" min="3" style="0" width="12"/>
    <col collapsed="false" customWidth="true" hidden="false" outlineLevel="0" max="4" min="4" style="0" width="8"/>
    <col collapsed="false" customWidth="true" hidden="false" outlineLevel="0" max="5" min="5" style="0" width="13"/>
    <col collapsed="false" customWidth="true" hidden="false" outlineLevel="0" max="6" min="6" style="0" width="7"/>
    <col collapsed="false" customWidth="true" hidden="false" outlineLevel="0" max="8" min="7" style="0" width="13"/>
    <col collapsed="false" customWidth="true" hidden="false" outlineLevel="0" max="10" min="9" style="0" width="10"/>
    <col collapsed="false" customWidth="true" hidden="false" outlineLevel="0" max="11" min="11" style="0" width="11"/>
    <col collapsed="false" customWidth="true" hidden="false" outlineLevel="0" max="12" min="12" style="0" width="22"/>
    <col collapsed="false" customWidth="true" hidden="false" outlineLevel="0" max="13" min="13" style="0" width="7"/>
  </cols>
  <sheetData>
    <row r="1" customFormat="false" ht="33.75" hidden="false" customHeight="true" outlineLevel="0" collapsed="false">
      <c r="A1" s="28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customFormat="false" ht="19.5" hidden="false" customHeight="true" outlineLevel="0" collapsed="false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customFormat="false" ht="15.75" hidden="false" customHeight="true" outlineLevel="0" collapsed="false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customFormat="false" ht="24" hidden="false" customHeight="true" outlineLevel="0" collapsed="false">
      <c r="A4" s="31" t="s">
        <v>16</v>
      </c>
      <c r="B4" s="31" t="s">
        <v>17</v>
      </c>
      <c r="C4" s="31" t="s">
        <v>29</v>
      </c>
      <c r="D4" s="14" t="s">
        <v>30</v>
      </c>
      <c r="E4" s="32" t="s">
        <v>31</v>
      </c>
      <c r="F4" s="14" t="s">
        <v>32</v>
      </c>
      <c r="G4" s="32" t="s">
        <v>33</v>
      </c>
      <c r="H4" s="32" t="s">
        <v>34</v>
      </c>
      <c r="I4" s="14" t="s">
        <v>35</v>
      </c>
      <c r="J4" s="33" t="s">
        <v>36</v>
      </c>
      <c r="K4" s="14" t="s">
        <v>37</v>
      </c>
      <c r="L4" s="31" t="s">
        <v>38</v>
      </c>
      <c r="M4" s="14" t="s">
        <v>39</v>
      </c>
    </row>
    <row r="5" customFormat="false" ht="18" hidden="false" customHeight="true" outlineLevel="0" collapsed="false">
      <c r="A5" s="34" t="s">
        <v>40</v>
      </c>
      <c r="B5" s="34" t="s">
        <v>41</v>
      </c>
      <c r="C5" s="34" t="s">
        <v>42</v>
      </c>
      <c r="D5" s="34" t="s">
        <v>43</v>
      </c>
      <c r="E5" s="35" t="n">
        <v>8.5</v>
      </c>
      <c r="F5" s="36" t="n">
        <v>0.19</v>
      </c>
      <c r="G5" s="35" t="n">
        <v>19.99</v>
      </c>
      <c r="H5" s="17" t="n">
        <f aca="false">G5/(1+F5)</f>
        <v>16.7983193277311</v>
      </c>
      <c r="I5" s="18" t="n">
        <f aca="false">IF(H5=0,0,(H5-E5)/H5)</f>
        <v>0.49399699849925</v>
      </c>
      <c r="J5" s="37" t="n">
        <v>15</v>
      </c>
      <c r="K5" s="34" t="s">
        <v>44</v>
      </c>
      <c r="L5" s="34" t="s">
        <v>45</v>
      </c>
      <c r="M5" s="34" t="s">
        <v>46</v>
      </c>
    </row>
    <row r="6" customFormat="false" ht="18" hidden="false" customHeight="true" outlineLevel="0" collapsed="false">
      <c r="A6" s="34" t="s">
        <v>47</v>
      </c>
      <c r="B6" s="34" t="s">
        <v>48</v>
      </c>
      <c r="C6" s="34" t="s">
        <v>42</v>
      </c>
      <c r="D6" s="34" t="s">
        <v>43</v>
      </c>
      <c r="E6" s="35" t="n">
        <v>2.2</v>
      </c>
      <c r="F6" s="36" t="n">
        <v>0.19</v>
      </c>
      <c r="G6" s="35" t="n">
        <v>6.49</v>
      </c>
      <c r="H6" s="21" t="n">
        <f aca="false">G6/(1+F6)</f>
        <v>5.45378151260504</v>
      </c>
      <c r="I6" s="22" t="n">
        <f aca="false">IF(H6=0,0,(H6-E6)/H6)</f>
        <v>0.596610169491526</v>
      </c>
      <c r="J6" s="37" t="n">
        <v>40</v>
      </c>
      <c r="K6" s="34" t="s">
        <v>49</v>
      </c>
      <c r="L6" s="34" t="s">
        <v>45</v>
      </c>
      <c r="M6" s="34" t="s">
        <v>46</v>
      </c>
    </row>
    <row r="7" customFormat="false" ht="18" hidden="false" customHeight="true" outlineLevel="0" collapsed="false">
      <c r="A7" s="34" t="s">
        <v>50</v>
      </c>
      <c r="B7" s="34" t="s">
        <v>51</v>
      </c>
      <c r="C7" s="34" t="s">
        <v>42</v>
      </c>
      <c r="D7" s="34" t="s">
        <v>52</v>
      </c>
      <c r="E7" s="35" t="n">
        <v>18</v>
      </c>
      <c r="F7" s="36" t="n">
        <v>0.19</v>
      </c>
      <c r="G7" s="35" t="n">
        <v>44.99</v>
      </c>
      <c r="H7" s="17" t="n">
        <f aca="false">G7/(1+F7)</f>
        <v>37.8067226890756</v>
      </c>
      <c r="I7" s="18" t="n">
        <f aca="false">IF(H7=0,0,(H7-E7)/H7)</f>
        <v>0.523894198710825</v>
      </c>
      <c r="J7" s="37" t="n">
        <v>8</v>
      </c>
      <c r="K7" s="34" t="s">
        <v>53</v>
      </c>
      <c r="L7" s="34" t="s">
        <v>54</v>
      </c>
      <c r="M7" s="34" t="s">
        <v>46</v>
      </c>
    </row>
    <row r="8" customFormat="false" ht="18" hidden="false" customHeight="true" outlineLevel="0" collapsed="false">
      <c r="A8" s="34" t="s">
        <v>55</v>
      </c>
      <c r="B8" s="34" t="s">
        <v>56</v>
      </c>
      <c r="C8" s="34" t="s">
        <v>57</v>
      </c>
      <c r="D8" s="34" t="s">
        <v>43</v>
      </c>
      <c r="E8" s="35" t="n">
        <v>4.8</v>
      </c>
      <c r="F8" s="36" t="n">
        <v>0.19</v>
      </c>
      <c r="G8" s="35" t="n">
        <v>12.99</v>
      </c>
      <c r="H8" s="21" t="n">
        <f aca="false">G8/(1+F8)</f>
        <v>10.9159663865546</v>
      </c>
      <c r="I8" s="22" t="n">
        <f aca="false">IF(H8=0,0,(H8-E8)/H8)</f>
        <v>0.560277136258661</v>
      </c>
      <c r="J8" s="37" t="n">
        <v>20</v>
      </c>
      <c r="K8" s="34" t="s">
        <v>58</v>
      </c>
      <c r="L8" s="34" t="s">
        <v>54</v>
      </c>
      <c r="M8" s="34" t="s">
        <v>46</v>
      </c>
    </row>
    <row r="9" customFormat="false" ht="18" hidden="false" customHeight="true" outlineLevel="0" collapsed="false">
      <c r="A9" s="34" t="s">
        <v>59</v>
      </c>
      <c r="B9" s="34" t="s">
        <v>60</v>
      </c>
      <c r="C9" s="34" t="s">
        <v>57</v>
      </c>
      <c r="D9" s="34" t="s">
        <v>43</v>
      </c>
      <c r="E9" s="35" t="n">
        <v>22</v>
      </c>
      <c r="F9" s="36" t="n">
        <v>0.19</v>
      </c>
      <c r="G9" s="35" t="n">
        <v>49.99</v>
      </c>
      <c r="H9" s="17" t="n">
        <f aca="false">G9/(1+F9)</f>
        <v>42.0084033613445</v>
      </c>
      <c r="I9" s="18" t="n">
        <f aca="false">IF(H9=0,0,(H9-E9)/H9)</f>
        <v>0.47629525905181</v>
      </c>
      <c r="J9" s="37" t="n">
        <v>6</v>
      </c>
      <c r="K9" s="34" t="s">
        <v>61</v>
      </c>
      <c r="L9" s="34" t="s">
        <v>62</v>
      </c>
      <c r="M9" s="34" t="s">
        <v>46</v>
      </c>
    </row>
    <row r="10" customFormat="false" ht="18" hidden="false" customHeight="true" outlineLevel="0" collapsed="false">
      <c r="A10" s="34" t="s">
        <v>63</v>
      </c>
      <c r="B10" s="34" t="s">
        <v>64</v>
      </c>
      <c r="C10" s="34" t="s">
        <v>65</v>
      </c>
      <c r="D10" s="34" t="s">
        <v>43</v>
      </c>
      <c r="E10" s="35" t="n">
        <v>12.5</v>
      </c>
      <c r="F10" s="36" t="n">
        <v>0.19</v>
      </c>
      <c r="G10" s="35" t="n">
        <v>29.99</v>
      </c>
      <c r="H10" s="21" t="n">
        <f aca="false">G10/(1+F10)</f>
        <v>25.2016806722689</v>
      </c>
      <c r="I10" s="22" t="n">
        <f aca="false">IF(H10=0,0,(H10-E10)/H10)</f>
        <v>0.504001333777926</v>
      </c>
      <c r="J10" s="37" t="n">
        <v>10</v>
      </c>
      <c r="K10" s="34" t="s">
        <v>66</v>
      </c>
      <c r="L10" s="34" t="s">
        <v>62</v>
      </c>
      <c r="M10" s="34" t="s">
        <v>46</v>
      </c>
    </row>
    <row r="11" customFormat="false" ht="18" hidden="false" customHeight="true" outlineLevel="0" collapsed="false">
      <c r="A11" s="34" t="s">
        <v>67</v>
      </c>
      <c r="B11" s="34" t="s">
        <v>68</v>
      </c>
      <c r="C11" s="34" t="s">
        <v>69</v>
      </c>
      <c r="D11" s="34" t="s">
        <v>43</v>
      </c>
      <c r="E11" s="35" t="n">
        <v>9.9</v>
      </c>
      <c r="F11" s="36" t="n">
        <v>0.19</v>
      </c>
      <c r="G11" s="35" t="n">
        <v>24.99</v>
      </c>
      <c r="H11" s="17" t="n">
        <f aca="false">G11/(1+F11)</f>
        <v>21</v>
      </c>
      <c r="I11" s="18" t="n">
        <f aca="false">IF(H11=0,0,(H11-E11)/H11)</f>
        <v>0.528571428571429</v>
      </c>
      <c r="J11" s="37" t="n">
        <v>12</v>
      </c>
      <c r="K11" s="34" t="s">
        <v>70</v>
      </c>
      <c r="L11" s="34" t="s">
        <v>71</v>
      </c>
      <c r="M11" s="34" t="s">
        <v>46</v>
      </c>
    </row>
    <row r="12" customFormat="false" ht="18" hidden="false" customHeight="true" outlineLevel="0" collapsed="false">
      <c r="A12" s="34" t="s">
        <v>72</v>
      </c>
      <c r="B12" s="34" t="s">
        <v>73</v>
      </c>
      <c r="C12" s="34" t="s">
        <v>69</v>
      </c>
      <c r="D12" s="34" t="s">
        <v>43</v>
      </c>
      <c r="E12" s="35" t="n">
        <v>5.5</v>
      </c>
      <c r="F12" s="36" t="n">
        <v>0.19</v>
      </c>
      <c r="G12" s="35" t="n">
        <v>14.99</v>
      </c>
      <c r="H12" s="21" t="n">
        <f aca="false">G12/(1+F12)</f>
        <v>12.5966386554622</v>
      </c>
      <c r="I12" s="22" t="n">
        <f aca="false">IF(H12=0,0,(H12-E12)/H12)</f>
        <v>0.563375583722482</v>
      </c>
      <c r="J12" s="37" t="n">
        <v>25</v>
      </c>
      <c r="K12" s="34" t="s">
        <v>74</v>
      </c>
      <c r="L12" s="34" t="s">
        <v>71</v>
      </c>
      <c r="M12" s="34" t="s">
        <v>46</v>
      </c>
    </row>
    <row r="13" customFormat="false" ht="18" hidden="false" customHeight="true" outlineLevel="0" collapsed="false">
      <c r="A13" s="34" t="s">
        <v>75</v>
      </c>
      <c r="B13" s="34" t="s">
        <v>76</v>
      </c>
      <c r="C13" s="34" t="s">
        <v>77</v>
      </c>
      <c r="D13" s="34" t="s">
        <v>43</v>
      </c>
      <c r="E13" s="35" t="n">
        <v>7.2</v>
      </c>
      <c r="F13" s="36" t="n">
        <v>0.19</v>
      </c>
      <c r="G13" s="35" t="n">
        <v>18.99</v>
      </c>
      <c r="H13" s="17" t="n">
        <f aca="false">G13/(1+F13)</f>
        <v>15.9579831932773</v>
      </c>
      <c r="I13" s="18" t="n">
        <f aca="false">IF(H13=0,0,(H13-E13)/H13)</f>
        <v>0.548815165876777</v>
      </c>
      <c r="J13" s="37" t="n">
        <v>14</v>
      </c>
      <c r="K13" s="34" t="s">
        <v>78</v>
      </c>
      <c r="L13" s="34" t="s">
        <v>79</v>
      </c>
      <c r="M13" s="34" t="s">
        <v>46</v>
      </c>
    </row>
    <row r="14" customFormat="false" ht="18" hidden="false" customHeight="true" outlineLevel="0" collapsed="false">
      <c r="A14" s="34" t="s">
        <v>80</v>
      </c>
      <c r="B14" s="34" t="s">
        <v>81</v>
      </c>
      <c r="C14" s="34" t="s">
        <v>77</v>
      </c>
      <c r="D14" s="34" t="s">
        <v>43</v>
      </c>
      <c r="E14" s="35" t="n">
        <v>3.4</v>
      </c>
      <c r="F14" s="36" t="n">
        <v>0.19</v>
      </c>
      <c r="G14" s="35" t="n">
        <v>9.99</v>
      </c>
      <c r="H14" s="21" t="n">
        <f aca="false">G14/(1+F14)</f>
        <v>8.39495798319328</v>
      </c>
      <c r="I14" s="22" t="n">
        <f aca="false">IF(H14=0,0,(H14-E14)/H14)</f>
        <v>0.594994994994995</v>
      </c>
      <c r="J14" s="37" t="n">
        <v>30</v>
      </c>
      <c r="K14" s="34" t="s">
        <v>82</v>
      </c>
      <c r="L14" s="34" t="s">
        <v>79</v>
      </c>
      <c r="M14" s="34" t="s">
        <v>46</v>
      </c>
    </row>
    <row r="15" customFormat="false" ht="18" hidden="false" customHeight="true" outlineLevel="0" collapsed="false">
      <c r="A15" s="34" t="s">
        <v>83</v>
      </c>
      <c r="B15" s="34" t="s">
        <v>84</v>
      </c>
      <c r="C15" s="34" t="s">
        <v>57</v>
      </c>
      <c r="D15" s="34" t="s">
        <v>52</v>
      </c>
      <c r="E15" s="35" t="n">
        <v>6.8</v>
      </c>
      <c r="F15" s="36" t="n">
        <v>0.19</v>
      </c>
      <c r="G15" s="35" t="n">
        <v>16.99</v>
      </c>
      <c r="H15" s="17" t="n">
        <f aca="false">G15/(1+F15)</f>
        <v>14.2773109243697</v>
      </c>
      <c r="I15" s="18" t="n">
        <f aca="false">IF(H15=0,0,(H15-E15)/H15)</f>
        <v>0.523719835197175</v>
      </c>
      <c r="J15" s="37" t="n">
        <v>18</v>
      </c>
      <c r="K15" s="34" t="s">
        <v>85</v>
      </c>
      <c r="L15" s="34" t="s">
        <v>79</v>
      </c>
      <c r="M15" s="34" t="s">
        <v>46</v>
      </c>
    </row>
    <row r="16" customFormat="false" ht="18" hidden="false" customHeight="true" outlineLevel="0" collapsed="false">
      <c r="A16" s="34" t="s">
        <v>86</v>
      </c>
      <c r="B16" s="34" t="s">
        <v>87</v>
      </c>
      <c r="C16" s="34" t="s">
        <v>65</v>
      </c>
      <c r="D16" s="34" t="s">
        <v>43</v>
      </c>
      <c r="E16" s="35" t="n">
        <v>28</v>
      </c>
      <c r="F16" s="36" t="n">
        <v>0.19</v>
      </c>
      <c r="G16" s="35" t="n">
        <v>64.99</v>
      </c>
      <c r="H16" s="21" t="n">
        <f aca="false">G16/(1+F16)</f>
        <v>54.6134453781513</v>
      </c>
      <c r="I16" s="22" t="n">
        <f aca="false">IF(H16=0,0,(H16-E16)/H16)</f>
        <v>0.487305739344515</v>
      </c>
      <c r="J16" s="37" t="n">
        <v>5</v>
      </c>
      <c r="K16" s="34" t="s">
        <v>88</v>
      </c>
      <c r="L16" s="34" t="s">
        <v>62</v>
      </c>
      <c r="M16" s="34" t="s">
        <v>89</v>
      </c>
    </row>
  </sheetData>
  <mergeCells count="3">
    <mergeCell ref="A1:M1"/>
    <mergeCell ref="A2:M2"/>
    <mergeCell ref="A3:M3"/>
  </mergeCells>
  <dataValidations count="1">
    <dataValidation allowBlank="true" errorStyle="stop" operator="between" showDropDown="false" showErrorMessage="false" showInputMessage="false" sqref="M5:M56" type="list">
      <formula1>"Ja,Nein"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7394A"/>
    <pageSetUpPr fitToPage="false"/>
  </sheetPr>
  <dimension ref="A1:K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30"/>
    <col collapsed="false" customWidth="true" hidden="false" outlineLevel="0" max="3" min="3" style="0" width="10"/>
    <col collapsed="false" customWidth="true" hidden="false" outlineLevel="0" max="4" min="4" style="0" width="11"/>
    <col collapsed="false" customWidth="true" hidden="false" outlineLevel="0" max="6" min="5" style="0" width="10"/>
    <col collapsed="false" customWidth="true" hidden="false" outlineLevel="0" max="7" min="7" style="0" width="11"/>
    <col collapsed="false" customWidth="true" hidden="false" outlineLevel="0" max="8" min="8" style="0" width="10"/>
    <col collapsed="false" customWidth="true" hidden="false" outlineLevel="0" max="9" min="9" style="0" width="15"/>
    <col collapsed="false" customWidth="true" hidden="false" outlineLevel="0" max="10" min="10" style="0" width="11"/>
    <col collapsed="false" customWidth="true" hidden="false" outlineLevel="0" max="11" min="11" style="0" width="14"/>
  </cols>
  <sheetData>
    <row r="1" customFormat="false" ht="33.75" hidden="false" customHeight="true" outlineLevel="0" collapsed="false">
      <c r="A1" s="28" t="s">
        <v>90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customFormat="false" ht="19.5" hidden="false" customHeight="true" outlineLevel="0" collapsed="false">
      <c r="A2" s="29" t="s">
        <v>91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customFormat="false" ht="15.75" hidden="false" customHeight="true" outlineLevel="0" collapsed="false">
      <c r="A3" s="30" t="s">
        <v>92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customFormat="false" ht="24" hidden="false" customHeight="true" outlineLevel="0" collapsed="false">
      <c r="A4" s="31" t="s">
        <v>16</v>
      </c>
      <c r="B4" s="31" t="s">
        <v>17</v>
      </c>
      <c r="C4" s="14" t="s">
        <v>37</v>
      </c>
      <c r="D4" s="33" t="s">
        <v>93</v>
      </c>
      <c r="E4" s="14" t="s">
        <v>94</v>
      </c>
      <c r="F4" s="14" t="s">
        <v>95</v>
      </c>
      <c r="G4" s="33" t="s">
        <v>96</v>
      </c>
      <c r="H4" s="33" t="s">
        <v>97</v>
      </c>
      <c r="I4" s="14" t="s">
        <v>98</v>
      </c>
      <c r="J4" s="32" t="s">
        <v>99</v>
      </c>
      <c r="K4" s="32" t="s">
        <v>100</v>
      </c>
    </row>
    <row r="5" customFormat="false" ht="18" hidden="false" customHeight="true" outlineLevel="0" collapsed="false">
      <c r="A5" s="38" t="str">
        <f aca="false">Artikel!A5</f>
        <v>ART-1001</v>
      </c>
      <c r="B5" s="38" t="str">
        <f aca="false">Artikel!B5</f>
        <v>Thermosflasche 0,5 L Edelstahl</v>
      </c>
      <c r="C5" s="38" t="str">
        <f aca="false">Artikel!K5</f>
        <v>A-01</v>
      </c>
      <c r="D5" s="37" t="n">
        <v>30</v>
      </c>
      <c r="E5" s="16" t="n">
        <f aca="false">SUMIF(Zugänge!$A$5:$A$500,$A5,Zugänge!$C$5:$C$500)</f>
        <v>24</v>
      </c>
      <c r="F5" s="16" t="n">
        <f aca="false">SUMIF(Abgänge!$A$5:$A$500,$A5,Abgänge!$C$5:$C$500)</f>
        <v>18</v>
      </c>
      <c r="G5" s="16" t="n">
        <f aca="false">D5+E5-F5</f>
        <v>36</v>
      </c>
      <c r="H5" s="39" t="n">
        <f aca="false">Artikel!J5</f>
        <v>15</v>
      </c>
      <c r="I5" s="15" t="str">
        <f aca="false">IF(G5&lt;=H5,"Nachbestellen","OK")</f>
        <v>OK</v>
      </c>
      <c r="J5" s="40" t="n">
        <f aca="false">Artikel!E5</f>
        <v>8.5</v>
      </c>
      <c r="K5" s="17" t="n">
        <f aca="false">G5*J5</f>
        <v>306</v>
      </c>
    </row>
    <row r="6" customFormat="false" ht="18" hidden="false" customHeight="true" outlineLevel="0" collapsed="false">
      <c r="A6" s="41" t="str">
        <f aca="false">Artikel!A6</f>
        <v>ART-1002</v>
      </c>
      <c r="B6" s="41" t="str">
        <f aca="false">Artikel!B6</f>
        <v>Kaffeebecher Keramik 350 ml</v>
      </c>
      <c r="C6" s="41" t="str">
        <f aca="false">Artikel!K6</f>
        <v>A-02</v>
      </c>
      <c r="D6" s="37" t="n">
        <v>60</v>
      </c>
      <c r="E6" s="20" t="n">
        <f aca="false">SUMIF(Zugänge!$A$5:$A$500,$A6,Zugänge!$C$5:$C$500)</f>
        <v>48</v>
      </c>
      <c r="F6" s="20" t="n">
        <f aca="false">SUMIF(Abgänge!$A$5:$A$500,$A6,Abgänge!$C$5:$C$500)</f>
        <v>55</v>
      </c>
      <c r="G6" s="20" t="n">
        <f aca="false">D6+E6-F6</f>
        <v>53</v>
      </c>
      <c r="H6" s="42" t="n">
        <f aca="false">Artikel!J6</f>
        <v>40</v>
      </c>
      <c r="I6" s="19" t="str">
        <f aca="false">IF(G6&lt;=H6,"Nachbestellen","OK")</f>
        <v>OK</v>
      </c>
      <c r="J6" s="43" t="n">
        <f aca="false">Artikel!E6</f>
        <v>2.2</v>
      </c>
      <c r="K6" s="21" t="n">
        <f aca="false">G6*J6</f>
        <v>116.6</v>
      </c>
    </row>
    <row r="7" customFormat="false" ht="18" hidden="false" customHeight="true" outlineLevel="0" collapsed="false">
      <c r="A7" s="38" t="str">
        <f aca="false">Artikel!A7</f>
        <v>ART-1003</v>
      </c>
      <c r="B7" s="38" t="str">
        <f aca="false">Artikel!B7</f>
        <v>Messerset 5-teilig</v>
      </c>
      <c r="C7" s="38" t="str">
        <f aca="false">Artikel!K7</f>
        <v>A-03</v>
      </c>
      <c r="D7" s="37" t="n">
        <v>12</v>
      </c>
      <c r="E7" s="16" t="n">
        <f aca="false">SUMIF(Zugänge!$A$5:$A$500,$A7,Zugänge!$C$5:$C$500)</f>
        <v>6</v>
      </c>
      <c r="F7" s="16" t="n">
        <f aca="false">SUMIF(Abgänge!$A$5:$A$500,$A7,Abgänge!$C$5:$C$500)</f>
        <v>12</v>
      </c>
      <c r="G7" s="16" t="n">
        <f aca="false">D7+E7-F7</f>
        <v>6</v>
      </c>
      <c r="H7" s="39" t="n">
        <f aca="false">Artikel!J7</f>
        <v>8</v>
      </c>
      <c r="I7" s="15" t="str">
        <f aca="false">IF(G7&lt;=H7,"Nachbestellen","OK")</f>
        <v>Nachbestellen</v>
      </c>
      <c r="J7" s="40" t="n">
        <f aca="false">Artikel!E7</f>
        <v>18</v>
      </c>
      <c r="K7" s="17" t="n">
        <f aca="false">G7*J7</f>
        <v>108</v>
      </c>
    </row>
    <row r="8" customFormat="false" ht="18" hidden="false" customHeight="true" outlineLevel="0" collapsed="false">
      <c r="A8" s="41" t="str">
        <f aca="false">Artikel!A8</f>
        <v>ART-1004</v>
      </c>
      <c r="B8" s="41" t="str">
        <f aca="false">Artikel!B8</f>
        <v>Wäschekorb Kunststoff 45 L</v>
      </c>
      <c r="C8" s="41" t="str">
        <f aca="false">Artikel!K8</f>
        <v>B-01</v>
      </c>
      <c r="D8" s="37" t="n">
        <v>25</v>
      </c>
      <c r="E8" s="20" t="n">
        <f aca="false">SUMIF(Zugänge!$A$5:$A$500,$A8,Zugänge!$C$5:$C$500)</f>
        <v>15</v>
      </c>
      <c r="F8" s="20" t="n">
        <f aca="false">SUMIF(Abgänge!$A$5:$A$500,$A8,Abgänge!$C$5:$C$500)</f>
        <v>14</v>
      </c>
      <c r="G8" s="20" t="n">
        <f aca="false">D8+E8-F8</f>
        <v>26</v>
      </c>
      <c r="H8" s="42" t="n">
        <f aca="false">Artikel!J8</f>
        <v>20</v>
      </c>
      <c r="I8" s="19" t="str">
        <f aca="false">IF(G8&lt;=H8,"Nachbestellen","OK")</f>
        <v>OK</v>
      </c>
      <c r="J8" s="43" t="n">
        <f aca="false">Artikel!E8</f>
        <v>4.8</v>
      </c>
      <c r="K8" s="21" t="n">
        <f aca="false">G8*J8</f>
        <v>124.8</v>
      </c>
    </row>
    <row r="9" customFormat="false" ht="18" hidden="false" customHeight="true" outlineLevel="0" collapsed="false">
      <c r="A9" s="38" t="str">
        <f aca="false">Artikel!A9</f>
        <v>ART-1005</v>
      </c>
      <c r="B9" s="38" t="str">
        <f aca="false">Artikel!B9</f>
        <v>Dampfbügeleisen 2400 W</v>
      </c>
      <c r="C9" s="38" t="str">
        <f aca="false">Artikel!K9</f>
        <v>C-01</v>
      </c>
      <c r="D9" s="37" t="n">
        <v>10</v>
      </c>
      <c r="E9" s="16" t="n">
        <f aca="false">SUMIF(Zugänge!$A$5:$A$500,$A9,Zugänge!$C$5:$C$500)</f>
        <v>5</v>
      </c>
      <c r="F9" s="16" t="n">
        <f aca="false">SUMIF(Abgänge!$A$5:$A$500,$A9,Abgänge!$C$5:$C$500)</f>
        <v>9</v>
      </c>
      <c r="G9" s="16" t="n">
        <f aca="false">D9+E9-F9</f>
        <v>6</v>
      </c>
      <c r="H9" s="39" t="n">
        <f aca="false">Artikel!J9</f>
        <v>6</v>
      </c>
      <c r="I9" s="15" t="str">
        <f aca="false">IF(G9&lt;=H9,"Nachbestellen","OK")</f>
        <v>Nachbestellen</v>
      </c>
      <c r="J9" s="40" t="n">
        <f aca="false">Artikel!E9</f>
        <v>22</v>
      </c>
      <c r="K9" s="17" t="n">
        <f aca="false">G9*J9</f>
        <v>132</v>
      </c>
    </row>
    <row r="10" customFormat="false" ht="18" hidden="false" customHeight="true" outlineLevel="0" collapsed="false">
      <c r="A10" s="41" t="str">
        <f aca="false">Artikel!A10</f>
        <v>ART-1006</v>
      </c>
      <c r="B10" s="41" t="str">
        <f aca="false">Artikel!B10</f>
        <v>LED-Schreibtischlampe dimmbar</v>
      </c>
      <c r="C10" s="41" t="str">
        <f aca="false">Artikel!K10</f>
        <v>C-02</v>
      </c>
      <c r="D10" s="37" t="n">
        <v>18</v>
      </c>
      <c r="E10" s="20" t="n">
        <f aca="false">SUMIF(Zugänge!$A$5:$A$500,$A10,Zugänge!$C$5:$C$500)</f>
        <v>12</v>
      </c>
      <c r="F10" s="20" t="n">
        <f aca="false">SUMIF(Abgänge!$A$5:$A$500,$A10,Abgänge!$C$5:$C$500)</f>
        <v>10</v>
      </c>
      <c r="G10" s="20" t="n">
        <f aca="false">D10+E10-F10</f>
        <v>20</v>
      </c>
      <c r="H10" s="42" t="n">
        <f aca="false">Artikel!J10</f>
        <v>10</v>
      </c>
      <c r="I10" s="19" t="str">
        <f aca="false">IF(G10&lt;=H10,"Nachbestellen","OK")</f>
        <v>OK</v>
      </c>
      <c r="J10" s="43" t="n">
        <f aca="false">Artikel!E10</f>
        <v>12.5</v>
      </c>
      <c r="K10" s="21" t="n">
        <f aca="false">G10*J10</f>
        <v>250</v>
      </c>
    </row>
    <row r="11" customFormat="false" ht="18" hidden="false" customHeight="true" outlineLevel="0" collapsed="false">
      <c r="A11" s="38" t="str">
        <f aca="false">Artikel!A11</f>
        <v>ART-1007</v>
      </c>
      <c r="B11" s="38" t="str">
        <f aca="false">Artikel!B11</f>
        <v>Gartenschlauch 20 m</v>
      </c>
      <c r="C11" s="38" t="str">
        <f aca="false">Artikel!K11</f>
        <v>D-01</v>
      </c>
      <c r="D11" s="37" t="n">
        <v>20</v>
      </c>
      <c r="E11" s="16" t="n">
        <f aca="false">SUMIF(Zugänge!$A$5:$A$500,$A11,Zugänge!$C$5:$C$500)</f>
        <v>10</v>
      </c>
      <c r="F11" s="16" t="n">
        <f aca="false">SUMIF(Abgänge!$A$5:$A$500,$A11,Abgänge!$C$5:$C$500)</f>
        <v>8</v>
      </c>
      <c r="G11" s="16" t="n">
        <f aca="false">D11+E11-F11</f>
        <v>22</v>
      </c>
      <c r="H11" s="39" t="n">
        <f aca="false">Artikel!J11</f>
        <v>12</v>
      </c>
      <c r="I11" s="15" t="str">
        <f aca="false">IF(G11&lt;=H11,"Nachbestellen","OK")</f>
        <v>OK</v>
      </c>
      <c r="J11" s="40" t="n">
        <f aca="false">Artikel!E11</f>
        <v>9.9</v>
      </c>
      <c r="K11" s="17" t="n">
        <f aca="false">G11*J11</f>
        <v>217.8</v>
      </c>
    </row>
    <row r="12" customFormat="false" ht="18" hidden="false" customHeight="true" outlineLevel="0" collapsed="false">
      <c r="A12" s="41" t="str">
        <f aca="false">Artikel!A12</f>
        <v>ART-1008</v>
      </c>
      <c r="B12" s="41" t="str">
        <f aca="false">Artikel!B12</f>
        <v>Blumentopf Terrakotta Ø 30 cm</v>
      </c>
      <c r="C12" s="41" t="str">
        <f aca="false">Artikel!K12</f>
        <v>D-02</v>
      </c>
      <c r="D12" s="37" t="n">
        <v>40</v>
      </c>
      <c r="E12" s="20" t="n">
        <f aca="false">SUMIF(Zugänge!$A$5:$A$500,$A12,Zugänge!$C$5:$C$500)</f>
        <v>20</v>
      </c>
      <c r="F12" s="20" t="n">
        <f aca="false">SUMIF(Abgänge!$A$5:$A$500,$A12,Abgänge!$C$5:$C$500)</f>
        <v>22</v>
      </c>
      <c r="G12" s="20" t="n">
        <f aca="false">D12+E12-F12</f>
        <v>38</v>
      </c>
      <c r="H12" s="42" t="n">
        <f aca="false">Artikel!J12</f>
        <v>25</v>
      </c>
      <c r="I12" s="19" t="str">
        <f aca="false">IF(G12&lt;=H12,"Nachbestellen","OK")</f>
        <v>OK</v>
      </c>
      <c r="J12" s="43" t="n">
        <f aca="false">Artikel!E12</f>
        <v>5.5</v>
      </c>
      <c r="K12" s="21" t="n">
        <f aca="false">G12*J12</f>
        <v>209</v>
      </c>
    </row>
    <row r="13" customFormat="false" ht="18" hidden="false" customHeight="true" outlineLevel="0" collapsed="false">
      <c r="A13" s="38" t="str">
        <f aca="false">Artikel!A13</f>
        <v>ART-1009</v>
      </c>
      <c r="B13" s="38" t="str">
        <f aca="false">Artikel!B13</f>
        <v>Picknickdecke wasserdicht</v>
      </c>
      <c r="C13" s="38" t="str">
        <f aca="false">Artikel!K13</f>
        <v>B-02</v>
      </c>
      <c r="D13" s="37" t="n">
        <v>16</v>
      </c>
      <c r="E13" s="16" t="n">
        <f aca="false">SUMIF(Zugänge!$A$5:$A$500,$A13,Zugänge!$C$5:$C$500)</f>
        <v>8</v>
      </c>
      <c r="F13" s="16" t="n">
        <f aca="false">SUMIF(Abgänge!$A$5:$A$500,$A13,Abgänge!$C$5:$C$500)</f>
        <v>7</v>
      </c>
      <c r="G13" s="16" t="n">
        <f aca="false">D13+E13-F13</f>
        <v>17</v>
      </c>
      <c r="H13" s="39" t="n">
        <f aca="false">Artikel!J13</f>
        <v>14</v>
      </c>
      <c r="I13" s="15" t="str">
        <f aca="false">IF(G13&lt;=H13,"Nachbestellen","OK")</f>
        <v>OK</v>
      </c>
      <c r="J13" s="40" t="n">
        <f aca="false">Artikel!E13</f>
        <v>7.2</v>
      </c>
      <c r="K13" s="17" t="n">
        <f aca="false">G13*J13</f>
        <v>122.4</v>
      </c>
    </row>
    <row r="14" customFormat="false" ht="18" hidden="false" customHeight="true" outlineLevel="0" collapsed="false">
      <c r="A14" s="41" t="str">
        <f aca="false">Artikel!A14</f>
        <v>ART-1010</v>
      </c>
      <c r="B14" s="41" t="str">
        <f aca="false">Artikel!B14</f>
        <v>Trinkflasche Sport 750 ml</v>
      </c>
      <c r="C14" s="41" t="str">
        <f aca="false">Artikel!K14</f>
        <v>B-03</v>
      </c>
      <c r="D14" s="37" t="n">
        <v>50</v>
      </c>
      <c r="E14" s="20" t="n">
        <f aca="false">SUMIF(Zugänge!$A$5:$A$500,$A14,Zugänge!$C$5:$C$500)</f>
        <v>24</v>
      </c>
      <c r="F14" s="20" t="n">
        <f aca="false">SUMIF(Abgänge!$A$5:$A$500,$A14,Abgänge!$C$5:$C$500)</f>
        <v>40</v>
      </c>
      <c r="G14" s="20" t="n">
        <f aca="false">D14+E14-F14</f>
        <v>34</v>
      </c>
      <c r="H14" s="42" t="n">
        <f aca="false">Artikel!J14</f>
        <v>30</v>
      </c>
      <c r="I14" s="19" t="str">
        <f aca="false">IF(G14&lt;=H14,"Nachbestellen","OK")</f>
        <v>OK</v>
      </c>
      <c r="J14" s="43" t="n">
        <f aca="false">Artikel!E14</f>
        <v>3.4</v>
      </c>
      <c r="K14" s="21" t="n">
        <f aca="false">G14*J14</f>
        <v>115.6</v>
      </c>
    </row>
    <row r="15" customFormat="false" ht="18" hidden="false" customHeight="true" outlineLevel="0" collapsed="false">
      <c r="A15" s="38" t="str">
        <f aca="false">Artikel!A15</f>
        <v>ART-1011</v>
      </c>
      <c r="B15" s="38" t="str">
        <f aca="false">Artikel!B15</f>
        <v>Handtuch-Set Baumwolle 3-tlg.</v>
      </c>
      <c r="C15" s="38" t="str">
        <f aca="false">Artikel!K15</f>
        <v>B-04</v>
      </c>
      <c r="D15" s="37" t="n">
        <v>22</v>
      </c>
      <c r="E15" s="16" t="n">
        <f aca="false">SUMIF(Zugänge!$A$5:$A$500,$A15,Zugänge!$C$5:$C$500)</f>
        <v>12</v>
      </c>
      <c r="F15" s="16" t="n">
        <f aca="false">SUMIF(Abgänge!$A$5:$A$500,$A15,Abgänge!$C$5:$C$500)</f>
        <v>11</v>
      </c>
      <c r="G15" s="16" t="n">
        <f aca="false">D15+E15-F15</f>
        <v>23</v>
      </c>
      <c r="H15" s="39" t="n">
        <f aca="false">Artikel!J15</f>
        <v>18</v>
      </c>
      <c r="I15" s="15" t="str">
        <f aca="false">IF(G15&lt;=H15,"Nachbestellen","OK")</f>
        <v>OK</v>
      </c>
      <c r="J15" s="40" t="n">
        <f aca="false">Artikel!E15</f>
        <v>6.8</v>
      </c>
      <c r="K15" s="17" t="n">
        <f aca="false">G15*J15</f>
        <v>156.4</v>
      </c>
    </row>
    <row r="16" customFormat="false" ht="18" hidden="false" customHeight="true" outlineLevel="0" collapsed="false">
      <c r="A16" s="41" t="str">
        <f aca="false">Artikel!A16</f>
        <v>ART-1012</v>
      </c>
      <c r="B16" s="41" t="str">
        <f aca="false">Artikel!B16</f>
        <v>Akku-Handstaubsauger</v>
      </c>
      <c r="C16" s="41" t="str">
        <f aca="false">Artikel!K16</f>
        <v>C-03</v>
      </c>
      <c r="D16" s="37" t="n">
        <v>8</v>
      </c>
      <c r="E16" s="20" t="n">
        <f aca="false">SUMIF(Zugänge!$A$5:$A$500,$A16,Zugänge!$C$5:$C$500)</f>
        <v>0</v>
      </c>
      <c r="F16" s="20" t="n">
        <f aca="false">SUMIF(Abgänge!$A$5:$A$500,$A16,Abgänge!$C$5:$C$500)</f>
        <v>4</v>
      </c>
      <c r="G16" s="20" t="n">
        <f aca="false">D16+E16-F16</f>
        <v>4</v>
      </c>
      <c r="H16" s="42" t="n">
        <f aca="false">Artikel!J16</f>
        <v>5</v>
      </c>
      <c r="I16" s="19" t="str">
        <f aca="false">IF(G16&lt;=H16,"Nachbestellen","OK")</f>
        <v>Nachbestellen</v>
      </c>
      <c r="J16" s="43" t="n">
        <f aca="false">Artikel!E16</f>
        <v>28</v>
      </c>
      <c r="K16" s="21" t="n">
        <f aca="false">G16*J16</f>
        <v>112</v>
      </c>
    </row>
    <row r="17" customFormat="false" ht="21.75" hidden="false" customHeight="true" outlineLevel="0" collapsed="false">
      <c r="A17" s="44" t="s">
        <v>24</v>
      </c>
      <c r="B17" s="44"/>
      <c r="C17" s="44"/>
      <c r="D17" s="44"/>
      <c r="E17" s="24" t="n">
        <f aca="false">SUM(E5:E16)</f>
        <v>184</v>
      </c>
      <c r="F17" s="24" t="n">
        <f aca="false">SUM(F5:F16)</f>
        <v>210</v>
      </c>
      <c r="G17" s="24" t="n">
        <f aca="false">SUM(G5:G16)</f>
        <v>285</v>
      </c>
      <c r="H17" s="44"/>
      <c r="I17" s="44"/>
      <c r="J17" s="44"/>
      <c r="K17" s="25" t="n">
        <f aca="false">SUM(K5:K16)</f>
        <v>1970.6</v>
      </c>
    </row>
  </sheetData>
  <mergeCells count="3">
    <mergeCell ref="A1:K1"/>
    <mergeCell ref="A2:K2"/>
    <mergeCell ref="A3:K3"/>
  </mergeCells>
  <conditionalFormatting sqref="I5:I16">
    <cfRule type="cellIs" priority="2" operator="equal" aboveAverage="0" equalAverage="0" bottom="0" percent="0" rank="0" text="" dxfId="0">
      <formula>"Nachbestellen"</formula>
    </cfRule>
    <cfRule type="cellIs" priority="3" operator="equal" aboveAverage="0" equalAverage="0" bottom="0" percent="0" rank="0" text="" dxfId="1">
      <formula>"OK"</formula>
    </cfRule>
  </conditionalFormatting>
  <conditionalFormatting sqref="G5:G16">
    <cfRule type="expression" priority="4" aboveAverage="0" equalAverage="0" bottom="0" percent="0" rank="0" text="" dxfId="0">
      <formula>$G5&lt;=$H5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6902B"/>
    <pageSetUpPr fitToPage="false"/>
  </sheetPr>
  <dimension ref="A1:G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30"/>
    <col collapsed="false" customWidth="true" hidden="false" outlineLevel="0" max="3" min="3" style="0" width="9"/>
    <col collapsed="false" customWidth="true" hidden="false" outlineLevel="0" max="4" min="4" style="0" width="12"/>
    <col collapsed="false" customWidth="true" hidden="false" outlineLevel="0" max="5" min="5" style="0" width="24"/>
    <col collapsed="false" customWidth="true" hidden="false" outlineLevel="0" max="6" min="6" style="0" width="15"/>
    <col collapsed="false" customWidth="true" hidden="false" outlineLevel="0" max="7" min="7" style="0" width="22"/>
  </cols>
  <sheetData>
    <row r="1" customFormat="false" ht="33.75" hidden="false" customHeight="true" outlineLevel="0" collapsed="false">
      <c r="A1" s="28" t="s">
        <v>101</v>
      </c>
      <c r="B1" s="28"/>
      <c r="C1" s="28"/>
      <c r="D1" s="28"/>
      <c r="E1" s="28"/>
      <c r="F1" s="28"/>
      <c r="G1" s="28"/>
    </row>
    <row r="2" customFormat="false" ht="19.5" hidden="false" customHeight="true" outlineLevel="0" collapsed="false">
      <c r="A2" s="29" t="s">
        <v>102</v>
      </c>
      <c r="B2" s="29"/>
      <c r="C2" s="29"/>
      <c r="D2" s="29"/>
      <c r="E2" s="29"/>
      <c r="F2" s="29"/>
      <c r="G2" s="29"/>
    </row>
    <row r="3" customFormat="false" ht="15.75" hidden="false" customHeight="true" outlineLevel="0" collapsed="false">
      <c r="A3" s="30" t="s">
        <v>103</v>
      </c>
      <c r="B3" s="30"/>
      <c r="C3" s="30"/>
      <c r="D3" s="30"/>
      <c r="E3" s="30"/>
      <c r="F3" s="30"/>
      <c r="G3" s="30"/>
    </row>
    <row r="4" customFormat="false" ht="24" hidden="false" customHeight="true" outlineLevel="0" collapsed="false">
      <c r="A4" s="31" t="s">
        <v>16</v>
      </c>
      <c r="B4" s="31" t="s">
        <v>17</v>
      </c>
      <c r="C4" s="14" t="s">
        <v>104</v>
      </c>
      <c r="D4" s="14" t="s">
        <v>105</v>
      </c>
      <c r="E4" s="31" t="s">
        <v>38</v>
      </c>
      <c r="F4" s="31" t="s">
        <v>106</v>
      </c>
      <c r="G4" s="31" t="s">
        <v>107</v>
      </c>
    </row>
    <row r="5" customFormat="false" ht="18" hidden="false" customHeight="true" outlineLevel="0" collapsed="false">
      <c r="A5" s="34" t="s">
        <v>40</v>
      </c>
      <c r="B5" s="38" t="str">
        <f aca="false">IFERROR(INDEX(Artikel!$B$5:$B$500,MATCH($A5,Artikel!$A$5:$A$500,0)),"")</f>
        <v>Thermosflasche 0,5 L Edelstahl</v>
      </c>
      <c r="C5" s="37" t="n">
        <v>12</v>
      </c>
      <c r="D5" s="45" t="n">
        <v>46028</v>
      </c>
      <c r="E5" s="34" t="s">
        <v>45</v>
      </c>
      <c r="F5" s="34" t="s">
        <v>108</v>
      </c>
      <c r="G5" s="34"/>
    </row>
    <row r="6" customFormat="false" ht="18" hidden="false" customHeight="true" outlineLevel="0" collapsed="false">
      <c r="A6" s="34" t="s">
        <v>47</v>
      </c>
      <c r="B6" s="41" t="str">
        <f aca="false">IFERROR(INDEX(Artikel!$B$5:$B$500,MATCH($A6,Artikel!$A$5:$A$500,0)),"")</f>
        <v>Kaffeebecher Keramik 350 ml</v>
      </c>
      <c r="C6" s="37" t="n">
        <v>48</v>
      </c>
      <c r="D6" s="45" t="n">
        <v>46028</v>
      </c>
      <c r="E6" s="34" t="s">
        <v>45</v>
      </c>
      <c r="F6" s="34" t="s">
        <v>108</v>
      </c>
      <c r="G6" s="34"/>
    </row>
    <row r="7" customFormat="false" ht="18" hidden="false" customHeight="true" outlineLevel="0" collapsed="false">
      <c r="A7" s="34" t="s">
        <v>50</v>
      </c>
      <c r="B7" s="38" t="str">
        <f aca="false">IFERROR(INDEX(Artikel!$B$5:$B$500,MATCH($A7,Artikel!$A$5:$A$500,0)),"")</f>
        <v>Messerset 5-teilig</v>
      </c>
      <c r="C7" s="37" t="n">
        <v>6</v>
      </c>
      <c r="D7" s="45" t="n">
        <v>46030</v>
      </c>
      <c r="E7" s="34" t="s">
        <v>54</v>
      </c>
      <c r="F7" s="34" t="s">
        <v>109</v>
      </c>
      <c r="G7" s="34"/>
    </row>
    <row r="8" customFormat="false" ht="18" hidden="false" customHeight="true" outlineLevel="0" collapsed="false">
      <c r="A8" s="34" t="s">
        <v>55</v>
      </c>
      <c r="B8" s="41" t="str">
        <f aca="false">IFERROR(INDEX(Artikel!$B$5:$B$500,MATCH($A8,Artikel!$A$5:$A$500,0)),"")</f>
        <v>Wäschekorb Kunststoff 45 L</v>
      </c>
      <c r="C8" s="37" t="n">
        <v>15</v>
      </c>
      <c r="D8" s="45" t="n">
        <v>46030</v>
      </c>
      <c r="E8" s="34" t="s">
        <v>54</v>
      </c>
      <c r="F8" s="34" t="s">
        <v>109</v>
      </c>
      <c r="G8" s="34"/>
    </row>
    <row r="9" customFormat="false" ht="18" hidden="false" customHeight="true" outlineLevel="0" collapsed="false">
      <c r="A9" s="34" t="s">
        <v>59</v>
      </c>
      <c r="B9" s="38" t="str">
        <f aca="false">IFERROR(INDEX(Artikel!$B$5:$B$500,MATCH($A9,Artikel!$A$5:$A$500,0)),"")</f>
        <v>Dampfbügeleisen 2400 W</v>
      </c>
      <c r="C9" s="37" t="n">
        <v>5</v>
      </c>
      <c r="D9" s="45" t="n">
        <v>46031</v>
      </c>
      <c r="E9" s="34" t="s">
        <v>62</v>
      </c>
      <c r="F9" s="34" t="s">
        <v>110</v>
      </c>
      <c r="G9" s="34"/>
    </row>
    <row r="10" customFormat="false" ht="18" hidden="false" customHeight="true" outlineLevel="0" collapsed="false">
      <c r="A10" s="34" t="s">
        <v>63</v>
      </c>
      <c r="B10" s="41" t="str">
        <f aca="false">IFERROR(INDEX(Artikel!$B$5:$B$500,MATCH($A10,Artikel!$A$5:$A$500,0)),"")</f>
        <v>LED-Schreibtischlampe dimmbar</v>
      </c>
      <c r="C10" s="37" t="n">
        <v>12</v>
      </c>
      <c r="D10" s="45" t="n">
        <v>46031</v>
      </c>
      <c r="E10" s="34" t="s">
        <v>62</v>
      </c>
      <c r="F10" s="34" t="s">
        <v>110</v>
      </c>
      <c r="G10" s="34"/>
    </row>
    <row r="11" customFormat="false" ht="18" hidden="false" customHeight="true" outlineLevel="0" collapsed="false">
      <c r="A11" s="34" t="s">
        <v>67</v>
      </c>
      <c r="B11" s="38" t="str">
        <f aca="false">IFERROR(INDEX(Artikel!$B$5:$B$500,MATCH($A11,Artikel!$A$5:$A$500,0)),"")</f>
        <v>Gartenschlauch 20 m</v>
      </c>
      <c r="C11" s="37" t="n">
        <v>10</v>
      </c>
      <c r="D11" s="45" t="n">
        <v>46034</v>
      </c>
      <c r="E11" s="34" t="s">
        <v>71</v>
      </c>
      <c r="F11" s="34" t="s">
        <v>111</v>
      </c>
      <c r="G11" s="34"/>
    </row>
    <row r="12" customFormat="false" ht="18" hidden="false" customHeight="true" outlineLevel="0" collapsed="false">
      <c r="A12" s="34" t="s">
        <v>72</v>
      </c>
      <c r="B12" s="41" t="str">
        <f aca="false">IFERROR(INDEX(Artikel!$B$5:$B$500,MATCH($A12,Artikel!$A$5:$A$500,0)),"")</f>
        <v>Blumentopf Terrakotta Ø 30 cm</v>
      </c>
      <c r="C12" s="37" t="n">
        <v>20</v>
      </c>
      <c r="D12" s="45" t="n">
        <v>46034</v>
      </c>
      <c r="E12" s="34" t="s">
        <v>71</v>
      </c>
      <c r="F12" s="34" t="s">
        <v>111</v>
      </c>
      <c r="G12" s="34"/>
    </row>
    <row r="13" customFormat="false" ht="18" hidden="false" customHeight="true" outlineLevel="0" collapsed="false">
      <c r="A13" s="34" t="s">
        <v>75</v>
      </c>
      <c r="B13" s="38" t="str">
        <f aca="false">IFERROR(INDEX(Artikel!$B$5:$B$500,MATCH($A13,Artikel!$A$5:$A$500,0)),"")</f>
        <v>Picknickdecke wasserdicht</v>
      </c>
      <c r="C13" s="37" t="n">
        <v>8</v>
      </c>
      <c r="D13" s="45" t="n">
        <v>46036</v>
      </c>
      <c r="E13" s="34" t="s">
        <v>79</v>
      </c>
      <c r="F13" s="34" t="s">
        <v>112</v>
      </c>
      <c r="G13" s="34"/>
    </row>
    <row r="14" customFormat="false" ht="18" hidden="false" customHeight="true" outlineLevel="0" collapsed="false">
      <c r="A14" s="34" t="s">
        <v>80</v>
      </c>
      <c r="B14" s="41" t="str">
        <f aca="false">IFERROR(INDEX(Artikel!$B$5:$B$500,MATCH($A14,Artikel!$A$5:$A$500,0)),"")</f>
        <v>Trinkflasche Sport 750 ml</v>
      </c>
      <c r="C14" s="37" t="n">
        <v>24</v>
      </c>
      <c r="D14" s="45" t="n">
        <v>46036</v>
      </c>
      <c r="E14" s="34" t="s">
        <v>79</v>
      </c>
      <c r="F14" s="34" t="s">
        <v>112</v>
      </c>
      <c r="G14" s="34"/>
    </row>
    <row r="15" customFormat="false" ht="18" hidden="false" customHeight="true" outlineLevel="0" collapsed="false">
      <c r="A15" s="34" t="s">
        <v>83</v>
      </c>
      <c r="B15" s="38" t="str">
        <f aca="false">IFERROR(INDEX(Artikel!$B$5:$B$500,MATCH($A15,Artikel!$A$5:$A$500,0)),"")</f>
        <v>Handtuch-Set Baumwolle 3-tlg.</v>
      </c>
      <c r="C15" s="37" t="n">
        <v>12</v>
      </c>
      <c r="D15" s="45" t="n">
        <v>46036</v>
      </c>
      <c r="E15" s="34" t="s">
        <v>79</v>
      </c>
      <c r="F15" s="34" t="s">
        <v>112</v>
      </c>
      <c r="G15" s="34"/>
    </row>
    <row r="16" customFormat="false" ht="18" hidden="false" customHeight="true" outlineLevel="0" collapsed="false">
      <c r="A16" s="34" t="s">
        <v>40</v>
      </c>
      <c r="B16" s="41" t="str">
        <f aca="false">IFERROR(INDEX(Artikel!$B$5:$B$500,MATCH($A16,Artikel!$A$5:$A$500,0)),"")</f>
        <v>Thermosflasche 0,5 L Edelstahl</v>
      </c>
      <c r="C16" s="37" t="n">
        <v>12</v>
      </c>
      <c r="D16" s="45" t="n">
        <v>46042</v>
      </c>
      <c r="E16" s="34" t="s">
        <v>45</v>
      </c>
      <c r="F16" s="34" t="s">
        <v>108</v>
      </c>
      <c r="G16" s="34" t="s">
        <v>113</v>
      </c>
    </row>
  </sheetData>
  <mergeCells count="3">
    <mergeCell ref="A1:G1"/>
    <mergeCell ref="A2:G2"/>
    <mergeCell ref="A3:G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6902B"/>
    <pageSetUpPr fitToPage="false"/>
  </sheetPr>
  <dimension ref="A1:I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30"/>
    <col collapsed="false" customWidth="true" hidden="false" outlineLevel="0" max="3" min="3" style="0" width="9"/>
    <col collapsed="false" customWidth="true" hidden="false" outlineLevel="0" max="4" min="4" style="0" width="12"/>
    <col collapsed="false" customWidth="true" hidden="false" outlineLevel="0" max="5" min="5" style="0" width="20"/>
    <col collapsed="false" customWidth="true" hidden="false" outlineLevel="0" max="6" min="6" style="0" width="14"/>
    <col collapsed="false" customWidth="true" hidden="false" outlineLevel="0" max="8" min="7" style="0" width="13"/>
    <col collapsed="false" customWidth="true" hidden="false" outlineLevel="0" max="9" min="9" style="0" width="18"/>
  </cols>
  <sheetData>
    <row r="1" customFormat="false" ht="33.75" hidden="false" customHeight="true" outlineLevel="0" collapsed="false">
      <c r="A1" s="28" t="s">
        <v>114</v>
      </c>
      <c r="B1" s="28"/>
      <c r="C1" s="28"/>
      <c r="D1" s="28"/>
      <c r="E1" s="28"/>
      <c r="F1" s="28"/>
      <c r="G1" s="28"/>
      <c r="H1" s="28"/>
      <c r="I1" s="28"/>
    </row>
    <row r="2" customFormat="false" ht="19.5" hidden="false" customHeight="true" outlineLevel="0" collapsed="false">
      <c r="A2" s="29" t="s">
        <v>115</v>
      </c>
      <c r="B2" s="29"/>
      <c r="C2" s="29"/>
      <c r="D2" s="29"/>
      <c r="E2" s="29"/>
      <c r="F2" s="29"/>
      <c r="G2" s="29"/>
      <c r="H2" s="29"/>
      <c r="I2" s="29"/>
    </row>
    <row r="3" customFormat="false" ht="15.75" hidden="false" customHeight="true" outlineLevel="0" collapsed="false">
      <c r="A3" s="30" t="s">
        <v>116</v>
      </c>
      <c r="B3" s="30"/>
      <c r="C3" s="30"/>
      <c r="D3" s="30"/>
      <c r="E3" s="30"/>
      <c r="F3" s="30"/>
      <c r="G3" s="30"/>
      <c r="H3" s="30"/>
      <c r="I3" s="30"/>
    </row>
    <row r="4" customFormat="false" ht="24" hidden="false" customHeight="true" outlineLevel="0" collapsed="false">
      <c r="A4" s="31" t="s">
        <v>16</v>
      </c>
      <c r="B4" s="31" t="s">
        <v>17</v>
      </c>
      <c r="C4" s="14" t="s">
        <v>104</v>
      </c>
      <c r="D4" s="14" t="s">
        <v>105</v>
      </c>
      <c r="E4" s="31" t="s">
        <v>117</v>
      </c>
      <c r="F4" s="31" t="s">
        <v>118</v>
      </c>
      <c r="G4" s="32" t="s">
        <v>33</v>
      </c>
      <c r="H4" s="32" t="s">
        <v>19</v>
      </c>
      <c r="I4" s="31" t="s">
        <v>107</v>
      </c>
    </row>
    <row r="5" customFormat="false" ht="18" hidden="false" customHeight="true" outlineLevel="0" collapsed="false">
      <c r="A5" s="34" t="s">
        <v>40</v>
      </c>
      <c r="B5" s="38" t="str">
        <f aca="false">IFERROR(INDEX(Artikel!$B$5:$B$500,MATCH($A5,Artikel!$A$5:$A$500,0)),"")</f>
        <v>Thermosflasche 0,5 L Edelstahl</v>
      </c>
      <c r="C5" s="37" t="n">
        <v>8</v>
      </c>
      <c r="D5" s="45" t="n">
        <v>46029</v>
      </c>
      <c r="E5" s="34" t="s">
        <v>119</v>
      </c>
      <c r="F5" s="34" t="s">
        <v>120</v>
      </c>
      <c r="G5" s="40" t="n">
        <f aca="false">IFERROR(INDEX(Artikel!$G$5:$G$500,MATCH($A5,Artikel!$A$5:$A$500,0)),0)</f>
        <v>19.99</v>
      </c>
      <c r="H5" s="17" t="n">
        <f aca="false">C5*G5</f>
        <v>159.92</v>
      </c>
      <c r="I5" s="34"/>
    </row>
    <row r="6" customFormat="false" ht="18" hidden="false" customHeight="true" outlineLevel="0" collapsed="false">
      <c r="A6" s="34" t="s">
        <v>47</v>
      </c>
      <c r="B6" s="41" t="str">
        <f aca="false">IFERROR(INDEX(Artikel!$B$5:$B$500,MATCH($A6,Artikel!$A$5:$A$500,0)),"")</f>
        <v>Kaffeebecher Keramik 350 ml</v>
      </c>
      <c r="C6" s="37" t="n">
        <v>20</v>
      </c>
      <c r="D6" s="45" t="n">
        <v>46029</v>
      </c>
      <c r="E6" s="34" t="s">
        <v>121</v>
      </c>
      <c r="F6" s="34" t="s">
        <v>122</v>
      </c>
      <c r="G6" s="43" t="n">
        <f aca="false">IFERROR(INDEX(Artikel!$G$5:$G$500,MATCH($A6,Artikel!$A$5:$A$500,0)),0)</f>
        <v>6.49</v>
      </c>
      <c r="H6" s="21" t="n">
        <f aca="false">C6*G6</f>
        <v>129.8</v>
      </c>
      <c r="I6" s="34"/>
    </row>
    <row r="7" customFormat="false" ht="18" hidden="false" customHeight="true" outlineLevel="0" collapsed="false">
      <c r="A7" s="34" t="s">
        <v>80</v>
      </c>
      <c r="B7" s="38" t="str">
        <f aca="false">IFERROR(INDEX(Artikel!$B$5:$B$500,MATCH($A7,Artikel!$A$5:$A$500,0)),"")</f>
        <v>Trinkflasche Sport 750 ml</v>
      </c>
      <c r="C7" s="37" t="n">
        <v>25</v>
      </c>
      <c r="D7" s="45" t="n">
        <v>46030</v>
      </c>
      <c r="E7" s="34" t="s">
        <v>123</v>
      </c>
      <c r="F7" s="34" t="s">
        <v>124</v>
      </c>
      <c r="G7" s="40" t="n">
        <f aca="false">IFERROR(INDEX(Artikel!$G$5:$G$500,MATCH($A7,Artikel!$A$5:$A$500,0)),0)</f>
        <v>9.99</v>
      </c>
      <c r="H7" s="17" t="n">
        <f aca="false">C7*G7</f>
        <v>249.75</v>
      </c>
      <c r="I7" s="34"/>
    </row>
    <row r="8" customFormat="false" ht="18" hidden="false" customHeight="true" outlineLevel="0" collapsed="false">
      <c r="A8" s="34" t="s">
        <v>72</v>
      </c>
      <c r="B8" s="41" t="str">
        <f aca="false">IFERROR(INDEX(Artikel!$B$5:$B$500,MATCH($A8,Artikel!$A$5:$A$500,0)),"")</f>
        <v>Blumentopf Terrakotta Ø 30 cm</v>
      </c>
      <c r="C8" s="37" t="n">
        <v>12</v>
      </c>
      <c r="D8" s="45" t="n">
        <v>46031</v>
      </c>
      <c r="E8" s="34" t="s">
        <v>125</v>
      </c>
      <c r="F8" s="34" t="s">
        <v>126</v>
      </c>
      <c r="G8" s="43" t="n">
        <f aca="false">IFERROR(INDEX(Artikel!$G$5:$G$500,MATCH($A8,Artikel!$A$5:$A$500,0)),0)</f>
        <v>14.99</v>
      </c>
      <c r="H8" s="21" t="n">
        <f aca="false">C8*G8</f>
        <v>179.88</v>
      </c>
      <c r="I8" s="34"/>
    </row>
    <row r="9" customFormat="false" ht="18" hidden="false" customHeight="true" outlineLevel="0" collapsed="false">
      <c r="A9" s="34" t="s">
        <v>50</v>
      </c>
      <c r="B9" s="38" t="str">
        <f aca="false">IFERROR(INDEX(Artikel!$B$5:$B$500,MATCH($A9,Artikel!$A$5:$A$500,0)),"")</f>
        <v>Messerset 5-teilig</v>
      </c>
      <c r="C9" s="37" t="n">
        <v>12</v>
      </c>
      <c r="D9" s="45" t="n">
        <v>46032</v>
      </c>
      <c r="E9" s="34" t="s">
        <v>127</v>
      </c>
      <c r="F9" s="34" t="s">
        <v>128</v>
      </c>
      <c r="G9" s="40" t="n">
        <f aca="false">IFERROR(INDEX(Artikel!$G$5:$G$500,MATCH($A9,Artikel!$A$5:$A$500,0)),0)</f>
        <v>44.99</v>
      </c>
      <c r="H9" s="17" t="n">
        <f aca="false">C9*G9</f>
        <v>539.88</v>
      </c>
      <c r="I9" s="34"/>
    </row>
    <row r="10" customFormat="false" ht="18" hidden="false" customHeight="true" outlineLevel="0" collapsed="false">
      <c r="A10" s="34" t="s">
        <v>55</v>
      </c>
      <c r="B10" s="41" t="str">
        <f aca="false">IFERROR(INDEX(Artikel!$B$5:$B$500,MATCH($A10,Artikel!$A$5:$A$500,0)),"")</f>
        <v>Wäschekorb Kunststoff 45 L</v>
      </c>
      <c r="C10" s="37" t="n">
        <v>8</v>
      </c>
      <c r="D10" s="45" t="n">
        <v>46034</v>
      </c>
      <c r="E10" s="34" t="s">
        <v>129</v>
      </c>
      <c r="F10" s="34" t="s">
        <v>130</v>
      </c>
      <c r="G10" s="43" t="n">
        <f aca="false">IFERROR(INDEX(Artikel!$G$5:$G$500,MATCH($A10,Artikel!$A$5:$A$500,0)),0)</f>
        <v>12.99</v>
      </c>
      <c r="H10" s="21" t="n">
        <f aca="false">C10*G10</f>
        <v>103.92</v>
      </c>
      <c r="I10" s="34"/>
    </row>
    <row r="11" customFormat="false" ht="18" hidden="false" customHeight="true" outlineLevel="0" collapsed="false">
      <c r="A11" s="34" t="s">
        <v>63</v>
      </c>
      <c r="B11" s="38" t="str">
        <f aca="false">IFERROR(INDEX(Artikel!$B$5:$B$500,MATCH($A11,Artikel!$A$5:$A$500,0)),"")</f>
        <v>LED-Schreibtischlampe dimmbar</v>
      </c>
      <c r="C11" s="37" t="n">
        <v>6</v>
      </c>
      <c r="D11" s="45" t="n">
        <v>46035</v>
      </c>
      <c r="E11" s="34" t="s">
        <v>131</v>
      </c>
      <c r="F11" s="34" t="s">
        <v>132</v>
      </c>
      <c r="G11" s="40" t="n">
        <f aca="false">IFERROR(INDEX(Artikel!$G$5:$G$500,MATCH($A11,Artikel!$A$5:$A$500,0)),0)</f>
        <v>29.99</v>
      </c>
      <c r="H11" s="17" t="n">
        <f aca="false">C11*G11</f>
        <v>179.94</v>
      </c>
      <c r="I11" s="34"/>
    </row>
    <row r="12" customFormat="false" ht="18" hidden="false" customHeight="true" outlineLevel="0" collapsed="false">
      <c r="A12" s="34" t="s">
        <v>59</v>
      </c>
      <c r="B12" s="41" t="str">
        <f aca="false">IFERROR(INDEX(Artikel!$B$5:$B$500,MATCH($A12,Artikel!$A$5:$A$500,0)),"")</f>
        <v>Dampfbügeleisen 2400 W</v>
      </c>
      <c r="C12" s="37" t="n">
        <v>5</v>
      </c>
      <c r="D12" s="45" t="n">
        <v>46036</v>
      </c>
      <c r="E12" s="34" t="s">
        <v>133</v>
      </c>
      <c r="F12" s="34" t="s">
        <v>134</v>
      </c>
      <c r="G12" s="43" t="n">
        <f aca="false">IFERROR(INDEX(Artikel!$G$5:$G$500,MATCH($A12,Artikel!$A$5:$A$500,0)),0)</f>
        <v>49.99</v>
      </c>
      <c r="H12" s="21" t="n">
        <f aca="false">C12*G12</f>
        <v>249.95</v>
      </c>
      <c r="I12" s="34"/>
    </row>
    <row r="13" customFormat="false" ht="18" hidden="false" customHeight="true" outlineLevel="0" collapsed="false">
      <c r="A13" s="34" t="s">
        <v>47</v>
      </c>
      <c r="B13" s="38" t="str">
        <f aca="false">IFERROR(INDEX(Artikel!$B$5:$B$500,MATCH($A13,Artikel!$A$5:$A$500,0)),"")</f>
        <v>Kaffeebecher Keramik 350 ml</v>
      </c>
      <c r="C13" s="37" t="n">
        <v>25</v>
      </c>
      <c r="D13" s="45" t="n">
        <v>46037</v>
      </c>
      <c r="E13" s="34" t="s">
        <v>121</v>
      </c>
      <c r="F13" s="34" t="s">
        <v>135</v>
      </c>
      <c r="G13" s="40" t="n">
        <f aca="false">IFERROR(INDEX(Artikel!$G$5:$G$500,MATCH($A13,Artikel!$A$5:$A$500,0)),0)</f>
        <v>6.49</v>
      </c>
      <c r="H13" s="17" t="n">
        <f aca="false">C13*G13</f>
        <v>162.25</v>
      </c>
      <c r="I13" s="34"/>
    </row>
    <row r="14" customFormat="false" ht="18" hidden="false" customHeight="true" outlineLevel="0" collapsed="false">
      <c r="A14" s="34" t="s">
        <v>80</v>
      </c>
      <c r="B14" s="41" t="str">
        <f aca="false">IFERROR(INDEX(Artikel!$B$5:$B$500,MATCH($A14,Artikel!$A$5:$A$500,0)),"")</f>
        <v>Trinkflasche Sport 750 ml</v>
      </c>
      <c r="C14" s="37" t="n">
        <v>15</v>
      </c>
      <c r="D14" s="45" t="n">
        <v>46038</v>
      </c>
      <c r="E14" s="34" t="s">
        <v>136</v>
      </c>
      <c r="F14" s="34" t="s">
        <v>137</v>
      </c>
      <c r="G14" s="43" t="n">
        <f aca="false">IFERROR(INDEX(Artikel!$G$5:$G$500,MATCH($A14,Artikel!$A$5:$A$500,0)),0)</f>
        <v>9.99</v>
      </c>
      <c r="H14" s="21" t="n">
        <f aca="false">C14*G14</f>
        <v>149.85</v>
      </c>
      <c r="I14" s="34"/>
    </row>
    <row r="15" customFormat="false" ht="18" hidden="false" customHeight="true" outlineLevel="0" collapsed="false">
      <c r="A15" s="34" t="s">
        <v>40</v>
      </c>
      <c r="B15" s="38" t="str">
        <f aca="false">IFERROR(INDEX(Artikel!$B$5:$B$500,MATCH($A15,Artikel!$A$5:$A$500,0)),"")</f>
        <v>Thermosflasche 0,5 L Edelstahl</v>
      </c>
      <c r="C15" s="37" t="n">
        <v>10</v>
      </c>
      <c r="D15" s="45" t="n">
        <v>46041</v>
      </c>
      <c r="E15" s="34" t="s">
        <v>138</v>
      </c>
      <c r="F15" s="34" t="s">
        <v>139</v>
      </c>
      <c r="G15" s="40" t="n">
        <f aca="false">IFERROR(INDEX(Artikel!$G$5:$G$500,MATCH($A15,Artikel!$A$5:$A$500,0)),0)</f>
        <v>19.99</v>
      </c>
      <c r="H15" s="17" t="n">
        <f aca="false">C15*G15</f>
        <v>199.9</v>
      </c>
      <c r="I15" s="34"/>
    </row>
    <row r="16" customFormat="false" ht="18" hidden="false" customHeight="true" outlineLevel="0" collapsed="false">
      <c r="A16" s="34" t="s">
        <v>72</v>
      </c>
      <c r="B16" s="41" t="str">
        <f aca="false">IFERROR(INDEX(Artikel!$B$5:$B$500,MATCH($A16,Artikel!$A$5:$A$500,0)),"")</f>
        <v>Blumentopf Terrakotta Ø 30 cm</v>
      </c>
      <c r="C16" s="37" t="n">
        <v>10</v>
      </c>
      <c r="D16" s="45" t="n">
        <v>46042</v>
      </c>
      <c r="E16" s="34" t="s">
        <v>125</v>
      </c>
      <c r="F16" s="34" t="s">
        <v>140</v>
      </c>
      <c r="G16" s="43" t="n">
        <f aca="false">IFERROR(INDEX(Artikel!$G$5:$G$500,MATCH($A16,Artikel!$A$5:$A$500,0)),0)</f>
        <v>14.99</v>
      </c>
      <c r="H16" s="21" t="n">
        <f aca="false">C16*G16</f>
        <v>149.9</v>
      </c>
      <c r="I16" s="34"/>
    </row>
    <row r="17" customFormat="false" ht="18" hidden="false" customHeight="true" outlineLevel="0" collapsed="false">
      <c r="A17" s="34" t="s">
        <v>67</v>
      </c>
      <c r="B17" s="38" t="str">
        <f aca="false">IFERROR(INDEX(Artikel!$B$5:$B$500,MATCH($A17,Artikel!$A$5:$A$500,0)),"")</f>
        <v>Gartenschlauch 20 m</v>
      </c>
      <c r="C17" s="37" t="n">
        <v>8</v>
      </c>
      <c r="D17" s="45" t="n">
        <v>46043</v>
      </c>
      <c r="E17" s="34" t="s">
        <v>141</v>
      </c>
      <c r="F17" s="34" t="s">
        <v>142</v>
      </c>
      <c r="G17" s="40" t="n">
        <f aca="false">IFERROR(INDEX(Artikel!$G$5:$G$500,MATCH($A17,Artikel!$A$5:$A$500,0)),0)</f>
        <v>24.99</v>
      </c>
      <c r="H17" s="17" t="n">
        <f aca="false">C17*G17</f>
        <v>199.92</v>
      </c>
      <c r="I17" s="34"/>
    </row>
    <row r="18" customFormat="false" ht="18" hidden="false" customHeight="true" outlineLevel="0" collapsed="false">
      <c r="A18" s="34" t="s">
        <v>83</v>
      </c>
      <c r="B18" s="41" t="str">
        <f aca="false">IFERROR(INDEX(Artikel!$B$5:$B$500,MATCH($A18,Artikel!$A$5:$A$500,0)),"")</f>
        <v>Handtuch-Set Baumwolle 3-tlg.</v>
      </c>
      <c r="C18" s="37" t="n">
        <v>11</v>
      </c>
      <c r="D18" s="45" t="n">
        <v>46044</v>
      </c>
      <c r="E18" s="34" t="s">
        <v>143</v>
      </c>
      <c r="F18" s="34" t="s">
        <v>144</v>
      </c>
      <c r="G18" s="43" t="n">
        <f aca="false">IFERROR(INDEX(Artikel!$G$5:$G$500,MATCH($A18,Artikel!$A$5:$A$500,0)),0)</f>
        <v>16.99</v>
      </c>
      <c r="H18" s="21" t="n">
        <f aca="false">C18*G18</f>
        <v>186.89</v>
      </c>
      <c r="I18" s="34"/>
    </row>
    <row r="19" customFormat="false" ht="18" hidden="false" customHeight="true" outlineLevel="0" collapsed="false">
      <c r="A19" s="34" t="s">
        <v>75</v>
      </c>
      <c r="B19" s="38" t="str">
        <f aca="false">IFERROR(INDEX(Artikel!$B$5:$B$500,MATCH($A19,Artikel!$A$5:$A$500,0)),"")</f>
        <v>Picknickdecke wasserdicht</v>
      </c>
      <c r="C19" s="37" t="n">
        <v>7</v>
      </c>
      <c r="D19" s="45" t="n">
        <v>46045</v>
      </c>
      <c r="E19" s="34" t="s">
        <v>145</v>
      </c>
      <c r="F19" s="34" t="s">
        <v>146</v>
      </c>
      <c r="G19" s="40" t="n">
        <f aca="false">IFERROR(INDEX(Artikel!$G$5:$G$500,MATCH($A19,Artikel!$A$5:$A$500,0)),0)</f>
        <v>18.99</v>
      </c>
      <c r="H19" s="17" t="n">
        <f aca="false">C19*G19</f>
        <v>132.93</v>
      </c>
      <c r="I19" s="34"/>
    </row>
    <row r="20" customFormat="false" ht="18" hidden="false" customHeight="true" outlineLevel="0" collapsed="false">
      <c r="A20" s="34" t="s">
        <v>55</v>
      </c>
      <c r="B20" s="41" t="str">
        <f aca="false">IFERROR(INDEX(Artikel!$B$5:$B$500,MATCH($A20,Artikel!$A$5:$A$500,0)),"")</f>
        <v>Wäschekorb Kunststoff 45 L</v>
      </c>
      <c r="C20" s="37" t="n">
        <v>6</v>
      </c>
      <c r="D20" s="45" t="n">
        <v>46048</v>
      </c>
      <c r="E20" s="34" t="s">
        <v>129</v>
      </c>
      <c r="F20" s="34" t="s">
        <v>147</v>
      </c>
      <c r="G20" s="43" t="n">
        <f aca="false">IFERROR(INDEX(Artikel!$G$5:$G$500,MATCH($A20,Artikel!$A$5:$A$500,0)),0)</f>
        <v>12.99</v>
      </c>
      <c r="H20" s="21" t="n">
        <f aca="false">C20*G20</f>
        <v>77.94</v>
      </c>
      <c r="I20" s="34"/>
    </row>
    <row r="21" customFormat="false" ht="18" hidden="false" customHeight="true" outlineLevel="0" collapsed="false">
      <c r="A21" s="34" t="s">
        <v>63</v>
      </c>
      <c r="B21" s="38" t="str">
        <f aca="false">IFERROR(INDEX(Artikel!$B$5:$B$500,MATCH($A21,Artikel!$A$5:$A$500,0)),"")</f>
        <v>LED-Schreibtischlampe dimmbar</v>
      </c>
      <c r="C21" s="37" t="n">
        <v>4</v>
      </c>
      <c r="D21" s="45" t="n">
        <v>46050</v>
      </c>
      <c r="E21" s="34" t="s">
        <v>131</v>
      </c>
      <c r="F21" s="34" t="s">
        <v>148</v>
      </c>
      <c r="G21" s="40" t="n">
        <f aca="false">IFERROR(INDEX(Artikel!$G$5:$G$500,MATCH($A21,Artikel!$A$5:$A$500,0)),0)</f>
        <v>29.99</v>
      </c>
      <c r="H21" s="17" t="n">
        <f aca="false">C21*G21</f>
        <v>119.96</v>
      </c>
      <c r="I21" s="34"/>
    </row>
    <row r="22" customFormat="false" ht="18" hidden="false" customHeight="true" outlineLevel="0" collapsed="false">
      <c r="A22" s="34" t="s">
        <v>59</v>
      </c>
      <c r="B22" s="41" t="str">
        <f aca="false">IFERROR(INDEX(Artikel!$B$5:$B$500,MATCH($A22,Artikel!$A$5:$A$500,0)),"")</f>
        <v>Dampfbügeleisen 2400 W</v>
      </c>
      <c r="C22" s="37" t="n">
        <v>4</v>
      </c>
      <c r="D22" s="45" t="n">
        <v>46052</v>
      </c>
      <c r="E22" s="34" t="s">
        <v>133</v>
      </c>
      <c r="F22" s="34" t="s">
        <v>149</v>
      </c>
      <c r="G22" s="43" t="n">
        <f aca="false">IFERROR(INDEX(Artikel!$G$5:$G$500,MATCH($A22,Artikel!$A$5:$A$500,0)),0)</f>
        <v>49.99</v>
      </c>
      <c r="H22" s="21" t="n">
        <f aca="false">C22*G22</f>
        <v>199.96</v>
      </c>
      <c r="I22" s="34"/>
    </row>
    <row r="23" customFormat="false" ht="18" hidden="false" customHeight="true" outlineLevel="0" collapsed="false">
      <c r="A23" s="34" t="s">
        <v>86</v>
      </c>
      <c r="B23" s="38" t="str">
        <f aca="false">IFERROR(INDEX(Artikel!$B$5:$B$500,MATCH($A23,Artikel!$A$5:$A$500,0)),"")</f>
        <v>Akku-Handstaubsauger</v>
      </c>
      <c r="C23" s="37" t="n">
        <v>4</v>
      </c>
      <c r="D23" s="45" t="n">
        <v>46056</v>
      </c>
      <c r="E23" s="34" t="s">
        <v>150</v>
      </c>
      <c r="F23" s="34" t="s">
        <v>151</v>
      </c>
      <c r="G23" s="40" t="n">
        <f aca="false">IFERROR(INDEX(Artikel!$G$5:$G$500,MATCH($A23,Artikel!$A$5:$A$500,0)),0)</f>
        <v>64.99</v>
      </c>
      <c r="H23" s="17" t="n">
        <f aca="false">C23*G23</f>
        <v>259.96</v>
      </c>
      <c r="I23" s="34" t="s">
        <v>152</v>
      </c>
    </row>
    <row r="24" customFormat="false" ht="18" hidden="false" customHeight="true" outlineLevel="0" collapsed="false">
      <c r="A24" s="34" t="s">
        <v>47</v>
      </c>
      <c r="B24" s="41" t="str">
        <f aca="false">IFERROR(INDEX(Artikel!$B$5:$B$500,MATCH($A24,Artikel!$A$5:$A$500,0)),"")</f>
        <v>Kaffeebecher Keramik 350 ml</v>
      </c>
      <c r="C24" s="37" t="n">
        <v>10</v>
      </c>
      <c r="D24" s="45" t="n">
        <v>46057</v>
      </c>
      <c r="E24" s="34" t="s">
        <v>153</v>
      </c>
      <c r="F24" s="34" t="s">
        <v>154</v>
      </c>
      <c r="G24" s="43" t="n">
        <f aca="false">IFERROR(INDEX(Artikel!$G$5:$G$500,MATCH($A24,Artikel!$A$5:$A$500,0)),0)</f>
        <v>6.49</v>
      </c>
      <c r="H24" s="21" t="n">
        <f aca="false">C24*G24</f>
        <v>64.9</v>
      </c>
      <c r="I24" s="34"/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7394A"/>
    <pageSetUpPr fitToPage="false"/>
  </sheetPr>
  <dimension ref="A1:H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4"/>
    <col collapsed="false" customWidth="true" hidden="false" outlineLevel="0" max="3" min="3" style="0" width="20"/>
    <col collapsed="false" customWidth="true" hidden="false" outlineLevel="0" max="4" min="4" style="0" width="30"/>
    <col collapsed="false" customWidth="true" hidden="false" outlineLevel="0" max="5" min="5" style="0" width="17"/>
    <col collapsed="false" customWidth="true" hidden="false" outlineLevel="0" max="6" min="6" style="0" width="14"/>
    <col collapsed="false" customWidth="true" hidden="false" outlineLevel="0" max="7" min="7" style="0" width="16"/>
    <col collapsed="false" customWidth="true" hidden="false" outlineLevel="0" max="8" min="8" style="0" width="17"/>
  </cols>
  <sheetData>
    <row r="1" customFormat="false" ht="33.75" hidden="false" customHeight="true" outlineLevel="0" collapsed="false">
      <c r="A1" s="28" t="s">
        <v>155</v>
      </c>
      <c r="B1" s="28"/>
      <c r="C1" s="28"/>
      <c r="D1" s="28"/>
      <c r="E1" s="28"/>
      <c r="F1" s="28"/>
      <c r="G1" s="28"/>
      <c r="H1" s="28"/>
    </row>
    <row r="2" customFormat="false" ht="19.5" hidden="false" customHeight="true" outlineLevel="0" collapsed="false">
      <c r="A2" s="29" t="s">
        <v>156</v>
      </c>
      <c r="B2" s="29"/>
      <c r="C2" s="29"/>
      <c r="D2" s="29"/>
      <c r="E2" s="29"/>
      <c r="F2" s="29"/>
      <c r="G2" s="29"/>
      <c r="H2" s="29"/>
    </row>
    <row r="3" customFormat="false" ht="15.75" hidden="false" customHeight="true" outlineLevel="0" collapsed="false">
      <c r="A3" s="30" t="s">
        <v>157</v>
      </c>
      <c r="B3" s="30"/>
      <c r="C3" s="30"/>
      <c r="D3" s="30"/>
      <c r="E3" s="30"/>
      <c r="F3" s="30"/>
      <c r="G3" s="30"/>
      <c r="H3" s="30"/>
    </row>
    <row r="4" customFormat="false" ht="24" hidden="false" customHeight="true" outlineLevel="0" collapsed="false">
      <c r="A4" s="31" t="s">
        <v>158</v>
      </c>
      <c r="B4" s="31" t="s">
        <v>159</v>
      </c>
      <c r="C4" s="31" t="s">
        <v>160</v>
      </c>
      <c r="D4" s="31" t="s">
        <v>161</v>
      </c>
      <c r="E4" s="31" t="s">
        <v>162</v>
      </c>
      <c r="F4" s="14" t="s">
        <v>163</v>
      </c>
      <c r="G4" s="14" t="s">
        <v>164</v>
      </c>
      <c r="H4" s="31" t="s">
        <v>165</v>
      </c>
    </row>
    <row r="5" customFormat="false" ht="18" hidden="false" customHeight="true" outlineLevel="0" collapsed="false">
      <c r="A5" s="34" t="s">
        <v>166</v>
      </c>
      <c r="B5" s="34" t="s">
        <v>45</v>
      </c>
      <c r="C5" s="34" t="s">
        <v>167</v>
      </c>
      <c r="D5" s="34" t="s">
        <v>168</v>
      </c>
      <c r="E5" s="34" t="s">
        <v>169</v>
      </c>
      <c r="F5" s="37" t="n">
        <v>4</v>
      </c>
      <c r="G5" s="37" t="n">
        <v>30</v>
      </c>
      <c r="H5" s="34" t="s">
        <v>170</v>
      </c>
    </row>
    <row r="6" customFormat="false" ht="18" hidden="false" customHeight="true" outlineLevel="0" collapsed="false">
      <c r="A6" s="34" t="s">
        <v>171</v>
      </c>
      <c r="B6" s="34" t="s">
        <v>54</v>
      </c>
      <c r="C6" s="34" t="s">
        <v>172</v>
      </c>
      <c r="D6" s="34" t="s">
        <v>173</v>
      </c>
      <c r="E6" s="34" t="s">
        <v>174</v>
      </c>
      <c r="F6" s="37" t="n">
        <v>3</v>
      </c>
      <c r="G6" s="37" t="n">
        <v>14</v>
      </c>
      <c r="H6" s="34" t="s">
        <v>175</v>
      </c>
    </row>
    <row r="7" customFormat="false" ht="18" hidden="false" customHeight="true" outlineLevel="0" collapsed="false">
      <c r="A7" s="34" t="s">
        <v>176</v>
      </c>
      <c r="B7" s="34" t="s">
        <v>71</v>
      </c>
      <c r="C7" s="34" t="s">
        <v>177</v>
      </c>
      <c r="D7" s="34" t="s">
        <v>178</v>
      </c>
      <c r="E7" s="34" t="s">
        <v>179</v>
      </c>
      <c r="F7" s="37" t="n">
        <v>5</v>
      </c>
      <c r="G7" s="37" t="n">
        <v>30</v>
      </c>
      <c r="H7" s="34" t="s">
        <v>170</v>
      </c>
    </row>
    <row r="8" customFormat="false" ht="18" hidden="false" customHeight="true" outlineLevel="0" collapsed="false">
      <c r="A8" s="34" t="s">
        <v>180</v>
      </c>
      <c r="B8" s="34" t="s">
        <v>62</v>
      </c>
      <c r="C8" s="34" t="s">
        <v>181</v>
      </c>
      <c r="D8" s="34" t="s">
        <v>182</v>
      </c>
      <c r="E8" s="34" t="s">
        <v>183</v>
      </c>
      <c r="F8" s="37" t="n">
        <v>6</v>
      </c>
      <c r="G8" s="37" t="n">
        <v>14</v>
      </c>
      <c r="H8" s="34" t="s">
        <v>184</v>
      </c>
    </row>
    <row r="9" customFormat="false" ht="18" hidden="false" customHeight="true" outlineLevel="0" collapsed="false">
      <c r="A9" s="34" t="s">
        <v>185</v>
      </c>
      <c r="B9" s="34" t="s">
        <v>79</v>
      </c>
      <c r="C9" s="34" t="s">
        <v>186</v>
      </c>
      <c r="D9" s="34" t="s">
        <v>187</v>
      </c>
      <c r="E9" s="34" t="s">
        <v>188</v>
      </c>
      <c r="F9" s="37" t="n">
        <v>4</v>
      </c>
      <c r="G9" s="37" t="n">
        <v>30</v>
      </c>
      <c r="H9" s="34" t="s">
        <v>170</v>
      </c>
    </row>
  </sheetData>
  <mergeCells count="3">
    <mergeCell ref="A1:H1"/>
    <mergeCell ref="A2:H2"/>
    <mergeCell ref="A3:H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6902B"/>
    <pageSetUpPr fitToPage="false"/>
  </sheetPr>
  <dimension ref="A1:J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3"/>
    <col collapsed="false" customWidth="true" hidden="false" outlineLevel="0" max="3" min="3" style="0" width="11"/>
    <col collapsed="false" customWidth="true" hidden="false" outlineLevel="0" max="4" min="4" style="0" width="30"/>
    <col collapsed="false" customWidth="true" hidden="false" outlineLevel="0" max="5" min="5" style="0" width="24"/>
    <col collapsed="false" customWidth="true" hidden="false" outlineLevel="0" max="6" min="6" style="0" width="8"/>
    <col collapsed="false" customWidth="true" hidden="false" outlineLevel="0" max="7" min="7" style="0" width="12"/>
    <col collapsed="false" customWidth="true" hidden="false" outlineLevel="0" max="9" min="8" style="0" width="13"/>
    <col collapsed="false" customWidth="true" hidden="false" outlineLevel="0" max="10" min="10" style="0" width="14"/>
  </cols>
  <sheetData>
    <row r="1" customFormat="false" ht="33.75" hidden="false" customHeight="true" outlineLevel="0" collapsed="false">
      <c r="A1" s="28" t="s">
        <v>189</v>
      </c>
      <c r="B1" s="28"/>
      <c r="C1" s="28"/>
      <c r="D1" s="28"/>
      <c r="E1" s="28"/>
      <c r="F1" s="28"/>
      <c r="G1" s="28"/>
      <c r="H1" s="28"/>
      <c r="I1" s="28"/>
      <c r="J1" s="28"/>
    </row>
    <row r="2" customFormat="false" ht="19.5" hidden="false" customHeight="true" outlineLevel="0" collapsed="false">
      <c r="A2" s="29" t="s">
        <v>190</v>
      </c>
      <c r="B2" s="29"/>
      <c r="C2" s="29"/>
      <c r="D2" s="29"/>
      <c r="E2" s="29"/>
      <c r="F2" s="29"/>
      <c r="G2" s="29"/>
      <c r="H2" s="29"/>
      <c r="I2" s="29"/>
      <c r="J2" s="29"/>
    </row>
    <row r="3" customFormat="false" ht="15.75" hidden="false" customHeight="true" outlineLevel="0" collapsed="false">
      <c r="A3" s="30" t="s">
        <v>191</v>
      </c>
      <c r="B3" s="30"/>
      <c r="C3" s="30"/>
      <c r="D3" s="30"/>
      <c r="E3" s="30"/>
      <c r="F3" s="30"/>
      <c r="G3" s="30"/>
      <c r="H3" s="30"/>
      <c r="I3" s="30"/>
      <c r="J3" s="30"/>
    </row>
    <row r="4" customFormat="false" ht="24" hidden="false" customHeight="true" outlineLevel="0" collapsed="false">
      <c r="A4" s="31" t="s">
        <v>192</v>
      </c>
      <c r="B4" s="14" t="s">
        <v>193</v>
      </c>
      <c r="C4" s="31" t="s">
        <v>16</v>
      </c>
      <c r="D4" s="31" t="s">
        <v>17</v>
      </c>
      <c r="E4" s="31" t="s">
        <v>38</v>
      </c>
      <c r="F4" s="14" t="s">
        <v>104</v>
      </c>
      <c r="G4" s="32" t="s">
        <v>99</v>
      </c>
      <c r="H4" s="32" t="s">
        <v>194</v>
      </c>
      <c r="I4" s="14" t="s">
        <v>195</v>
      </c>
      <c r="J4" s="14" t="s">
        <v>98</v>
      </c>
    </row>
    <row r="5" customFormat="false" ht="18" hidden="false" customHeight="true" outlineLevel="0" collapsed="false">
      <c r="A5" s="34" t="s">
        <v>108</v>
      </c>
      <c r="B5" s="45" t="n">
        <v>46025</v>
      </c>
      <c r="C5" s="34" t="s">
        <v>40</v>
      </c>
      <c r="D5" s="38" t="str">
        <f aca="false">IFERROR(INDEX(Artikel!$B$5:$B$500,MATCH($C5,Artikel!$A$5:$A$500,0)),"")</f>
        <v>Thermosflasche 0,5 L Edelstahl</v>
      </c>
      <c r="E5" s="34" t="s">
        <v>45</v>
      </c>
      <c r="F5" s="37" t="n">
        <v>24</v>
      </c>
      <c r="G5" s="40" t="n">
        <f aca="false">IFERROR(INDEX(Artikel!$E$5:$E$500,MATCH($C5,Artikel!$A$5:$A$500,0)),0)</f>
        <v>8.5</v>
      </c>
      <c r="H5" s="17" t="n">
        <f aca="false">F5*G5</f>
        <v>204</v>
      </c>
      <c r="I5" s="45" t="n">
        <v>46028</v>
      </c>
      <c r="J5" s="34" t="s">
        <v>196</v>
      </c>
    </row>
    <row r="6" customFormat="false" ht="18" hidden="false" customHeight="true" outlineLevel="0" collapsed="false">
      <c r="A6" s="34" t="s">
        <v>108</v>
      </c>
      <c r="B6" s="45" t="n">
        <v>46025</v>
      </c>
      <c r="C6" s="34" t="s">
        <v>47</v>
      </c>
      <c r="D6" s="41" t="str">
        <f aca="false">IFERROR(INDEX(Artikel!$B$5:$B$500,MATCH($C6,Artikel!$A$5:$A$500,0)),"")</f>
        <v>Kaffeebecher Keramik 350 ml</v>
      </c>
      <c r="E6" s="34" t="s">
        <v>45</v>
      </c>
      <c r="F6" s="37" t="n">
        <v>48</v>
      </c>
      <c r="G6" s="43" t="n">
        <f aca="false">IFERROR(INDEX(Artikel!$E$5:$E$500,MATCH($C6,Artikel!$A$5:$A$500,0)),0)</f>
        <v>2.2</v>
      </c>
      <c r="H6" s="21" t="n">
        <f aca="false">F6*G6</f>
        <v>105.6</v>
      </c>
      <c r="I6" s="45" t="n">
        <v>46028</v>
      </c>
      <c r="J6" s="34" t="s">
        <v>196</v>
      </c>
    </row>
    <row r="7" customFormat="false" ht="18" hidden="false" customHeight="true" outlineLevel="0" collapsed="false">
      <c r="A7" s="34" t="s">
        <v>109</v>
      </c>
      <c r="B7" s="45" t="n">
        <v>46027</v>
      </c>
      <c r="C7" s="34" t="s">
        <v>50</v>
      </c>
      <c r="D7" s="38" t="str">
        <f aca="false">IFERROR(INDEX(Artikel!$B$5:$B$500,MATCH($C7,Artikel!$A$5:$A$500,0)),"")</f>
        <v>Messerset 5-teilig</v>
      </c>
      <c r="E7" s="34" t="s">
        <v>54</v>
      </c>
      <c r="F7" s="37" t="n">
        <v>6</v>
      </c>
      <c r="G7" s="40" t="n">
        <f aca="false">IFERROR(INDEX(Artikel!$E$5:$E$500,MATCH($C7,Artikel!$A$5:$A$500,0)),0)</f>
        <v>18</v>
      </c>
      <c r="H7" s="17" t="n">
        <f aca="false">F7*G7</f>
        <v>108</v>
      </c>
      <c r="I7" s="45" t="n">
        <v>46030</v>
      </c>
      <c r="J7" s="34" t="s">
        <v>196</v>
      </c>
    </row>
    <row r="8" customFormat="false" ht="18" hidden="false" customHeight="true" outlineLevel="0" collapsed="false">
      <c r="A8" s="34" t="s">
        <v>109</v>
      </c>
      <c r="B8" s="45" t="n">
        <v>46027</v>
      </c>
      <c r="C8" s="34" t="s">
        <v>55</v>
      </c>
      <c r="D8" s="41" t="str">
        <f aca="false">IFERROR(INDEX(Artikel!$B$5:$B$500,MATCH($C8,Artikel!$A$5:$A$500,0)),"")</f>
        <v>Wäschekorb Kunststoff 45 L</v>
      </c>
      <c r="E8" s="34" t="s">
        <v>54</v>
      </c>
      <c r="F8" s="37" t="n">
        <v>15</v>
      </c>
      <c r="G8" s="43" t="n">
        <f aca="false">IFERROR(INDEX(Artikel!$E$5:$E$500,MATCH($C8,Artikel!$A$5:$A$500,0)),0)</f>
        <v>4.8</v>
      </c>
      <c r="H8" s="21" t="n">
        <f aca="false">F8*G8</f>
        <v>72</v>
      </c>
      <c r="I8" s="45" t="n">
        <v>46030</v>
      </c>
      <c r="J8" s="34" t="s">
        <v>196</v>
      </c>
    </row>
    <row r="9" customFormat="false" ht="18" hidden="false" customHeight="true" outlineLevel="0" collapsed="false">
      <c r="A9" s="34" t="s">
        <v>110</v>
      </c>
      <c r="B9" s="45" t="n">
        <v>46028</v>
      </c>
      <c r="C9" s="34" t="s">
        <v>59</v>
      </c>
      <c r="D9" s="38" t="str">
        <f aca="false">IFERROR(INDEX(Artikel!$B$5:$B$500,MATCH($C9,Artikel!$A$5:$A$500,0)),"")</f>
        <v>Dampfbügeleisen 2400 W</v>
      </c>
      <c r="E9" s="34" t="s">
        <v>62</v>
      </c>
      <c r="F9" s="37" t="n">
        <v>5</v>
      </c>
      <c r="G9" s="40" t="n">
        <f aca="false">IFERROR(INDEX(Artikel!$E$5:$E$500,MATCH($C9,Artikel!$A$5:$A$500,0)),0)</f>
        <v>22</v>
      </c>
      <c r="H9" s="17" t="n">
        <f aca="false">F9*G9</f>
        <v>110</v>
      </c>
      <c r="I9" s="45" t="n">
        <v>46031</v>
      </c>
      <c r="J9" s="34" t="s">
        <v>196</v>
      </c>
    </row>
    <row r="10" customFormat="false" ht="18" hidden="false" customHeight="true" outlineLevel="0" collapsed="false">
      <c r="A10" s="34" t="s">
        <v>110</v>
      </c>
      <c r="B10" s="45" t="n">
        <v>46028</v>
      </c>
      <c r="C10" s="34" t="s">
        <v>63</v>
      </c>
      <c r="D10" s="41" t="str">
        <f aca="false">IFERROR(INDEX(Artikel!$B$5:$B$500,MATCH($C10,Artikel!$A$5:$A$500,0)),"")</f>
        <v>LED-Schreibtischlampe dimmbar</v>
      </c>
      <c r="E10" s="34" t="s">
        <v>62</v>
      </c>
      <c r="F10" s="37" t="n">
        <v>12</v>
      </c>
      <c r="G10" s="43" t="n">
        <f aca="false">IFERROR(INDEX(Artikel!$E$5:$E$500,MATCH($C10,Artikel!$A$5:$A$500,0)),0)</f>
        <v>12.5</v>
      </c>
      <c r="H10" s="21" t="n">
        <f aca="false">F10*G10</f>
        <v>150</v>
      </c>
      <c r="I10" s="45" t="n">
        <v>46031</v>
      </c>
      <c r="J10" s="34" t="s">
        <v>196</v>
      </c>
    </row>
    <row r="11" customFormat="false" ht="18" hidden="false" customHeight="true" outlineLevel="0" collapsed="false">
      <c r="A11" s="34" t="s">
        <v>111</v>
      </c>
      <c r="B11" s="45" t="n">
        <v>46030</v>
      </c>
      <c r="C11" s="34" t="s">
        <v>67</v>
      </c>
      <c r="D11" s="38" t="str">
        <f aca="false">IFERROR(INDEX(Artikel!$B$5:$B$500,MATCH($C11,Artikel!$A$5:$A$500,0)),"")</f>
        <v>Gartenschlauch 20 m</v>
      </c>
      <c r="E11" s="34" t="s">
        <v>71</v>
      </c>
      <c r="F11" s="37" t="n">
        <v>10</v>
      </c>
      <c r="G11" s="40" t="n">
        <f aca="false">IFERROR(INDEX(Artikel!$E$5:$E$500,MATCH($C11,Artikel!$A$5:$A$500,0)),0)</f>
        <v>9.9</v>
      </c>
      <c r="H11" s="17" t="n">
        <f aca="false">F11*G11</f>
        <v>99</v>
      </c>
      <c r="I11" s="45" t="n">
        <v>46034</v>
      </c>
      <c r="J11" s="34" t="s">
        <v>196</v>
      </c>
    </row>
    <row r="12" customFormat="false" ht="18" hidden="false" customHeight="true" outlineLevel="0" collapsed="false">
      <c r="A12" s="34" t="s">
        <v>111</v>
      </c>
      <c r="B12" s="45" t="n">
        <v>46030</v>
      </c>
      <c r="C12" s="34" t="s">
        <v>72</v>
      </c>
      <c r="D12" s="41" t="str">
        <f aca="false">IFERROR(INDEX(Artikel!$B$5:$B$500,MATCH($C12,Artikel!$A$5:$A$500,0)),"")</f>
        <v>Blumentopf Terrakotta Ø 30 cm</v>
      </c>
      <c r="E12" s="34" t="s">
        <v>71</v>
      </c>
      <c r="F12" s="37" t="n">
        <v>20</v>
      </c>
      <c r="G12" s="43" t="n">
        <f aca="false">IFERROR(INDEX(Artikel!$E$5:$E$500,MATCH($C12,Artikel!$A$5:$A$500,0)),0)</f>
        <v>5.5</v>
      </c>
      <c r="H12" s="21" t="n">
        <f aca="false">F12*G12</f>
        <v>110</v>
      </c>
      <c r="I12" s="45" t="n">
        <v>46034</v>
      </c>
      <c r="J12" s="34" t="s">
        <v>196</v>
      </c>
    </row>
    <row r="13" customFormat="false" ht="18" hidden="false" customHeight="true" outlineLevel="0" collapsed="false">
      <c r="A13" s="34" t="s">
        <v>112</v>
      </c>
      <c r="B13" s="45" t="n">
        <v>46032</v>
      </c>
      <c r="C13" s="34" t="s">
        <v>80</v>
      </c>
      <c r="D13" s="38" t="str">
        <f aca="false">IFERROR(INDEX(Artikel!$B$5:$B$500,MATCH($C13,Artikel!$A$5:$A$500,0)),"")</f>
        <v>Trinkflasche Sport 750 ml</v>
      </c>
      <c r="E13" s="34" t="s">
        <v>79</v>
      </c>
      <c r="F13" s="37" t="n">
        <v>24</v>
      </c>
      <c r="G13" s="40" t="n">
        <f aca="false">IFERROR(INDEX(Artikel!$E$5:$E$500,MATCH($C13,Artikel!$A$5:$A$500,0)),0)</f>
        <v>3.4</v>
      </c>
      <c r="H13" s="17" t="n">
        <f aca="false">F13*G13</f>
        <v>81.6</v>
      </c>
      <c r="I13" s="45" t="n">
        <v>46036</v>
      </c>
      <c r="J13" s="34" t="s">
        <v>196</v>
      </c>
    </row>
    <row r="14" customFormat="false" ht="18" hidden="false" customHeight="true" outlineLevel="0" collapsed="false">
      <c r="A14" s="34" t="s">
        <v>197</v>
      </c>
      <c r="B14" s="45" t="n">
        <v>46055</v>
      </c>
      <c r="C14" s="34" t="s">
        <v>59</v>
      </c>
      <c r="D14" s="41" t="str">
        <f aca="false">IFERROR(INDEX(Artikel!$B$5:$B$500,MATCH($C14,Artikel!$A$5:$A$500,0)),"")</f>
        <v>Dampfbügeleisen 2400 W</v>
      </c>
      <c r="E14" s="34" t="s">
        <v>62</v>
      </c>
      <c r="F14" s="37" t="n">
        <v>12</v>
      </c>
      <c r="G14" s="43" t="n">
        <f aca="false">IFERROR(INDEX(Artikel!$E$5:$E$500,MATCH($C14,Artikel!$A$5:$A$500,0)),0)</f>
        <v>22</v>
      </c>
      <c r="H14" s="21" t="n">
        <f aca="false">F14*G14</f>
        <v>264</v>
      </c>
      <c r="I14" s="45" t="n">
        <v>46062</v>
      </c>
      <c r="J14" s="34" t="s">
        <v>198</v>
      </c>
    </row>
    <row r="15" customFormat="false" ht="18" hidden="false" customHeight="true" outlineLevel="0" collapsed="false">
      <c r="A15" s="34" t="s">
        <v>199</v>
      </c>
      <c r="B15" s="45" t="n">
        <v>46057</v>
      </c>
      <c r="C15" s="34" t="s">
        <v>50</v>
      </c>
      <c r="D15" s="38" t="str">
        <f aca="false">IFERROR(INDEX(Artikel!$B$5:$B$500,MATCH($C15,Artikel!$A$5:$A$500,0)),"")</f>
        <v>Messerset 5-teilig</v>
      </c>
      <c r="E15" s="34" t="s">
        <v>54</v>
      </c>
      <c r="F15" s="37" t="n">
        <v>10</v>
      </c>
      <c r="G15" s="40" t="n">
        <f aca="false">IFERROR(INDEX(Artikel!$E$5:$E$500,MATCH($C15,Artikel!$A$5:$A$500,0)),0)</f>
        <v>18</v>
      </c>
      <c r="H15" s="17" t="n">
        <f aca="false">F15*G15</f>
        <v>180</v>
      </c>
      <c r="I15" s="45" t="n">
        <v>46064</v>
      </c>
      <c r="J15" s="34" t="s">
        <v>200</v>
      </c>
    </row>
    <row r="16" customFormat="false" ht="18" hidden="false" customHeight="true" outlineLevel="0" collapsed="false">
      <c r="A16" s="34" t="s">
        <v>201</v>
      </c>
      <c r="B16" s="45" t="n">
        <v>46058</v>
      </c>
      <c r="C16" s="34" t="s">
        <v>47</v>
      </c>
      <c r="D16" s="41" t="str">
        <f aca="false">IFERROR(INDEX(Artikel!$B$5:$B$500,MATCH($C16,Artikel!$A$5:$A$500,0)),"")</f>
        <v>Kaffeebecher Keramik 350 ml</v>
      </c>
      <c r="E16" s="34" t="s">
        <v>45</v>
      </c>
      <c r="F16" s="37" t="n">
        <v>48</v>
      </c>
      <c r="G16" s="43" t="n">
        <f aca="false">IFERROR(INDEX(Artikel!$E$5:$E$500,MATCH($C16,Artikel!$A$5:$A$500,0)),0)</f>
        <v>2.2</v>
      </c>
      <c r="H16" s="21" t="n">
        <f aca="false">F16*G16</f>
        <v>105.6</v>
      </c>
      <c r="I16" s="45" t="n">
        <v>46065</v>
      </c>
      <c r="J16" s="34" t="s">
        <v>200</v>
      </c>
    </row>
    <row r="17" customFormat="false" ht="21.75" hidden="false" customHeight="true" outlineLevel="0" collapsed="false">
      <c r="A17" s="44" t="s">
        <v>24</v>
      </c>
      <c r="B17" s="44"/>
      <c r="C17" s="44"/>
      <c r="D17" s="44"/>
      <c r="E17" s="44"/>
      <c r="F17" s="44"/>
      <c r="G17" s="44"/>
      <c r="H17" s="25" t="n">
        <f aca="false">SUM(H5:H16)</f>
        <v>1589.8</v>
      </c>
      <c r="I17" s="44"/>
      <c r="J17" s="44"/>
    </row>
  </sheetData>
  <mergeCells count="3">
    <mergeCell ref="A1:J1"/>
    <mergeCell ref="A2:J2"/>
    <mergeCell ref="A3:J3"/>
  </mergeCells>
  <conditionalFormatting sqref="J5:J16">
    <cfRule type="cellIs" priority="2" operator="equal" aboveAverage="0" equalAverage="0" bottom="0" percent="0" rank="0" text="" dxfId="2">
      <formula>"Offen"</formula>
    </cfRule>
    <cfRule type="cellIs" priority="3" operator="equal" aboveAverage="0" equalAverage="0" bottom="0" percent="0" rank="0" text="" dxfId="3">
      <formula>"Bestellt"</formula>
    </cfRule>
    <cfRule type="cellIs" priority="4" operator="equal" aboveAverage="0" equalAverage="0" bottom="0" percent="0" rank="0" text="" dxfId="1">
      <formula>"Geliefert"</formula>
    </cfRule>
    <cfRule type="cellIs" priority="5" operator="equal" aboveAverage="0" equalAverage="0" bottom="0" percent="0" rank="0" text="" dxfId="4">
      <formula>"Abgeschlossen"</formula>
    </cfRule>
  </conditionalFormatting>
  <dataValidations count="1">
    <dataValidation allowBlank="true" errorStyle="stop" operator="between" showDropDown="false" showErrorMessage="false" showInputMessage="false" sqref="J5:J56" type="list">
      <formula1>"Offen,Bestellt,Geliefert,Abgeschlossen"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2026-07-15T16:39:20Z</dcterms:created>
  <dc:creator>openpyxl</dc:creator>
  <dc:description/>
  <dc:language>en-US</dc:language>
  <cp:lastModifiedBy/>
  <dcterms:modified xsi:type="dcterms:W3CDTF">2026-07-15T16:39:20Z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