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146FD631-6072-4043-811A-6747AE29ABC0}" xr6:coauthVersionLast="47" xr6:coauthVersionMax="47" xr10:uidLastSave="{00000000-0000-0000-0000-000000000000}"/>
  <bookViews>
    <workbookView xWindow="2295" yWindow="1590" windowWidth="25500" windowHeight="13500" tabRatio="500" xr2:uid="{00000000-000D-0000-FFFF-FFFF00000000}"/>
  </bookViews>
  <sheets>
    <sheet name="Stundenrapport" sheetId="1" r:id="rId1"/>
    <sheet name="Stammdaten" sheetId="2" r:id="rId2"/>
  </sheets>
  <definedNames>
    <definedName name="_xlnm.Print_Area" localSheetId="0">Stundenrapport!$A$1:$M$53</definedName>
    <definedName name="_xlnm.Print_Titles" localSheetId="0">Stundenrapport!$16:$16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47" i="1" l="1"/>
  <c r="A46" i="1"/>
  <c r="A45" i="1"/>
  <c r="H45" i="1" s="1"/>
  <c r="A44" i="1"/>
  <c r="A43" i="1"/>
  <c r="A42" i="1"/>
  <c r="A41" i="1"/>
  <c r="A40" i="1"/>
  <c r="A39" i="1"/>
  <c r="A38" i="1"/>
  <c r="J38" i="1" s="1"/>
  <c r="A37" i="1"/>
  <c r="A36" i="1"/>
  <c r="A35" i="1"/>
  <c r="B35" i="1" s="1"/>
  <c r="A34" i="1"/>
  <c r="A33" i="1"/>
  <c r="A32" i="1"/>
  <c r="A31" i="1"/>
  <c r="K30" i="1"/>
  <c r="H30" i="1"/>
  <c r="A30" i="1"/>
  <c r="A29" i="1"/>
  <c r="K29" i="1" s="1"/>
  <c r="A28" i="1"/>
  <c r="K27" i="1"/>
  <c r="H27" i="1"/>
  <c r="A27" i="1"/>
  <c r="A26" i="1"/>
  <c r="A25" i="1"/>
  <c r="B25" i="1" s="1"/>
  <c r="A24" i="1"/>
  <c r="A23" i="1"/>
  <c r="A22" i="1"/>
  <c r="H22" i="1" s="1"/>
  <c r="A21" i="1"/>
  <c r="K20" i="1"/>
  <c r="H20" i="1"/>
  <c r="A20" i="1"/>
  <c r="A19" i="1"/>
  <c r="K19" i="1" s="1"/>
  <c r="A18" i="1"/>
  <c r="J18" i="1" s="1"/>
  <c r="K17" i="1"/>
  <c r="H17" i="1"/>
  <c r="A17" i="1"/>
  <c r="L13" i="1"/>
  <c r="G10" i="1"/>
  <c r="L26" i="1" l="1"/>
  <c r="L42" i="1"/>
  <c r="L27" i="1"/>
  <c r="H35" i="1"/>
  <c r="K38" i="1"/>
  <c r="B22" i="1"/>
  <c r="J25" i="1"/>
  <c r="L25" i="1" s="1"/>
  <c r="B32" i="1"/>
  <c r="J35" i="1"/>
  <c r="L35" i="1" s="1"/>
  <c r="L38" i="1"/>
  <c r="B42" i="1"/>
  <c r="J45" i="1"/>
  <c r="L45" i="1" s="1"/>
  <c r="H42" i="1"/>
  <c r="K45" i="1"/>
  <c r="H21" i="1"/>
  <c r="L21" i="1" s="1"/>
  <c r="H28" i="1"/>
  <c r="J28" i="1" s="1"/>
  <c r="H32" i="1"/>
  <c r="K35" i="1"/>
  <c r="B19" i="1"/>
  <c r="J22" i="1"/>
  <c r="B29" i="1"/>
  <c r="J32" i="1"/>
  <c r="L32" i="1" s="1"/>
  <c r="B39" i="1"/>
  <c r="J42" i="1"/>
  <c r="H18" i="1"/>
  <c r="H48" i="1" s="1"/>
  <c r="K31" i="1"/>
  <c r="K18" i="1"/>
  <c r="K48" i="1" s="1"/>
  <c r="K25" i="1"/>
  <c r="H19" i="1"/>
  <c r="L19" i="1" s="1"/>
  <c r="K22" i="1"/>
  <c r="L22" i="1" s="1"/>
  <c r="H29" i="1"/>
  <c r="J29" i="1" s="1"/>
  <c r="K32" i="1"/>
  <c r="H39" i="1"/>
  <c r="L39" i="1" s="1"/>
  <c r="K42" i="1"/>
  <c r="J19" i="1"/>
  <c r="B26" i="1"/>
  <c r="B36" i="1"/>
  <c r="J39" i="1"/>
  <c r="B46" i="1"/>
  <c r="H46" i="1"/>
  <c r="L46" i="1" s="1"/>
  <c r="H36" i="1"/>
  <c r="L36" i="1" s="1"/>
  <c r="K39" i="1"/>
  <c r="B23" i="1"/>
  <c r="J26" i="1"/>
  <c r="B33" i="1"/>
  <c r="J36" i="1"/>
  <c r="B43" i="1"/>
  <c r="J46" i="1"/>
  <c r="H43" i="1"/>
  <c r="L43" i="1" s="1"/>
  <c r="K46" i="1"/>
  <c r="H25" i="1"/>
  <c r="K28" i="1"/>
  <c r="H26" i="1"/>
  <c r="H23" i="1"/>
  <c r="L23" i="1" s="1"/>
  <c r="K26" i="1"/>
  <c r="H33" i="1"/>
  <c r="L33" i="1" s="1"/>
  <c r="K36" i="1"/>
  <c r="B20" i="1"/>
  <c r="J23" i="1"/>
  <c r="B30" i="1"/>
  <c r="J33" i="1"/>
  <c r="B40" i="1"/>
  <c r="J43" i="1"/>
  <c r="H40" i="1"/>
  <c r="L40" i="1" s="1"/>
  <c r="K43" i="1"/>
  <c r="H24" i="1"/>
  <c r="L24" i="1" s="1"/>
  <c r="K24" i="1"/>
  <c r="K21" i="1"/>
  <c r="K23" i="1"/>
  <c r="K33" i="1"/>
  <c r="B17" i="1"/>
  <c r="J20" i="1"/>
  <c r="L20" i="1" s="1"/>
  <c r="B27" i="1"/>
  <c r="J30" i="1"/>
  <c r="L30" i="1" s="1"/>
  <c r="B37" i="1"/>
  <c r="J40" i="1"/>
  <c r="B47" i="1"/>
  <c r="H47" i="1"/>
  <c r="L47" i="1" s="1"/>
  <c r="H37" i="1"/>
  <c r="L37" i="1" s="1"/>
  <c r="K40" i="1"/>
  <c r="J17" i="1"/>
  <c r="L17" i="1" s="1"/>
  <c r="B24" i="1"/>
  <c r="J27" i="1"/>
  <c r="B34" i="1"/>
  <c r="J37" i="1"/>
  <c r="B44" i="1"/>
  <c r="J47" i="1"/>
  <c r="H44" i="1"/>
  <c r="L44" i="1" s="1"/>
  <c r="K47" i="1"/>
  <c r="H34" i="1"/>
  <c r="K37" i="1"/>
  <c r="B21" i="1"/>
  <c r="J24" i="1"/>
  <c r="B31" i="1"/>
  <c r="J34" i="1"/>
  <c r="L34" i="1" s="1"/>
  <c r="B41" i="1"/>
  <c r="J44" i="1"/>
  <c r="H31" i="1"/>
  <c r="L31" i="1" s="1"/>
  <c r="K34" i="1"/>
  <c r="H41" i="1"/>
  <c r="K44" i="1"/>
  <c r="B18" i="1"/>
  <c r="J21" i="1"/>
  <c r="B28" i="1"/>
  <c r="J31" i="1"/>
  <c r="B38" i="1"/>
  <c r="J41" i="1"/>
  <c r="L41" i="1" s="1"/>
  <c r="H38" i="1"/>
  <c r="K41" i="1"/>
  <c r="B45" i="1"/>
  <c r="L29" i="1" l="1"/>
  <c r="L28" i="1"/>
  <c r="L10" i="1"/>
  <c r="L18" i="1"/>
  <c r="L48" i="1" s="1"/>
  <c r="M48" i="1" s="1"/>
  <c r="L7" i="1"/>
  <c r="L9" i="1" s="1"/>
  <c r="L11" i="1" s="1"/>
  <c r="L12" i="1" s="1"/>
  <c r="J48" i="1"/>
  <c r="L8" i="1"/>
</calcChain>
</file>

<file path=xl/sharedStrings.xml><?xml version="1.0" encoding="utf-8"?>
<sst xmlns="http://schemas.openxmlformats.org/spreadsheetml/2006/main" count="159" uniqueCount="121">
  <si>
    <t>MUSTERTECHNIK AG</t>
  </si>
  <si>
    <t>STUNDENRAPPORT</t>
  </si>
  <si>
    <t>Personaladministration · Zeiterfassung</t>
  </si>
  <si>
    <t>Mitarbeiter/in</t>
  </si>
  <si>
    <t>Andrea Lehmann</t>
  </si>
  <si>
    <t>Monat</t>
  </si>
  <si>
    <t>Mai</t>
  </si>
  <si>
    <t>MONATSÜBERSICHT</t>
  </si>
  <si>
    <t>Personal-Nr.</t>
  </si>
  <si>
    <t>MA-2048</t>
  </si>
  <si>
    <t>Jahr</t>
  </si>
  <si>
    <t>Total Arbeitszeit (Std.)</t>
  </si>
  <si>
    <t>Abteilung</t>
  </si>
  <si>
    <t>Technik &amp; Projekte</t>
  </si>
  <si>
    <t>Pensum</t>
  </si>
  <si>
    <t>Total Abwesenheit (Std.)</t>
  </si>
  <si>
    <t>Vorgesetzte/r</t>
  </si>
  <si>
    <t>Marco Brunner</t>
  </si>
  <si>
    <t>Wochensoll</t>
  </si>
  <si>
    <t>Total Ist (Std.)</t>
  </si>
  <si>
    <t>Ferienanspruch</t>
  </si>
  <si>
    <t>Tagessoll</t>
  </si>
  <si>
    <t>Total Soll (Std.)</t>
  </si>
  <si>
    <t>Ferien bezogen</t>
  </si>
  <si>
    <t>Saldo-Übertrag</t>
  </si>
  <si>
    <t>Saldo Monat (Std.)</t>
  </si>
  <si>
    <t>Saldo kumuliert (Std.)</t>
  </si>
  <si>
    <t>Ferien-Restanspruch (Tage)</t>
  </si>
  <si>
    <t>Legende:  weisse Felder = Eingabe  ·  graue Felder = automatische Berechnung  ·  grau hinterlegte Zeile = Wochenende  ·  beige Zeile = Feiertag  ·  Pause in Dezimalstunden (0.75 = 45 Min.)</t>
  </si>
  <si>
    <t>Datum</t>
  </si>
  <si>
    <t>Tag</t>
  </si>
  <si>
    <t>Projekt / Auftrag</t>
  </si>
  <si>
    <t>Tätigkeit</t>
  </si>
  <si>
    <t>Beginn</t>
  </si>
  <si>
    <t>Ende</t>
  </si>
  <si>
    <t>Pause</t>
  </si>
  <si>
    <t>Arbeitszeit</t>
  </si>
  <si>
    <t>Abwesenheit</t>
  </si>
  <si>
    <t>Abw.-Std.</t>
  </si>
  <si>
    <t>Soll</t>
  </si>
  <si>
    <t>Differenz</t>
  </si>
  <si>
    <t>Bemerkung</t>
  </si>
  <si>
    <t>Feiertag – Tag der Arbeit</t>
  </si>
  <si>
    <t>P-1002 · Projekt Beta</t>
  </si>
  <si>
    <t>Konzept &amp; Planung</t>
  </si>
  <si>
    <t>Sprintplanung Modul 2</t>
  </si>
  <si>
    <t>Umsetzung</t>
  </si>
  <si>
    <t>P-1001 · Projekt Alpha</t>
  </si>
  <si>
    <t>Beratung</t>
  </si>
  <si>
    <t>Workshop beim Kunden</t>
  </si>
  <si>
    <t>Meilenstein M2 fertiggestellt</t>
  </si>
  <si>
    <t>VERW · Administration</t>
  </si>
  <si>
    <t>Administration</t>
  </si>
  <si>
    <t>Monatsabschluss Rapportierung</t>
  </si>
  <si>
    <t>Ferien</t>
  </si>
  <si>
    <t>Feiertag – Auffahrt</t>
  </si>
  <si>
    <t>Brückentag</t>
  </si>
  <si>
    <t>WART · Wartung &amp; Support</t>
  </si>
  <si>
    <t>Support / Störungsbehebung</t>
  </si>
  <si>
    <t>Notfalleinsatz Samstag</t>
  </si>
  <si>
    <t>P-1003 · Projekt Gamma</t>
  </si>
  <si>
    <t>Reisezeit</t>
  </si>
  <si>
    <t>Anfahrt Standort Nord</t>
  </si>
  <si>
    <t>Krankheit</t>
  </si>
  <si>
    <t>Arztzeugnis eingereicht</t>
  </si>
  <si>
    <t>Dokumentation</t>
  </si>
  <si>
    <t>Feiertag – Pfingstmontag</t>
  </si>
  <si>
    <t>INT · Interne Arbeiten</t>
  </si>
  <si>
    <t>Besprechung / Meeting</t>
  </si>
  <si>
    <t>Kompensation</t>
  </si>
  <si>
    <t>Halbtag Kompensation Überzeit</t>
  </si>
  <si>
    <t>AKQ · Akquisition &amp; Offerten</t>
  </si>
  <si>
    <t>Offerte Ausschreibung</t>
  </si>
  <si>
    <t>Qualitätssicherung</t>
  </si>
  <si>
    <t>Abnahmeprotokoll erstellt</t>
  </si>
  <si>
    <t>TOTAL MONAT</t>
  </si>
  <si>
    <t>Datum / Unterschrift Mitarbeiter/in</t>
  </si>
  <si>
    <t>Datum / Unterschrift Vorgesetzte/r</t>
  </si>
  <si>
    <t>Der Stundenrapport ist bis zum 5. Kalendertag des Folgemonats einzureichen. Ausgewiesene Überzeit wird gemäss betrieblicher Zeitregelung kompensiert oder ausbezahlt.</t>
  </si>
  <si>
    <t>STAMMDATEN &amp; LISTEN</t>
  </si>
  <si>
    <t>Diese Listen speisen die Auswahlfelder im Stundenrapport. Einträge können frei ergänzt oder überschrieben werden.</t>
  </si>
  <si>
    <t>Abwesenheitsart</t>
  </si>
  <si>
    <t>Feiertag (Datum)</t>
  </si>
  <si>
    <t>Bezeichnung</t>
  </si>
  <si>
    <t>Januar</t>
  </si>
  <si>
    <t>Neujahr</t>
  </si>
  <si>
    <t>Februar</t>
  </si>
  <si>
    <t>Berchtoldstag</t>
  </si>
  <si>
    <t>März</t>
  </si>
  <si>
    <t>Unfall</t>
  </si>
  <si>
    <t>Karfreitag</t>
  </si>
  <si>
    <t>April</t>
  </si>
  <si>
    <t>P-1004 · Projekt Delta</t>
  </si>
  <si>
    <t>Ostermontag</t>
  </si>
  <si>
    <t>Weiterbildung</t>
  </si>
  <si>
    <t>Tag der Arbeit</t>
  </si>
  <si>
    <t>Juni</t>
  </si>
  <si>
    <t>Sonderurlaub</t>
  </si>
  <si>
    <t>Auffahrt</t>
  </si>
  <si>
    <t>Juli</t>
  </si>
  <si>
    <t>Unbezahlt</t>
  </si>
  <si>
    <t>Pfingstmontag</t>
  </si>
  <si>
    <t>August</t>
  </si>
  <si>
    <t>Nationalfeiertag</t>
  </si>
  <si>
    <t>September</t>
  </si>
  <si>
    <t>SCHU · Aus- &amp; Weiterbildung</t>
  </si>
  <si>
    <t>Weihnachten</t>
  </si>
  <si>
    <t>Oktober</t>
  </si>
  <si>
    <t>Schulung</t>
  </si>
  <si>
    <t>Stephanstag</t>
  </si>
  <si>
    <t>November</t>
  </si>
  <si>
    <t>Dezember</t>
  </si>
  <si>
    <t>ANLEITUNG</t>
  </si>
  <si>
    <t>1.  Kopfbereich ausfüllen: Mitarbeiterdaten, Monat, Jahr, Pensum, Wochensoll und Saldo-Übertrag aus dem Vormonat.</t>
  </si>
  <si>
    <t>2.  Das Tagessoll und alle Datumszeilen berechnen sich automatisch aus Monat/Jahr – Wochenenden und Feiertage werden mit Soll 0.00 geführt.</t>
  </si>
  <si>
    <t>3.  Pro Tag Beginn, Ende und Pause (in Stunden, z. B. 0.75 = 45 Min.) erfassen. Projekt und Tätigkeit über die Auswahllisten wählen.</t>
  </si>
  <si>
    <t>4.  Ganztägige Abwesenheiten: nur die Abwesenheitsart wählen – die Sollzeit wird automatisch gutgeschrieben.</t>
  </si>
  <si>
    <t>5.  Halbtägige Abwesenheiten: Arbeitszeiten erfassen UND Abwesenheitsart wählen – gutgeschrieben wird nur die Differenz zum Tagessoll.</t>
  </si>
  <si>
    <t>6.  «Kompensation» und «Unbezahlt» werden bewusst nicht gutgeschrieben und reduzieren dadurch den Saldo.</t>
  </si>
  <si>
    <t>7.  Feiertagsliste jährlich bzw. kantonal/regional anpassen (Spalten J und K).</t>
  </si>
  <si>
    <t>Grau hinterlegte Felder enthalten Formeln und sollten nicht überschrieben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</si>
</sst>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0&quot; Std.&quot;"/>
    <numFmt numFmtId="165" formatCode="0&quot; Tage pro Jahr&quot;"/>
    <numFmt numFmtId="166" formatCode="0.0&quot; Tage (bis Vormonat)&quot;"/>
    <numFmt numFmtId="167" formatCode="\+0.00&quot; Std.&quot;;\-0.00&quot; Std.&quot;;0.00&quot; Std.&quot;"/>
    <numFmt numFmtId="168" formatCode="\+0.00;\-0.00;0.00"/>
    <numFmt numFmtId="169" formatCode="0.0"/>
    <numFmt numFmtId="170" formatCode="dd\.mm\.yyyy"/>
    <numFmt numFmtId="171" formatCode="hh:mm"/>
    <numFmt numFmtId="172" formatCode="#,##0.00;\-#,##0.00;\–"/>
    <numFmt numFmtId="173" formatCode="\+0.00;\-0.00;\–"/>
  </numFmts>
  <fonts count="16" x14ac:knownFonts="1">
    <font>
      <sz val="11"/>
      <color theme="1"/>
      <name val="Calibri"/>
      <family val="2"/>
      <charset val="1"/>
    </font>
    <font>
      <b/>
      <sz val="17"/>
      <color rgb="FFFFFFFF"/>
      <name val="Calibri"/>
      <charset val="1"/>
    </font>
    <font>
      <b/>
      <sz val="20"/>
      <color rgb="FFC8973F"/>
      <name val="Calibri"/>
      <charset val="1"/>
    </font>
    <font>
      <sz val="10"/>
      <color rgb="FFA8C3CC"/>
      <name val="Calibri"/>
      <charset val="1"/>
    </font>
    <font>
      <b/>
      <sz val="10"/>
      <color rgb="FF6B7F86"/>
      <name val="Calibri"/>
      <charset val="1"/>
    </font>
    <font>
      <sz val="11"/>
      <color rgb="FF16323B"/>
      <name val="Calibri"/>
      <charset val="1"/>
    </font>
    <font>
      <b/>
      <sz val="10"/>
      <color rgb="FFFFFFFF"/>
      <name val="Calibri"/>
      <charset val="1"/>
    </font>
    <font>
      <sz val="10"/>
      <color rgb="FF6B7F86"/>
      <name val="Calibri"/>
      <charset val="1"/>
    </font>
    <font>
      <b/>
      <sz val="11"/>
      <color rgb="FF0E3B47"/>
      <name val="Calibri"/>
      <charset val="1"/>
    </font>
    <font>
      <b/>
      <sz val="10"/>
      <color rgb="FF16323B"/>
      <name val="Calibri"/>
      <charset val="1"/>
    </font>
    <font>
      <i/>
      <sz val="9"/>
      <color rgb="FF6B7F86"/>
      <name val="Calibri"/>
      <charset val="1"/>
    </font>
    <font>
      <sz val="10"/>
      <color rgb="FF16323B"/>
      <name val="Calibri"/>
      <charset val="1"/>
    </font>
    <font>
      <b/>
      <sz val="11"/>
      <color rgb="FFFFFFFF"/>
      <name val="Calibri"/>
      <charset val="1"/>
    </font>
    <font>
      <i/>
      <sz val="9"/>
      <color rgb="FFA8C3CC"/>
      <name val="Calibri"/>
      <charset val="1"/>
    </font>
    <font>
      <sz val="9"/>
      <color rgb="FF6B7F86"/>
      <name val="Calibri"/>
      <charset val="1"/>
    </font>
    <font>
      <b/>
      <sz val="14"/>
      <color rgb="FF0E3B47"/>
      <name val="Calibri"/>
      <charset val="1"/>
    </font>
  </fonts>
  <fills count="8">
    <fill>
      <patternFill patternType="none"/>
    </fill>
    <fill>
      <patternFill patternType="gray125"/>
    </fill>
    <fill>
      <patternFill patternType="solid">
        <fgColor rgb="FFC8973F"/>
        <bgColor rgb="FF969696"/>
      </patternFill>
    </fill>
    <fill>
      <patternFill patternType="solid">
        <fgColor rgb="FF0E3B47"/>
        <bgColor rgb="FF16323B"/>
      </patternFill>
    </fill>
    <fill>
      <patternFill patternType="solid">
        <fgColor rgb="FF185A6B"/>
        <bgColor rgb="FF0E3B47"/>
      </patternFill>
    </fill>
    <fill>
      <patternFill patternType="solid">
        <fgColor rgb="FFFFFFFF"/>
        <bgColor rgb="FFF4F6F6"/>
      </patternFill>
    </fill>
    <fill>
      <patternFill patternType="solid">
        <fgColor rgb="FFF4F6F6"/>
        <bgColor rgb="FFF7F2E7"/>
      </patternFill>
    </fill>
    <fill>
      <patternFill patternType="solid">
        <fgColor rgb="FFF7F2E7"/>
        <bgColor rgb="FFFAEEDA"/>
      </patternFill>
    </fill>
  </fills>
  <borders count="6">
    <border>
      <left/>
      <right/>
      <top/>
      <bottom/>
      <diagonal/>
    </border>
    <border>
      <left/>
      <right/>
      <top/>
      <bottom style="thin">
        <color rgb="FFC9D3D6"/>
      </bottom>
      <diagonal/>
    </border>
    <border>
      <left/>
      <right/>
      <top/>
      <bottom style="medium">
        <color rgb="FFC8973F"/>
      </bottom>
      <diagonal/>
    </border>
    <border>
      <left style="thin">
        <color rgb="FFC9D3D6"/>
      </left>
      <right style="thin">
        <color rgb="FFC9D3D6"/>
      </right>
      <top style="thin">
        <color rgb="FFC9D3D6"/>
      </top>
      <bottom style="thin">
        <color rgb="FFC9D3D6"/>
      </bottom>
      <diagonal/>
    </border>
    <border>
      <left/>
      <right/>
      <top style="medium">
        <color rgb="FFC8973F"/>
      </top>
      <bottom/>
      <diagonal/>
    </border>
    <border>
      <left/>
      <right/>
      <top/>
      <bottom style="thin">
        <color rgb="FF0E3B47"/>
      </bottom>
      <diagonal/>
    </border>
  </borders>
  <cellStyleXfs count="1">
    <xf numFmtId="0" fontId="0" fillId="0" borderId="0"/>
  </cellStyleXfs>
  <cellXfs count="43">
    <xf numFmtId="0" fontId="0" fillId="0" borderId="0" xfId="0"/>
    <xf numFmtId="167" fontId="5" fillId="0" borderId="1" xfId="0" applyNumberFormat="1" applyFont="1" applyBorder="1" applyAlignment="1">
      <alignment horizontal="left" vertical="center" indent="1"/>
    </xf>
    <xf numFmtId="166" fontId="5" fillId="0" borderId="1" xfId="0" applyNumberFormat="1" applyFont="1" applyBorder="1" applyAlignment="1">
      <alignment horizontal="left" vertical="center" indent="1"/>
    </xf>
    <xf numFmtId="164" fontId="5" fillId="6" borderId="1" xfId="0" applyNumberFormat="1" applyFont="1" applyFill="1" applyBorder="1" applyAlignment="1">
      <alignment horizontal="left" vertical="center" indent="1"/>
    </xf>
    <xf numFmtId="165" fontId="5" fillId="0" borderId="1" xfId="0" applyNumberFormat="1" applyFont="1" applyBorder="1" applyAlignment="1">
      <alignment horizontal="left" vertical="center" indent="1"/>
    </xf>
    <xf numFmtId="164" fontId="5" fillId="0" borderId="1" xfId="0" applyNumberFormat="1" applyFont="1" applyBorder="1" applyAlignment="1">
      <alignment horizontal="left" vertical="center" indent="1"/>
    </xf>
    <xf numFmtId="9" fontId="5" fillId="0" borderId="1" xfId="0" applyNumberFormat="1" applyFont="1" applyBorder="1" applyAlignment="1">
      <alignment horizontal="left" vertical="center" indent="1"/>
    </xf>
    <xf numFmtId="4" fontId="8" fillId="5" borderId="1" xfId="0" applyNumberFormat="1" applyFont="1" applyFill="1" applyBorder="1" applyAlignment="1">
      <alignment horizontal="right" vertical="center" indent="1"/>
    </xf>
    <xf numFmtId="0" fontId="7" fillId="5" borderId="1" xfId="0" applyFont="1" applyFill="1" applyBorder="1" applyAlignment="1">
      <alignment horizontal="left" vertical="center" indent="1"/>
    </xf>
    <xf numFmtId="1" fontId="5" fillId="0" borderId="1" xfId="0" applyNumberFormat="1" applyFont="1" applyBorder="1" applyAlignment="1">
      <alignment horizontal="left" vertical="center" indent="1"/>
    </xf>
    <xf numFmtId="0" fontId="6" fillId="4" borderId="0" xfId="0" applyFont="1" applyFill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0" fontId="3" fillId="3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right" vertical="center" indent="1"/>
    </xf>
    <xf numFmtId="0" fontId="1" fillId="3" borderId="0" xfId="0" applyFont="1" applyFill="1" applyAlignment="1">
      <alignment horizontal="left" vertical="center" indent="1"/>
    </xf>
    <xf numFmtId="0" fontId="0" fillId="2" borderId="0" xfId="0" applyFill="1"/>
    <xf numFmtId="0" fontId="0" fillId="3" borderId="0" xfId="0" applyFill="1"/>
    <xf numFmtId="0" fontId="4" fillId="0" borderId="0" xfId="0" applyFont="1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170" fontId="11" fillId="6" borderId="3" xfId="0" applyNumberFormat="1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 indent="1"/>
    </xf>
    <xf numFmtId="171" fontId="11" fillId="0" borderId="3" xfId="0" applyNumberFormat="1" applyFont="1" applyBorder="1" applyAlignment="1">
      <alignment horizontal="center" vertical="center"/>
    </xf>
    <xf numFmtId="172" fontId="11" fillId="0" borderId="3" xfId="0" applyNumberFormat="1" applyFont="1" applyBorder="1" applyAlignment="1">
      <alignment horizontal="center" vertical="center"/>
    </xf>
    <xf numFmtId="172" fontId="11" fillId="6" borderId="3" xfId="0" applyNumberFormat="1" applyFont="1" applyFill="1" applyBorder="1" applyAlignment="1">
      <alignment horizontal="right" vertical="center" indent="1"/>
    </xf>
    <xf numFmtId="173" fontId="9" fillId="6" borderId="3" xfId="0" applyNumberFormat="1" applyFont="1" applyFill="1" applyBorder="1" applyAlignment="1">
      <alignment horizontal="right" vertical="center" indent="1"/>
    </xf>
    <xf numFmtId="172" fontId="12" fillId="3" borderId="4" xfId="0" applyNumberFormat="1" applyFont="1" applyFill="1" applyBorder="1" applyAlignment="1">
      <alignment horizontal="right" vertical="center" indent="1"/>
    </xf>
    <xf numFmtId="0" fontId="12" fillId="3" borderId="4" xfId="0" applyFont="1" applyFill="1" applyBorder="1"/>
    <xf numFmtId="173" fontId="12" fillId="3" borderId="4" xfId="0" applyNumberFormat="1" applyFont="1" applyFill="1" applyBorder="1" applyAlignment="1">
      <alignment horizontal="right" vertical="center" indent="1"/>
    </xf>
    <xf numFmtId="0" fontId="13" fillId="3" borderId="4" xfId="0" applyFont="1" applyFill="1" applyBorder="1" applyAlignment="1">
      <alignment horizontal="left" vertical="center" indent="1"/>
    </xf>
    <xf numFmtId="0" fontId="15" fillId="0" borderId="0" xfId="0" applyFont="1"/>
    <xf numFmtId="0" fontId="10" fillId="0" borderId="0" xfId="0" applyFont="1"/>
    <xf numFmtId="0" fontId="6" fillId="4" borderId="3" xfId="0" applyFont="1" applyFill="1" applyBorder="1" applyAlignment="1">
      <alignment horizontal="left" vertical="center" indent="1"/>
    </xf>
    <xf numFmtId="170" fontId="11" fillId="0" borderId="3" xfId="0" applyNumberFormat="1" applyFont="1" applyBorder="1" applyAlignment="1">
      <alignment horizontal="left" vertical="center" inden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7" borderId="1" xfId="0" applyFont="1" applyFill="1" applyBorder="1" applyAlignment="1">
      <alignment horizontal="left" vertical="center" indent="1"/>
    </xf>
    <xf numFmtId="168" fontId="8" fillId="7" borderId="1" xfId="0" applyNumberFormat="1" applyFont="1" applyFill="1" applyBorder="1" applyAlignment="1">
      <alignment horizontal="right" vertical="center" indent="1"/>
    </xf>
    <xf numFmtId="169" fontId="8" fillId="5" borderId="1" xfId="0" applyNumberFormat="1" applyFont="1" applyFill="1" applyBorder="1" applyAlignment="1">
      <alignment horizontal="right" vertical="center" indent="1"/>
    </xf>
    <xf numFmtId="0" fontId="10" fillId="0" borderId="0" xfId="0" applyFont="1" applyAlignment="1">
      <alignment horizontal="left" vertical="center"/>
    </xf>
    <xf numFmtId="0" fontId="12" fillId="3" borderId="4" xfId="0" applyFont="1" applyFill="1" applyBorder="1" applyAlignment="1">
      <alignment horizontal="left" vertical="center" indent="1"/>
    </xf>
    <xf numFmtId="0" fontId="0" fillId="0" borderId="5" xfId="0" applyBorder="1"/>
    <xf numFmtId="0" fontId="14" fillId="0" borderId="0" xfId="0" applyFont="1" applyAlignment="1">
      <alignment horizontal="left" vertical="center"/>
    </xf>
  </cellXfs>
  <cellStyles count="1">
    <cellStyle name="Standard" xfId="0" builtinId="0"/>
  </cellStyles>
  <dxfs count="8">
    <dxf>
      <font>
        <b/>
        <sz val="11"/>
        <color rgb="FF1E7A45"/>
        <name val="Calibri"/>
        <charset val="1"/>
      </font>
    </dxf>
    <dxf>
      <font>
        <b/>
        <sz val="11"/>
        <color rgb="FFB03A2E"/>
        <name val="Calibri"/>
        <charset val="1"/>
      </font>
    </dxf>
    <dxf>
      <font>
        <b/>
        <sz val="11"/>
        <color rgb="FF1E7A45"/>
        <name val="Calibri"/>
        <charset val="1"/>
      </font>
    </dxf>
    <dxf>
      <font>
        <b/>
        <sz val="11"/>
        <color rgb="FFB03A2E"/>
        <name val="Calibri"/>
        <charset val="1"/>
      </font>
    </dxf>
    <dxf>
      <font>
        <b/>
        <sz val="10"/>
        <color rgb="FF1E7A45"/>
        <name val="Calibri"/>
        <charset val="1"/>
      </font>
    </dxf>
    <dxf>
      <font>
        <b/>
        <sz val="10"/>
        <color rgb="FFB03A2E"/>
        <name val="Calibri"/>
        <charset val="1"/>
      </font>
    </dxf>
    <dxf>
      <fill>
        <patternFill>
          <bgColor rgb="FFE7EBEC"/>
        </patternFill>
      </fill>
    </dxf>
    <dxf>
      <fill>
        <patternFill>
          <bgColor rgb="FFFAEEDA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E7A45"/>
      <rgbColor rgb="FFA8C3CC"/>
      <rgbColor rgb="FF6B7F86"/>
      <rgbColor rgb="FF9999FF"/>
      <rgbColor rgb="FF993366"/>
      <rgbColor rgb="FFF7F2E7"/>
      <rgbColor rgb="FFE7EBEC"/>
      <rgbColor rgb="FF660066"/>
      <rgbColor rgb="FFFF8080"/>
      <rgbColor rgb="FF0066CC"/>
      <rgbColor rgb="FFC9D3D6"/>
      <rgbColor rgb="FF000080"/>
      <rgbColor rgb="FFFF00FF"/>
      <rgbColor rgb="FFFFFF00"/>
      <rgbColor rgb="FF00FFFF"/>
      <rgbColor rgb="FF800080"/>
      <rgbColor rgb="FF800000"/>
      <rgbColor rgb="FF185A6B"/>
      <rgbColor rgb="FF0000FF"/>
      <rgbColor rgb="FF00CCFF"/>
      <rgbColor rgb="FFF4F6F6"/>
      <rgbColor rgb="FFCCFFCC"/>
      <rgbColor rgb="FFFAEEDA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C8973F"/>
      <rgbColor rgb="FFFF6600"/>
      <rgbColor rgb="FF666699"/>
      <rgbColor rgb="FF969696"/>
      <rgbColor rgb="FF0E3B47"/>
      <rgbColor rgb="FF339966"/>
      <rgbColor rgb="FF003300"/>
      <rgbColor rgb="FF333300"/>
      <rgbColor rgb="FFB03A2E"/>
      <rgbColor rgb="FF993366"/>
      <rgbColor rgb="FF333399"/>
      <rgbColor rgb="FF16323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3"/>
  <sheetViews>
    <sheetView showGridLines="0" tabSelected="1" zoomScaleNormal="100" workbookViewId="0">
      <pane ySplit="16" topLeftCell="A17" activePane="bottomLeft" state="frozen"/>
      <selection pane="bottomLeft" activeCell="M57" sqref="M57"/>
    </sheetView>
  </sheetViews>
  <sheetFormatPr baseColWidth="10" defaultColWidth="8.7109375" defaultRowHeight="15" x14ac:dyDescent="0.25"/>
  <cols>
    <col min="1" max="1" width="13" bestFit="1" customWidth="1"/>
    <col min="2" max="2" width="3.5703125" bestFit="1" customWidth="1"/>
    <col min="3" max="4" width="24.7109375" bestFit="1" customWidth="1"/>
    <col min="5" max="5" width="12.7109375" bestFit="1" customWidth="1"/>
    <col min="6" max="6" width="5.42578125" bestFit="1" customWidth="1"/>
    <col min="7" max="7" width="5.5703125" bestFit="1" customWidth="1"/>
    <col min="8" max="8" width="9.5703125" bestFit="1" customWidth="1"/>
    <col min="9" max="9" width="13.5703125" bestFit="1" customWidth="1"/>
    <col min="10" max="10" width="8.5703125" bestFit="1" customWidth="1"/>
    <col min="11" max="11" width="7.85546875" bestFit="1" customWidth="1"/>
    <col min="12" max="12" width="8.140625" bestFit="1" customWidth="1"/>
    <col min="13" max="13" width="28.42578125" bestFit="1" customWidth="1"/>
  </cols>
  <sheetData>
    <row r="1" spans="1:13" ht="6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25.5" customHeight="1" x14ac:dyDescent="0.25">
      <c r="A2" s="14" t="s">
        <v>0</v>
      </c>
      <c r="B2" s="14"/>
      <c r="C2" s="14"/>
      <c r="D2" s="14"/>
      <c r="E2" s="14"/>
      <c r="F2" s="14"/>
      <c r="G2" s="16"/>
      <c r="H2" s="13" t="s">
        <v>1</v>
      </c>
      <c r="I2" s="13"/>
      <c r="J2" s="13"/>
      <c r="K2" s="13"/>
      <c r="L2" s="13"/>
      <c r="M2" s="13"/>
    </row>
    <row r="3" spans="1:13" ht="18" customHeight="1" x14ac:dyDescent="0.25">
      <c r="A3" s="12" t="s">
        <v>2</v>
      </c>
      <c r="B3" s="12"/>
      <c r="C3" s="12"/>
      <c r="D3" s="12"/>
      <c r="E3" s="12"/>
      <c r="F3" s="12"/>
      <c r="G3" s="16"/>
      <c r="H3" s="13"/>
      <c r="I3" s="13"/>
      <c r="J3" s="13"/>
      <c r="K3" s="13"/>
      <c r="L3" s="13"/>
      <c r="M3" s="13"/>
    </row>
    <row r="4" spans="1:13" ht="9.7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3" ht="7.5" customHeight="1" x14ac:dyDescent="0.25"/>
    <row r="6" spans="1:13" ht="18.75" customHeight="1" x14ac:dyDescent="0.25">
      <c r="A6" s="17" t="s">
        <v>3</v>
      </c>
      <c r="C6" s="11" t="s">
        <v>4</v>
      </c>
      <c r="D6" s="11"/>
      <c r="E6" s="17" t="s">
        <v>5</v>
      </c>
      <c r="G6" s="11" t="s">
        <v>6</v>
      </c>
      <c r="H6" s="11"/>
      <c r="I6" s="10" t="s">
        <v>7</v>
      </c>
      <c r="J6" s="10"/>
      <c r="K6" s="10"/>
      <c r="L6" s="10"/>
      <c r="M6" s="10"/>
    </row>
    <row r="7" spans="1:13" ht="18.75" customHeight="1" x14ac:dyDescent="0.25">
      <c r="A7" s="17" t="s">
        <v>8</v>
      </c>
      <c r="C7" s="11" t="s">
        <v>9</v>
      </c>
      <c r="D7" s="11"/>
      <c r="E7" s="17" t="s">
        <v>10</v>
      </c>
      <c r="G7" s="9">
        <v>2026</v>
      </c>
      <c r="H7" s="9"/>
      <c r="I7" s="8" t="s">
        <v>11</v>
      </c>
      <c r="J7" s="8"/>
      <c r="K7" s="8"/>
      <c r="L7" s="7">
        <f>ROUND(SUM($H$17:$H$47),2)</f>
        <v>103.5</v>
      </c>
      <c r="M7" s="7"/>
    </row>
    <row r="8" spans="1:13" ht="18.75" customHeight="1" x14ac:dyDescent="0.25">
      <c r="A8" s="17" t="s">
        <v>12</v>
      </c>
      <c r="C8" s="11" t="s">
        <v>13</v>
      </c>
      <c r="D8" s="11"/>
      <c r="E8" s="17" t="s">
        <v>14</v>
      </c>
      <c r="G8" s="6">
        <v>1</v>
      </c>
      <c r="H8" s="6"/>
      <c r="I8" s="8" t="s">
        <v>15</v>
      </c>
      <c r="J8" s="8"/>
      <c r="K8" s="8"/>
      <c r="L8" s="7">
        <f>ROUND(SUM($J$17:$J$47),2)</f>
        <v>40</v>
      </c>
      <c r="M8" s="7"/>
    </row>
    <row r="9" spans="1:13" ht="18.75" customHeight="1" x14ac:dyDescent="0.25">
      <c r="A9" s="17" t="s">
        <v>16</v>
      </c>
      <c r="C9" s="11" t="s">
        <v>17</v>
      </c>
      <c r="D9" s="11"/>
      <c r="E9" s="17" t="s">
        <v>18</v>
      </c>
      <c r="G9" s="5">
        <v>40</v>
      </c>
      <c r="H9" s="5"/>
      <c r="I9" s="8" t="s">
        <v>19</v>
      </c>
      <c r="J9" s="8"/>
      <c r="K9" s="8"/>
      <c r="L9" s="7">
        <f>ROUND($L$7+$L$8,2)</f>
        <v>143.5</v>
      </c>
      <c r="M9" s="7"/>
    </row>
    <row r="10" spans="1:13" ht="18.75" customHeight="1" x14ac:dyDescent="0.25">
      <c r="A10" s="17" t="s">
        <v>20</v>
      </c>
      <c r="C10" s="4">
        <v>25</v>
      </c>
      <c r="D10" s="4"/>
      <c r="E10" s="17" t="s">
        <v>21</v>
      </c>
      <c r="G10" s="3">
        <f>ROUND($G$9/5*$G$8,2)</f>
        <v>8</v>
      </c>
      <c r="H10" s="3"/>
      <c r="I10" s="8" t="s">
        <v>22</v>
      </c>
      <c r="J10" s="8"/>
      <c r="K10" s="8"/>
      <c r="L10" s="7">
        <f>ROUND(SUM($K$17:$K$47),2)</f>
        <v>144</v>
      </c>
      <c r="M10" s="7"/>
    </row>
    <row r="11" spans="1:13" ht="18.75" customHeight="1" x14ac:dyDescent="0.25">
      <c r="A11" s="17" t="s">
        <v>23</v>
      </c>
      <c r="C11" s="2">
        <v>8</v>
      </c>
      <c r="D11" s="2"/>
      <c r="E11" s="17" t="s">
        <v>24</v>
      </c>
      <c r="G11" s="1">
        <v>6.5</v>
      </c>
      <c r="H11" s="1"/>
      <c r="I11" s="36" t="s">
        <v>25</v>
      </c>
      <c r="J11" s="36"/>
      <c r="K11" s="36"/>
      <c r="L11" s="37">
        <f>ROUND($L$9-$L$10,2)</f>
        <v>-0.5</v>
      </c>
      <c r="M11" s="37"/>
    </row>
    <row r="12" spans="1:13" ht="18.75" customHeight="1" x14ac:dyDescent="0.25">
      <c r="I12" s="36" t="s">
        <v>26</v>
      </c>
      <c r="J12" s="36"/>
      <c r="K12" s="36"/>
      <c r="L12" s="37">
        <f>ROUND($G$11+$L$11,2)</f>
        <v>6</v>
      </c>
      <c r="M12" s="37"/>
    </row>
    <row r="13" spans="1:13" ht="18.75" customHeight="1" x14ac:dyDescent="0.25">
      <c r="I13" s="8" t="s">
        <v>27</v>
      </c>
      <c r="J13" s="8"/>
      <c r="K13" s="8"/>
      <c r="L13" s="38">
        <f>ROUND($C$10-$C$11-COUNTIF($I$17:$I$47,"Ferien"),1)</f>
        <v>13</v>
      </c>
      <c r="M13" s="38"/>
    </row>
    <row r="14" spans="1:13" ht="6" customHeight="1" x14ac:dyDescent="0.25"/>
    <row r="15" spans="1:13" ht="15.75" customHeight="1" x14ac:dyDescent="0.25">
      <c r="A15" s="39" t="s">
        <v>28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</row>
    <row r="16" spans="1:13" ht="30" customHeight="1" x14ac:dyDescent="0.25">
      <c r="A16" s="18" t="s">
        <v>29</v>
      </c>
      <c r="B16" s="18" t="s">
        <v>30</v>
      </c>
      <c r="C16" s="18" t="s">
        <v>31</v>
      </c>
      <c r="D16" s="18" t="s">
        <v>32</v>
      </c>
      <c r="E16" s="18" t="s">
        <v>33</v>
      </c>
      <c r="F16" s="18" t="s">
        <v>34</v>
      </c>
      <c r="G16" s="18" t="s">
        <v>35</v>
      </c>
      <c r="H16" s="18" t="s">
        <v>36</v>
      </c>
      <c r="I16" s="18" t="s">
        <v>37</v>
      </c>
      <c r="J16" s="18" t="s">
        <v>38</v>
      </c>
      <c r="K16" s="18" t="s">
        <v>39</v>
      </c>
      <c r="L16" s="18" t="s">
        <v>40</v>
      </c>
      <c r="M16" s="18" t="s">
        <v>41</v>
      </c>
    </row>
    <row r="17" spans="1:13" ht="16.5" customHeight="1" x14ac:dyDescent="0.25">
      <c r="A17" s="19">
        <f>IFERROR(IF(1&gt;DAY(DATE($G$7,MATCH($G$6,Stammdaten!$B$5:$B$16,0)+1,0)),"",DATE($G$7,MATCH($G$6,Stammdaten!$B$5:$B$16,0),1)),"")</f>
        <v>46143</v>
      </c>
      <c r="B17" s="20" t="str">
        <f t="shared" ref="B17:B47" si="0">IF($A17="","",CHOOSE(WEEKDAY($A17,2),"Mo","Di","Mi","Do","Fr","Sa","So"))</f>
        <v>Fr</v>
      </c>
      <c r="C17" s="21"/>
      <c r="D17" s="21"/>
      <c r="E17" s="22"/>
      <c r="F17" s="22"/>
      <c r="G17" s="23"/>
      <c r="H17" s="24">
        <f t="shared" ref="H17:H47" si="1">IF(OR($A17="",$E17="",$F17=""),0,ROUND(($F17-$E17)*24-IF($G17="",0,$G17),2))</f>
        <v>0</v>
      </c>
      <c r="I17" s="21"/>
      <c r="J17" s="24">
        <f t="shared" ref="J17:J47" si="2">IF(OR($A17="",$I17=""),0,IF(OR($I17="Unbezahlt",$I17="Kompensation"),0,MAX(0,$K17-$H17)))</f>
        <v>0</v>
      </c>
      <c r="K17" s="24">
        <f>IF($A17="",0,IF(OR(WEEKDAY($A17,2)&gt;5,COUNTIF(Stammdaten!$J$5:$J$16,$A17)&gt;0),0,$G$10))</f>
        <v>0</v>
      </c>
      <c r="L17" s="25">
        <f t="shared" ref="L17:L47" si="3">IF($A17="","",ROUND($H17+$J17-$K17,2))</f>
        <v>0</v>
      </c>
      <c r="M17" s="21" t="s">
        <v>42</v>
      </c>
    </row>
    <row r="18" spans="1:13" ht="16.5" customHeight="1" x14ac:dyDescent="0.25">
      <c r="A18" s="19">
        <f>IFERROR(IF(2&gt;DAY(DATE($G$7,MATCH($G$6,Stammdaten!$B$5:$B$16,0)+1,0)),"",DATE($G$7,MATCH($G$6,Stammdaten!$B$5:$B$16,0),2)),"")</f>
        <v>46144</v>
      </c>
      <c r="B18" s="20" t="str">
        <f t="shared" si="0"/>
        <v>Sa</v>
      </c>
      <c r="C18" s="21"/>
      <c r="D18" s="21"/>
      <c r="E18" s="22"/>
      <c r="F18" s="22"/>
      <c r="G18" s="23"/>
      <c r="H18" s="24">
        <f t="shared" si="1"/>
        <v>0</v>
      </c>
      <c r="I18" s="21"/>
      <c r="J18" s="24">
        <f t="shared" si="2"/>
        <v>0</v>
      </c>
      <c r="K18" s="24">
        <f>IF($A18="",0,IF(OR(WEEKDAY($A18,2)&gt;5,COUNTIF(Stammdaten!$J$5:$J$16,$A18)&gt;0),0,$G$10))</f>
        <v>0</v>
      </c>
      <c r="L18" s="25">
        <f t="shared" si="3"/>
        <v>0</v>
      </c>
      <c r="M18" s="21"/>
    </row>
    <row r="19" spans="1:13" ht="16.5" customHeight="1" x14ac:dyDescent="0.25">
      <c r="A19" s="19">
        <f>IFERROR(IF(3&gt;DAY(DATE($G$7,MATCH($G$6,Stammdaten!$B$5:$B$16,0)+1,0)),"",DATE($G$7,MATCH($G$6,Stammdaten!$B$5:$B$16,0),3)),"")</f>
        <v>46145</v>
      </c>
      <c r="B19" s="20" t="str">
        <f t="shared" si="0"/>
        <v>So</v>
      </c>
      <c r="C19" s="21"/>
      <c r="D19" s="21"/>
      <c r="E19" s="22"/>
      <c r="F19" s="22"/>
      <c r="G19" s="23"/>
      <c r="H19" s="24">
        <f t="shared" si="1"/>
        <v>0</v>
      </c>
      <c r="I19" s="21"/>
      <c r="J19" s="24">
        <f t="shared" si="2"/>
        <v>0</v>
      </c>
      <c r="K19" s="24">
        <f>IF($A19="",0,IF(OR(WEEKDAY($A19,2)&gt;5,COUNTIF(Stammdaten!$J$5:$J$16,$A19)&gt;0),0,$G$10))</f>
        <v>0</v>
      </c>
      <c r="L19" s="25">
        <f t="shared" si="3"/>
        <v>0</v>
      </c>
      <c r="M19" s="21"/>
    </row>
    <row r="20" spans="1:13" ht="16.5" customHeight="1" x14ac:dyDescent="0.25">
      <c r="A20" s="19">
        <f>IFERROR(IF(4&gt;DAY(DATE($G$7,MATCH($G$6,Stammdaten!$B$5:$B$16,0)+1,0)),"",DATE($G$7,MATCH($G$6,Stammdaten!$B$5:$B$16,0),4)),"")</f>
        <v>46146</v>
      </c>
      <c r="B20" s="20" t="str">
        <f t="shared" si="0"/>
        <v>Mo</v>
      </c>
      <c r="C20" s="21" t="s">
        <v>43</v>
      </c>
      <c r="D20" s="21" t="s">
        <v>44</v>
      </c>
      <c r="E20" s="22">
        <v>0.33333333333333298</v>
      </c>
      <c r="F20" s="22">
        <v>0.71875</v>
      </c>
      <c r="G20" s="23">
        <v>1</v>
      </c>
      <c r="H20" s="24">
        <f t="shared" si="1"/>
        <v>8.25</v>
      </c>
      <c r="I20" s="21"/>
      <c r="J20" s="24">
        <f t="shared" si="2"/>
        <v>0</v>
      </c>
      <c r="K20" s="24">
        <f>IF($A20="",0,IF(OR(WEEKDAY($A20,2)&gt;5,COUNTIF(Stammdaten!$J$5:$J$16,$A20)&gt;0),0,$G$10))</f>
        <v>8</v>
      </c>
      <c r="L20" s="25">
        <f t="shared" si="3"/>
        <v>0.25</v>
      </c>
      <c r="M20" s="21" t="s">
        <v>45</v>
      </c>
    </row>
    <row r="21" spans="1:13" ht="16.5" customHeight="1" x14ac:dyDescent="0.25">
      <c r="A21" s="19">
        <f>IFERROR(IF(5&gt;DAY(DATE($G$7,MATCH($G$6,Stammdaten!$B$5:$B$16,0)+1,0)),"",DATE($G$7,MATCH($G$6,Stammdaten!$B$5:$B$16,0),5)),"")</f>
        <v>46147</v>
      </c>
      <c r="B21" s="20" t="str">
        <f t="shared" si="0"/>
        <v>Di</v>
      </c>
      <c r="C21" s="21" t="s">
        <v>43</v>
      </c>
      <c r="D21" s="21" t="s">
        <v>46</v>
      </c>
      <c r="E21" s="22">
        <v>0.32291666666666702</v>
      </c>
      <c r="F21" s="22">
        <v>0.6875</v>
      </c>
      <c r="G21" s="23">
        <v>0.75</v>
      </c>
      <c r="H21" s="24">
        <f t="shared" si="1"/>
        <v>8</v>
      </c>
      <c r="I21" s="21"/>
      <c r="J21" s="24">
        <f t="shared" si="2"/>
        <v>0</v>
      </c>
      <c r="K21" s="24">
        <f>IF($A21="",0,IF(OR(WEEKDAY($A21,2)&gt;5,COUNTIF(Stammdaten!$J$5:$J$16,$A21)&gt;0),0,$G$10))</f>
        <v>8</v>
      </c>
      <c r="L21" s="25">
        <f t="shared" si="3"/>
        <v>0</v>
      </c>
      <c r="M21" s="21"/>
    </row>
    <row r="22" spans="1:13" ht="16.5" customHeight="1" x14ac:dyDescent="0.25">
      <c r="A22" s="19">
        <f>IFERROR(IF(6&gt;DAY(DATE($G$7,MATCH($G$6,Stammdaten!$B$5:$B$16,0)+1,0)),"",DATE($G$7,MATCH($G$6,Stammdaten!$B$5:$B$16,0),6)),"")</f>
        <v>46148</v>
      </c>
      <c r="B22" s="20" t="str">
        <f t="shared" si="0"/>
        <v>Mi</v>
      </c>
      <c r="C22" s="21" t="s">
        <v>47</v>
      </c>
      <c r="D22" s="21" t="s">
        <v>48</v>
      </c>
      <c r="E22" s="22">
        <v>0.33333333333333298</v>
      </c>
      <c r="F22" s="22">
        <v>0.70833333333333304</v>
      </c>
      <c r="G22" s="23">
        <v>1</v>
      </c>
      <c r="H22" s="24">
        <f t="shared" si="1"/>
        <v>8</v>
      </c>
      <c r="I22" s="21"/>
      <c r="J22" s="24">
        <f t="shared" si="2"/>
        <v>0</v>
      </c>
      <c r="K22" s="24">
        <f>IF($A22="",0,IF(OR(WEEKDAY($A22,2)&gt;5,COUNTIF(Stammdaten!$J$5:$J$16,$A22)&gt;0),0,$G$10))</f>
        <v>8</v>
      </c>
      <c r="L22" s="25">
        <f t="shared" si="3"/>
        <v>0</v>
      </c>
      <c r="M22" s="21" t="s">
        <v>49</v>
      </c>
    </row>
    <row r="23" spans="1:13" ht="16.5" customHeight="1" x14ac:dyDescent="0.25">
      <c r="A23" s="19">
        <f>IFERROR(IF(7&gt;DAY(DATE($G$7,MATCH($G$6,Stammdaten!$B$5:$B$16,0)+1,0)),"",DATE($G$7,MATCH($G$6,Stammdaten!$B$5:$B$16,0),7)),"")</f>
        <v>46149</v>
      </c>
      <c r="B23" s="20" t="str">
        <f t="shared" si="0"/>
        <v>Do</v>
      </c>
      <c r="C23" s="21" t="s">
        <v>47</v>
      </c>
      <c r="D23" s="21" t="s">
        <v>46</v>
      </c>
      <c r="E23" s="22">
        <v>0.33333333333333298</v>
      </c>
      <c r="F23" s="22">
        <v>0.75</v>
      </c>
      <c r="G23" s="23">
        <v>1</v>
      </c>
      <c r="H23" s="24">
        <f t="shared" si="1"/>
        <v>9</v>
      </c>
      <c r="I23" s="21"/>
      <c r="J23" s="24">
        <f t="shared" si="2"/>
        <v>0</v>
      </c>
      <c r="K23" s="24">
        <f>IF($A23="",0,IF(OR(WEEKDAY($A23,2)&gt;5,COUNTIF(Stammdaten!$J$5:$J$16,$A23)&gt;0),0,$G$10))</f>
        <v>8</v>
      </c>
      <c r="L23" s="25">
        <f t="shared" si="3"/>
        <v>1</v>
      </c>
      <c r="M23" s="21" t="s">
        <v>50</v>
      </c>
    </row>
    <row r="24" spans="1:13" ht="16.5" customHeight="1" x14ac:dyDescent="0.25">
      <c r="A24" s="19">
        <f>IFERROR(IF(8&gt;DAY(DATE($G$7,MATCH($G$6,Stammdaten!$B$5:$B$16,0)+1,0)),"",DATE($G$7,MATCH($G$6,Stammdaten!$B$5:$B$16,0),8)),"")</f>
        <v>46150</v>
      </c>
      <c r="B24" s="20" t="str">
        <f t="shared" si="0"/>
        <v>Fr</v>
      </c>
      <c r="C24" s="21" t="s">
        <v>51</v>
      </c>
      <c r="D24" s="21" t="s">
        <v>52</v>
      </c>
      <c r="E24" s="22">
        <v>0.33333333333333298</v>
      </c>
      <c r="F24" s="22">
        <v>0.66666666666666696</v>
      </c>
      <c r="G24" s="23">
        <v>0.75</v>
      </c>
      <c r="H24" s="24">
        <f t="shared" si="1"/>
        <v>7.25</v>
      </c>
      <c r="I24" s="21"/>
      <c r="J24" s="24">
        <f t="shared" si="2"/>
        <v>0</v>
      </c>
      <c r="K24" s="24">
        <f>IF($A24="",0,IF(OR(WEEKDAY($A24,2)&gt;5,COUNTIF(Stammdaten!$J$5:$J$16,$A24)&gt;0),0,$G$10))</f>
        <v>8</v>
      </c>
      <c r="L24" s="25">
        <f t="shared" si="3"/>
        <v>-0.75</v>
      </c>
      <c r="M24" s="21" t="s">
        <v>53</v>
      </c>
    </row>
    <row r="25" spans="1:13" ht="16.5" customHeight="1" x14ac:dyDescent="0.25">
      <c r="A25" s="19">
        <f>IFERROR(IF(9&gt;DAY(DATE($G$7,MATCH($G$6,Stammdaten!$B$5:$B$16,0)+1,0)),"",DATE($G$7,MATCH($G$6,Stammdaten!$B$5:$B$16,0),9)),"")</f>
        <v>46151</v>
      </c>
      <c r="B25" s="20" t="str">
        <f t="shared" si="0"/>
        <v>Sa</v>
      </c>
      <c r="C25" s="21"/>
      <c r="D25" s="21"/>
      <c r="E25" s="22"/>
      <c r="F25" s="22"/>
      <c r="G25" s="23"/>
      <c r="H25" s="24">
        <f t="shared" si="1"/>
        <v>0</v>
      </c>
      <c r="I25" s="21"/>
      <c r="J25" s="24">
        <f t="shared" si="2"/>
        <v>0</v>
      </c>
      <c r="K25" s="24">
        <f>IF($A25="",0,IF(OR(WEEKDAY($A25,2)&gt;5,COUNTIF(Stammdaten!$J$5:$J$16,$A25)&gt;0),0,$G$10))</f>
        <v>0</v>
      </c>
      <c r="L25" s="25">
        <f t="shared" si="3"/>
        <v>0</v>
      </c>
      <c r="M25" s="21"/>
    </row>
    <row r="26" spans="1:13" ht="16.5" customHeight="1" x14ac:dyDescent="0.25">
      <c r="A26" s="19">
        <f>IFERROR(IF(10&gt;DAY(DATE($G$7,MATCH($G$6,Stammdaten!$B$5:$B$16,0)+1,0)),"",DATE($G$7,MATCH($G$6,Stammdaten!$B$5:$B$16,0),10)),"")</f>
        <v>46152</v>
      </c>
      <c r="B26" s="20" t="str">
        <f t="shared" si="0"/>
        <v>So</v>
      </c>
      <c r="C26" s="21"/>
      <c r="D26" s="21"/>
      <c r="E26" s="22"/>
      <c r="F26" s="22"/>
      <c r="G26" s="23"/>
      <c r="H26" s="24">
        <f t="shared" si="1"/>
        <v>0</v>
      </c>
      <c r="I26" s="21"/>
      <c r="J26" s="24">
        <f t="shared" si="2"/>
        <v>0</v>
      </c>
      <c r="K26" s="24">
        <f>IF($A26="",0,IF(OR(WEEKDAY($A26,2)&gt;5,COUNTIF(Stammdaten!$J$5:$J$16,$A26)&gt;0),0,$G$10))</f>
        <v>0</v>
      </c>
      <c r="L26" s="25">
        <f t="shared" si="3"/>
        <v>0</v>
      </c>
      <c r="M26" s="21"/>
    </row>
    <row r="27" spans="1:13" ht="16.5" customHeight="1" x14ac:dyDescent="0.25">
      <c r="A27" s="19">
        <f>IFERROR(IF(11&gt;DAY(DATE($G$7,MATCH($G$6,Stammdaten!$B$5:$B$16,0)+1,0)),"",DATE($G$7,MATCH($G$6,Stammdaten!$B$5:$B$16,0),11)),"")</f>
        <v>46153</v>
      </c>
      <c r="B27" s="20" t="str">
        <f t="shared" si="0"/>
        <v>Mo</v>
      </c>
      <c r="C27" s="21"/>
      <c r="D27" s="21"/>
      <c r="E27" s="22"/>
      <c r="F27" s="22"/>
      <c r="G27" s="23"/>
      <c r="H27" s="24">
        <f t="shared" si="1"/>
        <v>0</v>
      </c>
      <c r="I27" s="21" t="s">
        <v>54</v>
      </c>
      <c r="J27" s="24">
        <f t="shared" si="2"/>
        <v>8</v>
      </c>
      <c r="K27" s="24">
        <f>IF($A27="",0,IF(OR(WEEKDAY($A27,2)&gt;5,COUNTIF(Stammdaten!$J$5:$J$16,$A27)&gt;0),0,$G$10))</f>
        <v>8</v>
      </c>
      <c r="L27" s="25">
        <f t="shared" si="3"/>
        <v>0</v>
      </c>
      <c r="M27" s="21"/>
    </row>
    <row r="28" spans="1:13" ht="16.5" customHeight="1" x14ac:dyDescent="0.25">
      <c r="A28" s="19">
        <f>IFERROR(IF(12&gt;DAY(DATE($G$7,MATCH($G$6,Stammdaten!$B$5:$B$16,0)+1,0)),"",DATE($G$7,MATCH($G$6,Stammdaten!$B$5:$B$16,0),12)),"")</f>
        <v>46154</v>
      </c>
      <c r="B28" s="20" t="str">
        <f t="shared" si="0"/>
        <v>Di</v>
      </c>
      <c r="C28" s="21"/>
      <c r="D28" s="21"/>
      <c r="E28" s="22"/>
      <c r="F28" s="22"/>
      <c r="G28" s="23"/>
      <c r="H28" s="24">
        <f t="shared" si="1"/>
        <v>0</v>
      </c>
      <c r="I28" s="21" t="s">
        <v>54</v>
      </c>
      <c r="J28" s="24">
        <f t="shared" si="2"/>
        <v>8</v>
      </c>
      <c r="K28" s="24">
        <f>IF($A28="",0,IF(OR(WEEKDAY($A28,2)&gt;5,COUNTIF(Stammdaten!$J$5:$J$16,$A28)&gt;0),0,$G$10))</f>
        <v>8</v>
      </c>
      <c r="L28" s="25">
        <f t="shared" si="3"/>
        <v>0</v>
      </c>
      <c r="M28" s="21"/>
    </row>
    <row r="29" spans="1:13" ht="16.5" customHeight="1" x14ac:dyDescent="0.25">
      <c r="A29" s="19">
        <f>IFERROR(IF(13&gt;DAY(DATE($G$7,MATCH($G$6,Stammdaten!$B$5:$B$16,0)+1,0)),"",DATE($G$7,MATCH($G$6,Stammdaten!$B$5:$B$16,0),13)),"")</f>
        <v>46155</v>
      </c>
      <c r="B29" s="20" t="str">
        <f t="shared" si="0"/>
        <v>Mi</v>
      </c>
      <c r="C29" s="21"/>
      <c r="D29" s="21"/>
      <c r="E29" s="22"/>
      <c r="F29" s="22"/>
      <c r="G29" s="23"/>
      <c r="H29" s="24">
        <f t="shared" si="1"/>
        <v>0</v>
      </c>
      <c r="I29" s="21" t="s">
        <v>54</v>
      </c>
      <c r="J29" s="24">
        <f t="shared" si="2"/>
        <v>8</v>
      </c>
      <c r="K29" s="24">
        <f>IF($A29="",0,IF(OR(WEEKDAY($A29,2)&gt;5,COUNTIF(Stammdaten!$J$5:$J$16,$A29)&gt;0),0,$G$10))</f>
        <v>8</v>
      </c>
      <c r="L29" s="25">
        <f t="shared" si="3"/>
        <v>0</v>
      </c>
      <c r="M29" s="21"/>
    </row>
    <row r="30" spans="1:13" ht="16.5" customHeight="1" x14ac:dyDescent="0.25">
      <c r="A30" s="19">
        <f>IFERROR(IF(14&gt;DAY(DATE($G$7,MATCH($G$6,Stammdaten!$B$5:$B$16,0)+1,0)),"",DATE($G$7,MATCH($G$6,Stammdaten!$B$5:$B$16,0),14)),"")</f>
        <v>46156</v>
      </c>
      <c r="B30" s="20" t="str">
        <f t="shared" si="0"/>
        <v>Do</v>
      </c>
      <c r="C30" s="21"/>
      <c r="D30" s="21"/>
      <c r="E30" s="22"/>
      <c r="F30" s="22"/>
      <c r="G30" s="23"/>
      <c r="H30" s="24">
        <f t="shared" si="1"/>
        <v>0</v>
      </c>
      <c r="I30" s="21"/>
      <c r="J30" s="24">
        <f t="shared" si="2"/>
        <v>0</v>
      </c>
      <c r="K30" s="24">
        <f>IF($A30="",0,IF(OR(WEEKDAY($A30,2)&gt;5,COUNTIF(Stammdaten!$J$5:$J$16,$A30)&gt;0),0,$G$10))</f>
        <v>0</v>
      </c>
      <c r="L30" s="25">
        <f t="shared" si="3"/>
        <v>0</v>
      </c>
      <c r="M30" s="21" t="s">
        <v>55</v>
      </c>
    </row>
    <row r="31" spans="1:13" ht="16.5" customHeight="1" x14ac:dyDescent="0.25">
      <c r="A31" s="19">
        <f>IFERROR(IF(15&gt;DAY(DATE($G$7,MATCH($G$6,Stammdaten!$B$5:$B$16,0)+1,0)),"",DATE($G$7,MATCH($G$6,Stammdaten!$B$5:$B$16,0),15)),"")</f>
        <v>46157</v>
      </c>
      <c r="B31" s="20" t="str">
        <f t="shared" si="0"/>
        <v>Fr</v>
      </c>
      <c r="C31" s="21"/>
      <c r="D31" s="21"/>
      <c r="E31" s="22"/>
      <c r="F31" s="22"/>
      <c r="G31" s="23"/>
      <c r="H31" s="24">
        <f t="shared" si="1"/>
        <v>0</v>
      </c>
      <c r="I31" s="21" t="s">
        <v>54</v>
      </c>
      <c r="J31" s="24">
        <f t="shared" si="2"/>
        <v>8</v>
      </c>
      <c r="K31" s="24">
        <f>IF($A31="",0,IF(OR(WEEKDAY($A31,2)&gt;5,COUNTIF(Stammdaten!$J$5:$J$16,$A31)&gt;0),0,$G$10))</f>
        <v>8</v>
      </c>
      <c r="L31" s="25">
        <f t="shared" si="3"/>
        <v>0</v>
      </c>
      <c r="M31" s="21" t="s">
        <v>56</v>
      </c>
    </row>
    <row r="32" spans="1:13" ht="16.5" customHeight="1" x14ac:dyDescent="0.25">
      <c r="A32" s="19">
        <f>IFERROR(IF(16&gt;DAY(DATE($G$7,MATCH($G$6,Stammdaten!$B$5:$B$16,0)+1,0)),"",DATE($G$7,MATCH($G$6,Stammdaten!$B$5:$B$16,0),16)),"")</f>
        <v>46158</v>
      </c>
      <c r="B32" s="20" t="str">
        <f t="shared" si="0"/>
        <v>Sa</v>
      </c>
      <c r="C32" s="21" t="s">
        <v>57</v>
      </c>
      <c r="D32" s="21" t="s">
        <v>58</v>
      </c>
      <c r="E32" s="22">
        <v>0.375</v>
      </c>
      <c r="F32" s="22">
        <v>0.54166666666666696</v>
      </c>
      <c r="G32" s="23">
        <v>0</v>
      </c>
      <c r="H32" s="24">
        <f t="shared" si="1"/>
        <v>4</v>
      </c>
      <c r="I32" s="21"/>
      <c r="J32" s="24">
        <f t="shared" si="2"/>
        <v>0</v>
      </c>
      <c r="K32" s="24">
        <f>IF($A32="",0,IF(OR(WEEKDAY($A32,2)&gt;5,COUNTIF(Stammdaten!$J$5:$J$16,$A32)&gt;0),0,$G$10))</f>
        <v>0</v>
      </c>
      <c r="L32" s="25">
        <f t="shared" si="3"/>
        <v>4</v>
      </c>
      <c r="M32" s="21" t="s">
        <v>59</v>
      </c>
    </row>
    <row r="33" spans="1:13" ht="16.5" customHeight="1" x14ac:dyDescent="0.25">
      <c r="A33" s="19">
        <f>IFERROR(IF(17&gt;DAY(DATE($G$7,MATCH($G$6,Stammdaten!$B$5:$B$16,0)+1,0)),"",DATE($G$7,MATCH($G$6,Stammdaten!$B$5:$B$16,0),17)),"")</f>
        <v>46159</v>
      </c>
      <c r="B33" s="20" t="str">
        <f t="shared" si="0"/>
        <v>So</v>
      </c>
      <c r="C33" s="21"/>
      <c r="D33" s="21"/>
      <c r="E33" s="22"/>
      <c r="F33" s="22"/>
      <c r="G33" s="23"/>
      <c r="H33" s="24">
        <f t="shared" si="1"/>
        <v>0</v>
      </c>
      <c r="I33" s="21"/>
      <c r="J33" s="24">
        <f t="shared" si="2"/>
        <v>0</v>
      </c>
      <c r="K33" s="24">
        <f>IF($A33="",0,IF(OR(WEEKDAY($A33,2)&gt;5,COUNTIF(Stammdaten!$J$5:$J$16,$A33)&gt;0),0,$G$10))</f>
        <v>0</v>
      </c>
      <c r="L33" s="25">
        <f t="shared" si="3"/>
        <v>0</v>
      </c>
      <c r="M33" s="21"/>
    </row>
    <row r="34" spans="1:13" ht="16.5" customHeight="1" x14ac:dyDescent="0.25">
      <c r="A34" s="19">
        <f>IFERROR(IF(18&gt;DAY(DATE($G$7,MATCH($G$6,Stammdaten!$B$5:$B$16,0)+1,0)),"",DATE($G$7,MATCH($G$6,Stammdaten!$B$5:$B$16,0),18)),"")</f>
        <v>46160</v>
      </c>
      <c r="B34" s="20" t="str">
        <f t="shared" si="0"/>
        <v>Mo</v>
      </c>
      <c r="C34" s="21" t="s">
        <v>57</v>
      </c>
      <c r="D34" s="21" t="s">
        <v>58</v>
      </c>
      <c r="E34" s="22">
        <v>0.33333333333333298</v>
      </c>
      <c r="F34" s="22">
        <v>0.70833333333333304</v>
      </c>
      <c r="G34" s="23">
        <v>1</v>
      </c>
      <c r="H34" s="24">
        <f t="shared" si="1"/>
        <v>8</v>
      </c>
      <c r="I34" s="21"/>
      <c r="J34" s="24">
        <f t="shared" si="2"/>
        <v>0</v>
      </c>
      <c r="K34" s="24">
        <f>IF($A34="",0,IF(OR(WEEKDAY($A34,2)&gt;5,COUNTIF(Stammdaten!$J$5:$J$16,$A34)&gt;0),0,$G$10))</f>
        <v>8</v>
      </c>
      <c r="L34" s="25">
        <f t="shared" si="3"/>
        <v>0</v>
      </c>
      <c r="M34" s="21"/>
    </row>
    <row r="35" spans="1:13" ht="16.5" customHeight="1" x14ac:dyDescent="0.25">
      <c r="A35" s="19">
        <f>IFERROR(IF(19&gt;DAY(DATE($G$7,MATCH($G$6,Stammdaten!$B$5:$B$16,0)+1,0)),"",DATE($G$7,MATCH($G$6,Stammdaten!$B$5:$B$16,0),19)),"")</f>
        <v>46161</v>
      </c>
      <c r="B35" s="20" t="str">
        <f t="shared" si="0"/>
        <v>Di</v>
      </c>
      <c r="C35" s="21" t="s">
        <v>60</v>
      </c>
      <c r="D35" s="21" t="s">
        <v>61</v>
      </c>
      <c r="E35" s="22">
        <v>0.34375</v>
      </c>
      <c r="F35" s="22">
        <v>0.72916666666666696</v>
      </c>
      <c r="G35" s="23">
        <v>1</v>
      </c>
      <c r="H35" s="24">
        <f t="shared" si="1"/>
        <v>8.25</v>
      </c>
      <c r="I35" s="21"/>
      <c r="J35" s="24">
        <f t="shared" si="2"/>
        <v>0</v>
      </c>
      <c r="K35" s="24">
        <f>IF($A35="",0,IF(OR(WEEKDAY($A35,2)&gt;5,COUNTIF(Stammdaten!$J$5:$J$16,$A35)&gt;0),0,$G$10))</f>
        <v>8</v>
      </c>
      <c r="L35" s="25">
        <f t="shared" si="3"/>
        <v>0.25</v>
      </c>
      <c r="M35" s="21" t="s">
        <v>62</v>
      </c>
    </row>
    <row r="36" spans="1:13" ht="16.5" customHeight="1" x14ac:dyDescent="0.25">
      <c r="A36" s="19">
        <f>IFERROR(IF(20&gt;DAY(DATE($G$7,MATCH($G$6,Stammdaten!$B$5:$B$16,0)+1,0)),"",DATE($G$7,MATCH($G$6,Stammdaten!$B$5:$B$16,0),20)),"")</f>
        <v>46162</v>
      </c>
      <c r="B36" s="20" t="str">
        <f t="shared" si="0"/>
        <v>Mi</v>
      </c>
      <c r="C36" s="21"/>
      <c r="D36" s="21"/>
      <c r="E36" s="22"/>
      <c r="F36" s="22"/>
      <c r="G36" s="23"/>
      <c r="H36" s="24">
        <f t="shared" si="1"/>
        <v>0</v>
      </c>
      <c r="I36" s="21" t="s">
        <v>63</v>
      </c>
      <c r="J36" s="24">
        <f t="shared" si="2"/>
        <v>8</v>
      </c>
      <c r="K36" s="24">
        <f>IF($A36="",0,IF(OR(WEEKDAY($A36,2)&gt;5,COUNTIF(Stammdaten!$J$5:$J$16,$A36)&gt;0),0,$G$10))</f>
        <v>8</v>
      </c>
      <c r="L36" s="25">
        <f t="shared" si="3"/>
        <v>0</v>
      </c>
      <c r="M36" s="21" t="s">
        <v>64</v>
      </c>
    </row>
    <row r="37" spans="1:13" ht="16.5" customHeight="1" x14ac:dyDescent="0.25">
      <c r="A37" s="19">
        <f>IFERROR(IF(21&gt;DAY(DATE($G$7,MATCH($G$6,Stammdaten!$B$5:$B$16,0)+1,0)),"",DATE($G$7,MATCH($G$6,Stammdaten!$B$5:$B$16,0),21)),"")</f>
        <v>46163</v>
      </c>
      <c r="B37" s="20" t="str">
        <f t="shared" si="0"/>
        <v>Do</v>
      </c>
      <c r="C37" s="21" t="s">
        <v>60</v>
      </c>
      <c r="D37" s="21" t="s">
        <v>46</v>
      </c>
      <c r="E37" s="22">
        <v>0.375</v>
      </c>
      <c r="F37" s="22">
        <v>0.70833333333333304</v>
      </c>
      <c r="G37" s="23">
        <v>0.75</v>
      </c>
      <c r="H37" s="24">
        <f t="shared" si="1"/>
        <v>7.25</v>
      </c>
      <c r="I37" s="21"/>
      <c r="J37" s="24">
        <f t="shared" si="2"/>
        <v>0</v>
      </c>
      <c r="K37" s="24">
        <f>IF($A37="",0,IF(OR(WEEKDAY($A37,2)&gt;5,COUNTIF(Stammdaten!$J$5:$J$16,$A37)&gt;0),0,$G$10))</f>
        <v>8</v>
      </c>
      <c r="L37" s="25">
        <f t="shared" si="3"/>
        <v>-0.75</v>
      </c>
      <c r="M37" s="21"/>
    </row>
    <row r="38" spans="1:13" ht="16.5" customHeight="1" x14ac:dyDescent="0.25">
      <c r="A38" s="19">
        <f>IFERROR(IF(22&gt;DAY(DATE($G$7,MATCH($G$6,Stammdaten!$B$5:$B$16,0)+1,0)),"",DATE($G$7,MATCH($G$6,Stammdaten!$B$5:$B$16,0),22)),"")</f>
        <v>46164</v>
      </c>
      <c r="B38" s="20" t="str">
        <f t="shared" si="0"/>
        <v>Fr</v>
      </c>
      <c r="C38" s="21" t="s">
        <v>60</v>
      </c>
      <c r="D38" s="21" t="s">
        <v>65</v>
      </c>
      <c r="E38" s="22">
        <v>0.33333333333333298</v>
      </c>
      <c r="F38" s="22">
        <v>0.69791666666666696</v>
      </c>
      <c r="G38" s="23">
        <v>1</v>
      </c>
      <c r="H38" s="24">
        <f t="shared" si="1"/>
        <v>7.75</v>
      </c>
      <c r="I38" s="21"/>
      <c r="J38" s="24">
        <f t="shared" si="2"/>
        <v>0</v>
      </c>
      <c r="K38" s="24">
        <f>IF($A38="",0,IF(OR(WEEKDAY($A38,2)&gt;5,COUNTIF(Stammdaten!$J$5:$J$16,$A38)&gt;0),0,$G$10))</f>
        <v>8</v>
      </c>
      <c r="L38" s="25">
        <f t="shared" si="3"/>
        <v>-0.25</v>
      </c>
      <c r="M38" s="21"/>
    </row>
    <row r="39" spans="1:13" ht="16.5" customHeight="1" x14ac:dyDescent="0.25">
      <c r="A39" s="19">
        <f>IFERROR(IF(23&gt;DAY(DATE($G$7,MATCH($G$6,Stammdaten!$B$5:$B$16,0)+1,0)),"",DATE($G$7,MATCH($G$6,Stammdaten!$B$5:$B$16,0),23)),"")</f>
        <v>46165</v>
      </c>
      <c r="B39" s="20" t="str">
        <f t="shared" si="0"/>
        <v>Sa</v>
      </c>
      <c r="C39" s="21"/>
      <c r="D39" s="21"/>
      <c r="E39" s="22"/>
      <c r="F39" s="22"/>
      <c r="G39" s="23"/>
      <c r="H39" s="24">
        <f t="shared" si="1"/>
        <v>0</v>
      </c>
      <c r="I39" s="21"/>
      <c r="J39" s="24">
        <f t="shared" si="2"/>
        <v>0</v>
      </c>
      <c r="K39" s="24">
        <f>IF($A39="",0,IF(OR(WEEKDAY($A39,2)&gt;5,COUNTIF(Stammdaten!$J$5:$J$16,$A39)&gt;0),0,$G$10))</f>
        <v>0</v>
      </c>
      <c r="L39" s="25">
        <f t="shared" si="3"/>
        <v>0</v>
      </c>
      <c r="M39" s="21"/>
    </row>
    <row r="40" spans="1:13" ht="16.5" customHeight="1" x14ac:dyDescent="0.25">
      <c r="A40" s="19">
        <f>IFERROR(IF(24&gt;DAY(DATE($G$7,MATCH($G$6,Stammdaten!$B$5:$B$16,0)+1,0)),"",DATE($G$7,MATCH($G$6,Stammdaten!$B$5:$B$16,0),24)),"")</f>
        <v>46166</v>
      </c>
      <c r="B40" s="20" t="str">
        <f t="shared" si="0"/>
        <v>So</v>
      </c>
      <c r="C40" s="21"/>
      <c r="D40" s="21"/>
      <c r="E40" s="22"/>
      <c r="F40" s="22"/>
      <c r="G40" s="23"/>
      <c r="H40" s="24">
        <f t="shared" si="1"/>
        <v>0</v>
      </c>
      <c r="I40" s="21"/>
      <c r="J40" s="24">
        <f t="shared" si="2"/>
        <v>0</v>
      </c>
      <c r="K40" s="24">
        <f>IF($A40="",0,IF(OR(WEEKDAY($A40,2)&gt;5,COUNTIF(Stammdaten!$J$5:$J$16,$A40)&gt;0),0,$G$10))</f>
        <v>0</v>
      </c>
      <c r="L40" s="25">
        <f t="shared" si="3"/>
        <v>0</v>
      </c>
      <c r="M40" s="21"/>
    </row>
    <row r="41" spans="1:13" ht="16.5" customHeight="1" x14ac:dyDescent="0.25">
      <c r="A41" s="19">
        <f>IFERROR(IF(25&gt;DAY(DATE($G$7,MATCH($G$6,Stammdaten!$B$5:$B$16,0)+1,0)),"",DATE($G$7,MATCH($G$6,Stammdaten!$B$5:$B$16,0),25)),"")</f>
        <v>46167</v>
      </c>
      <c r="B41" s="20" t="str">
        <f t="shared" si="0"/>
        <v>Mo</v>
      </c>
      <c r="C41" s="21"/>
      <c r="D41" s="21"/>
      <c r="E41" s="22"/>
      <c r="F41" s="22"/>
      <c r="G41" s="23"/>
      <c r="H41" s="24">
        <f t="shared" si="1"/>
        <v>0</v>
      </c>
      <c r="I41" s="21"/>
      <c r="J41" s="24">
        <f t="shared" si="2"/>
        <v>0</v>
      </c>
      <c r="K41" s="24">
        <f>IF($A41="",0,IF(OR(WEEKDAY($A41,2)&gt;5,COUNTIF(Stammdaten!$J$5:$J$16,$A41)&gt;0),0,$G$10))</f>
        <v>0</v>
      </c>
      <c r="L41" s="25">
        <f t="shared" si="3"/>
        <v>0</v>
      </c>
      <c r="M41" s="21" t="s">
        <v>66</v>
      </c>
    </row>
    <row r="42" spans="1:13" ht="16.5" customHeight="1" x14ac:dyDescent="0.25">
      <c r="A42" s="19">
        <f>IFERROR(IF(26&gt;DAY(DATE($G$7,MATCH($G$6,Stammdaten!$B$5:$B$16,0)+1,0)),"",DATE($G$7,MATCH($G$6,Stammdaten!$B$5:$B$16,0),26)),"")</f>
        <v>46168</v>
      </c>
      <c r="B42" s="20" t="str">
        <f t="shared" si="0"/>
        <v>Di</v>
      </c>
      <c r="C42" s="21" t="s">
        <v>67</v>
      </c>
      <c r="D42" s="21" t="s">
        <v>68</v>
      </c>
      <c r="E42" s="22">
        <v>0.33333333333333298</v>
      </c>
      <c r="F42" s="22">
        <v>0.51041666666666696</v>
      </c>
      <c r="G42" s="23">
        <v>0.25</v>
      </c>
      <c r="H42" s="24">
        <f t="shared" si="1"/>
        <v>4</v>
      </c>
      <c r="I42" s="21" t="s">
        <v>69</v>
      </c>
      <c r="J42" s="24">
        <f t="shared" si="2"/>
        <v>0</v>
      </c>
      <c r="K42" s="24">
        <f>IF($A42="",0,IF(OR(WEEKDAY($A42,2)&gt;5,COUNTIF(Stammdaten!$J$5:$J$16,$A42)&gt;0),0,$G$10))</f>
        <v>8</v>
      </c>
      <c r="L42" s="25">
        <f t="shared" si="3"/>
        <v>-4</v>
      </c>
      <c r="M42" s="21" t="s">
        <v>70</v>
      </c>
    </row>
    <row r="43" spans="1:13" ht="16.5" customHeight="1" x14ac:dyDescent="0.25">
      <c r="A43" s="19">
        <f>IFERROR(IF(27&gt;DAY(DATE($G$7,MATCH($G$6,Stammdaten!$B$5:$B$16,0)+1,0)),"",DATE($G$7,MATCH($G$6,Stammdaten!$B$5:$B$16,0),27)),"")</f>
        <v>46169</v>
      </c>
      <c r="B43" s="20" t="str">
        <f t="shared" si="0"/>
        <v>Mi</v>
      </c>
      <c r="C43" s="21" t="s">
        <v>71</v>
      </c>
      <c r="D43" s="21" t="s">
        <v>48</v>
      </c>
      <c r="E43" s="22">
        <v>0.33333333333333298</v>
      </c>
      <c r="F43" s="22">
        <v>0.70833333333333304</v>
      </c>
      <c r="G43" s="23">
        <v>1</v>
      </c>
      <c r="H43" s="24">
        <f t="shared" si="1"/>
        <v>8</v>
      </c>
      <c r="I43" s="21"/>
      <c r="J43" s="24">
        <f t="shared" si="2"/>
        <v>0</v>
      </c>
      <c r="K43" s="24">
        <f>IF($A43="",0,IF(OR(WEEKDAY($A43,2)&gt;5,COUNTIF(Stammdaten!$J$5:$J$16,$A43)&gt;0),0,$G$10))</f>
        <v>8</v>
      </c>
      <c r="L43" s="25">
        <f t="shared" si="3"/>
        <v>0</v>
      </c>
      <c r="M43" s="21" t="s">
        <v>72</v>
      </c>
    </row>
    <row r="44" spans="1:13" ht="16.5" customHeight="1" x14ac:dyDescent="0.25">
      <c r="A44" s="19">
        <f>IFERROR(IF(28&gt;DAY(DATE($G$7,MATCH($G$6,Stammdaten!$B$5:$B$16,0)+1,0)),"",DATE($G$7,MATCH($G$6,Stammdaten!$B$5:$B$16,0),28)),"")</f>
        <v>46170</v>
      </c>
      <c r="B44" s="20" t="str">
        <f t="shared" si="0"/>
        <v>Do</v>
      </c>
      <c r="C44" s="21" t="s">
        <v>47</v>
      </c>
      <c r="D44" s="21" t="s">
        <v>46</v>
      </c>
      <c r="E44" s="22">
        <v>0.33333333333333298</v>
      </c>
      <c r="F44" s="22">
        <v>0.72916666666666696</v>
      </c>
      <c r="G44" s="23">
        <v>1</v>
      </c>
      <c r="H44" s="24">
        <f t="shared" si="1"/>
        <v>8.5</v>
      </c>
      <c r="I44" s="21"/>
      <c r="J44" s="24">
        <f t="shared" si="2"/>
        <v>0</v>
      </c>
      <c r="K44" s="24">
        <f>IF($A44="",0,IF(OR(WEEKDAY($A44,2)&gt;5,COUNTIF(Stammdaten!$J$5:$J$16,$A44)&gt;0),0,$G$10))</f>
        <v>8</v>
      </c>
      <c r="L44" s="25">
        <f t="shared" si="3"/>
        <v>0.5</v>
      </c>
      <c r="M44" s="21"/>
    </row>
    <row r="45" spans="1:13" ht="16.5" customHeight="1" x14ac:dyDescent="0.25">
      <c r="A45" s="19">
        <f>IFERROR(IF(29&gt;DAY(DATE($G$7,MATCH($G$6,Stammdaten!$B$5:$B$16,0)+1,0)),"",DATE($G$7,MATCH($G$6,Stammdaten!$B$5:$B$16,0),29)),"")</f>
        <v>46171</v>
      </c>
      <c r="B45" s="20" t="str">
        <f t="shared" si="0"/>
        <v>Fr</v>
      </c>
      <c r="C45" s="21" t="s">
        <v>47</v>
      </c>
      <c r="D45" s="21" t="s">
        <v>73</v>
      </c>
      <c r="E45" s="22">
        <v>0.33333333333333298</v>
      </c>
      <c r="F45" s="22">
        <v>0.66666666666666696</v>
      </c>
      <c r="G45" s="23">
        <v>0.75</v>
      </c>
      <c r="H45" s="24">
        <f t="shared" si="1"/>
        <v>7.25</v>
      </c>
      <c r="I45" s="21"/>
      <c r="J45" s="24">
        <f t="shared" si="2"/>
        <v>0</v>
      </c>
      <c r="K45" s="24">
        <f>IF($A45="",0,IF(OR(WEEKDAY($A45,2)&gt;5,COUNTIF(Stammdaten!$J$5:$J$16,$A45)&gt;0),0,$G$10))</f>
        <v>8</v>
      </c>
      <c r="L45" s="25">
        <f t="shared" si="3"/>
        <v>-0.75</v>
      </c>
      <c r="M45" s="21" t="s">
        <v>74</v>
      </c>
    </row>
    <row r="46" spans="1:13" ht="16.5" customHeight="1" x14ac:dyDescent="0.25">
      <c r="A46" s="19">
        <f>IFERROR(IF(30&gt;DAY(DATE($G$7,MATCH($G$6,Stammdaten!$B$5:$B$16,0)+1,0)),"",DATE($G$7,MATCH($G$6,Stammdaten!$B$5:$B$16,0),30)),"")</f>
        <v>46172</v>
      </c>
      <c r="B46" s="20" t="str">
        <f t="shared" si="0"/>
        <v>Sa</v>
      </c>
      <c r="C46" s="21"/>
      <c r="D46" s="21"/>
      <c r="E46" s="22"/>
      <c r="F46" s="22"/>
      <c r="G46" s="23"/>
      <c r="H46" s="24">
        <f t="shared" si="1"/>
        <v>0</v>
      </c>
      <c r="I46" s="21"/>
      <c r="J46" s="24">
        <f t="shared" si="2"/>
        <v>0</v>
      </c>
      <c r="K46" s="24">
        <f>IF($A46="",0,IF(OR(WEEKDAY($A46,2)&gt;5,COUNTIF(Stammdaten!$J$5:$J$16,$A46)&gt;0),0,$G$10))</f>
        <v>0</v>
      </c>
      <c r="L46" s="25">
        <f t="shared" si="3"/>
        <v>0</v>
      </c>
      <c r="M46" s="21"/>
    </row>
    <row r="47" spans="1:13" ht="16.5" customHeight="1" x14ac:dyDescent="0.25">
      <c r="A47" s="19">
        <f>IFERROR(IF(31&gt;DAY(DATE($G$7,MATCH($G$6,Stammdaten!$B$5:$B$16,0)+1,0)),"",DATE($G$7,MATCH($G$6,Stammdaten!$B$5:$B$16,0),31)),"")</f>
        <v>46173</v>
      </c>
      <c r="B47" s="20" t="str">
        <f t="shared" si="0"/>
        <v>So</v>
      </c>
      <c r="C47" s="21"/>
      <c r="D47" s="21"/>
      <c r="E47" s="22"/>
      <c r="F47" s="22"/>
      <c r="G47" s="23"/>
      <c r="H47" s="24">
        <f t="shared" si="1"/>
        <v>0</v>
      </c>
      <c r="I47" s="21"/>
      <c r="J47" s="24">
        <f t="shared" si="2"/>
        <v>0</v>
      </c>
      <c r="K47" s="24">
        <f>IF($A47="",0,IF(OR(WEEKDAY($A47,2)&gt;5,COUNTIF(Stammdaten!$J$5:$J$16,$A47)&gt;0),0,$G$10))</f>
        <v>0</v>
      </c>
      <c r="L47" s="25">
        <f t="shared" si="3"/>
        <v>0</v>
      </c>
      <c r="M47" s="21"/>
    </row>
    <row r="48" spans="1:13" ht="24" customHeight="1" x14ac:dyDescent="0.25">
      <c r="A48" s="40" t="s">
        <v>75</v>
      </c>
      <c r="B48" s="40"/>
      <c r="C48" s="40"/>
      <c r="D48" s="40"/>
      <c r="E48" s="40"/>
      <c r="F48" s="40"/>
      <c r="G48" s="40"/>
      <c r="H48" s="26">
        <f>ROUND(SUM($H$17:$H$47),2)</f>
        <v>103.5</v>
      </c>
      <c r="I48" s="27"/>
      <c r="J48" s="26">
        <f>ROUND(SUM($J$17:$J$47),2)</f>
        <v>40</v>
      </c>
      <c r="K48" s="26">
        <f>ROUND(SUM($K$17:$K$47),2)</f>
        <v>144</v>
      </c>
      <c r="L48" s="28">
        <f>ROUND(SUM($L$17:$L$47),2)</f>
        <v>-0.5</v>
      </c>
      <c r="M48" s="29" t="str">
        <f>IF($L$48&gt;=0,"Überzeit im Monat","Minusstunden im Monat")</f>
        <v>Minusstunden im Monat</v>
      </c>
    </row>
    <row r="49" spans="1:13" ht="9.75" customHeight="1" x14ac:dyDescent="0.25"/>
    <row r="50" spans="1:13" ht="30" customHeight="1" x14ac:dyDescent="0.25">
      <c r="A50" s="41"/>
      <c r="B50" s="41"/>
      <c r="C50" s="41"/>
      <c r="D50" s="41"/>
      <c r="E50" s="41"/>
      <c r="I50" s="41"/>
      <c r="J50" s="41"/>
      <c r="K50" s="41"/>
      <c r="L50" s="41"/>
      <c r="M50" s="41"/>
    </row>
    <row r="51" spans="1:13" ht="15.75" customHeight="1" x14ac:dyDescent="0.25">
      <c r="A51" s="42" t="s">
        <v>76</v>
      </c>
      <c r="B51" s="42"/>
      <c r="C51" s="42"/>
      <c r="D51" s="42"/>
      <c r="E51" s="42"/>
      <c r="I51" s="42" t="s">
        <v>77</v>
      </c>
      <c r="J51" s="42"/>
      <c r="K51" s="42"/>
      <c r="L51" s="42"/>
      <c r="M51" s="42"/>
    </row>
    <row r="53" spans="1:13" ht="13.5" customHeight="1" x14ac:dyDescent="0.25">
      <c r="A53" s="39" t="s">
        <v>78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</row>
  </sheetData>
  <mergeCells count="37">
    <mergeCell ref="A51:E51"/>
    <mergeCell ref="I51:M51"/>
    <mergeCell ref="A53:M53"/>
    <mergeCell ref="I13:K13"/>
    <mergeCell ref="L13:M13"/>
    <mergeCell ref="A15:M15"/>
    <mergeCell ref="A48:G48"/>
    <mergeCell ref="A50:E50"/>
    <mergeCell ref="I50:M50"/>
    <mergeCell ref="C11:D11"/>
    <mergeCell ref="G11:H11"/>
    <mergeCell ref="I11:K11"/>
    <mergeCell ref="L11:M11"/>
    <mergeCell ref="I12:K12"/>
    <mergeCell ref="L12:M12"/>
    <mergeCell ref="C9:D9"/>
    <mergeCell ref="G9:H9"/>
    <mergeCell ref="I9:K9"/>
    <mergeCell ref="L9:M9"/>
    <mergeCell ref="C10:D10"/>
    <mergeCell ref="G10:H10"/>
    <mergeCell ref="I10:K10"/>
    <mergeCell ref="L10:M10"/>
    <mergeCell ref="C7:D7"/>
    <mergeCell ref="G7:H7"/>
    <mergeCell ref="I7:K7"/>
    <mergeCell ref="L7:M7"/>
    <mergeCell ref="C8:D8"/>
    <mergeCell ref="G8:H8"/>
    <mergeCell ref="I8:K8"/>
    <mergeCell ref="L8:M8"/>
    <mergeCell ref="A2:F2"/>
    <mergeCell ref="H2:M3"/>
    <mergeCell ref="A3:F3"/>
    <mergeCell ref="C6:D6"/>
    <mergeCell ref="G6:H6"/>
    <mergeCell ref="I6:M6"/>
  </mergeCells>
  <conditionalFormatting sqref="A17:M47">
    <cfRule type="expression" dxfId="6" priority="7">
      <formula>AND($A17&lt;&gt;"",WEEKDAY($A17,2)&gt;5)</formula>
    </cfRule>
  </conditionalFormatting>
  <conditionalFormatting sqref="L17:L47">
    <cfRule type="expression" dxfId="5" priority="8">
      <formula>AND($A17&lt;&gt;"",$L17&lt;0)</formula>
    </cfRule>
    <cfRule type="expression" dxfId="4" priority="9">
      <formula>AND($A17&lt;&gt;"",$L17&gt;0)</formula>
    </cfRule>
  </conditionalFormatting>
  <conditionalFormatting sqref="L11:M11">
    <cfRule type="expression" dxfId="3" priority="2">
      <formula>$L$11&lt;0</formula>
    </cfRule>
    <cfRule type="expression" dxfId="2" priority="3">
      <formula>$L$11&gt;0</formula>
    </cfRule>
  </conditionalFormatting>
  <conditionalFormatting sqref="L12:M12">
    <cfRule type="expression" dxfId="1" priority="4">
      <formula>$L$12&lt;0</formula>
    </cfRule>
    <cfRule type="expression" dxfId="0" priority="5">
      <formula>$L$12&gt;0</formula>
    </cfRule>
  </conditionalFormatting>
  <dataValidations count="1">
    <dataValidation type="decimal" allowBlank="1" errorTitle="Ungültige Pause" error="Pause in Dezimalstunden zwischen 0 und 12 erfassen (z. B. 0.75)." sqref="G17:G47" xr:uid="{00000000-0002-0000-0000-000004000000}">
      <formula1>0</formula1>
      <formula2>12</formula2>
    </dataValidation>
  </dataValidations>
  <pageMargins left="0.4" right="0.4" top="0.5" bottom="0.5" header="0.511811023622047" footer="0.511811023622047"/>
  <pageSetup paperSize="9" orientation="landscape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00000000-000E-0000-0000-000006000000}">
            <xm:f>AND($A17&lt;&gt;"",COUNTIF(Stammdaten!$J$5:$J$16,$A17)&gt;0)</xm:f>
            <x14:dxf>
              <fill>
                <patternFill>
                  <bgColor rgb="FFFAEEDA"/>
                </patternFill>
              </fill>
            </x14:dxf>
          </x14:cfRule>
          <xm:sqref>A17:M47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00000000-0002-0000-0000-000000000000}">
          <x14:formula1>
            <xm:f>Stammdaten!$B$5:$B$16</xm:f>
          </x14:formula1>
          <x14:formula2>
            <xm:f>0</xm:f>
          </x14:formula2>
          <xm:sqref>G6</xm:sqref>
        </x14:dataValidation>
        <x14:dataValidation type="list" allowBlank="1" xr:uid="{00000000-0002-0000-0000-000001000000}">
          <x14:formula1>
            <xm:f>Stammdaten!$D$5:$D$13</xm:f>
          </x14:formula1>
          <x14:formula2>
            <xm:f>0</xm:f>
          </x14:formula2>
          <xm:sqref>C17:C47</xm:sqref>
        </x14:dataValidation>
        <x14:dataValidation type="list" allowBlank="1" xr:uid="{00000000-0002-0000-0000-000002000000}">
          <x14:formula1>
            <xm:f>Stammdaten!$F$5:$F$14</xm:f>
          </x14:formula1>
          <x14:formula2>
            <xm:f>0</xm:f>
          </x14:formula2>
          <xm:sqref>D17:D47</xm:sqref>
        </x14:dataValidation>
        <x14:dataValidation type="list" allowBlank="1" xr:uid="{00000000-0002-0000-0000-000003000000}">
          <x14:formula1>
            <xm:f>Stammdaten!$H$5:$H$11</xm:f>
          </x14:formula1>
          <x14:formula2>
            <xm:f>0</xm:f>
          </x14:formula2>
          <xm:sqref>I17:I47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29"/>
  <sheetViews>
    <sheetView showGridLines="0" zoomScaleNormal="100" workbookViewId="0"/>
  </sheetViews>
  <sheetFormatPr baseColWidth="10" defaultColWidth="8.7109375" defaultRowHeight="15" x14ac:dyDescent="0.25"/>
  <cols>
    <col min="1" max="1" width="3" customWidth="1"/>
    <col min="2" max="2" width="16" customWidth="1"/>
    <col min="3" max="3" width="2" customWidth="1"/>
    <col min="4" max="4" width="28" customWidth="1"/>
    <col min="5" max="5" width="2" customWidth="1"/>
    <col min="6" max="6" width="26" customWidth="1"/>
    <col min="7" max="7" width="2" customWidth="1"/>
    <col min="8" max="8" width="22" customWidth="1"/>
    <col min="9" max="9" width="2" customWidth="1"/>
    <col min="10" max="10" width="18" customWidth="1"/>
    <col min="11" max="11" width="22" customWidth="1"/>
  </cols>
  <sheetData>
    <row r="2" spans="2:11" ht="18.75" x14ac:dyDescent="0.3">
      <c r="B2" s="30" t="s">
        <v>79</v>
      </c>
    </row>
    <row r="3" spans="2:11" x14ac:dyDescent="0.25">
      <c r="B3" s="31" t="s">
        <v>80</v>
      </c>
    </row>
    <row r="4" spans="2:11" ht="19.5" customHeight="1" x14ac:dyDescent="0.25">
      <c r="B4" s="32" t="s">
        <v>5</v>
      </c>
      <c r="D4" s="32" t="s">
        <v>31</v>
      </c>
      <c r="F4" s="32" t="s">
        <v>32</v>
      </c>
      <c r="H4" s="32" t="s">
        <v>81</v>
      </c>
      <c r="J4" s="32" t="s">
        <v>82</v>
      </c>
      <c r="K4" s="32" t="s">
        <v>83</v>
      </c>
    </row>
    <row r="5" spans="2:11" x14ac:dyDescent="0.25">
      <c r="B5" s="21" t="s">
        <v>84</v>
      </c>
      <c r="D5" s="21" t="s">
        <v>47</v>
      </c>
      <c r="F5" s="21" t="s">
        <v>48</v>
      </c>
      <c r="H5" s="21" t="s">
        <v>54</v>
      </c>
      <c r="J5" s="33">
        <v>46023</v>
      </c>
      <c r="K5" s="21" t="s">
        <v>85</v>
      </c>
    </row>
    <row r="6" spans="2:11" x14ac:dyDescent="0.25">
      <c r="B6" s="21" t="s">
        <v>86</v>
      </c>
      <c r="D6" s="21" t="s">
        <v>43</v>
      </c>
      <c r="F6" s="21" t="s">
        <v>44</v>
      </c>
      <c r="H6" s="21" t="s">
        <v>63</v>
      </c>
      <c r="J6" s="33">
        <v>46024</v>
      </c>
      <c r="K6" s="21" t="s">
        <v>87</v>
      </c>
    </row>
    <row r="7" spans="2:11" x14ac:dyDescent="0.25">
      <c r="B7" s="21" t="s">
        <v>88</v>
      </c>
      <c r="D7" s="21" t="s">
        <v>60</v>
      </c>
      <c r="F7" s="21" t="s">
        <v>46</v>
      </c>
      <c r="H7" s="21" t="s">
        <v>89</v>
      </c>
      <c r="J7" s="33">
        <v>46115</v>
      </c>
      <c r="K7" s="21" t="s">
        <v>90</v>
      </c>
    </row>
    <row r="8" spans="2:11" x14ac:dyDescent="0.25">
      <c r="B8" s="21" t="s">
        <v>91</v>
      </c>
      <c r="D8" s="21" t="s">
        <v>92</v>
      </c>
      <c r="F8" s="21" t="s">
        <v>65</v>
      </c>
      <c r="H8" s="21" t="s">
        <v>69</v>
      </c>
      <c r="J8" s="33">
        <v>46118</v>
      </c>
      <c r="K8" s="21" t="s">
        <v>93</v>
      </c>
    </row>
    <row r="9" spans="2:11" x14ac:dyDescent="0.25">
      <c r="B9" s="21" t="s">
        <v>6</v>
      </c>
      <c r="D9" s="21" t="s">
        <v>57</v>
      </c>
      <c r="F9" s="21" t="s">
        <v>68</v>
      </c>
      <c r="H9" s="21" t="s">
        <v>94</v>
      </c>
      <c r="J9" s="33">
        <v>46143</v>
      </c>
      <c r="K9" s="21" t="s">
        <v>95</v>
      </c>
    </row>
    <row r="10" spans="2:11" x14ac:dyDescent="0.25">
      <c r="B10" s="21" t="s">
        <v>96</v>
      </c>
      <c r="D10" s="21" t="s">
        <v>71</v>
      </c>
      <c r="F10" s="21" t="s">
        <v>61</v>
      </c>
      <c r="H10" s="21" t="s">
        <v>97</v>
      </c>
      <c r="J10" s="33">
        <v>46156</v>
      </c>
      <c r="K10" s="21" t="s">
        <v>98</v>
      </c>
    </row>
    <row r="11" spans="2:11" x14ac:dyDescent="0.25">
      <c r="B11" s="21" t="s">
        <v>99</v>
      </c>
      <c r="D11" s="21" t="s">
        <v>67</v>
      </c>
      <c r="F11" s="21" t="s">
        <v>58</v>
      </c>
      <c r="H11" s="21" t="s">
        <v>100</v>
      </c>
      <c r="J11" s="33">
        <v>46167</v>
      </c>
      <c r="K11" s="21" t="s">
        <v>101</v>
      </c>
    </row>
    <row r="12" spans="2:11" x14ac:dyDescent="0.25">
      <c r="B12" s="21" t="s">
        <v>102</v>
      </c>
      <c r="D12" s="21" t="s">
        <v>51</v>
      </c>
      <c r="F12" s="21" t="s">
        <v>73</v>
      </c>
      <c r="J12" s="33">
        <v>46235</v>
      </c>
      <c r="K12" s="21" t="s">
        <v>103</v>
      </c>
    </row>
    <row r="13" spans="2:11" x14ac:dyDescent="0.25">
      <c r="B13" s="21" t="s">
        <v>104</v>
      </c>
      <c r="D13" s="21" t="s">
        <v>105</v>
      </c>
      <c r="F13" s="21" t="s">
        <v>52</v>
      </c>
      <c r="J13" s="33">
        <v>46381</v>
      </c>
      <c r="K13" s="21" t="s">
        <v>106</v>
      </c>
    </row>
    <row r="14" spans="2:11" x14ac:dyDescent="0.25">
      <c r="B14" s="21" t="s">
        <v>107</v>
      </c>
      <c r="F14" s="21" t="s">
        <v>108</v>
      </c>
      <c r="J14" s="33">
        <v>46382</v>
      </c>
      <c r="K14" s="21" t="s">
        <v>109</v>
      </c>
    </row>
    <row r="15" spans="2:11" x14ac:dyDescent="0.25">
      <c r="B15" s="21" t="s">
        <v>110</v>
      </c>
    </row>
    <row r="16" spans="2:11" x14ac:dyDescent="0.25">
      <c r="B16" s="21" t="s">
        <v>111</v>
      </c>
    </row>
    <row r="20" spans="2:2" x14ac:dyDescent="0.25">
      <c r="B20" s="34" t="s">
        <v>112</v>
      </c>
    </row>
    <row r="21" spans="2:2" x14ac:dyDescent="0.25">
      <c r="B21" s="35" t="s">
        <v>113</v>
      </c>
    </row>
    <row r="22" spans="2:2" x14ac:dyDescent="0.25">
      <c r="B22" s="35" t="s">
        <v>114</v>
      </c>
    </row>
    <row r="23" spans="2:2" x14ac:dyDescent="0.25">
      <c r="B23" s="35" t="s">
        <v>115</v>
      </c>
    </row>
    <row r="24" spans="2:2" x14ac:dyDescent="0.25">
      <c r="B24" s="35" t="s">
        <v>116</v>
      </c>
    </row>
    <row r="25" spans="2:2" x14ac:dyDescent="0.25">
      <c r="B25" s="35" t="s">
        <v>117</v>
      </c>
    </row>
    <row r="26" spans="2:2" x14ac:dyDescent="0.25">
      <c r="B26" s="35" t="s">
        <v>118</v>
      </c>
    </row>
    <row r="27" spans="2:2" x14ac:dyDescent="0.25">
      <c r="B27" s="35" t="s">
        <v>119</v>
      </c>
    </row>
    <row r="28" spans="2:2" x14ac:dyDescent="0.25">
      <c r="B28" s="35"/>
    </row>
    <row r="29" spans="2:2" x14ac:dyDescent="0.25">
      <c r="B29" s="35" t="s">
        <v>120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Stundenrapport</vt:lpstr>
      <vt:lpstr>Stammdaten</vt:lpstr>
      <vt:lpstr>Stundenrapport!Druckbereich</vt:lpstr>
      <vt:lpstr>Stundenrapport!Drucktitel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2026-07-13T06:14:39Z</dcterms:created>
  <dcterms:modified xsi:type="dcterms:W3CDTF">2026-07-13T09:02:22Z</dcterms:modified>
  <dc:language>en-US</dc:language>
</cp:coreProperties>
</file>