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990C1327-CC21-481E-A680-87D332C379A4}" xr6:coauthVersionLast="47" xr6:coauthVersionMax="47" xr10:uidLastSave="{00000000-0000-0000-0000-000000000000}"/>
  <bookViews>
    <workbookView xWindow="-120" yWindow="-120" windowWidth="29040" windowHeight="15720" tabRatio="500" activeTab="1" xr2:uid="{00000000-000D-0000-FFFF-FFFF00000000}"/>
  </bookViews>
  <sheets>
    <sheet name="Stammdaten" sheetId="1" r:id="rId1"/>
    <sheet name="Überstundenerfassung" sheetId="2" r:id="rId2"/>
    <sheet name="Monatsauswertung" sheetId="3" r:id="rId3"/>
  </sheets>
  <definedNames>
    <definedName name="Ausgleichsarten">Stammdaten!$B$24:$B$26</definedName>
    <definedName name="_xlnm.Print_Area" localSheetId="1">Überstundenerfassung!$A$1:$Q$124</definedName>
    <definedName name="_xlnm.Print_Titles" localSheetId="1">Überstundenerfassung!$14:$14</definedName>
    <definedName name="Feiertage">Stammdaten!$B$30:$B$38</definedName>
    <definedName name="Jahr">Stammdaten!$C$8</definedName>
    <definedName name="Stundensatz">Stammdaten!$C$11</definedName>
    <definedName name="Tagessoll">Stammdaten!$C$9</definedName>
    <definedName name="Warnwert">Stammdaten!$C$12</definedName>
    <definedName name="Wochentage">Stammdaten!$B$42:$B$48</definedName>
    <definedName name="Zuschlagsarten">Stammdaten!$B$16:$B$21</definedName>
    <definedName name="Zuschlagssaetze">Stammdaten!$C$16:$C$21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8" i="3" l="1"/>
  <c r="I18" i="3"/>
  <c r="H18" i="3"/>
  <c r="G18" i="3"/>
  <c r="F18" i="3"/>
  <c r="E18" i="3"/>
  <c r="D18" i="3"/>
  <c r="C18" i="3"/>
  <c r="J17" i="3"/>
  <c r="I17" i="3"/>
  <c r="H17" i="3"/>
  <c r="G17" i="3"/>
  <c r="F17" i="3"/>
  <c r="E17" i="3"/>
  <c r="D17" i="3"/>
  <c r="C17" i="3"/>
  <c r="J16" i="3"/>
  <c r="I16" i="3"/>
  <c r="H16" i="3"/>
  <c r="G16" i="3"/>
  <c r="F16" i="3"/>
  <c r="E16" i="3"/>
  <c r="D16" i="3"/>
  <c r="C16" i="3"/>
  <c r="J15" i="3"/>
  <c r="I15" i="3"/>
  <c r="H15" i="3"/>
  <c r="G15" i="3"/>
  <c r="F15" i="3"/>
  <c r="E15" i="3"/>
  <c r="D15" i="3"/>
  <c r="C15" i="3"/>
  <c r="J14" i="3"/>
  <c r="I14" i="3"/>
  <c r="H14" i="3"/>
  <c r="G14" i="3"/>
  <c r="F14" i="3"/>
  <c r="E14" i="3"/>
  <c r="D14" i="3"/>
  <c r="C14" i="3"/>
  <c r="J13" i="3"/>
  <c r="I13" i="3"/>
  <c r="H13" i="3"/>
  <c r="G13" i="3"/>
  <c r="F13" i="3"/>
  <c r="E13" i="3"/>
  <c r="D13" i="3"/>
  <c r="C13" i="3"/>
  <c r="C12" i="3"/>
  <c r="C11" i="3"/>
  <c r="C10" i="3"/>
  <c r="C9" i="3"/>
  <c r="C8" i="3"/>
  <c r="H7" i="3"/>
  <c r="C7" i="3"/>
  <c r="C19" i="3" s="1"/>
  <c r="H2" i="3"/>
  <c r="N114" i="2"/>
  <c r="K114" i="2"/>
  <c r="I114" i="2"/>
  <c r="L114" i="2" s="1"/>
  <c r="H114" i="2"/>
  <c r="G114" i="2"/>
  <c r="C114" i="2"/>
  <c r="A114" i="2"/>
  <c r="N113" i="2"/>
  <c r="K113" i="2"/>
  <c r="H113" i="2"/>
  <c r="I113" i="2" s="1"/>
  <c r="L113" i="2" s="1"/>
  <c r="G113" i="2"/>
  <c r="C113" i="2"/>
  <c r="A113" i="2"/>
  <c r="N112" i="2"/>
  <c r="K112" i="2"/>
  <c r="H112" i="2"/>
  <c r="G112" i="2"/>
  <c r="I112" i="2" s="1"/>
  <c r="L112" i="2" s="1"/>
  <c r="C112" i="2"/>
  <c r="A112" i="2"/>
  <c r="N111" i="2"/>
  <c r="K111" i="2"/>
  <c r="H111" i="2"/>
  <c r="G111" i="2"/>
  <c r="I111" i="2" s="1"/>
  <c r="L111" i="2" s="1"/>
  <c r="C111" i="2"/>
  <c r="A111" i="2"/>
  <c r="N110" i="2"/>
  <c r="K110" i="2"/>
  <c r="H110" i="2"/>
  <c r="G110" i="2"/>
  <c r="I110" i="2" s="1"/>
  <c r="L110" i="2" s="1"/>
  <c r="C110" i="2"/>
  <c r="A110" i="2"/>
  <c r="N109" i="2"/>
  <c r="K109" i="2"/>
  <c r="I109" i="2"/>
  <c r="L109" i="2" s="1"/>
  <c r="H109" i="2"/>
  <c r="G109" i="2"/>
  <c r="C109" i="2"/>
  <c r="A109" i="2"/>
  <c r="N108" i="2"/>
  <c r="K108" i="2"/>
  <c r="H108" i="2"/>
  <c r="I108" i="2" s="1"/>
  <c r="L108" i="2" s="1"/>
  <c r="G108" i="2"/>
  <c r="C108" i="2"/>
  <c r="A108" i="2"/>
  <c r="N107" i="2"/>
  <c r="K107" i="2"/>
  <c r="H107" i="2"/>
  <c r="G107" i="2"/>
  <c r="I107" i="2" s="1"/>
  <c r="L107" i="2" s="1"/>
  <c r="C107" i="2"/>
  <c r="A107" i="2"/>
  <c r="N106" i="2"/>
  <c r="K106" i="2"/>
  <c r="H106" i="2"/>
  <c r="G106" i="2"/>
  <c r="I106" i="2" s="1"/>
  <c r="L106" i="2" s="1"/>
  <c r="C106" i="2"/>
  <c r="A106" i="2"/>
  <c r="N105" i="2"/>
  <c r="K105" i="2"/>
  <c r="H105" i="2"/>
  <c r="G105" i="2"/>
  <c r="I105" i="2" s="1"/>
  <c r="L105" i="2" s="1"/>
  <c r="C105" i="2"/>
  <c r="A105" i="2"/>
  <c r="N104" i="2"/>
  <c r="K104" i="2"/>
  <c r="I104" i="2"/>
  <c r="L104" i="2" s="1"/>
  <c r="H104" i="2"/>
  <c r="G104" i="2"/>
  <c r="C104" i="2"/>
  <c r="A104" i="2"/>
  <c r="N103" i="2"/>
  <c r="K103" i="2"/>
  <c r="H103" i="2"/>
  <c r="I103" i="2" s="1"/>
  <c r="L103" i="2" s="1"/>
  <c r="G103" i="2"/>
  <c r="C103" i="2"/>
  <c r="A103" i="2"/>
  <c r="N102" i="2"/>
  <c r="K102" i="2"/>
  <c r="H102" i="2"/>
  <c r="G102" i="2"/>
  <c r="I102" i="2" s="1"/>
  <c r="L102" i="2" s="1"/>
  <c r="C102" i="2"/>
  <c r="A102" i="2"/>
  <c r="N101" i="2"/>
  <c r="K101" i="2"/>
  <c r="H101" i="2"/>
  <c r="G101" i="2"/>
  <c r="I101" i="2" s="1"/>
  <c r="L101" i="2" s="1"/>
  <c r="C101" i="2"/>
  <c r="A101" i="2"/>
  <c r="N100" i="2"/>
  <c r="K100" i="2"/>
  <c r="H100" i="2"/>
  <c r="G100" i="2"/>
  <c r="I100" i="2" s="1"/>
  <c r="L100" i="2" s="1"/>
  <c r="C100" i="2"/>
  <c r="A100" i="2"/>
  <c r="N99" i="2"/>
  <c r="K99" i="2"/>
  <c r="I99" i="2"/>
  <c r="L99" i="2" s="1"/>
  <c r="H99" i="2"/>
  <c r="G99" i="2"/>
  <c r="C99" i="2"/>
  <c r="A99" i="2"/>
  <c r="N98" i="2"/>
  <c r="K98" i="2"/>
  <c r="H98" i="2"/>
  <c r="I98" i="2" s="1"/>
  <c r="L98" i="2" s="1"/>
  <c r="G98" i="2"/>
  <c r="C98" i="2"/>
  <c r="A98" i="2"/>
  <c r="N97" i="2"/>
  <c r="K97" i="2"/>
  <c r="H97" i="2"/>
  <c r="G97" i="2"/>
  <c r="I97" i="2" s="1"/>
  <c r="L97" i="2" s="1"/>
  <c r="C97" i="2"/>
  <c r="A97" i="2"/>
  <c r="N96" i="2"/>
  <c r="K96" i="2"/>
  <c r="H96" i="2"/>
  <c r="G96" i="2"/>
  <c r="I96" i="2" s="1"/>
  <c r="L96" i="2" s="1"/>
  <c r="C96" i="2"/>
  <c r="A96" i="2"/>
  <c r="N95" i="2"/>
  <c r="K95" i="2"/>
  <c r="H95" i="2"/>
  <c r="G95" i="2"/>
  <c r="I95" i="2" s="1"/>
  <c r="L95" i="2" s="1"/>
  <c r="C95" i="2"/>
  <c r="A95" i="2"/>
  <c r="N94" i="2"/>
  <c r="K94" i="2"/>
  <c r="I94" i="2"/>
  <c r="L94" i="2" s="1"/>
  <c r="H94" i="2"/>
  <c r="G94" i="2"/>
  <c r="C94" i="2"/>
  <c r="A94" i="2"/>
  <c r="N93" i="2"/>
  <c r="K93" i="2"/>
  <c r="H93" i="2"/>
  <c r="I93" i="2" s="1"/>
  <c r="L93" i="2" s="1"/>
  <c r="G93" i="2"/>
  <c r="C93" i="2"/>
  <c r="A93" i="2"/>
  <c r="N92" i="2"/>
  <c r="K92" i="2"/>
  <c r="H92" i="2"/>
  <c r="G92" i="2"/>
  <c r="I92" i="2" s="1"/>
  <c r="L92" i="2" s="1"/>
  <c r="C92" i="2"/>
  <c r="A92" i="2"/>
  <c r="N91" i="2"/>
  <c r="K91" i="2"/>
  <c r="H91" i="2"/>
  <c r="G91" i="2"/>
  <c r="I91" i="2" s="1"/>
  <c r="L91" i="2" s="1"/>
  <c r="C91" i="2"/>
  <c r="A91" i="2"/>
  <c r="N90" i="2"/>
  <c r="K90" i="2"/>
  <c r="H90" i="2"/>
  <c r="G90" i="2"/>
  <c r="I90" i="2" s="1"/>
  <c r="L90" i="2" s="1"/>
  <c r="C90" i="2"/>
  <c r="A90" i="2"/>
  <c r="N89" i="2"/>
  <c r="K89" i="2"/>
  <c r="I89" i="2"/>
  <c r="L89" i="2" s="1"/>
  <c r="H89" i="2"/>
  <c r="G89" i="2"/>
  <c r="C89" i="2"/>
  <c r="A89" i="2"/>
  <c r="N88" i="2"/>
  <c r="K88" i="2"/>
  <c r="H88" i="2"/>
  <c r="I88" i="2" s="1"/>
  <c r="L88" i="2" s="1"/>
  <c r="G88" i="2"/>
  <c r="C88" i="2"/>
  <c r="A88" i="2"/>
  <c r="N87" i="2"/>
  <c r="K87" i="2"/>
  <c r="H87" i="2"/>
  <c r="G87" i="2"/>
  <c r="I87" i="2" s="1"/>
  <c r="L87" i="2" s="1"/>
  <c r="C87" i="2"/>
  <c r="A87" i="2"/>
  <c r="N86" i="2"/>
  <c r="K86" i="2"/>
  <c r="H86" i="2"/>
  <c r="G86" i="2"/>
  <c r="I86" i="2" s="1"/>
  <c r="L86" i="2" s="1"/>
  <c r="C86" i="2"/>
  <c r="A86" i="2"/>
  <c r="N85" i="2"/>
  <c r="K85" i="2"/>
  <c r="H85" i="2"/>
  <c r="G85" i="2"/>
  <c r="I85" i="2" s="1"/>
  <c r="L85" i="2" s="1"/>
  <c r="C85" i="2"/>
  <c r="A85" i="2"/>
  <c r="N84" i="2"/>
  <c r="K84" i="2"/>
  <c r="I84" i="2"/>
  <c r="L84" i="2" s="1"/>
  <c r="H84" i="2"/>
  <c r="G84" i="2"/>
  <c r="C84" i="2"/>
  <c r="A84" i="2"/>
  <c r="N83" i="2"/>
  <c r="K83" i="2"/>
  <c r="H83" i="2"/>
  <c r="I83" i="2" s="1"/>
  <c r="L83" i="2" s="1"/>
  <c r="G83" i="2"/>
  <c r="C83" i="2"/>
  <c r="A83" i="2"/>
  <c r="N82" i="2"/>
  <c r="K82" i="2"/>
  <c r="H82" i="2"/>
  <c r="G82" i="2"/>
  <c r="I82" i="2" s="1"/>
  <c r="L82" i="2" s="1"/>
  <c r="C82" i="2"/>
  <c r="A82" i="2"/>
  <c r="N81" i="2"/>
  <c r="K81" i="2"/>
  <c r="H81" i="2"/>
  <c r="G81" i="2"/>
  <c r="I81" i="2" s="1"/>
  <c r="L81" i="2" s="1"/>
  <c r="C81" i="2"/>
  <c r="A81" i="2"/>
  <c r="N80" i="2"/>
  <c r="K80" i="2"/>
  <c r="H80" i="2"/>
  <c r="G80" i="2"/>
  <c r="I80" i="2" s="1"/>
  <c r="L80" i="2" s="1"/>
  <c r="C80" i="2"/>
  <c r="A80" i="2"/>
  <c r="N79" i="2"/>
  <c r="K79" i="2"/>
  <c r="I79" i="2"/>
  <c r="L79" i="2" s="1"/>
  <c r="H79" i="2"/>
  <c r="G79" i="2"/>
  <c r="C79" i="2"/>
  <c r="A79" i="2"/>
  <c r="N78" i="2"/>
  <c r="K78" i="2"/>
  <c r="H78" i="2"/>
  <c r="I78" i="2" s="1"/>
  <c r="L78" i="2" s="1"/>
  <c r="G78" i="2"/>
  <c r="C78" i="2"/>
  <c r="A78" i="2"/>
  <c r="N77" i="2"/>
  <c r="K77" i="2"/>
  <c r="H77" i="2"/>
  <c r="G77" i="2"/>
  <c r="I77" i="2" s="1"/>
  <c r="L77" i="2" s="1"/>
  <c r="C77" i="2"/>
  <c r="A77" i="2"/>
  <c r="N76" i="2"/>
  <c r="K76" i="2"/>
  <c r="H76" i="2"/>
  <c r="G76" i="2"/>
  <c r="I76" i="2" s="1"/>
  <c r="L76" i="2" s="1"/>
  <c r="C76" i="2"/>
  <c r="A76" i="2"/>
  <c r="N75" i="2"/>
  <c r="K75" i="2"/>
  <c r="H75" i="2"/>
  <c r="G75" i="2"/>
  <c r="I75" i="2" s="1"/>
  <c r="L75" i="2" s="1"/>
  <c r="C75" i="2"/>
  <c r="A75" i="2"/>
  <c r="N74" i="2"/>
  <c r="K74" i="2"/>
  <c r="I74" i="2"/>
  <c r="L74" i="2" s="1"/>
  <c r="H74" i="2"/>
  <c r="G74" i="2"/>
  <c r="C74" i="2"/>
  <c r="A74" i="2"/>
  <c r="N73" i="2"/>
  <c r="K73" i="2"/>
  <c r="H73" i="2"/>
  <c r="I73" i="2" s="1"/>
  <c r="L73" i="2" s="1"/>
  <c r="G73" i="2"/>
  <c r="C73" i="2"/>
  <c r="A73" i="2"/>
  <c r="N72" i="2"/>
  <c r="K72" i="2"/>
  <c r="H72" i="2"/>
  <c r="G72" i="2"/>
  <c r="I72" i="2" s="1"/>
  <c r="L72" i="2" s="1"/>
  <c r="C72" i="2"/>
  <c r="A72" i="2"/>
  <c r="N71" i="2"/>
  <c r="K71" i="2"/>
  <c r="H71" i="2"/>
  <c r="G71" i="2"/>
  <c r="I71" i="2" s="1"/>
  <c r="L71" i="2" s="1"/>
  <c r="C71" i="2"/>
  <c r="A71" i="2"/>
  <c r="N70" i="2"/>
  <c r="K70" i="2"/>
  <c r="H70" i="2"/>
  <c r="G70" i="2"/>
  <c r="I70" i="2" s="1"/>
  <c r="L70" i="2" s="1"/>
  <c r="C70" i="2"/>
  <c r="A70" i="2"/>
  <c r="N69" i="2"/>
  <c r="K69" i="2"/>
  <c r="I69" i="2"/>
  <c r="L69" i="2" s="1"/>
  <c r="H69" i="2"/>
  <c r="G69" i="2"/>
  <c r="C69" i="2"/>
  <c r="A69" i="2"/>
  <c r="N68" i="2"/>
  <c r="K68" i="2"/>
  <c r="H68" i="2"/>
  <c r="I68" i="2" s="1"/>
  <c r="L68" i="2" s="1"/>
  <c r="G68" i="2"/>
  <c r="C68" i="2"/>
  <c r="A68" i="2"/>
  <c r="N67" i="2"/>
  <c r="K67" i="2"/>
  <c r="H67" i="2"/>
  <c r="G67" i="2"/>
  <c r="I67" i="2" s="1"/>
  <c r="L67" i="2" s="1"/>
  <c r="C67" i="2"/>
  <c r="A67" i="2"/>
  <c r="N66" i="2"/>
  <c r="K66" i="2"/>
  <c r="H66" i="2"/>
  <c r="G66" i="2"/>
  <c r="I66" i="2" s="1"/>
  <c r="L66" i="2" s="1"/>
  <c r="C66" i="2"/>
  <c r="A66" i="2"/>
  <c r="N65" i="2"/>
  <c r="K65" i="2"/>
  <c r="H65" i="2"/>
  <c r="G65" i="2"/>
  <c r="I65" i="2" s="1"/>
  <c r="L65" i="2" s="1"/>
  <c r="C65" i="2"/>
  <c r="A65" i="2"/>
  <c r="N64" i="2"/>
  <c r="K64" i="2"/>
  <c r="I64" i="2"/>
  <c r="L64" i="2" s="1"/>
  <c r="H64" i="2"/>
  <c r="G64" i="2"/>
  <c r="C64" i="2"/>
  <c r="A64" i="2"/>
  <c r="N63" i="2"/>
  <c r="K63" i="2"/>
  <c r="H63" i="2"/>
  <c r="I63" i="2" s="1"/>
  <c r="L63" i="2" s="1"/>
  <c r="G63" i="2"/>
  <c r="C63" i="2"/>
  <c r="A63" i="2"/>
  <c r="N62" i="2"/>
  <c r="K62" i="2"/>
  <c r="H62" i="2"/>
  <c r="G62" i="2"/>
  <c r="I62" i="2" s="1"/>
  <c r="L62" i="2" s="1"/>
  <c r="C62" i="2"/>
  <c r="A62" i="2"/>
  <c r="N61" i="2"/>
  <c r="K61" i="2"/>
  <c r="H61" i="2"/>
  <c r="G61" i="2"/>
  <c r="I61" i="2" s="1"/>
  <c r="L61" i="2" s="1"/>
  <c r="C61" i="2"/>
  <c r="A61" i="2"/>
  <c r="N60" i="2"/>
  <c r="K60" i="2"/>
  <c r="H60" i="2"/>
  <c r="G60" i="2"/>
  <c r="I60" i="2" s="1"/>
  <c r="L60" i="2" s="1"/>
  <c r="C60" i="2"/>
  <c r="A60" i="2"/>
  <c r="N59" i="2"/>
  <c r="K59" i="2"/>
  <c r="I59" i="2"/>
  <c r="L59" i="2" s="1"/>
  <c r="H59" i="2"/>
  <c r="G59" i="2"/>
  <c r="C59" i="2"/>
  <c r="A59" i="2"/>
  <c r="N58" i="2"/>
  <c r="K58" i="2"/>
  <c r="H58" i="2"/>
  <c r="I58" i="2" s="1"/>
  <c r="L58" i="2" s="1"/>
  <c r="G58" i="2"/>
  <c r="C58" i="2"/>
  <c r="A58" i="2"/>
  <c r="N57" i="2"/>
  <c r="K57" i="2"/>
  <c r="H57" i="2"/>
  <c r="G57" i="2"/>
  <c r="I57" i="2" s="1"/>
  <c r="L57" i="2" s="1"/>
  <c r="C57" i="2"/>
  <c r="A57" i="2"/>
  <c r="N56" i="2"/>
  <c r="K56" i="2"/>
  <c r="H56" i="2"/>
  <c r="I56" i="2" s="1"/>
  <c r="L56" i="2" s="1"/>
  <c r="G56" i="2"/>
  <c r="C56" i="2"/>
  <c r="A56" i="2"/>
  <c r="N55" i="2"/>
  <c r="K55" i="2"/>
  <c r="H55" i="2"/>
  <c r="G55" i="2"/>
  <c r="I55" i="2" s="1"/>
  <c r="L55" i="2" s="1"/>
  <c r="C55" i="2"/>
  <c r="A55" i="2"/>
  <c r="N54" i="2"/>
  <c r="K54" i="2"/>
  <c r="I54" i="2"/>
  <c r="L54" i="2" s="1"/>
  <c r="H54" i="2"/>
  <c r="G54" i="2"/>
  <c r="C54" i="2"/>
  <c r="A54" i="2"/>
  <c r="N53" i="2"/>
  <c r="K53" i="2"/>
  <c r="H53" i="2"/>
  <c r="I53" i="2" s="1"/>
  <c r="L53" i="2" s="1"/>
  <c r="G53" i="2"/>
  <c r="C53" i="2"/>
  <c r="A53" i="2"/>
  <c r="N52" i="2"/>
  <c r="K52" i="2"/>
  <c r="H52" i="2"/>
  <c r="G52" i="2"/>
  <c r="I52" i="2" s="1"/>
  <c r="L52" i="2" s="1"/>
  <c r="C52" i="2"/>
  <c r="A52" i="2"/>
  <c r="N51" i="2"/>
  <c r="K51" i="2"/>
  <c r="H51" i="2"/>
  <c r="I51" i="2" s="1"/>
  <c r="L51" i="2" s="1"/>
  <c r="G51" i="2"/>
  <c r="C51" i="2"/>
  <c r="A51" i="2"/>
  <c r="N50" i="2"/>
  <c r="K50" i="2"/>
  <c r="H50" i="2"/>
  <c r="G50" i="2"/>
  <c r="I50" i="2" s="1"/>
  <c r="L50" i="2" s="1"/>
  <c r="C50" i="2"/>
  <c r="A50" i="2"/>
  <c r="N49" i="2"/>
  <c r="K49" i="2"/>
  <c r="I49" i="2"/>
  <c r="L49" i="2" s="1"/>
  <c r="H49" i="2"/>
  <c r="G49" i="2"/>
  <c r="C49" i="2"/>
  <c r="A49" i="2"/>
  <c r="N48" i="2"/>
  <c r="K48" i="2"/>
  <c r="H48" i="2"/>
  <c r="I48" i="2" s="1"/>
  <c r="L48" i="2" s="1"/>
  <c r="G48" i="2"/>
  <c r="C48" i="2"/>
  <c r="A48" i="2"/>
  <c r="N47" i="2"/>
  <c r="K47" i="2"/>
  <c r="H47" i="2"/>
  <c r="G47" i="2"/>
  <c r="I47" i="2" s="1"/>
  <c r="L47" i="2" s="1"/>
  <c r="C47" i="2"/>
  <c r="A47" i="2"/>
  <c r="N46" i="2"/>
  <c r="K46" i="2"/>
  <c r="H46" i="2"/>
  <c r="G46" i="2"/>
  <c r="I46" i="2" s="1"/>
  <c r="L46" i="2" s="1"/>
  <c r="C46" i="2"/>
  <c r="A46" i="2"/>
  <c r="N45" i="2"/>
  <c r="K45" i="2"/>
  <c r="H45" i="2"/>
  <c r="G45" i="2"/>
  <c r="I45" i="2" s="1"/>
  <c r="L45" i="2" s="1"/>
  <c r="C45" i="2"/>
  <c r="A45" i="2"/>
  <c r="N44" i="2"/>
  <c r="K44" i="2"/>
  <c r="H44" i="2"/>
  <c r="G44" i="2"/>
  <c r="I44" i="2" s="1"/>
  <c r="L44" i="2" s="1"/>
  <c r="C44" i="2"/>
  <c r="A44" i="2"/>
  <c r="K43" i="2"/>
  <c r="H43" i="2"/>
  <c r="G43" i="2"/>
  <c r="I43" i="2" s="1"/>
  <c r="L43" i="2" s="1"/>
  <c r="N43" i="2" s="1"/>
  <c r="C43" i="2"/>
  <c r="A43" i="2"/>
  <c r="N42" i="2"/>
  <c r="K42" i="2"/>
  <c r="H42" i="2"/>
  <c r="G42" i="2"/>
  <c r="I42" i="2" s="1"/>
  <c r="C42" i="2"/>
  <c r="A42" i="2"/>
  <c r="K41" i="2"/>
  <c r="H41" i="2"/>
  <c r="G41" i="2"/>
  <c r="I41" i="2" s="1"/>
  <c r="C41" i="2"/>
  <c r="A41" i="2"/>
  <c r="N40" i="2"/>
  <c r="K40" i="2"/>
  <c r="H40" i="2"/>
  <c r="G40" i="2"/>
  <c r="D12" i="3" s="1"/>
  <c r="C40" i="2"/>
  <c r="A40" i="2"/>
  <c r="K39" i="2"/>
  <c r="H39" i="2"/>
  <c r="G39" i="2"/>
  <c r="I39" i="2" s="1"/>
  <c r="L39" i="2" s="1"/>
  <c r="N39" i="2" s="1"/>
  <c r="C39" i="2"/>
  <c r="A39" i="2"/>
  <c r="N38" i="2"/>
  <c r="K38" i="2"/>
  <c r="H38" i="2"/>
  <c r="G38" i="2"/>
  <c r="I38" i="2" s="1"/>
  <c r="C38" i="2"/>
  <c r="A38" i="2"/>
  <c r="K37" i="2"/>
  <c r="H37" i="2"/>
  <c r="G37" i="2"/>
  <c r="I37" i="2" s="1"/>
  <c r="L37" i="2" s="1"/>
  <c r="N37" i="2" s="1"/>
  <c r="C37" i="2"/>
  <c r="A37" i="2"/>
  <c r="N36" i="2"/>
  <c r="K36" i="2"/>
  <c r="H36" i="2"/>
  <c r="G36" i="2"/>
  <c r="I36" i="2" s="1"/>
  <c r="C36" i="2"/>
  <c r="A36" i="2"/>
  <c r="K35" i="2"/>
  <c r="H35" i="2"/>
  <c r="G35" i="2"/>
  <c r="I35" i="2" s="1"/>
  <c r="C35" i="2"/>
  <c r="A35" i="2"/>
  <c r="N34" i="2"/>
  <c r="K34" i="2"/>
  <c r="H34" i="2"/>
  <c r="G34" i="2"/>
  <c r="I34" i="2" s="1"/>
  <c r="L34" i="2" s="1"/>
  <c r="C34" i="2"/>
  <c r="A34" i="2"/>
  <c r="N33" i="2"/>
  <c r="K33" i="2"/>
  <c r="H33" i="2"/>
  <c r="G33" i="2"/>
  <c r="I33" i="2" s="1"/>
  <c r="C33" i="2"/>
  <c r="A33" i="2"/>
  <c r="K32" i="2"/>
  <c r="H32" i="2"/>
  <c r="G32" i="2"/>
  <c r="I32" i="2" s="1"/>
  <c r="L32" i="2" s="1"/>
  <c r="N32" i="2" s="1"/>
  <c r="C32" i="2"/>
  <c r="A32" i="2"/>
  <c r="N31" i="2"/>
  <c r="K31" i="2"/>
  <c r="H31" i="2"/>
  <c r="G31" i="2"/>
  <c r="I31" i="2" s="1"/>
  <c r="C31" i="2"/>
  <c r="A31" i="2"/>
  <c r="K30" i="2"/>
  <c r="H30" i="2"/>
  <c r="G30" i="2"/>
  <c r="D10" i="3" s="1"/>
  <c r="C30" i="2"/>
  <c r="A30" i="2"/>
  <c r="K29" i="2"/>
  <c r="H29" i="2"/>
  <c r="G29" i="2"/>
  <c r="I29" i="2" s="1"/>
  <c r="L29" i="2" s="1"/>
  <c r="N29" i="2" s="1"/>
  <c r="C29" i="2"/>
  <c r="A29" i="2"/>
  <c r="N28" i="2"/>
  <c r="K28" i="2"/>
  <c r="H28" i="2"/>
  <c r="G28" i="2"/>
  <c r="I28" i="2" s="1"/>
  <c r="C28" i="2"/>
  <c r="A28" i="2"/>
  <c r="K27" i="2"/>
  <c r="H27" i="2"/>
  <c r="G27" i="2"/>
  <c r="I27" i="2" s="1"/>
  <c r="L27" i="2" s="1"/>
  <c r="N27" i="2" s="1"/>
  <c r="C27" i="2"/>
  <c r="A27" i="2"/>
  <c r="N26" i="2"/>
  <c r="K26" i="2"/>
  <c r="H26" i="2"/>
  <c r="G26" i="2"/>
  <c r="I26" i="2" s="1"/>
  <c r="C26" i="2"/>
  <c r="A26" i="2"/>
  <c r="K25" i="2"/>
  <c r="H25" i="2"/>
  <c r="G25" i="2"/>
  <c r="D9" i="3" s="1"/>
  <c r="C25" i="2"/>
  <c r="A25" i="2"/>
  <c r="N24" i="2"/>
  <c r="K24" i="2"/>
  <c r="H24" i="2"/>
  <c r="G24" i="2"/>
  <c r="I24" i="2" s="1"/>
  <c r="L24" i="2" s="1"/>
  <c r="C24" i="2"/>
  <c r="A24" i="2"/>
  <c r="N23" i="2"/>
  <c r="K23" i="2"/>
  <c r="H23" i="2"/>
  <c r="G23" i="2"/>
  <c r="I23" i="2" s="1"/>
  <c r="C23" i="2"/>
  <c r="A23" i="2"/>
  <c r="K22" i="2"/>
  <c r="H22" i="2"/>
  <c r="G22" i="2"/>
  <c r="I22" i="2" s="1"/>
  <c r="L22" i="2" s="1"/>
  <c r="N22" i="2" s="1"/>
  <c r="C22" i="2"/>
  <c r="A22" i="2"/>
  <c r="K21" i="2"/>
  <c r="H21" i="2"/>
  <c r="G21" i="2"/>
  <c r="I21" i="2" s="1"/>
  <c r="C21" i="2"/>
  <c r="A21" i="2"/>
  <c r="N20" i="2"/>
  <c r="K20" i="2"/>
  <c r="H20" i="2"/>
  <c r="G20" i="2"/>
  <c r="D8" i="3" s="1"/>
  <c r="C20" i="2"/>
  <c r="A20" i="2"/>
  <c r="K19" i="2"/>
  <c r="H19" i="2"/>
  <c r="G19" i="2"/>
  <c r="I19" i="2" s="1"/>
  <c r="L19" i="2" s="1"/>
  <c r="N19" i="2" s="1"/>
  <c r="C19" i="2"/>
  <c r="A19" i="2"/>
  <c r="N18" i="2"/>
  <c r="K18" i="2"/>
  <c r="H18" i="2"/>
  <c r="G18" i="2"/>
  <c r="I18" i="2" s="1"/>
  <c r="L18" i="2" s="1"/>
  <c r="C18" i="2"/>
  <c r="A18" i="2"/>
  <c r="K17" i="2"/>
  <c r="H17" i="2"/>
  <c r="G17" i="2"/>
  <c r="I17" i="2" s="1"/>
  <c r="L17" i="2" s="1"/>
  <c r="N17" i="2" s="1"/>
  <c r="C17" i="2"/>
  <c r="A17" i="2"/>
  <c r="N16" i="2"/>
  <c r="K16" i="2"/>
  <c r="H16" i="2"/>
  <c r="G16" i="2"/>
  <c r="I16" i="2" s="1"/>
  <c r="C16" i="2"/>
  <c r="A16" i="2"/>
  <c r="K15" i="2"/>
  <c r="H15" i="2"/>
  <c r="H115" i="2" s="1"/>
  <c r="G15" i="2"/>
  <c r="G115" i="2" s="1"/>
  <c r="C15" i="2"/>
  <c r="A15" i="2"/>
  <c r="P10" i="2"/>
  <c r="I2" i="2"/>
  <c r="F8" i="3" l="1"/>
  <c r="L21" i="2"/>
  <c r="N21" i="2" s="1"/>
  <c r="H8" i="3"/>
  <c r="K10" i="2"/>
  <c r="L23" i="2"/>
  <c r="F12" i="3"/>
  <c r="L41" i="2"/>
  <c r="N41" i="2" s="1"/>
  <c r="J12" i="3" s="1"/>
  <c r="L16" i="2"/>
  <c r="G7" i="3"/>
  <c r="J8" i="3"/>
  <c r="L36" i="2"/>
  <c r="G11" i="3"/>
  <c r="H10" i="3"/>
  <c r="H19" i="3" s="1"/>
  <c r="L33" i="2"/>
  <c r="L26" i="2"/>
  <c r="G9" i="3"/>
  <c r="L38" i="2"/>
  <c r="H11" i="3"/>
  <c r="G10" i="3"/>
  <c r="L31" i="2"/>
  <c r="L42" i="2"/>
  <c r="H12" i="3"/>
  <c r="L28" i="2"/>
  <c r="H9" i="3"/>
  <c r="L35" i="2"/>
  <c r="F11" i="3"/>
  <c r="E11" i="3"/>
  <c r="D11" i="3"/>
  <c r="I15" i="2"/>
  <c r="I20" i="2"/>
  <c r="I25" i="2"/>
  <c r="I30" i="2"/>
  <c r="I40" i="2"/>
  <c r="D7" i="3"/>
  <c r="D19" i="3" s="1"/>
  <c r="K7" i="2"/>
  <c r="F10" i="3" l="1"/>
  <c r="E10" i="3"/>
  <c r="L30" i="2"/>
  <c r="G12" i="3"/>
  <c r="E12" i="3"/>
  <c r="L40" i="2"/>
  <c r="I12" i="3" s="1"/>
  <c r="G8" i="3"/>
  <c r="G19" i="3" s="1"/>
  <c r="E8" i="3"/>
  <c r="L20" i="2"/>
  <c r="I8" i="3" s="1"/>
  <c r="I115" i="2"/>
  <c r="K9" i="2"/>
  <c r="K8" i="2"/>
  <c r="F7" i="3"/>
  <c r="E7" i="3"/>
  <c r="L15" i="2"/>
  <c r="F9" i="3"/>
  <c r="E9" i="3"/>
  <c r="L25" i="2"/>
  <c r="P9" i="2"/>
  <c r="I11" i="3"/>
  <c r="N35" i="2"/>
  <c r="J11" i="3" s="1"/>
  <c r="P7" i="2" l="1"/>
  <c r="I7" i="3"/>
  <c r="N15" i="2"/>
  <c r="L115" i="2"/>
  <c r="F19" i="3"/>
  <c r="E19" i="3"/>
  <c r="K7" i="3"/>
  <c r="K8" i="3" s="1"/>
  <c r="K9" i="3" s="1"/>
  <c r="K10" i="3" s="1"/>
  <c r="K11" i="3" s="1"/>
  <c r="K12" i="3" s="1"/>
  <c r="K13" i="3" s="1"/>
  <c r="K14" i="3" s="1"/>
  <c r="K15" i="3" s="1"/>
  <c r="K16" i="3" s="1"/>
  <c r="K17" i="3" s="1"/>
  <c r="K18" i="3" s="1"/>
  <c r="K19" i="3" s="1"/>
  <c r="I10" i="3"/>
  <c r="N30" i="2"/>
  <c r="J10" i="3" s="1"/>
  <c r="I9" i="3"/>
  <c r="N25" i="2"/>
  <c r="J9" i="3" s="1"/>
  <c r="P8" i="2" l="1"/>
  <c r="J7" i="3"/>
  <c r="J19" i="3" s="1"/>
  <c r="N115" i="2"/>
  <c r="I1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C8" authorId="0" shapeId="0" xr:uid="{00000000-0006-0000-0000-000001000000}">
      <text>
        <r>
          <rPr>
            <sz val="10"/>
            <rFont val="Arial"/>
            <family val="2"/>
          </rPr>
          <t>Steuert die Monatsauswertung und die Feiertagsprüfung.</t>
        </r>
      </text>
    </comment>
    <comment ref="C12" authorId="0" shapeId="0" xr:uid="{00000000-0006-0000-0000-000002000000}">
      <text>
        <r>
          <rPr>
            <sz val="10"/>
            <rFont val="Arial"/>
            <family val="2"/>
          </rPr>
          <t>Wird in der Monatsauswertung rot markiert, sobald der Wert überschritten wird.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D14" authorId="0" shapeId="0" xr:uid="{00000000-0006-0000-0100-000001000000}">
      <text>
        <r>
          <rPr>
            <sz val="10"/>
            <rFont val="Arial"/>
            <family val="2"/>
          </rPr>
          <t>Nachtschichten über Mitternacht werden korrekt berechnet (z. B. 14:00 – 02:30).</t>
        </r>
      </text>
    </comment>
    <comment ref="H14" authorId="0" shapeId="0" xr:uid="{00000000-0006-0000-0100-000002000000}">
      <text>
        <r>
          <rPr>
            <sz val="10"/>
            <rFont val="Arial"/>
            <family val="2"/>
          </rPr>
          <t>Automatik: an Wochenenden und Feiertagen 0,00 h, sonst das Tagessoll aus den Stammdaten. Bei Teilzeit oder abweichender Sollzeit kann der Wert einfach überschrieben werden.</t>
        </r>
      </text>
    </comment>
  </commentList>
</comments>
</file>

<file path=xl/sharedStrings.xml><?xml version="1.0" encoding="utf-8"?>
<sst xmlns="http://schemas.openxmlformats.org/spreadsheetml/2006/main" count="270" uniqueCount="148">
  <si>
    <t>STAMMDATEN  ·  Grundeinstellungen der Vorlage</t>
  </si>
  <si>
    <t>Alle blau geschriebenen Werte können angepasst werden. Sie steuern automatisch die Berechnungen in den übrigen Tabellenblättern.</t>
  </si>
  <si>
    <t>1  ·  Unternehmen und Abrechnungsrahmen</t>
  </si>
  <si>
    <t>Unternehmen</t>
  </si>
  <si>
    <t>Nordlicht Systemtechnik GmbH</t>
  </si>
  <si>
    <t>Standort / Betriebsstätte</t>
  </si>
  <si>
    <t>Werk Nord – Hamburg</t>
  </si>
  <si>
    <t>Abrechnungsjahr</t>
  </si>
  <si>
    <t>Regelarbeitszeit pro Tag (Std.)</t>
  </si>
  <si>
    <t>Regelarbeitszeit pro Woche (Std.)</t>
  </si>
  <si>
    <t>Stundensatz Auszahlung (€/Std.)</t>
  </si>
  <si>
    <t>Warnwert Überstunden je Monat (Std.)</t>
  </si>
  <si>
    <t>2  ·  Zuschlagsarten und Sätze</t>
  </si>
  <si>
    <t>Bezeichnung</t>
  </si>
  <si>
    <t>Zuschlag</t>
  </si>
  <si>
    <t>Kein Zuschlag</t>
  </si>
  <si>
    <t>Mehrarbeit Werktag (Mo–Fr)</t>
  </si>
  <si>
    <t>Nachtarbeit (23–06 Uhr)</t>
  </si>
  <si>
    <t>Samstagsarbeit</t>
  </si>
  <si>
    <t>Sonntagsarbeit</t>
  </si>
  <si>
    <t>Feiertagsarbeit</t>
  </si>
  <si>
    <t>3  ·  Art des Ausgleichs</t>
  </si>
  <si>
    <t>Auszahlung</t>
  </si>
  <si>
    <t>wird vergütet (Stundensatz)</t>
  </si>
  <si>
    <t>Freizeitausgleich</t>
  </si>
  <si>
    <t>wird als Freizeit ausgeglichen</t>
  </si>
  <si>
    <t>Offen</t>
  </si>
  <si>
    <t>noch nicht entschieden</t>
  </si>
  <si>
    <t>4  ·  Gesetzliche Feiertage 2026 (bundeseinheitlich)</t>
  </si>
  <si>
    <t>Datum</t>
  </si>
  <si>
    <t>Neujahr</t>
  </si>
  <si>
    <t>Karfreitag</t>
  </si>
  <si>
    <t>Ostermontag</t>
  </si>
  <si>
    <t>Tag der Arbeit</t>
  </si>
  <si>
    <t>Christi Himmelfahrt</t>
  </si>
  <si>
    <t>Pfingstmontag</t>
  </si>
  <si>
    <t>Tag der Deutschen Einheit</t>
  </si>
  <si>
    <t>1. Weihnachtstag</t>
  </si>
  <si>
    <t>2. Weihnachtstag</t>
  </si>
  <si>
    <t>Hinweis: Regionale Feiertage (z. B. Fronleichnam, Reformationstag) bei Bedarf ergänzen und den Bereich erweitern.</t>
  </si>
  <si>
    <t>5  ·  Wochentage (Hilfsliste für die automatische Anzeige)</t>
  </si>
  <si>
    <t>Montag</t>
  </si>
  <si>
    <t>Dienstag</t>
  </si>
  <si>
    <t>Mittwoch</t>
  </si>
  <si>
    <t>Donnerstag</t>
  </si>
  <si>
    <t>Freitag</t>
  </si>
  <si>
    <t>Samstag</t>
  </si>
  <si>
    <t>Sonntag</t>
  </si>
  <si>
    <t>ÜBERSTUNDENZETTEL 2026</t>
  </si>
  <si>
    <t>Erfassung, Bewertung und Ausgleich von Mehrarbeit · Zeitraum 01.01.2026 – 31.12.2026</t>
  </si>
  <si>
    <t>MITARBEITERDATEN</t>
  </si>
  <si>
    <t>ZUSAMMENFASSUNG KALENDERJAHR</t>
  </si>
  <si>
    <t>Mitarbeiter/in</t>
  </si>
  <si>
    <t>Lena Hoffmann</t>
  </si>
  <si>
    <t>Ist-Stunden gesamt</t>
  </si>
  <si>
    <t>Bewertete Stunden</t>
  </si>
  <si>
    <t>Personalnummer</t>
  </si>
  <si>
    <t>PN-10428</t>
  </si>
  <si>
    <t>Überstunden gesamt</t>
  </si>
  <si>
    <t>Auszahlungsbetrag</t>
  </si>
  <si>
    <t>Abteilung / Team</t>
  </si>
  <si>
    <t>Technischer Service</t>
  </si>
  <si>
    <t>davon Auszahlung</t>
  </si>
  <si>
    <t>davon Freizeitausgleich</t>
  </si>
  <si>
    <t>Vorgesetzte/r</t>
  </si>
  <si>
    <t>Martin Kruse</t>
  </si>
  <si>
    <t>Offene Stunden</t>
  </si>
  <si>
    <t>Erfasste Einsätze</t>
  </si>
  <si>
    <t>LEGENDE   ■ Blaue Schrift = Eingabefeld    ■ Grau hinterlegt = automatische Berechnung (nicht überschreiben)    ■ Spalten J und M enthalten Auswahllisten    ■ Wochenenden grau, Feiertage orange markiert    ■ Soll-Stunden: automatisch 0,00 h an Wochenenden/Feiertagen – bei Bedarf überschreibbar</t>
  </si>
  <si>
    <t>Nr.</t>
  </si>
  <si>
    <t>Wochentag</t>
  </si>
  <si>
    <t>Beginn</t>
  </si>
  <si>
    <t>Ende</t>
  </si>
  <si>
    <t>Pause
(Min.)</t>
  </si>
  <si>
    <t>Ist-Stunden</t>
  </si>
  <si>
    <t>Soll-Stunden</t>
  </si>
  <si>
    <t>Überstunden</t>
  </si>
  <si>
    <t>Zuschlagsart</t>
  </si>
  <si>
    <t>Bewertete
Stunden</t>
  </si>
  <si>
    <t>Art des Ausgleichs</t>
  </si>
  <si>
    <t>Kostenstelle / Projekt</t>
  </si>
  <si>
    <t>Begründung der Mehrarbeit</t>
  </si>
  <si>
    <t>Genehmigt von</t>
  </si>
  <si>
    <t>KST 4200 · Rollout</t>
  </si>
  <si>
    <t>Inbetriebnahme Prüfstand, Terminzusage Kunde</t>
  </si>
  <si>
    <t>M. Kruse</t>
  </si>
  <si>
    <t>Nacharbeit nach Materialverzug</t>
  </si>
  <si>
    <t>KST 4110 · Service</t>
  </si>
  <si>
    <t>Samstagseinsatz: Störungsbehebung Kundenanlage</t>
  </si>
  <si>
    <t>Wartungsfenster verlängert</t>
  </si>
  <si>
    <t>Nachtumbau Steuerungstechnik</t>
  </si>
  <si>
    <t>KST 4300 · Konstruktion</t>
  </si>
  <si>
    <t>Fertigstellung Angebotsunterlagen</t>
  </si>
  <si>
    <t>Migration Leitsystem, Zeitfenster fixiert</t>
  </si>
  <si>
    <t>Samstag: Notdienst Bereitschaft</t>
  </si>
  <si>
    <t>Konstruktionsänderung nach Kundenfreigabe</t>
  </si>
  <si>
    <t>Abnahmeprotokolle vorbereitet</t>
  </si>
  <si>
    <t>Ausfall Antriebseinheit, Sofortreparatur</t>
  </si>
  <si>
    <t>Prüfung Lieferantenzeichnungen</t>
  </si>
  <si>
    <t>Sonntagseinsatz: Produktionsanlauf begleitet</t>
  </si>
  <si>
    <t>Schulung Anwender vor Go-live</t>
  </si>
  <si>
    <t>Nachtdeployment Warenwirtschaft</t>
  </si>
  <si>
    <t>Karfreitag: Notfalleinsatz Kunde Nord</t>
  </si>
  <si>
    <t>Erstellung Prüfberichte</t>
  </si>
  <si>
    <t>Fehlerbehebung Schnittstelle ERP</t>
  </si>
  <si>
    <t>Zusätzliche Inspektion Kundenanlage</t>
  </si>
  <si>
    <t>Monatsabschluss Dokumentation</t>
  </si>
  <si>
    <t>Tag der Arbeit: Rufbereitschaft aktiviert</t>
  </si>
  <si>
    <t>Testlauf Anlagensteuerung</t>
  </si>
  <si>
    <t>Umbau Kundenanlage vor Feiertag</t>
  </si>
  <si>
    <t>Bemusterung neuer Bauteile</t>
  </si>
  <si>
    <t>Samstag: Datenmigration Altsystem</t>
  </si>
  <si>
    <t>Störungsanalyse Fördertechnik</t>
  </si>
  <si>
    <t>Go-live Begleitung Standort Süd</t>
  </si>
  <si>
    <t>Nachbearbeitung Kundenreklamation</t>
  </si>
  <si>
    <t>Nachtwartung Klimatechnik</t>
  </si>
  <si>
    <t>Quartalsabschluss Projektdokumentation</t>
  </si>
  <si>
    <t>SUMME · KALENDERJAHR 2026</t>
  </si>
  <si>
    <t>BESTÄTIGUNG DER GELEISTETEN MEHRARBEIT</t>
  </si>
  <si>
    <t>Die vorstehend aufgeführten Überstunden wurden angeordnet bzw. genehmigt und tatsächlich geleistet.</t>
  </si>
  <si>
    <t>Ort, Datum</t>
  </si>
  <si>
    <t>Unterschrift Mitarbeiter/in</t>
  </si>
  <si>
    <t>Unterschrift Vorgesetzte/r</t>
  </si>
  <si>
    <t>Personalabteilung</t>
  </si>
  <si>
    <t>MONATSAUSWERTUNG 2026</t>
  </si>
  <si>
    <t>Alle Werte werden automatisch aus dem Blatt «Überstundenerfassung» ermittelt – keine manuelle Eingabe erforderlich.</t>
  </si>
  <si>
    <t>Monat</t>
  </si>
  <si>
    <t>Einsätze</t>
  </si>
  <si>
    <t>Auszahlung (h)</t>
  </si>
  <si>
    <t>Freizeitausgleich (h)</t>
  </si>
  <si>
    <t>Offen (h)</t>
  </si>
  <si>
    <t>Bewertete Std.</t>
  </si>
  <si>
    <t>Auszahlung (€)</t>
  </si>
  <si>
    <t>Zeitkonto kumuliert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</si>
  <si>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</si>
  <si>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</si>
  <si>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</si>
  <si>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</si>
  <si>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</si>
  <si>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</si>
  <si>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</si>
  <si>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</si>
  <si>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</si>
  <si>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</si>
  <si>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</si>
  <si>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</si>
  <si>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GESAMT 2026</t>
  </si>
  <si>
    <t>Zeitkonto kumuliert = fortlaufender Saldo der Überstunden abzüglich der bereits ausbezahlten Stunden. Monate oberhalb des Warnwerts (Stammdaten) werden in Spalte E rot hervorgehoben.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</si>
</sst>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&quot; €&quot;"/>
    <numFmt numFmtId="165" formatCode="0\ %"/>
    <numFmt numFmtId="166" formatCode="dd\.mm\.yyyy"/>
    <numFmt numFmtId="167" formatCode="#,##0.00&quot; h&quot;"/>
    <numFmt numFmtId="168" formatCode="hh:mm"/>
  </numFmts>
  <fonts count="20" x14ac:knownFonts="1">
    <font>
      <sz val="11"/>
      <color theme="1"/>
      <name val="Calibri"/>
      <family val="2"/>
      <charset val="1"/>
    </font>
    <font>
      <b/>
      <sz val="13"/>
      <color rgb="FFFFFFFF"/>
      <name val="Calibri"/>
      <charset val="1"/>
    </font>
    <font>
      <i/>
      <sz val="9"/>
      <color rgb="FF5A6B75"/>
      <name val="Calibri"/>
      <charset val="1"/>
    </font>
    <font>
      <b/>
      <sz val="11"/>
      <color rgb="FFFFFFFF"/>
      <name val="Calibri"/>
      <charset val="1"/>
    </font>
    <font>
      <sz val="11"/>
      <color rgb="FF1B2B33"/>
      <name val="Calibri"/>
      <charset val="1"/>
    </font>
    <font>
      <b/>
      <sz val="11"/>
      <color rgb="FF1F4E79"/>
      <name val="Calibri"/>
      <charset val="1"/>
    </font>
    <font>
      <b/>
      <sz val="10"/>
      <color rgb="FFFFFFFF"/>
      <name val="Calibri"/>
      <charset val="1"/>
    </font>
    <font>
      <sz val="11"/>
      <color rgb="FF1F4E79"/>
      <name val="Calibri"/>
      <charset val="1"/>
    </font>
    <font>
      <sz val="11"/>
      <color rgb="FF5A6B75"/>
      <name val="Calibri"/>
      <charset val="1"/>
    </font>
    <font>
      <sz val="10"/>
      <name val="Arial"/>
      <family val="2"/>
    </font>
    <font>
      <b/>
      <sz val="20"/>
      <color rgb="FFFFFFFF"/>
      <name val="Calibri"/>
      <charset val="1"/>
    </font>
    <font>
      <b/>
      <sz val="11"/>
      <color rgb="FFD98C2B"/>
      <name val="Calibri"/>
      <charset val="1"/>
    </font>
    <font>
      <sz val="10"/>
      <color rgb="FFBBD0D9"/>
      <name val="Calibri"/>
      <charset val="1"/>
    </font>
    <font>
      <sz val="10"/>
      <color rgb="FF5A6B75"/>
      <name val="Calibri"/>
      <charset val="1"/>
    </font>
    <font>
      <b/>
      <sz val="11"/>
      <color rgb="FF0F3B4C"/>
      <name val="Calibri"/>
      <charset val="1"/>
    </font>
    <font>
      <sz val="10"/>
      <color rgb="FF8A9AA3"/>
      <name val="Calibri"/>
      <charset val="1"/>
    </font>
    <font>
      <i/>
      <sz val="10"/>
      <color rgb="FF5A6B75"/>
      <name val="Calibri"/>
      <charset val="1"/>
    </font>
    <font>
      <sz val="9"/>
      <color rgb="FF5A6B75"/>
      <name val="Calibri"/>
      <charset val="1"/>
    </font>
    <font>
      <b/>
      <sz val="18"/>
      <color rgb="FFFFFFFF"/>
      <name val="Calibri"/>
      <charset val="1"/>
    </font>
    <font>
      <b/>
      <sz val="10"/>
      <color rgb="FFD98C2B"/>
      <name val="Calibri"/>
      <charset val="1"/>
    </font>
  </fonts>
  <fills count="7">
    <fill>
      <patternFill patternType="none"/>
    </fill>
    <fill>
      <patternFill patternType="gray125"/>
    </fill>
    <fill>
      <patternFill patternType="solid">
        <fgColor rgb="FF0F3B4C"/>
        <bgColor rgb="FF1B2B33"/>
      </patternFill>
    </fill>
    <fill>
      <patternFill patternType="solid">
        <fgColor rgb="FF1D6A80"/>
        <bgColor rgb="FF1F4E79"/>
      </patternFill>
    </fill>
    <fill>
      <patternFill patternType="solid">
        <fgColor rgb="FFEEF3F6"/>
        <bgColor rgb="FFE4EAEE"/>
      </patternFill>
    </fill>
    <fill>
      <patternFill patternType="solid">
        <fgColor rgb="FFD98C2B"/>
        <bgColor rgb="FFB9770E"/>
      </patternFill>
    </fill>
    <fill>
      <patternFill patternType="solid">
        <fgColor rgb="FFFAFCFD"/>
        <bgColor rgb="FFFFFFFF"/>
      </patternFill>
    </fill>
  </fills>
  <borders count="4">
    <border>
      <left/>
      <right/>
      <top/>
      <bottom/>
      <diagonal/>
    </border>
    <border>
      <left style="thin">
        <color rgb="FFD7E1E7"/>
      </left>
      <right style="thin">
        <color rgb="FFD7E1E7"/>
      </right>
      <top style="thin">
        <color rgb="FFD7E1E7"/>
      </top>
      <bottom style="thin">
        <color rgb="FFD7E1E7"/>
      </bottom>
      <diagonal/>
    </border>
    <border>
      <left style="thin">
        <color rgb="FFD7E1E7"/>
      </left>
      <right style="thin">
        <color rgb="FFD7E1E7"/>
      </right>
      <top style="medium">
        <color rgb="FF0F3B4C"/>
      </top>
      <bottom style="medium">
        <color rgb="FF0F3B4C"/>
      </bottom>
      <diagonal/>
    </border>
    <border>
      <left/>
      <right/>
      <top/>
      <bottom style="thin">
        <color rgb="FF0F3B4C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1" fontId="14" fillId="0" borderId="1" xfId="0" applyNumberFormat="1" applyFont="1" applyBorder="1" applyAlignment="1">
      <alignment horizontal="right" vertical="center"/>
    </xf>
    <xf numFmtId="164" fontId="14" fillId="0" borderId="1" xfId="0" applyNumberFormat="1" applyFont="1" applyBorder="1" applyAlignment="1">
      <alignment horizontal="right" vertical="center"/>
    </xf>
    <xf numFmtId="167" fontId="1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 indent="1"/>
    </xf>
    <xf numFmtId="0" fontId="13" fillId="4" borderId="1" xfId="0" applyFont="1" applyFill="1" applyBorder="1" applyAlignment="1">
      <alignment horizontal="left" vertical="center" indent="1"/>
    </xf>
    <xf numFmtId="0" fontId="3" fillId="3" borderId="0" xfId="0" applyFont="1" applyFill="1" applyAlignment="1">
      <alignment horizontal="left" vertical="center" indent="1"/>
    </xf>
    <xf numFmtId="0" fontId="0" fillId="5" borderId="0" xfId="0" applyFill="1"/>
    <xf numFmtId="0" fontId="12" fillId="2" borderId="0" xfId="0" applyFont="1" applyFill="1" applyAlignment="1">
      <alignment horizontal="left" vertical="center" indent="1"/>
    </xf>
    <xf numFmtId="0" fontId="11" fillId="2" borderId="0" xfId="0" applyFont="1" applyFill="1" applyAlignment="1">
      <alignment horizontal="right" vertical="center" indent="1"/>
    </xf>
    <xf numFmtId="0" fontId="10" fillId="2" borderId="0" xfId="0" applyFont="1" applyFill="1" applyAlignment="1">
      <alignment horizontal="left" vertical="center" indent="1"/>
    </xf>
    <xf numFmtId="0" fontId="0" fillId="2" borderId="0" xfId="0" applyFill="1"/>
    <xf numFmtId="0" fontId="2" fillId="0" borderId="0" xfId="0" applyFont="1"/>
    <xf numFmtId="0" fontId="4" fillId="4" borderId="1" xfId="0" applyFont="1" applyFill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/>
    </xf>
    <xf numFmtId="1" fontId="5" fillId="0" borderId="1" xfId="0" applyNumberFormat="1" applyFont="1" applyBorder="1" applyAlignment="1">
      <alignment horizontal="right" vertical="center"/>
    </xf>
    <xf numFmtId="2" fontId="5" fillId="0" borderId="1" xfId="0" applyNumberFormat="1" applyFont="1" applyBorder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indent="1"/>
    </xf>
    <xf numFmtId="165" fontId="5" fillId="0" borderId="1" xfId="0" applyNumberFormat="1" applyFont="1" applyBorder="1" applyAlignment="1">
      <alignment horizontal="center" vertical="center"/>
    </xf>
    <xf numFmtId="0" fontId="7" fillId="4" borderId="1" xfId="0" applyFont="1" applyFill="1" applyBorder="1" applyAlignment="1">
      <alignment horizontal="left" indent="1"/>
    </xf>
    <xf numFmtId="165" fontId="5" fillId="4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indent="1"/>
    </xf>
    <xf numFmtId="166" fontId="7" fillId="0" borderId="1" xfId="0" applyNumberFormat="1" applyFont="1" applyBorder="1" applyAlignment="1">
      <alignment horizontal="center" vertical="center"/>
    </xf>
    <xf numFmtId="166" fontId="7" fillId="4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indent="1"/>
    </xf>
    <xf numFmtId="0" fontId="8" fillId="4" borderId="1" xfId="0" applyFont="1" applyFill="1" applyBorder="1" applyAlignment="1">
      <alignment horizontal="left" indent="1"/>
    </xf>
    <xf numFmtId="0" fontId="6" fillId="2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8" fontId="7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67" fontId="4" fillId="4" borderId="1" xfId="0" applyNumberFormat="1" applyFont="1" applyFill="1" applyBorder="1" applyAlignment="1">
      <alignment horizontal="center" vertical="center"/>
    </xf>
    <xf numFmtId="167" fontId="14" fillId="4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indent="1"/>
    </xf>
    <xf numFmtId="165" fontId="4" fillId="4" borderId="1" xfId="0" applyNumberFormat="1" applyFont="1" applyFill="1" applyBorder="1" applyAlignment="1">
      <alignment horizontal="center" vertical="center"/>
    </xf>
    <xf numFmtId="164" fontId="14" fillId="4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15" fillId="6" borderId="1" xfId="0" applyFont="1" applyFill="1" applyBorder="1" applyAlignment="1">
      <alignment horizontal="center" vertical="center"/>
    </xf>
    <xf numFmtId="166" fontId="7" fillId="6" borderId="1" xfId="0" applyNumberFormat="1" applyFont="1" applyFill="1" applyBorder="1" applyAlignment="1">
      <alignment horizontal="center" vertical="center"/>
    </xf>
    <xf numFmtId="168" fontId="7" fillId="6" borderId="1" xfId="0" applyNumberFormat="1" applyFont="1" applyFill="1" applyBorder="1" applyAlignment="1">
      <alignment horizontal="center" vertical="center"/>
    </xf>
    <xf numFmtId="1" fontId="7" fillId="6" borderId="1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 vertical="center" indent="1"/>
    </xf>
    <xf numFmtId="0" fontId="7" fillId="6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indent="1"/>
    </xf>
    <xf numFmtId="167" fontId="11" fillId="2" borderId="2" xfId="0" applyNumberFormat="1" applyFont="1" applyFill="1" applyBorder="1" applyAlignment="1">
      <alignment horizontal="center" vertical="center"/>
    </xf>
    <xf numFmtId="167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64" fontId="11" fillId="2" borderId="2" xfId="0" applyNumberFormat="1" applyFont="1" applyFill="1" applyBorder="1" applyAlignment="1">
      <alignment horizontal="center" vertical="center"/>
    </xf>
    <xf numFmtId="0" fontId="16" fillId="0" borderId="0" xfId="0" applyFont="1"/>
    <xf numFmtId="0" fontId="14" fillId="0" borderId="1" xfId="0" applyFont="1" applyBorder="1" applyAlignment="1">
      <alignment horizontal="left" vertical="center" indent="1"/>
    </xf>
    <xf numFmtId="1" fontId="4" fillId="0" borderId="1" xfId="0" applyNumberFormat="1" applyFont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167" fontId="1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7" fontId="11" fillId="0" borderId="1" xfId="0" applyNumberFormat="1" applyFont="1" applyBorder="1" applyAlignment="1">
      <alignment horizontal="center" vertical="center"/>
    </xf>
    <xf numFmtId="0" fontId="14" fillId="4" borderId="1" xfId="0" applyFont="1" applyFill="1" applyBorder="1" applyAlignment="1">
      <alignment horizontal="left" vertical="center" indent="1"/>
    </xf>
    <xf numFmtId="1" fontId="4" fillId="4" borderId="1" xfId="0" applyNumberFormat="1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167" fontId="11" fillId="4" borderId="1" xfId="0" applyNumberFormat="1" applyFont="1" applyFill="1" applyBorder="1" applyAlignment="1">
      <alignment horizontal="center" vertical="center"/>
    </xf>
    <xf numFmtId="1" fontId="11" fillId="2" borderId="2" xfId="0" applyNumberFormat="1" applyFont="1" applyFill="1" applyBorder="1" applyAlignment="1">
      <alignment horizontal="center" vertical="center"/>
    </xf>
    <xf numFmtId="0" fontId="0" fillId="0" borderId="3" xfId="0" applyBorder="1"/>
    <xf numFmtId="0" fontId="17" fillId="0" borderId="0" xfId="0" applyFont="1" applyAlignment="1">
      <alignment horizontal="left" vertical="center"/>
    </xf>
    <xf numFmtId="0" fontId="1" fillId="2" borderId="0" xfId="0" applyFont="1" applyFill="1" applyAlignment="1">
      <alignment horizontal="left" vertical="center" indent="1"/>
    </xf>
    <xf numFmtId="0" fontId="18" fillId="2" borderId="0" xfId="0" applyFont="1" applyFill="1" applyAlignment="1">
      <alignment horizontal="left" vertical="center" indent="1"/>
    </xf>
    <xf numFmtId="0" fontId="19" fillId="2" borderId="0" xfId="0" applyFont="1" applyFill="1" applyAlignment="1">
      <alignment horizontal="right" vertical="center" indent="1"/>
    </xf>
  </cellXfs>
  <cellStyles count="1">
    <cellStyle name="Standard" xfId="0" builtinId="0"/>
  </cellStyles>
  <dxfs count="5">
    <dxf>
      <font>
        <b/>
        <color rgb="FFC0392B"/>
        <name val="Calibri"/>
        <charset val="1"/>
      </font>
      <fill>
        <patternFill>
          <bgColor rgb="FFFADBD8"/>
        </patternFill>
      </fill>
    </dxf>
    <dxf>
      <font>
        <b/>
        <color rgb="FFB9770E"/>
        <name val="Calibri"/>
        <charset val="1"/>
      </font>
    </dxf>
    <dxf>
      <font>
        <b/>
        <color rgb="FFC0392B"/>
        <name val="Calibri"/>
        <charset val="1"/>
      </font>
    </dxf>
    <dxf>
      <fill>
        <patternFill>
          <bgColor rgb="FFE4EAEE"/>
        </patternFill>
      </fill>
    </dxf>
    <dxf>
      <fill>
        <patternFill>
          <bgColor rgb="FFFBEBD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9770E"/>
      <rgbColor rgb="FF800080"/>
      <rgbColor rgb="FF1D6A80"/>
      <rgbColor rgb="FFBBD0D9"/>
      <rgbColor rgb="FF878787"/>
      <rgbColor rgb="FF9999FF"/>
      <rgbColor rgb="FF993366"/>
      <rgbColor rgb="FFFBEBD2"/>
      <rgbColor rgb="FFEEF3F6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4EAEE"/>
      <rgbColor rgb="FFD7E1E7"/>
      <rgbColor rgb="FFFAFCFD"/>
      <rgbColor rgb="FF99CCFF"/>
      <rgbColor rgb="FFFF99CC"/>
      <rgbColor rgb="FFCC99FF"/>
      <rgbColor rgb="FFFADBD8"/>
      <rgbColor rgb="FF3366FF"/>
      <rgbColor rgb="FF33CCCC"/>
      <rgbColor rgb="FF99CC00"/>
      <rgbColor rgb="FFFFCC00"/>
      <rgbColor rgb="FFD98C2B"/>
      <rgbColor rgb="FFFF6600"/>
      <rgbColor rgb="FF5A6B75"/>
      <rgbColor rgb="FF8A9AA3"/>
      <rgbColor rgb="FF0F3B4C"/>
      <rgbColor rgb="FF339966"/>
      <rgbColor rgb="FF003300"/>
      <rgbColor rgb="FF333300"/>
      <rgbColor rgb="FFC0392B"/>
      <rgbColor rgb="FF993366"/>
      <rgbColor rgb="FF1F4E79"/>
      <rgbColor rgb="FF1B2B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Überstunden je Monat (h)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Monatsauswertung!$E$6</c:f>
              <c:strCache>
                <c:ptCount val="1"/>
                <c:pt idx="0">
                  <c:v>Überstunden</c:v>
                </c:pt>
              </c:strCache>
            </c:strRef>
          </c:tx>
          <c:spPr>
            <a:solidFill>
              <a:srgbClr val="1D6A80"/>
            </a:solidFill>
            <a:ln w="0">
              <a:solidFill>
                <a:srgbClr val="1D6A8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Monatsauswertung!$B$7:$B$18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Monatsauswertung!$E$7:$E$18</c:f>
              <c:numCache>
                <c:formatCode>#,##0.00" h"</c:formatCode>
                <c:ptCount val="12"/>
                <c:pt idx="0">
                  <c:v>13.249999999999995</c:v>
                </c:pt>
                <c:pt idx="1">
                  <c:v>12.250000000000027</c:v>
                </c:pt>
                <c:pt idx="2">
                  <c:v>13.750000000000028</c:v>
                </c:pt>
                <c:pt idx="3">
                  <c:v>9.250000000000032</c:v>
                </c:pt>
                <c:pt idx="4">
                  <c:v>13.750000000000027</c:v>
                </c:pt>
                <c:pt idx="5">
                  <c:v>6.2500000000000178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40-49F7-9AB2-621843B4E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axId val="38116870"/>
        <c:axId val="69723241"/>
      </c:barChart>
      <c:catAx>
        <c:axId val="3811687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69723241"/>
        <c:crosses val="autoZero"/>
        <c:auto val="1"/>
        <c:lblAlgn val="ctr"/>
        <c:lblOffset val="100"/>
        <c:noMultiLvlLbl val="0"/>
      </c:catAx>
      <c:valAx>
        <c:axId val="69723241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Stunden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.00&quot; h&quot;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38116870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de-DE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22</xdr:row>
      <xdr:rowOff>0</xdr:rowOff>
    </xdr:from>
    <xdr:to>
      <xdr:col>8</xdr:col>
      <xdr:colOff>362520</xdr:colOff>
      <xdr:row>36</xdr:row>
      <xdr:rowOff>32760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8"/>
  <sheetViews>
    <sheetView showGridLines="0" zoomScaleNormal="100" workbookViewId="0"/>
  </sheetViews>
  <sheetFormatPr baseColWidth="10" defaultColWidth="8.7109375" defaultRowHeight="15" x14ac:dyDescent="0.25"/>
  <cols>
    <col min="1" max="1" width="2" customWidth="1"/>
    <col min="2" max="2" width="34" customWidth="1"/>
    <col min="3" max="3" width="24" customWidth="1"/>
    <col min="4" max="4" width="22" customWidth="1"/>
    <col min="5" max="6" width="4" customWidth="1"/>
  </cols>
  <sheetData>
    <row r="1" spans="1:4" ht="7.5" customHeight="1" x14ac:dyDescent="0.25"/>
    <row r="2" spans="1:4" ht="30" customHeight="1" x14ac:dyDescent="0.25">
      <c r="A2" s="67" t="s">
        <v>0</v>
      </c>
      <c r="B2" s="67"/>
      <c r="C2" s="67"/>
      <c r="D2" s="67"/>
    </row>
    <row r="3" spans="1:4" ht="18" customHeight="1" x14ac:dyDescent="0.25">
      <c r="A3" s="15" t="s">
        <v>1</v>
      </c>
    </row>
    <row r="5" spans="1:4" ht="19.5" customHeight="1" x14ac:dyDescent="0.25">
      <c r="B5" s="9" t="s">
        <v>2</v>
      </c>
      <c r="C5" s="9"/>
      <c r="D5" s="9"/>
    </row>
    <row r="6" spans="1:4" ht="18" customHeight="1" x14ac:dyDescent="0.25">
      <c r="B6" s="16" t="s">
        <v>3</v>
      </c>
      <c r="C6" s="17" t="s">
        <v>4</v>
      </c>
    </row>
    <row r="7" spans="1:4" ht="18" customHeight="1" x14ac:dyDescent="0.25">
      <c r="B7" s="16" t="s">
        <v>5</v>
      </c>
      <c r="C7" s="17" t="s">
        <v>6</v>
      </c>
    </row>
    <row r="8" spans="1:4" ht="18" customHeight="1" x14ac:dyDescent="0.25">
      <c r="B8" s="16" t="s">
        <v>7</v>
      </c>
      <c r="C8" s="18">
        <v>2026</v>
      </c>
    </row>
    <row r="9" spans="1:4" ht="18" customHeight="1" x14ac:dyDescent="0.25">
      <c r="B9" s="16" t="s">
        <v>8</v>
      </c>
      <c r="C9" s="19">
        <v>8</v>
      </c>
    </row>
    <row r="10" spans="1:4" ht="18" customHeight="1" x14ac:dyDescent="0.25">
      <c r="B10" s="16" t="s">
        <v>9</v>
      </c>
      <c r="C10" s="19">
        <v>40</v>
      </c>
    </row>
    <row r="11" spans="1:4" ht="18" customHeight="1" x14ac:dyDescent="0.25">
      <c r="B11" s="16" t="s">
        <v>10</v>
      </c>
      <c r="C11" s="20">
        <v>24.5</v>
      </c>
    </row>
    <row r="12" spans="1:4" ht="18" customHeight="1" x14ac:dyDescent="0.25">
      <c r="B12" s="16" t="s">
        <v>11</v>
      </c>
      <c r="C12" s="19">
        <v>20</v>
      </c>
    </row>
    <row r="14" spans="1:4" ht="19.5" customHeight="1" x14ac:dyDescent="0.25">
      <c r="B14" s="9" t="s">
        <v>12</v>
      </c>
      <c r="C14" s="9"/>
      <c r="D14" s="9"/>
    </row>
    <row r="15" spans="1:4" x14ac:dyDescent="0.25">
      <c r="B15" s="21" t="s">
        <v>13</v>
      </c>
      <c r="C15" s="21" t="s">
        <v>14</v>
      </c>
    </row>
    <row r="16" spans="1:4" x14ac:dyDescent="0.25">
      <c r="B16" s="22" t="s">
        <v>15</v>
      </c>
      <c r="C16" s="23">
        <v>0</v>
      </c>
    </row>
    <row r="17" spans="2:4" x14ac:dyDescent="0.25">
      <c r="B17" s="24" t="s">
        <v>16</v>
      </c>
      <c r="C17" s="25">
        <v>0.25</v>
      </c>
    </row>
    <row r="18" spans="2:4" x14ac:dyDescent="0.25">
      <c r="B18" s="22" t="s">
        <v>17</v>
      </c>
      <c r="C18" s="23">
        <v>0.25</v>
      </c>
    </row>
    <row r="19" spans="2:4" x14ac:dyDescent="0.25">
      <c r="B19" s="24" t="s">
        <v>18</v>
      </c>
      <c r="C19" s="25">
        <v>0.25</v>
      </c>
    </row>
    <row r="20" spans="2:4" x14ac:dyDescent="0.25">
      <c r="B20" s="22" t="s">
        <v>19</v>
      </c>
      <c r="C20" s="23">
        <v>0.5</v>
      </c>
    </row>
    <row r="21" spans="2:4" x14ac:dyDescent="0.25">
      <c r="B21" s="24" t="s">
        <v>20</v>
      </c>
      <c r="C21" s="25">
        <v>1</v>
      </c>
    </row>
    <row r="23" spans="2:4" ht="19.5" customHeight="1" x14ac:dyDescent="0.25">
      <c r="B23" s="9" t="s">
        <v>21</v>
      </c>
      <c r="C23" s="9"/>
      <c r="D23" s="9"/>
    </row>
    <row r="24" spans="2:4" x14ac:dyDescent="0.25">
      <c r="B24" s="22" t="s">
        <v>22</v>
      </c>
      <c r="C24" s="26" t="s">
        <v>23</v>
      </c>
    </row>
    <row r="25" spans="2:4" x14ac:dyDescent="0.25">
      <c r="B25" s="24" t="s">
        <v>24</v>
      </c>
      <c r="C25" s="26" t="s">
        <v>25</v>
      </c>
    </row>
    <row r="26" spans="2:4" x14ac:dyDescent="0.25">
      <c r="B26" s="22" t="s">
        <v>26</v>
      </c>
      <c r="C26" s="26" t="s">
        <v>27</v>
      </c>
    </row>
    <row r="28" spans="2:4" ht="19.5" customHeight="1" x14ac:dyDescent="0.25">
      <c r="B28" s="9" t="s">
        <v>28</v>
      </c>
      <c r="C28" s="9"/>
      <c r="D28" s="9"/>
    </row>
    <row r="29" spans="2:4" x14ac:dyDescent="0.25">
      <c r="B29" s="21" t="s">
        <v>29</v>
      </c>
      <c r="C29" s="21" t="s">
        <v>13</v>
      </c>
    </row>
    <row r="30" spans="2:4" x14ac:dyDescent="0.25">
      <c r="B30" s="27">
        <v>46023</v>
      </c>
      <c r="C30" s="22" t="s">
        <v>30</v>
      </c>
    </row>
    <row r="31" spans="2:4" x14ac:dyDescent="0.25">
      <c r="B31" s="28">
        <v>46115</v>
      </c>
      <c r="C31" s="24" t="s">
        <v>31</v>
      </c>
    </row>
    <row r="32" spans="2:4" x14ac:dyDescent="0.25">
      <c r="B32" s="27">
        <v>46118</v>
      </c>
      <c r="C32" s="22" t="s">
        <v>32</v>
      </c>
    </row>
    <row r="33" spans="2:4" x14ac:dyDescent="0.25">
      <c r="B33" s="28">
        <v>46143</v>
      </c>
      <c r="C33" s="24" t="s">
        <v>33</v>
      </c>
    </row>
    <row r="34" spans="2:4" x14ac:dyDescent="0.25">
      <c r="B34" s="27">
        <v>46156</v>
      </c>
      <c r="C34" s="22" t="s">
        <v>34</v>
      </c>
    </row>
    <row r="35" spans="2:4" x14ac:dyDescent="0.25">
      <c r="B35" s="28">
        <v>46167</v>
      </c>
      <c r="C35" s="24" t="s">
        <v>35</v>
      </c>
    </row>
    <row r="36" spans="2:4" x14ac:dyDescent="0.25">
      <c r="B36" s="27">
        <v>46298</v>
      </c>
      <c r="C36" s="22" t="s">
        <v>36</v>
      </c>
    </row>
    <row r="37" spans="2:4" x14ac:dyDescent="0.25">
      <c r="B37" s="28">
        <v>46381</v>
      </c>
      <c r="C37" s="24" t="s">
        <v>37</v>
      </c>
    </row>
    <row r="38" spans="2:4" x14ac:dyDescent="0.25">
      <c r="B38" s="27">
        <v>46382</v>
      </c>
      <c r="C38" s="22" t="s">
        <v>38</v>
      </c>
    </row>
    <row r="39" spans="2:4" x14ac:dyDescent="0.25">
      <c r="B39" s="15" t="s">
        <v>39</v>
      </c>
    </row>
    <row r="41" spans="2:4" ht="19.5" customHeight="1" x14ac:dyDescent="0.25">
      <c r="B41" s="9" t="s">
        <v>40</v>
      </c>
      <c r="C41" s="9"/>
      <c r="D41" s="9"/>
    </row>
    <row r="42" spans="2:4" x14ac:dyDescent="0.25">
      <c r="B42" s="29" t="s">
        <v>41</v>
      </c>
    </row>
    <row r="43" spans="2:4" x14ac:dyDescent="0.25">
      <c r="B43" s="30" t="s">
        <v>42</v>
      </c>
    </row>
    <row r="44" spans="2:4" x14ac:dyDescent="0.25">
      <c r="B44" s="29" t="s">
        <v>43</v>
      </c>
    </row>
    <row r="45" spans="2:4" x14ac:dyDescent="0.25">
      <c r="B45" s="30" t="s">
        <v>44</v>
      </c>
    </row>
    <row r="46" spans="2:4" x14ac:dyDescent="0.25">
      <c r="B46" s="29" t="s">
        <v>45</v>
      </c>
    </row>
    <row r="47" spans="2:4" x14ac:dyDescent="0.25">
      <c r="B47" s="30" t="s">
        <v>46</v>
      </c>
    </row>
    <row r="48" spans="2:4" x14ac:dyDescent="0.25">
      <c r="B48" s="29" t="s">
        <v>47</v>
      </c>
    </row>
  </sheetData>
  <mergeCells count="6">
    <mergeCell ref="B41:D41"/>
    <mergeCell ref="A2:D2"/>
    <mergeCell ref="B5:D5"/>
    <mergeCell ref="B14:D14"/>
    <mergeCell ref="B23:D23"/>
    <mergeCell ref="B28:D28"/>
  </mergeCells>
  <pageMargins left="0.75" right="0.75" top="1" bottom="1" header="0.511811023622047" footer="0.511811023622047"/>
  <pageSetup paperSize="9" orientation="portrait" horizontalDpi="300" verticalDpi="30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24"/>
  <sheetViews>
    <sheetView showGridLines="0" tabSelected="1" zoomScale="90" zoomScaleNormal="90" workbookViewId="0">
      <pane ySplit="14" topLeftCell="A17" activePane="bottomLeft" state="frozen"/>
      <selection pane="bottomLeft" activeCell="S68" sqref="S68"/>
    </sheetView>
  </sheetViews>
  <sheetFormatPr baseColWidth="10" defaultColWidth="8.7109375" defaultRowHeight="15" x14ac:dyDescent="0.25"/>
  <cols>
    <col min="1" max="1" width="5" customWidth="1"/>
    <col min="2" max="2" width="11" bestFit="1" customWidth="1"/>
    <col min="3" max="3" width="11.140625" bestFit="1" customWidth="1"/>
    <col min="4" max="4" width="6.42578125" bestFit="1" customWidth="1"/>
    <col min="5" max="5" width="6" bestFit="1" customWidth="1"/>
    <col min="6" max="6" width="5.85546875" bestFit="1" customWidth="1"/>
    <col min="7" max="7" width="10" bestFit="1" customWidth="1"/>
    <col min="8" max="8" width="11" customWidth="1"/>
    <col min="9" max="9" width="11.28515625" bestFit="1" customWidth="1"/>
    <col min="10" max="10" width="28" bestFit="1" customWidth="1"/>
    <col min="11" max="11" width="7.85546875" bestFit="1" customWidth="1"/>
    <col min="12" max="12" width="9.5703125" bestFit="1" customWidth="1"/>
    <col min="13" max="13" width="17.42578125" bestFit="1" customWidth="1"/>
    <col min="14" max="14" width="10.28515625" bestFit="1" customWidth="1"/>
    <col min="15" max="15" width="23.140625" bestFit="1" customWidth="1"/>
    <col min="16" max="16" width="47.28515625" bestFit="1" customWidth="1"/>
    <col min="17" max="17" width="13.140625" bestFit="1" customWidth="1"/>
  </cols>
  <sheetData>
    <row r="1" spans="1:17" ht="6" customHeigh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ht="33.75" customHeight="1" x14ac:dyDescent="0.25">
      <c r="A2" s="13" t="s">
        <v>48</v>
      </c>
      <c r="B2" s="13"/>
      <c r="C2" s="13"/>
      <c r="D2" s="13"/>
      <c r="E2" s="13"/>
      <c r="F2" s="13"/>
      <c r="G2" s="13"/>
      <c r="H2" s="13"/>
      <c r="I2" s="12" t="str">
        <f>Stammdaten!C6&amp;"  ·  "&amp;Stammdaten!C7</f>
        <v>Nordlicht Systemtechnik GmbH  ·  Werk Nord – Hamburg</v>
      </c>
      <c r="J2" s="12"/>
      <c r="K2" s="12"/>
      <c r="L2" s="12"/>
      <c r="M2" s="12"/>
      <c r="N2" s="12"/>
      <c r="O2" s="12"/>
      <c r="P2" s="12"/>
      <c r="Q2" s="12"/>
    </row>
    <row r="3" spans="1:17" ht="18" customHeight="1" x14ac:dyDescent="0.25">
      <c r="A3" s="11" t="s">
        <v>49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.75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6" spans="1:17" ht="19.5" customHeight="1" x14ac:dyDescent="0.25">
      <c r="A6" s="9" t="s">
        <v>50</v>
      </c>
      <c r="B6" s="9"/>
      <c r="C6" s="9"/>
      <c r="D6" s="9"/>
      <c r="E6" s="9"/>
      <c r="F6" s="9"/>
      <c r="H6" s="9" t="s">
        <v>51</v>
      </c>
      <c r="I6" s="9"/>
      <c r="J6" s="9"/>
      <c r="K6" s="9"/>
      <c r="L6" s="9"/>
      <c r="M6" s="9"/>
      <c r="N6" s="9"/>
      <c r="O6" s="9"/>
      <c r="P6" s="9"/>
      <c r="Q6" s="9"/>
    </row>
    <row r="7" spans="1:17" ht="18.75" customHeight="1" x14ac:dyDescent="0.25">
      <c r="A7" s="8" t="s">
        <v>52</v>
      </c>
      <c r="B7" s="8"/>
      <c r="C7" s="7" t="s">
        <v>53</v>
      </c>
      <c r="D7" s="7"/>
      <c r="E7" s="7"/>
      <c r="F7" s="7"/>
      <c r="H7" s="8" t="s">
        <v>54</v>
      </c>
      <c r="I7" s="8"/>
      <c r="J7" s="8"/>
      <c r="K7" s="6">
        <f>SUM(G15:G114)</f>
        <v>260.50000000000017</v>
      </c>
      <c r="L7" s="6"/>
      <c r="M7" s="8" t="s">
        <v>55</v>
      </c>
      <c r="N7" s="8"/>
      <c r="O7" s="8"/>
      <c r="P7" s="6">
        <f>SUM(L15:L114)</f>
        <v>94.125000000000185</v>
      </c>
      <c r="Q7" s="6"/>
    </row>
    <row r="8" spans="1:17" ht="18.75" customHeight="1" x14ac:dyDescent="0.25">
      <c r="A8" s="8" t="s">
        <v>56</v>
      </c>
      <c r="B8" s="8"/>
      <c r="C8" s="7" t="s">
        <v>57</v>
      </c>
      <c r="D8" s="7"/>
      <c r="E8" s="7"/>
      <c r="F8" s="7"/>
      <c r="H8" s="8" t="s">
        <v>58</v>
      </c>
      <c r="I8" s="8"/>
      <c r="J8" s="8"/>
      <c r="K8" s="6">
        <f>SUM(I15:I114)</f>
        <v>68.500000000000114</v>
      </c>
      <c r="L8" s="6"/>
      <c r="M8" s="8" t="s">
        <v>59</v>
      </c>
      <c r="N8" s="8"/>
      <c r="O8" s="8"/>
      <c r="P8" s="5">
        <f>SUM(N15:N114)</f>
        <v>1869.656250000002</v>
      </c>
      <c r="Q8" s="5"/>
    </row>
    <row r="9" spans="1:17" ht="18.75" customHeight="1" x14ac:dyDescent="0.25">
      <c r="A9" s="8" t="s">
        <v>60</v>
      </c>
      <c r="B9" s="8"/>
      <c r="C9" s="7" t="s">
        <v>61</v>
      </c>
      <c r="D9" s="7"/>
      <c r="E9" s="7"/>
      <c r="F9" s="7"/>
      <c r="H9" s="8" t="s">
        <v>62</v>
      </c>
      <c r="I9" s="8"/>
      <c r="J9" s="8"/>
      <c r="K9" s="6">
        <f>SUMIF(M15:M114,"Auszahlung",I15:I114)</f>
        <v>54.25000000000005</v>
      </c>
      <c r="L9" s="6"/>
      <c r="M9" s="8" t="s">
        <v>63</v>
      </c>
      <c r="N9" s="8"/>
      <c r="O9" s="8"/>
      <c r="P9" s="6">
        <f>SUMIF(M15:M114,"Freizeitausgleich",I15:I114)</f>
        <v>11.000000000000048</v>
      </c>
      <c r="Q9" s="6"/>
    </row>
    <row r="10" spans="1:17" ht="18.75" customHeight="1" x14ac:dyDescent="0.25">
      <c r="A10" s="8" t="s">
        <v>64</v>
      </c>
      <c r="B10" s="8"/>
      <c r="C10" s="7" t="s">
        <v>65</v>
      </c>
      <c r="D10" s="7"/>
      <c r="E10" s="7"/>
      <c r="F10" s="7"/>
      <c r="H10" s="8" t="s">
        <v>66</v>
      </c>
      <c r="I10" s="8"/>
      <c r="J10" s="8"/>
      <c r="K10" s="6">
        <f>SUMIF(M15:M114,"Offen",I15:I114)</f>
        <v>3.2500000000000231</v>
      </c>
      <c r="L10" s="6"/>
      <c r="M10" s="8" t="s">
        <v>67</v>
      </c>
      <c r="N10" s="8"/>
      <c r="O10" s="8"/>
      <c r="P10" s="4">
        <f>COUNT(B15:B114)</f>
        <v>30</v>
      </c>
      <c r="Q10" s="4"/>
    </row>
    <row r="12" spans="1:17" ht="16.5" customHeight="1" x14ac:dyDescent="0.25">
      <c r="A12" s="3" t="s">
        <v>68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ht="6" customHeight="1" x14ac:dyDescent="0.25"/>
    <row r="14" spans="1:17" ht="31.5" customHeight="1" x14ac:dyDescent="0.25">
      <c r="A14" s="31" t="s">
        <v>69</v>
      </c>
      <c r="B14" s="31" t="s">
        <v>29</v>
      </c>
      <c r="C14" s="31" t="s">
        <v>70</v>
      </c>
      <c r="D14" s="31" t="s">
        <v>71</v>
      </c>
      <c r="E14" s="31" t="s">
        <v>72</v>
      </c>
      <c r="F14" s="31" t="s">
        <v>73</v>
      </c>
      <c r="G14" s="31" t="s">
        <v>74</v>
      </c>
      <c r="H14" s="31" t="s">
        <v>75</v>
      </c>
      <c r="I14" s="31" t="s">
        <v>76</v>
      </c>
      <c r="J14" s="31" t="s">
        <v>77</v>
      </c>
      <c r="K14" s="31" t="s">
        <v>14</v>
      </c>
      <c r="L14" s="31" t="s">
        <v>78</v>
      </c>
      <c r="M14" s="31" t="s">
        <v>79</v>
      </c>
      <c r="N14" s="31" t="s">
        <v>22</v>
      </c>
      <c r="O14" s="31" t="s">
        <v>80</v>
      </c>
      <c r="P14" s="31" t="s">
        <v>81</v>
      </c>
      <c r="Q14" s="31" t="s">
        <v>82</v>
      </c>
    </row>
    <row r="15" spans="1:17" ht="18" customHeight="1" x14ac:dyDescent="0.25">
      <c r="A15" s="32">
        <f>IF(B15="","",COUNT($B$15:B15))</f>
        <v>1</v>
      </c>
      <c r="B15" s="27">
        <v>46030</v>
      </c>
      <c r="C15" s="33" t="str">
        <f t="shared" ref="C15:C46" si="0">IF($B15="","",INDEX(Wochentage,WEEKDAY($B15,2)))</f>
        <v>Donnerstag</v>
      </c>
      <c r="D15" s="34">
        <v>0.33333333333333298</v>
      </c>
      <c r="E15" s="34">
        <v>0.8125</v>
      </c>
      <c r="F15" s="35">
        <v>45</v>
      </c>
      <c r="G15" s="36">
        <f t="shared" ref="G15:G46" si="1">IF(OR($B15="",$D15="",$E15=""),"",(IF($E15&lt;$D15,$E15+1,$E15)-$D15)*24-N($F15)/60)</f>
        <v>10.750000000000009</v>
      </c>
      <c r="H15" s="36">
        <f t="shared" ref="H15:H46" si="2">IF($B15="","",IF(OR(WEEKDAY($B15,2)&gt;5,COUNTIF(Feiertage,$B15)&gt;0),0,Tagessoll))</f>
        <v>8</v>
      </c>
      <c r="I15" s="37">
        <f t="shared" ref="I15:I46" si="3">IF(OR($G15="",$H15=""),"",$G15-$H15)</f>
        <v>2.7500000000000089</v>
      </c>
      <c r="J15" s="38" t="s">
        <v>16</v>
      </c>
      <c r="K15" s="39">
        <f t="shared" ref="K15:K46" si="4">IF($J15="","",IFERROR(INDEX(Zuschlagssaetze,MATCH($J15,Zuschlagsarten,0)),0))</f>
        <v>0.25</v>
      </c>
      <c r="L15" s="36">
        <f t="shared" ref="L15:L46" si="5">IF($I15="","",MAX(0,$I15)*(1+N($K15)))</f>
        <v>3.4375000000000111</v>
      </c>
      <c r="M15" s="38" t="s">
        <v>22</v>
      </c>
      <c r="N15" s="40">
        <f t="shared" ref="N15:N46" si="6">IF($B15="","",IF($M15="Auszahlung",N($L15)*Stundensatz,0))</f>
        <v>84.21875000000027</v>
      </c>
      <c r="O15" s="38" t="s">
        <v>83</v>
      </c>
      <c r="P15" s="41" t="s">
        <v>84</v>
      </c>
      <c r="Q15" s="38" t="s">
        <v>85</v>
      </c>
    </row>
    <row r="16" spans="1:17" ht="18" customHeight="1" x14ac:dyDescent="0.25">
      <c r="A16" s="42">
        <f>IF(B16="","",COUNT($B$15:B16))</f>
        <v>2</v>
      </c>
      <c r="B16" s="43">
        <v>46037</v>
      </c>
      <c r="C16" s="33" t="str">
        <f t="shared" si="0"/>
        <v>Donnerstag</v>
      </c>
      <c r="D16" s="44">
        <v>0.375</v>
      </c>
      <c r="E16" s="44">
        <v>0.76041666666666696</v>
      </c>
      <c r="F16" s="45">
        <v>30</v>
      </c>
      <c r="G16" s="36">
        <f t="shared" si="1"/>
        <v>8.7500000000000071</v>
      </c>
      <c r="H16" s="36">
        <f t="shared" si="2"/>
        <v>8</v>
      </c>
      <c r="I16" s="37">
        <f t="shared" si="3"/>
        <v>0.75000000000000711</v>
      </c>
      <c r="J16" s="46" t="s">
        <v>16</v>
      </c>
      <c r="K16" s="39">
        <f t="shared" si="4"/>
        <v>0.25</v>
      </c>
      <c r="L16" s="36">
        <f t="shared" si="5"/>
        <v>0.93750000000000888</v>
      </c>
      <c r="M16" s="46" t="s">
        <v>24</v>
      </c>
      <c r="N16" s="40">
        <f t="shared" si="6"/>
        <v>0</v>
      </c>
      <c r="O16" s="46" t="s">
        <v>83</v>
      </c>
      <c r="P16" s="47" t="s">
        <v>86</v>
      </c>
      <c r="Q16" s="46" t="s">
        <v>85</v>
      </c>
    </row>
    <row r="17" spans="1:17" ht="18" customHeight="1" x14ac:dyDescent="0.25">
      <c r="A17" s="32">
        <f>IF(B17="","",COUNT($B$15:B17))</f>
        <v>3</v>
      </c>
      <c r="B17" s="27">
        <v>46039</v>
      </c>
      <c r="C17" s="33" t="str">
        <f t="shared" si="0"/>
        <v>Samstag</v>
      </c>
      <c r="D17" s="34">
        <v>0.35416666666666702</v>
      </c>
      <c r="E17" s="34">
        <v>0.58333333333333304</v>
      </c>
      <c r="F17" s="35">
        <v>30</v>
      </c>
      <c r="G17" s="36">
        <f t="shared" si="1"/>
        <v>4.999999999999984</v>
      </c>
      <c r="H17" s="36">
        <f t="shared" si="2"/>
        <v>0</v>
      </c>
      <c r="I17" s="37">
        <f t="shared" si="3"/>
        <v>4.999999999999984</v>
      </c>
      <c r="J17" s="38" t="s">
        <v>18</v>
      </c>
      <c r="K17" s="39">
        <f t="shared" si="4"/>
        <v>0.25</v>
      </c>
      <c r="L17" s="36">
        <f t="shared" si="5"/>
        <v>6.2499999999999805</v>
      </c>
      <c r="M17" s="38" t="s">
        <v>22</v>
      </c>
      <c r="N17" s="40">
        <f t="shared" si="6"/>
        <v>153.12499999999952</v>
      </c>
      <c r="O17" s="38" t="s">
        <v>87</v>
      </c>
      <c r="P17" s="41" t="s">
        <v>88</v>
      </c>
      <c r="Q17" s="38" t="s">
        <v>85</v>
      </c>
    </row>
    <row r="18" spans="1:17" ht="18" customHeight="1" x14ac:dyDescent="0.25">
      <c r="A18" s="42">
        <f>IF(B18="","",COUNT($B$15:B18))</f>
        <v>4</v>
      </c>
      <c r="B18" s="43">
        <v>46044</v>
      </c>
      <c r="C18" s="33" t="str">
        <f t="shared" si="0"/>
        <v>Donnerstag</v>
      </c>
      <c r="D18" s="44">
        <v>0.33333333333333298</v>
      </c>
      <c r="E18" s="44">
        <v>0.73958333333333304</v>
      </c>
      <c r="F18" s="45">
        <v>45</v>
      </c>
      <c r="G18" s="36">
        <f t="shared" si="1"/>
        <v>9.0000000000000018</v>
      </c>
      <c r="H18" s="36">
        <f t="shared" si="2"/>
        <v>8</v>
      </c>
      <c r="I18" s="37">
        <f t="shared" si="3"/>
        <v>1.0000000000000018</v>
      </c>
      <c r="J18" s="46" t="s">
        <v>16</v>
      </c>
      <c r="K18" s="39">
        <f t="shared" si="4"/>
        <v>0.25</v>
      </c>
      <c r="L18" s="36">
        <f t="shared" si="5"/>
        <v>1.2500000000000022</v>
      </c>
      <c r="M18" s="46" t="s">
        <v>24</v>
      </c>
      <c r="N18" s="40">
        <f t="shared" si="6"/>
        <v>0</v>
      </c>
      <c r="O18" s="46" t="s">
        <v>87</v>
      </c>
      <c r="P18" s="47" t="s">
        <v>89</v>
      </c>
      <c r="Q18" s="46" t="s">
        <v>85</v>
      </c>
    </row>
    <row r="19" spans="1:17" ht="18" customHeight="1" x14ac:dyDescent="0.25">
      <c r="A19" s="32">
        <f>IF(B19="","",COUNT($B$15:B19))</f>
        <v>5</v>
      </c>
      <c r="B19" s="27">
        <v>46051</v>
      </c>
      <c r="C19" s="33" t="str">
        <f t="shared" si="0"/>
        <v>Donnerstag</v>
      </c>
      <c r="D19" s="34">
        <v>0.54166666666666696</v>
      </c>
      <c r="E19" s="34">
        <v>6.25E-2</v>
      </c>
      <c r="F19" s="35">
        <v>45</v>
      </c>
      <c r="G19" s="36">
        <f t="shared" si="1"/>
        <v>11.749999999999993</v>
      </c>
      <c r="H19" s="36">
        <f t="shared" si="2"/>
        <v>8</v>
      </c>
      <c r="I19" s="37">
        <f t="shared" si="3"/>
        <v>3.7499999999999929</v>
      </c>
      <c r="J19" s="38" t="s">
        <v>17</v>
      </c>
      <c r="K19" s="39">
        <f t="shared" si="4"/>
        <v>0.25</v>
      </c>
      <c r="L19" s="36">
        <f t="shared" si="5"/>
        <v>4.6874999999999911</v>
      </c>
      <c r="M19" s="38" t="s">
        <v>22</v>
      </c>
      <c r="N19" s="40">
        <f t="shared" si="6"/>
        <v>114.84374999999979</v>
      </c>
      <c r="O19" s="38" t="s">
        <v>87</v>
      </c>
      <c r="P19" s="41" t="s">
        <v>90</v>
      </c>
      <c r="Q19" s="38" t="s">
        <v>85</v>
      </c>
    </row>
    <row r="20" spans="1:17" ht="18" customHeight="1" x14ac:dyDescent="0.25">
      <c r="A20" s="42">
        <f>IF(B20="","",COUNT($B$15:B20))</f>
        <v>6</v>
      </c>
      <c r="B20" s="43">
        <v>46056</v>
      </c>
      <c r="C20" s="33" t="str">
        <f t="shared" si="0"/>
        <v>Dienstag</v>
      </c>
      <c r="D20" s="44">
        <v>0.33333333333333298</v>
      </c>
      <c r="E20" s="44">
        <v>0.75</v>
      </c>
      <c r="F20" s="45">
        <v>45</v>
      </c>
      <c r="G20" s="36">
        <f t="shared" si="1"/>
        <v>9.2500000000000089</v>
      </c>
      <c r="H20" s="36">
        <f t="shared" si="2"/>
        <v>8</v>
      </c>
      <c r="I20" s="37">
        <f t="shared" si="3"/>
        <v>1.2500000000000089</v>
      </c>
      <c r="J20" s="46" t="s">
        <v>16</v>
      </c>
      <c r="K20" s="39">
        <f t="shared" si="4"/>
        <v>0.25</v>
      </c>
      <c r="L20" s="36">
        <f t="shared" si="5"/>
        <v>1.5625000000000111</v>
      </c>
      <c r="M20" s="46" t="s">
        <v>24</v>
      </c>
      <c r="N20" s="40">
        <f t="shared" si="6"/>
        <v>0</v>
      </c>
      <c r="O20" s="46" t="s">
        <v>91</v>
      </c>
      <c r="P20" s="47" t="s">
        <v>92</v>
      </c>
      <c r="Q20" s="46" t="s">
        <v>85</v>
      </c>
    </row>
    <row r="21" spans="1:17" ht="18" customHeight="1" x14ac:dyDescent="0.25">
      <c r="A21" s="32">
        <f>IF(B21="","",COUNT($B$15:B21))</f>
        <v>7</v>
      </c>
      <c r="B21" s="27">
        <v>46064</v>
      </c>
      <c r="C21" s="33" t="str">
        <f t="shared" si="0"/>
        <v>Mittwoch</v>
      </c>
      <c r="D21" s="34">
        <v>0.3125</v>
      </c>
      <c r="E21" s="34">
        <v>0.79166666666666696</v>
      </c>
      <c r="F21" s="35">
        <v>60</v>
      </c>
      <c r="G21" s="36">
        <f t="shared" si="1"/>
        <v>10.500000000000007</v>
      </c>
      <c r="H21" s="36">
        <f t="shared" si="2"/>
        <v>8</v>
      </c>
      <c r="I21" s="37">
        <f t="shared" si="3"/>
        <v>2.5000000000000071</v>
      </c>
      <c r="J21" s="38" t="s">
        <v>16</v>
      </c>
      <c r="K21" s="39">
        <f t="shared" si="4"/>
        <v>0.25</v>
      </c>
      <c r="L21" s="36">
        <f t="shared" si="5"/>
        <v>3.1250000000000089</v>
      </c>
      <c r="M21" s="38" t="s">
        <v>22</v>
      </c>
      <c r="N21" s="40">
        <f t="shared" si="6"/>
        <v>76.562500000000213</v>
      </c>
      <c r="O21" s="38" t="s">
        <v>83</v>
      </c>
      <c r="P21" s="41" t="s">
        <v>93</v>
      </c>
      <c r="Q21" s="38" t="s">
        <v>85</v>
      </c>
    </row>
    <row r="22" spans="1:17" ht="18" customHeight="1" x14ac:dyDescent="0.25">
      <c r="A22" s="42">
        <f>IF(B22="","",COUNT($B$15:B22))</f>
        <v>8</v>
      </c>
      <c r="B22" s="43">
        <v>46067</v>
      </c>
      <c r="C22" s="33" t="str">
        <f t="shared" si="0"/>
        <v>Samstag</v>
      </c>
      <c r="D22" s="44">
        <v>0.375</v>
      </c>
      <c r="E22" s="44">
        <v>0.64583333333333304</v>
      </c>
      <c r="F22" s="45">
        <v>30</v>
      </c>
      <c r="G22" s="36">
        <f t="shared" si="1"/>
        <v>5.9999999999999929</v>
      </c>
      <c r="H22" s="36">
        <f t="shared" si="2"/>
        <v>0</v>
      </c>
      <c r="I22" s="37">
        <f t="shared" si="3"/>
        <v>5.9999999999999929</v>
      </c>
      <c r="J22" s="46" t="s">
        <v>18</v>
      </c>
      <c r="K22" s="39">
        <f t="shared" si="4"/>
        <v>0.25</v>
      </c>
      <c r="L22" s="36">
        <f t="shared" si="5"/>
        <v>7.4999999999999911</v>
      </c>
      <c r="M22" s="46" t="s">
        <v>22</v>
      </c>
      <c r="N22" s="40">
        <f t="shared" si="6"/>
        <v>183.74999999999977</v>
      </c>
      <c r="O22" s="46" t="s">
        <v>87</v>
      </c>
      <c r="P22" s="47" t="s">
        <v>94</v>
      </c>
      <c r="Q22" s="46" t="s">
        <v>85</v>
      </c>
    </row>
    <row r="23" spans="1:17" ht="18" customHeight="1" x14ac:dyDescent="0.25">
      <c r="A23" s="32">
        <f>IF(B23="","",COUNT($B$15:B23))</f>
        <v>9</v>
      </c>
      <c r="B23" s="27">
        <v>46072</v>
      </c>
      <c r="C23" s="33" t="str">
        <f t="shared" si="0"/>
        <v>Donnerstag</v>
      </c>
      <c r="D23" s="34">
        <v>0.33333333333333298</v>
      </c>
      <c r="E23" s="34">
        <v>0.72916666666666696</v>
      </c>
      <c r="F23" s="35">
        <v>45</v>
      </c>
      <c r="G23" s="36">
        <f t="shared" si="1"/>
        <v>8.750000000000016</v>
      </c>
      <c r="H23" s="36">
        <f t="shared" si="2"/>
        <v>8</v>
      </c>
      <c r="I23" s="37">
        <f t="shared" si="3"/>
        <v>0.75000000000001599</v>
      </c>
      <c r="J23" s="38" t="s">
        <v>16</v>
      </c>
      <c r="K23" s="39">
        <f t="shared" si="4"/>
        <v>0.25</v>
      </c>
      <c r="L23" s="36">
        <f t="shared" si="5"/>
        <v>0.93750000000001998</v>
      </c>
      <c r="M23" s="38" t="s">
        <v>26</v>
      </c>
      <c r="N23" s="40">
        <f t="shared" si="6"/>
        <v>0</v>
      </c>
      <c r="O23" s="38" t="s">
        <v>91</v>
      </c>
      <c r="P23" s="41" t="s">
        <v>95</v>
      </c>
      <c r="Q23" s="38" t="s">
        <v>85</v>
      </c>
    </row>
    <row r="24" spans="1:17" ht="18" customHeight="1" x14ac:dyDescent="0.25">
      <c r="A24" s="42">
        <f>IF(B24="","",COUNT($B$15:B24))</f>
        <v>10</v>
      </c>
      <c r="B24" s="43">
        <v>46078</v>
      </c>
      <c r="C24" s="33" t="str">
        <f t="shared" si="0"/>
        <v>Mittwoch</v>
      </c>
      <c r="D24" s="44">
        <v>0.33333333333333298</v>
      </c>
      <c r="E24" s="44">
        <v>0.77083333333333304</v>
      </c>
      <c r="F24" s="45">
        <v>45</v>
      </c>
      <c r="G24" s="36">
        <f t="shared" si="1"/>
        <v>9.7500000000000018</v>
      </c>
      <c r="H24" s="36">
        <f t="shared" si="2"/>
        <v>8</v>
      </c>
      <c r="I24" s="37">
        <f t="shared" si="3"/>
        <v>1.7500000000000018</v>
      </c>
      <c r="J24" s="46" t="s">
        <v>16</v>
      </c>
      <c r="K24" s="39">
        <f t="shared" si="4"/>
        <v>0.25</v>
      </c>
      <c r="L24" s="36">
        <f t="shared" si="5"/>
        <v>2.1875000000000022</v>
      </c>
      <c r="M24" s="46" t="s">
        <v>24</v>
      </c>
      <c r="N24" s="40">
        <f t="shared" si="6"/>
        <v>0</v>
      </c>
      <c r="O24" s="46" t="s">
        <v>83</v>
      </c>
      <c r="P24" s="47" t="s">
        <v>96</v>
      </c>
      <c r="Q24" s="46" t="s">
        <v>85</v>
      </c>
    </row>
    <row r="25" spans="1:17" ht="18" customHeight="1" x14ac:dyDescent="0.25">
      <c r="A25" s="32">
        <f>IF(B25="","",COUNT($B$15:B25))</f>
        <v>11</v>
      </c>
      <c r="B25" s="27">
        <v>46085</v>
      </c>
      <c r="C25" s="33" t="str">
        <f t="shared" si="0"/>
        <v>Mittwoch</v>
      </c>
      <c r="D25" s="34">
        <v>0.33333333333333298</v>
      </c>
      <c r="E25" s="34">
        <v>0.79166666666666696</v>
      </c>
      <c r="F25" s="35">
        <v>45</v>
      </c>
      <c r="G25" s="36">
        <f t="shared" si="1"/>
        <v>10.250000000000016</v>
      </c>
      <c r="H25" s="36">
        <f t="shared" si="2"/>
        <v>8</v>
      </c>
      <c r="I25" s="37">
        <f t="shared" si="3"/>
        <v>2.250000000000016</v>
      </c>
      <c r="J25" s="38" t="s">
        <v>16</v>
      </c>
      <c r="K25" s="39">
        <f t="shared" si="4"/>
        <v>0.25</v>
      </c>
      <c r="L25" s="36">
        <f t="shared" si="5"/>
        <v>2.81250000000002</v>
      </c>
      <c r="M25" s="38" t="s">
        <v>22</v>
      </c>
      <c r="N25" s="40">
        <f t="shared" si="6"/>
        <v>68.906250000000483</v>
      </c>
      <c r="O25" s="38" t="s">
        <v>87</v>
      </c>
      <c r="P25" s="41" t="s">
        <v>97</v>
      </c>
      <c r="Q25" s="38" t="s">
        <v>85</v>
      </c>
    </row>
    <row r="26" spans="1:17" ht="18" customHeight="1" x14ac:dyDescent="0.25">
      <c r="A26" s="42">
        <f>IF(B26="","",COUNT($B$15:B26))</f>
        <v>12</v>
      </c>
      <c r="B26" s="43">
        <v>46093</v>
      </c>
      <c r="C26" s="33" t="str">
        <f t="shared" si="0"/>
        <v>Donnerstag</v>
      </c>
      <c r="D26" s="44">
        <v>0.35416666666666702</v>
      </c>
      <c r="E26" s="44">
        <v>0.73958333333333304</v>
      </c>
      <c r="F26" s="45">
        <v>30</v>
      </c>
      <c r="G26" s="36">
        <f t="shared" si="1"/>
        <v>8.749999999999984</v>
      </c>
      <c r="H26" s="36">
        <f t="shared" si="2"/>
        <v>8</v>
      </c>
      <c r="I26" s="37">
        <f t="shared" si="3"/>
        <v>0.74999999999998401</v>
      </c>
      <c r="J26" s="46" t="s">
        <v>16</v>
      </c>
      <c r="K26" s="39">
        <f t="shared" si="4"/>
        <v>0.25</v>
      </c>
      <c r="L26" s="36">
        <f t="shared" si="5"/>
        <v>0.93749999999998002</v>
      </c>
      <c r="M26" s="46" t="s">
        <v>24</v>
      </c>
      <c r="N26" s="40">
        <f t="shared" si="6"/>
        <v>0</v>
      </c>
      <c r="O26" s="46" t="s">
        <v>91</v>
      </c>
      <c r="P26" s="47" t="s">
        <v>98</v>
      </c>
      <c r="Q26" s="46" t="s">
        <v>85</v>
      </c>
    </row>
    <row r="27" spans="1:17" ht="18" customHeight="1" x14ac:dyDescent="0.25">
      <c r="A27" s="32">
        <f>IF(B27="","",COUNT($B$15:B27))</f>
        <v>13</v>
      </c>
      <c r="B27" s="27">
        <v>46096</v>
      </c>
      <c r="C27" s="33" t="str">
        <f t="shared" si="0"/>
        <v>Sonntag</v>
      </c>
      <c r="D27" s="34">
        <v>0.41666666666666702</v>
      </c>
      <c r="E27" s="34">
        <v>0.66666666666666696</v>
      </c>
      <c r="F27" s="35">
        <v>30</v>
      </c>
      <c r="G27" s="36">
        <f t="shared" si="1"/>
        <v>5.4999999999999982</v>
      </c>
      <c r="H27" s="36">
        <f t="shared" si="2"/>
        <v>0</v>
      </c>
      <c r="I27" s="37">
        <f t="shared" si="3"/>
        <v>5.4999999999999982</v>
      </c>
      <c r="J27" s="38" t="s">
        <v>19</v>
      </c>
      <c r="K27" s="39">
        <f t="shared" si="4"/>
        <v>0.5</v>
      </c>
      <c r="L27" s="36">
        <f t="shared" si="5"/>
        <v>8.2499999999999964</v>
      </c>
      <c r="M27" s="38" t="s">
        <v>22</v>
      </c>
      <c r="N27" s="40">
        <f t="shared" si="6"/>
        <v>202.12499999999991</v>
      </c>
      <c r="O27" s="38" t="s">
        <v>87</v>
      </c>
      <c r="P27" s="41" t="s">
        <v>99</v>
      </c>
      <c r="Q27" s="38" t="s">
        <v>85</v>
      </c>
    </row>
    <row r="28" spans="1:17" ht="18" customHeight="1" x14ac:dyDescent="0.25">
      <c r="A28" s="42">
        <f>IF(B28="","",COUNT($B$15:B28))</f>
        <v>14</v>
      </c>
      <c r="B28" s="43">
        <v>46101</v>
      </c>
      <c r="C28" s="33" t="str">
        <f t="shared" si="0"/>
        <v>Freitag</v>
      </c>
      <c r="D28" s="44">
        <v>0.33333333333333298</v>
      </c>
      <c r="E28" s="44">
        <v>0.76041666666666696</v>
      </c>
      <c r="F28" s="45">
        <v>45</v>
      </c>
      <c r="G28" s="36">
        <f t="shared" si="1"/>
        <v>9.500000000000016</v>
      </c>
      <c r="H28" s="36">
        <f t="shared" si="2"/>
        <v>8</v>
      </c>
      <c r="I28" s="37">
        <f t="shared" si="3"/>
        <v>1.500000000000016</v>
      </c>
      <c r="J28" s="46" t="s">
        <v>16</v>
      </c>
      <c r="K28" s="39">
        <f t="shared" si="4"/>
        <v>0.25</v>
      </c>
      <c r="L28" s="36">
        <f t="shared" si="5"/>
        <v>1.87500000000002</v>
      </c>
      <c r="M28" s="46" t="s">
        <v>26</v>
      </c>
      <c r="N28" s="40">
        <f t="shared" si="6"/>
        <v>0</v>
      </c>
      <c r="O28" s="46" t="s">
        <v>83</v>
      </c>
      <c r="P28" s="47" t="s">
        <v>100</v>
      </c>
      <c r="Q28" s="46" t="s">
        <v>85</v>
      </c>
    </row>
    <row r="29" spans="1:17" ht="18" customHeight="1" x14ac:dyDescent="0.25">
      <c r="A29" s="32">
        <f>IF(B29="","",COUNT($B$15:B29))</f>
        <v>15</v>
      </c>
      <c r="B29" s="27">
        <v>46107</v>
      </c>
      <c r="C29" s="33" t="str">
        <f t="shared" si="0"/>
        <v>Donnerstag</v>
      </c>
      <c r="D29" s="34">
        <v>0.58333333333333304</v>
      </c>
      <c r="E29" s="34">
        <v>0.104166666666667</v>
      </c>
      <c r="F29" s="35">
        <v>45</v>
      </c>
      <c r="G29" s="36">
        <f t="shared" si="1"/>
        <v>11.750000000000014</v>
      </c>
      <c r="H29" s="36">
        <f t="shared" si="2"/>
        <v>8</v>
      </c>
      <c r="I29" s="37">
        <f t="shared" si="3"/>
        <v>3.7500000000000142</v>
      </c>
      <c r="J29" s="38" t="s">
        <v>17</v>
      </c>
      <c r="K29" s="39">
        <f t="shared" si="4"/>
        <v>0.25</v>
      </c>
      <c r="L29" s="36">
        <f t="shared" si="5"/>
        <v>4.6875000000000178</v>
      </c>
      <c r="M29" s="38" t="s">
        <v>22</v>
      </c>
      <c r="N29" s="40">
        <f t="shared" si="6"/>
        <v>114.84375000000044</v>
      </c>
      <c r="O29" s="38" t="s">
        <v>83</v>
      </c>
      <c r="P29" s="41" t="s">
        <v>101</v>
      </c>
      <c r="Q29" s="38" t="s">
        <v>85</v>
      </c>
    </row>
    <row r="30" spans="1:17" ht="18" customHeight="1" x14ac:dyDescent="0.25">
      <c r="A30" s="42">
        <f>IF(B30="","",COUNT($B$15:B30))</f>
        <v>16</v>
      </c>
      <c r="B30" s="43">
        <v>46115</v>
      </c>
      <c r="C30" s="33" t="str">
        <f t="shared" si="0"/>
        <v>Freitag</v>
      </c>
      <c r="D30" s="44">
        <v>0.375</v>
      </c>
      <c r="E30" s="44">
        <v>0.60416666666666696</v>
      </c>
      <c r="F30" s="45">
        <v>30</v>
      </c>
      <c r="G30" s="36">
        <f t="shared" si="1"/>
        <v>5.0000000000000071</v>
      </c>
      <c r="H30" s="36">
        <f t="shared" si="2"/>
        <v>0</v>
      </c>
      <c r="I30" s="37">
        <f t="shared" si="3"/>
        <v>5.0000000000000071</v>
      </c>
      <c r="J30" s="46" t="s">
        <v>20</v>
      </c>
      <c r="K30" s="39">
        <f t="shared" si="4"/>
        <v>1</v>
      </c>
      <c r="L30" s="36">
        <f t="shared" si="5"/>
        <v>10.000000000000014</v>
      </c>
      <c r="M30" s="46" t="s">
        <v>22</v>
      </c>
      <c r="N30" s="40">
        <f t="shared" si="6"/>
        <v>245.00000000000034</v>
      </c>
      <c r="O30" s="46" t="s">
        <v>87</v>
      </c>
      <c r="P30" s="47" t="s">
        <v>102</v>
      </c>
      <c r="Q30" s="46" t="s">
        <v>85</v>
      </c>
    </row>
    <row r="31" spans="1:17" ht="18" customHeight="1" x14ac:dyDescent="0.25">
      <c r="A31" s="32">
        <f>IF(B31="","",COUNT($B$15:B31))</f>
        <v>17</v>
      </c>
      <c r="B31" s="27">
        <v>46121</v>
      </c>
      <c r="C31" s="33" t="str">
        <f t="shared" si="0"/>
        <v>Donnerstag</v>
      </c>
      <c r="D31" s="34">
        <v>0.33333333333333298</v>
      </c>
      <c r="E31" s="34">
        <v>0.72916666666666696</v>
      </c>
      <c r="F31" s="35">
        <v>45</v>
      </c>
      <c r="G31" s="36">
        <f t="shared" si="1"/>
        <v>8.750000000000016</v>
      </c>
      <c r="H31" s="36">
        <f t="shared" si="2"/>
        <v>8</v>
      </c>
      <c r="I31" s="37">
        <f t="shared" si="3"/>
        <v>0.75000000000001599</v>
      </c>
      <c r="J31" s="38" t="s">
        <v>16</v>
      </c>
      <c r="K31" s="39">
        <f t="shared" si="4"/>
        <v>0.25</v>
      </c>
      <c r="L31" s="36">
        <f t="shared" si="5"/>
        <v>0.93750000000001998</v>
      </c>
      <c r="M31" s="38" t="s">
        <v>24</v>
      </c>
      <c r="N31" s="40">
        <f t="shared" si="6"/>
        <v>0</v>
      </c>
      <c r="O31" s="38" t="s">
        <v>91</v>
      </c>
      <c r="P31" s="41" t="s">
        <v>103</v>
      </c>
      <c r="Q31" s="38" t="s">
        <v>85</v>
      </c>
    </row>
    <row r="32" spans="1:17" ht="18" customHeight="1" x14ac:dyDescent="0.25">
      <c r="A32" s="42">
        <f>IF(B32="","",COUNT($B$15:B32))</f>
        <v>18</v>
      </c>
      <c r="B32" s="43">
        <v>46128</v>
      </c>
      <c r="C32" s="33" t="str">
        <f t="shared" si="0"/>
        <v>Donnerstag</v>
      </c>
      <c r="D32" s="44">
        <v>0.33333333333333298</v>
      </c>
      <c r="E32" s="44">
        <v>0.78125</v>
      </c>
      <c r="F32" s="45">
        <v>45</v>
      </c>
      <c r="G32" s="36">
        <f t="shared" si="1"/>
        <v>10.000000000000009</v>
      </c>
      <c r="H32" s="36">
        <f t="shared" si="2"/>
        <v>8</v>
      </c>
      <c r="I32" s="37">
        <f t="shared" si="3"/>
        <v>2.0000000000000089</v>
      </c>
      <c r="J32" s="46" t="s">
        <v>16</v>
      </c>
      <c r="K32" s="39">
        <f t="shared" si="4"/>
        <v>0.25</v>
      </c>
      <c r="L32" s="36">
        <f t="shared" si="5"/>
        <v>2.5000000000000111</v>
      </c>
      <c r="M32" s="46" t="s">
        <v>22</v>
      </c>
      <c r="N32" s="40">
        <f t="shared" si="6"/>
        <v>61.25000000000027</v>
      </c>
      <c r="O32" s="46" t="s">
        <v>83</v>
      </c>
      <c r="P32" s="47" t="s">
        <v>104</v>
      </c>
      <c r="Q32" s="46" t="s">
        <v>85</v>
      </c>
    </row>
    <row r="33" spans="1:17" ht="18" customHeight="1" x14ac:dyDescent="0.25">
      <c r="A33" s="32">
        <f>IF(B33="","",COUNT($B$15:B33))</f>
        <v>19</v>
      </c>
      <c r="B33" s="27">
        <v>46135</v>
      </c>
      <c r="C33" s="33" t="str">
        <f t="shared" si="0"/>
        <v>Donnerstag</v>
      </c>
      <c r="D33" s="34">
        <v>0.35416666666666702</v>
      </c>
      <c r="E33" s="34">
        <v>0.71875</v>
      </c>
      <c r="F33" s="35">
        <v>30</v>
      </c>
      <c r="G33" s="36">
        <f t="shared" si="1"/>
        <v>8.2499999999999911</v>
      </c>
      <c r="H33" s="36">
        <f t="shared" si="2"/>
        <v>8</v>
      </c>
      <c r="I33" s="37">
        <f t="shared" si="3"/>
        <v>0.24999999999999112</v>
      </c>
      <c r="J33" s="38" t="s">
        <v>16</v>
      </c>
      <c r="K33" s="39">
        <f t="shared" si="4"/>
        <v>0.25</v>
      </c>
      <c r="L33" s="36">
        <f t="shared" si="5"/>
        <v>0.3124999999999889</v>
      </c>
      <c r="M33" s="38" t="s">
        <v>26</v>
      </c>
      <c r="N33" s="40">
        <f t="shared" si="6"/>
        <v>0</v>
      </c>
      <c r="O33" s="38" t="s">
        <v>87</v>
      </c>
      <c r="P33" s="41" t="s">
        <v>105</v>
      </c>
      <c r="Q33" s="38" t="s">
        <v>85</v>
      </c>
    </row>
    <row r="34" spans="1:17" ht="18" customHeight="1" x14ac:dyDescent="0.25">
      <c r="A34" s="42">
        <f>IF(B34="","",COUNT($B$15:B34))</f>
        <v>20</v>
      </c>
      <c r="B34" s="43">
        <v>46142</v>
      </c>
      <c r="C34" s="33" t="str">
        <f t="shared" si="0"/>
        <v>Donnerstag</v>
      </c>
      <c r="D34" s="44">
        <v>0.33333333333333298</v>
      </c>
      <c r="E34" s="44">
        <v>0.75</v>
      </c>
      <c r="F34" s="45">
        <v>45</v>
      </c>
      <c r="G34" s="36">
        <f t="shared" si="1"/>
        <v>9.2500000000000089</v>
      </c>
      <c r="H34" s="36">
        <f t="shared" si="2"/>
        <v>8</v>
      </c>
      <c r="I34" s="37">
        <f t="shared" si="3"/>
        <v>1.2500000000000089</v>
      </c>
      <c r="J34" s="46" t="s">
        <v>16</v>
      </c>
      <c r="K34" s="39">
        <f t="shared" si="4"/>
        <v>0.25</v>
      </c>
      <c r="L34" s="36">
        <f t="shared" si="5"/>
        <v>1.5625000000000111</v>
      </c>
      <c r="M34" s="46" t="s">
        <v>24</v>
      </c>
      <c r="N34" s="40">
        <f t="shared" si="6"/>
        <v>0</v>
      </c>
      <c r="O34" s="46" t="s">
        <v>91</v>
      </c>
      <c r="P34" s="47" t="s">
        <v>106</v>
      </c>
      <c r="Q34" s="46" t="s">
        <v>85</v>
      </c>
    </row>
    <row r="35" spans="1:17" ht="18" customHeight="1" x14ac:dyDescent="0.25">
      <c r="A35" s="32">
        <f>IF(B35="","",COUNT($B$15:B35))</f>
        <v>21</v>
      </c>
      <c r="B35" s="27">
        <v>46143</v>
      </c>
      <c r="C35" s="33" t="str">
        <f t="shared" si="0"/>
        <v>Freitag</v>
      </c>
      <c r="D35" s="34">
        <v>0.33333333333333298</v>
      </c>
      <c r="E35" s="34">
        <v>0.54166666666666696</v>
      </c>
      <c r="F35" s="35">
        <v>30</v>
      </c>
      <c r="G35" s="36">
        <f t="shared" si="1"/>
        <v>4.500000000000016</v>
      </c>
      <c r="H35" s="36">
        <f t="shared" si="2"/>
        <v>0</v>
      </c>
      <c r="I35" s="37">
        <f t="shared" si="3"/>
        <v>4.500000000000016</v>
      </c>
      <c r="J35" s="38" t="s">
        <v>20</v>
      </c>
      <c r="K35" s="39">
        <f t="shared" si="4"/>
        <v>1</v>
      </c>
      <c r="L35" s="36">
        <f t="shared" si="5"/>
        <v>9.000000000000032</v>
      </c>
      <c r="M35" s="38" t="s">
        <v>22</v>
      </c>
      <c r="N35" s="40">
        <f t="shared" si="6"/>
        <v>220.5000000000008</v>
      </c>
      <c r="O35" s="38" t="s">
        <v>87</v>
      </c>
      <c r="P35" s="41" t="s">
        <v>107</v>
      </c>
      <c r="Q35" s="38" t="s">
        <v>85</v>
      </c>
    </row>
    <row r="36" spans="1:17" ht="18" customHeight="1" x14ac:dyDescent="0.25">
      <c r="A36" s="42">
        <f>IF(B36="","",COUNT($B$15:B36))</f>
        <v>22</v>
      </c>
      <c r="B36" s="43">
        <v>46149</v>
      </c>
      <c r="C36" s="33" t="str">
        <f t="shared" si="0"/>
        <v>Donnerstag</v>
      </c>
      <c r="D36" s="44">
        <v>0.33333333333333298</v>
      </c>
      <c r="E36" s="44">
        <v>0.73958333333333304</v>
      </c>
      <c r="F36" s="45">
        <v>45</v>
      </c>
      <c r="G36" s="36">
        <f t="shared" si="1"/>
        <v>9.0000000000000018</v>
      </c>
      <c r="H36" s="36">
        <f t="shared" si="2"/>
        <v>8</v>
      </c>
      <c r="I36" s="37">
        <f t="shared" si="3"/>
        <v>1.0000000000000018</v>
      </c>
      <c r="J36" s="46" t="s">
        <v>16</v>
      </c>
      <c r="K36" s="39">
        <f t="shared" si="4"/>
        <v>0.25</v>
      </c>
      <c r="L36" s="36">
        <f t="shared" si="5"/>
        <v>1.2500000000000022</v>
      </c>
      <c r="M36" s="46" t="s">
        <v>24</v>
      </c>
      <c r="N36" s="40">
        <f t="shared" si="6"/>
        <v>0</v>
      </c>
      <c r="O36" s="46" t="s">
        <v>83</v>
      </c>
      <c r="P36" s="47" t="s">
        <v>108</v>
      </c>
      <c r="Q36" s="46" t="s">
        <v>85</v>
      </c>
    </row>
    <row r="37" spans="1:17" ht="18" customHeight="1" x14ac:dyDescent="0.25">
      <c r="A37" s="32">
        <f>IF(B37="","",COUNT($B$15:B37))</f>
        <v>23</v>
      </c>
      <c r="B37" s="27">
        <v>46155</v>
      </c>
      <c r="C37" s="33" t="str">
        <f t="shared" si="0"/>
        <v>Mittwoch</v>
      </c>
      <c r="D37" s="34">
        <v>0.3125</v>
      </c>
      <c r="E37" s="34">
        <v>0.77083333333333304</v>
      </c>
      <c r="F37" s="35">
        <v>60</v>
      </c>
      <c r="G37" s="36">
        <f t="shared" si="1"/>
        <v>9.9999999999999929</v>
      </c>
      <c r="H37" s="36">
        <f t="shared" si="2"/>
        <v>8</v>
      </c>
      <c r="I37" s="37">
        <f t="shared" si="3"/>
        <v>1.9999999999999929</v>
      </c>
      <c r="J37" s="38" t="s">
        <v>16</v>
      </c>
      <c r="K37" s="39">
        <f t="shared" si="4"/>
        <v>0.25</v>
      </c>
      <c r="L37" s="36">
        <f t="shared" si="5"/>
        <v>2.4999999999999911</v>
      </c>
      <c r="M37" s="38" t="s">
        <v>22</v>
      </c>
      <c r="N37" s="40">
        <f t="shared" si="6"/>
        <v>61.24999999999978</v>
      </c>
      <c r="O37" s="38" t="s">
        <v>87</v>
      </c>
      <c r="P37" s="41" t="s">
        <v>109</v>
      </c>
      <c r="Q37" s="38" t="s">
        <v>85</v>
      </c>
    </row>
    <row r="38" spans="1:17" ht="18" customHeight="1" x14ac:dyDescent="0.25">
      <c r="A38" s="42">
        <f>IF(B38="","",COUNT($B$15:B38))</f>
        <v>24</v>
      </c>
      <c r="B38" s="43">
        <v>46162</v>
      </c>
      <c r="C38" s="33" t="str">
        <f t="shared" si="0"/>
        <v>Mittwoch</v>
      </c>
      <c r="D38" s="44">
        <v>0.33333333333333298</v>
      </c>
      <c r="E38" s="44">
        <v>0.72916666666666696</v>
      </c>
      <c r="F38" s="45">
        <v>45</v>
      </c>
      <c r="G38" s="36">
        <f t="shared" si="1"/>
        <v>8.750000000000016</v>
      </c>
      <c r="H38" s="36">
        <f t="shared" si="2"/>
        <v>8</v>
      </c>
      <c r="I38" s="37">
        <f t="shared" si="3"/>
        <v>0.75000000000001599</v>
      </c>
      <c r="J38" s="46" t="s">
        <v>16</v>
      </c>
      <c r="K38" s="39">
        <f t="shared" si="4"/>
        <v>0.25</v>
      </c>
      <c r="L38" s="36">
        <f t="shared" si="5"/>
        <v>0.93750000000001998</v>
      </c>
      <c r="M38" s="46" t="s">
        <v>26</v>
      </c>
      <c r="N38" s="40">
        <f t="shared" si="6"/>
        <v>0</v>
      </c>
      <c r="O38" s="46" t="s">
        <v>91</v>
      </c>
      <c r="P38" s="47" t="s">
        <v>110</v>
      </c>
      <c r="Q38" s="46" t="s">
        <v>85</v>
      </c>
    </row>
    <row r="39" spans="1:17" ht="18" customHeight="1" x14ac:dyDescent="0.25">
      <c r="A39" s="32">
        <f>IF(B39="","",COUNT($B$15:B39))</f>
        <v>25</v>
      </c>
      <c r="B39" s="27">
        <v>46172</v>
      </c>
      <c r="C39" s="33" t="str">
        <f t="shared" si="0"/>
        <v>Samstag</v>
      </c>
      <c r="D39" s="34">
        <v>0.375</v>
      </c>
      <c r="E39" s="34">
        <v>0.625</v>
      </c>
      <c r="F39" s="35">
        <v>30</v>
      </c>
      <c r="G39" s="36">
        <f t="shared" si="1"/>
        <v>5.5</v>
      </c>
      <c r="H39" s="36">
        <f t="shared" si="2"/>
        <v>0</v>
      </c>
      <c r="I39" s="37">
        <f t="shared" si="3"/>
        <v>5.5</v>
      </c>
      <c r="J39" s="38" t="s">
        <v>18</v>
      </c>
      <c r="K39" s="39">
        <f t="shared" si="4"/>
        <v>0.25</v>
      </c>
      <c r="L39" s="36">
        <f t="shared" si="5"/>
        <v>6.875</v>
      </c>
      <c r="M39" s="38" t="s">
        <v>22</v>
      </c>
      <c r="N39" s="40">
        <f t="shared" si="6"/>
        <v>168.4375</v>
      </c>
      <c r="O39" s="38" t="s">
        <v>83</v>
      </c>
      <c r="P39" s="41" t="s">
        <v>111</v>
      </c>
      <c r="Q39" s="38" t="s">
        <v>85</v>
      </c>
    </row>
    <row r="40" spans="1:17" ht="18" customHeight="1" x14ac:dyDescent="0.25">
      <c r="A40" s="42">
        <f>IF(B40="","",COUNT($B$15:B40))</f>
        <v>26</v>
      </c>
      <c r="B40" s="43">
        <v>46177</v>
      </c>
      <c r="C40" s="33" t="str">
        <f t="shared" si="0"/>
        <v>Donnerstag</v>
      </c>
      <c r="D40" s="44">
        <v>0.33333333333333298</v>
      </c>
      <c r="E40" s="44">
        <v>0.76041666666666696</v>
      </c>
      <c r="F40" s="45">
        <v>45</v>
      </c>
      <c r="G40" s="36">
        <f t="shared" si="1"/>
        <v>9.500000000000016</v>
      </c>
      <c r="H40" s="36">
        <f t="shared" si="2"/>
        <v>8</v>
      </c>
      <c r="I40" s="37">
        <f t="shared" si="3"/>
        <v>1.500000000000016</v>
      </c>
      <c r="J40" s="46" t="s">
        <v>16</v>
      </c>
      <c r="K40" s="39">
        <f t="shared" si="4"/>
        <v>0.25</v>
      </c>
      <c r="L40" s="36">
        <f t="shared" si="5"/>
        <v>1.87500000000002</v>
      </c>
      <c r="M40" s="46" t="s">
        <v>24</v>
      </c>
      <c r="N40" s="40">
        <f t="shared" si="6"/>
        <v>0</v>
      </c>
      <c r="O40" s="46" t="s">
        <v>87</v>
      </c>
      <c r="P40" s="47" t="s">
        <v>112</v>
      </c>
      <c r="Q40" s="46" t="s">
        <v>85</v>
      </c>
    </row>
    <row r="41" spans="1:17" ht="18" customHeight="1" x14ac:dyDescent="0.25">
      <c r="A41" s="32">
        <f>IF(B41="","",COUNT($B$15:B41))</f>
        <v>27</v>
      </c>
      <c r="B41" s="27">
        <v>46184</v>
      </c>
      <c r="C41" s="33" t="str">
        <f t="shared" si="0"/>
        <v>Donnerstag</v>
      </c>
      <c r="D41" s="34">
        <v>0.33333333333333298</v>
      </c>
      <c r="E41" s="34">
        <v>0.79166666666666696</v>
      </c>
      <c r="F41" s="35">
        <v>45</v>
      </c>
      <c r="G41" s="36">
        <f t="shared" si="1"/>
        <v>10.250000000000016</v>
      </c>
      <c r="H41" s="36">
        <f t="shared" si="2"/>
        <v>8</v>
      </c>
      <c r="I41" s="37">
        <f t="shared" si="3"/>
        <v>2.250000000000016</v>
      </c>
      <c r="J41" s="38" t="s">
        <v>16</v>
      </c>
      <c r="K41" s="39">
        <f t="shared" si="4"/>
        <v>0.25</v>
      </c>
      <c r="L41" s="36">
        <f t="shared" si="5"/>
        <v>2.81250000000002</v>
      </c>
      <c r="M41" s="38" t="s">
        <v>22</v>
      </c>
      <c r="N41" s="40">
        <f t="shared" si="6"/>
        <v>68.906250000000483</v>
      </c>
      <c r="O41" s="38" t="s">
        <v>83</v>
      </c>
      <c r="P41" s="41" t="s">
        <v>113</v>
      </c>
      <c r="Q41" s="38" t="s">
        <v>85</v>
      </c>
    </row>
    <row r="42" spans="1:17" ht="18" customHeight="1" x14ac:dyDescent="0.25">
      <c r="A42" s="42">
        <f>IF(B42="","",COUNT($B$15:B42))</f>
        <v>28</v>
      </c>
      <c r="B42" s="43">
        <v>46190</v>
      </c>
      <c r="C42" s="33" t="str">
        <f t="shared" si="0"/>
        <v>Mittwoch</v>
      </c>
      <c r="D42" s="44">
        <v>0.35416666666666702</v>
      </c>
      <c r="E42" s="44">
        <v>0.70833333333333304</v>
      </c>
      <c r="F42" s="45">
        <v>30</v>
      </c>
      <c r="G42" s="36">
        <f t="shared" si="1"/>
        <v>7.999999999999984</v>
      </c>
      <c r="H42" s="36">
        <f t="shared" si="2"/>
        <v>8</v>
      </c>
      <c r="I42" s="37">
        <f t="shared" si="3"/>
        <v>-1.5987211554602254E-14</v>
      </c>
      <c r="J42" s="46" t="s">
        <v>16</v>
      </c>
      <c r="K42" s="39">
        <f t="shared" si="4"/>
        <v>0.25</v>
      </c>
      <c r="L42" s="36">
        <f t="shared" si="5"/>
        <v>0</v>
      </c>
      <c r="M42" s="46" t="s">
        <v>26</v>
      </c>
      <c r="N42" s="40">
        <f t="shared" si="6"/>
        <v>0</v>
      </c>
      <c r="O42" s="46" t="s">
        <v>91</v>
      </c>
      <c r="P42" s="47" t="s">
        <v>114</v>
      </c>
      <c r="Q42" s="46" t="s">
        <v>85</v>
      </c>
    </row>
    <row r="43" spans="1:17" ht="18" customHeight="1" x14ac:dyDescent="0.25">
      <c r="A43" s="32">
        <f>IF(B43="","",COUNT($B$15:B43))</f>
        <v>29</v>
      </c>
      <c r="B43" s="27">
        <v>46197</v>
      </c>
      <c r="C43" s="33" t="str">
        <f t="shared" si="0"/>
        <v>Mittwoch</v>
      </c>
      <c r="D43" s="34">
        <v>0.625</v>
      </c>
      <c r="E43" s="34">
        <v>6.25E-2</v>
      </c>
      <c r="F43" s="35">
        <v>60</v>
      </c>
      <c r="G43" s="36">
        <f t="shared" si="1"/>
        <v>9.5</v>
      </c>
      <c r="H43" s="36">
        <f t="shared" si="2"/>
        <v>8</v>
      </c>
      <c r="I43" s="37">
        <f t="shared" si="3"/>
        <v>1.5</v>
      </c>
      <c r="J43" s="38" t="s">
        <v>17</v>
      </c>
      <c r="K43" s="39">
        <f t="shared" si="4"/>
        <v>0.25</v>
      </c>
      <c r="L43" s="36">
        <f t="shared" si="5"/>
        <v>1.875</v>
      </c>
      <c r="M43" s="38" t="s">
        <v>22</v>
      </c>
      <c r="N43" s="40">
        <f t="shared" si="6"/>
        <v>45.9375</v>
      </c>
      <c r="O43" s="38" t="s">
        <v>87</v>
      </c>
      <c r="P43" s="41" t="s">
        <v>115</v>
      </c>
      <c r="Q43" s="38" t="s">
        <v>85</v>
      </c>
    </row>
    <row r="44" spans="1:17" ht="18" customHeight="1" x14ac:dyDescent="0.25">
      <c r="A44" s="42">
        <f>IF(B44="","",COUNT($B$15:B44))</f>
        <v>30</v>
      </c>
      <c r="B44" s="43">
        <v>46202</v>
      </c>
      <c r="C44" s="33" t="str">
        <f t="shared" si="0"/>
        <v>Montag</v>
      </c>
      <c r="D44" s="44">
        <v>0.33333333333333298</v>
      </c>
      <c r="E44" s="44">
        <v>0.73958333333333304</v>
      </c>
      <c r="F44" s="45">
        <v>45</v>
      </c>
      <c r="G44" s="36">
        <f t="shared" si="1"/>
        <v>9.0000000000000018</v>
      </c>
      <c r="H44" s="36">
        <f t="shared" si="2"/>
        <v>8</v>
      </c>
      <c r="I44" s="37">
        <f t="shared" si="3"/>
        <v>1.0000000000000018</v>
      </c>
      <c r="J44" s="46" t="s">
        <v>16</v>
      </c>
      <c r="K44" s="39">
        <f t="shared" si="4"/>
        <v>0.25</v>
      </c>
      <c r="L44" s="36">
        <f t="shared" si="5"/>
        <v>1.2500000000000022</v>
      </c>
      <c r="M44" s="46" t="s">
        <v>24</v>
      </c>
      <c r="N44" s="40">
        <f t="shared" si="6"/>
        <v>0</v>
      </c>
      <c r="O44" s="46" t="s">
        <v>83</v>
      </c>
      <c r="P44" s="47" t="s">
        <v>116</v>
      </c>
      <c r="Q44" s="46" t="s">
        <v>85</v>
      </c>
    </row>
    <row r="45" spans="1:17" ht="18" customHeight="1" x14ac:dyDescent="0.25">
      <c r="A45" s="32" t="str">
        <f>IF(B45="","",COUNT($B$15:B45))</f>
        <v/>
      </c>
      <c r="B45" s="27"/>
      <c r="C45" s="33" t="str">
        <f t="shared" si="0"/>
        <v/>
      </c>
      <c r="D45" s="34"/>
      <c r="E45" s="34"/>
      <c r="F45" s="35"/>
      <c r="G45" s="36" t="str">
        <f t="shared" si="1"/>
        <v/>
      </c>
      <c r="H45" s="36" t="str">
        <f t="shared" si="2"/>
        <v/>
      </c>
      <c r="I45" s="37" t="str">
        <f t="shared" si="3"/>
        <v/>
      </c>
      <c r="J45" s="38"/>
      <c r="K45" s="39" t="str">
        <f t="shared" si="4"/>
        <v/>
      </c>
      <c r="L45" s="36" t="str">
        <f t="shared" si="5"/>
        <v/>
      </c>
      <c r="M45" s="38"/>
      <c r="N45" s="40" t="str">
        <f t="shared" si="6"/>
        <v/>
      </c>
      <c r="O45" s="38"/>
      <c r="P45" s="41"/>
      <c r="Q45" s="38"/>
    </row>
    <row r="46" spans="1:17" ht="18" customHeight="1" x14ac:dyDescent="0.25">
      <c r="A46" s="42" t="str">
        <f>IF(B46="","",COUNT($B$15:B46))</f>
        <v/>
      </c>
      <c r="B46" s="43"/>
      <c r="C46" s="33" t="str">
        <f t="shared" si="0"/>
        <v/>
      </c>
      <c r="D46" s="44"/>
      <c r="E46" s="44"/>
      <c r="F46" s="45"/>
      <c r="G46" s="36" t="str">
        <f t="shared" si="1"/>
        <v/>
      </c>
      <c r="H46" s="36" t="str">
        <f t="shared" si="2"/>
        <v/>
      </c>
      <c r="I46" s="37" t="str">
        <f t="shared" si="3"/>
        <v/>
      </c>
      <c r="J46" s="46"/>
      <c r="K46" s="39" t="str">
        <f t="shared" si="4"/>
        <v/>
      </c>
      <c r="L46" s="36" t="str">
        <f t="shared" si="5"/>
        <v/>
      </c>
      <c r="M46" s="46"/>
      <c r="N46" s="40" t="str">
        <f t="shared" si="6"/>
        <v/>
      </c>
      <c r="O46" s="46"/>
      <c r="P46" s="47"/>
      <c r="Q46" s="46"/>
    </row>
    <row r="47" spans="1:17" ht="18" customHeight="1" x14ac:dyDescent="0.25">
      <c r="A47" s="32" t="str">
        <f>IF(B47="","",COUNT($B$15:B47))</f>
        <v/>
      </c>
      <c r="B47" s="27"/>
      <c r="C47" s="33" t="str">
        <f t="shared" ref="C47:C78" si="7">IF($B47="","",INDEX(Wochentage,WEEKDAY($B47,2)))</f>
        <v/>
      </c>
      <c r="D47" s="34"/>
      <c r="E47" s="34"/>
      <c r="F47" s="35"/>
      <c r="G47" s="36" t="str">
        <f t="shared" ref="G47:G78" si="8">IF(OR($B47="",$D47="",$E47=""),"",(IF($E47&lt;$D47,$E47+1,$E47)-$D47)*24-N($F47)/60)</f>
        <v/>
      </c>
      <c r="H47" s="36" t="str">
        <f t="shared" ref="H47:H78" si="9">IF($B47="","",IF(OR(WEEKDAY($B47,2)&gt;5,COUNTIF(Feiertage,$B47)&gt;0),0,Tagessoll))</f>
        <v/>
      </c>
      <c r="I47" s="37" t="str">
        <f t="shared" ref="I47:I78" si="10">IF(OR($G47="",$H47=""),"",$G47-$H47)</f>
        <v/>
      </c>
      <c r="J47" s="38"/>
      <c r="K47" s="39" t="str">
        <f t="shared" ref="K47:K78" si="11">IF($J47="","",IFERROR(INDEX(Zuschlagssaetze,MATCH($J47,Zuschlagsarten,0)),0))</f>
        <v/>
      </c>
      <c r="L47" s="36" t="str">
        <f t="shared" ref="L47:L78" si="12">IF($I47="","",MAX(0,$I47)*(1+N($K47)))</f>
        <v/>
      </c>
      <c r="M47" s="38"/>
      <c r="N47" s="40" t="str">
        <f t="shared" ref="N47:N78" si="13">IF($B47="","",IF($M47="Auszahlung",N($L47)*Stundensatz,0))</f>
        <v/>
      </c>
      <c r="O47" s="38"/>
      <c r="P47" s="41"/>
      <c r="Q47" s="38"/>
    </row>
    <row r="48" spans="1:17" ht="18" customHeight="1" x14ac:dyDescent="0.25">
      <c r="A48" s="42" t="str">
        <f>IF(B48="","",COUNT($B$15:B48))</f>
        <v/>
      </c>
      <c r="B48" s="43"/>
      <c r="C48" s="33" t="str">
        <f t="shared" si="7"/>
        <v/>
      </c>
      <c r="D48" s="44"/>
      <c r="E48" s="44"/>
      <c r="F48" s="45"/>
      <c r="G48" s="36" t="str">
        <f t="shared" si="8"/>
        <v/>
      </c>
      <c r="H48" s="36" t="str">
        <f t="shared" si="9"/>
        <v/>
      </c>
      <c r="I48" s="37" t="str">
        <f t="shared" si="10"/>
        <v/>
      </c>
      <c r="J48" s="46"/>
      <c r="K48" s="39" t="str">
        <f t="shared" si="11"/>
        <v/>
      </c>
      <c r="L48" s="36" t="str">
        <f t="shared" si="12"/>
        <v/>
      </c>
      <c r="M48" s="46"/>
      <c r="N48" s="40" t="str">
        <f t="shared" si="13"/>
        <v/>
      </c>
      <c r="O48" s="46"/>
      <c r="P48" s="47"/>
      <c r="Q48" s="46"/>
    </row>
    <row r="49" spans="1:17" ht="18" customHeight="1" x14ac:dyDescent="0.25">
      <c r="A49" s="32" t="str">
        <f>IF(B49="","",COUNT($B$15:B49))</f>
        <v/>
      </c>
      <c r="B49" s="27"/>
      <c r="C49" s="33" t="str">
        <f t="shared" si="7"/>
        <v/>
      </c>
      <c r="D49" s="34"/>
      <c r="E49" s="34"/>
      <c r="F49" s="35"/>
      <c r="G49" s="36" t="str">
        <f t="shared" si="8"/>
        <v/>
      </c>
      <c r="H49" s="36" t="str">
        <f t="shared" si="9"/>
        <v/>
      </c>
      <c r="I49" s="37" t="str">
        <f t="shared" si="10"/>
        <v/>
      </c>
      <c r="J49" s="38"/>
      <c r="K49" s="39" t="str">
        <f t="shared" si="11"/>
        <v/>
      </c>
      <c r="L49" s="36" t="str">
        <f t="shared" si="12"/>
        <v/>
      </c>
      <c r="M49" s="38"/>
      <c r="N49" s="40" t="str">
        <f t="shared" si="13"/>
        <v/>
      </c>
      <c r="O49" s="38"/>
      <c r="P49" s="41"/>
      <c r="Q49" s="38"/>
    </row>
    <row r="50" spans="1:17" ht="18" customHeight="1" x14ac:dyDescent="0.25">
      <c r="A50" s="42" t="str">
        <f>IF(B50="","",COUNT($B$15:B50))</f>
        <v/>
      </c>
      <c r="B50" s="43"/>
      <c r="C50" s="33" t="str">
        <f t="shared" si="7"/>
        <v/>
      </c>
      <c r="D50" s="44"/>
      <c r="E50" s="44"/>
      <c r="F50" s="45"/>
      <c r="G50" s="36" t="str">
        <f t="shared" si="8"/>
        <v/>
      </c>
      <c r="H50" s="36" t="str">
        <f t="shared" si="9"/>
        <v/>
      </c>
      <c r="I50" s="37" t="str">
        <f t="shared" si="10"/>
        <v/>
      </c>
      <c r="J50" s="46"/>
      <c r="K50" s="39" t="str">
        <f t="shared" si="11"/>
        <v/>
      </c>
      <c r="L50" s="36" t="str">
        <f t="shared" si="12"/>
        <v/>
      </c>
      <c r="M50" s="46"/>
      <c r="N50" s="40" t="str">
        <f t="shared" si="13"/>
        <v/>
      </c>
      <c r="O50" s="46"/>
      <c r="P50" s="47"/>
      <c r="Q50" s="46"/>
    </row>
    <row r="51" spans="1:17" ht="18" customHeight="1" x14ac:dyDescent="0.25">
      <c r="A51" s="32" t="str">
        <f>IF(B51="","",COUNT($B$15:B51))</f>
        <v/>
      </c>
      <c r="B51" s="27"/>
      <c r="C51" s="33" t="str">
        <f t="shared" si="7"/>
        <v/>
      </c>
      <c r="D51" s="34"/>
      <c r="E51" s="34"/>
      <c r="F51" s="35"/>
      <c r="G51" s="36" t="str">
        <f t="shared" si="8"/>
        <v/>
      </c>
      <c r="H51" s="36" t="str">
        <f t="shared" si="9"/>
        <v/>
      </c>
      <c r="I51" s="37" t="str">
        <f t="shared" si="10"/>
        <v/>
      </c>
      <c r="J51" s="38"/>
      <c r="K51" s="39" t="str">
        <f t="shared" si="11"/>
        <v/>
      </c>
      <c r="L51" s="36" t="str">
        <f t="shared" si="12"/>
        <v/>
      </c>
      <c r="M51" s="38"/>
      <c r="N51" s="40" t="str">
        <f t="shared" si="13"/>
        <v/>
      </c>
      <c r="O51" s="38"/>
      <c r="P51" s="41"/>
      <c r="Q51" s="38"/>
    </row>
    <row r="52" spans="1:17" ht="18" customHeight="1" x14ac:dyDescent="0.25">
      <c r="A52" s="42" t="str">
        <f>IF(B52="","",COUNT($B$15:B52))</f>
        <v/>
      </c>
      <c r="B52" s="43"/>
      <c r="C52" s="33" t="str">
        <f t="shared" si="7"/>
        <v/>
      </c>
      <c r="D52" s="44"/>
      <c r="E52" s="44"/>
      <c r="F52" s="45"/>
      <c r="G52" s="36" t="str">
        <f t="shared" si="8"/>
        <v/>
      </c>
      <c r="H52" s="36" t="str">
        <f t="shared" si="9"/>
        <v/>
      </c>
      <c r="I52" s="37" t="str">
        <f t="shared" si="10"/>
        <v/>
      </c>
      <c r="J52" s="46"/>
      <c r="K52" s="39" t="str">
        <f t="shared" si="11"/>
        <v/>
      </c>
      <c r="L52" s="36" t="str">
        <f t="shared" si="12"/>
        <v/>
      </c>
      <c r="M52" s="46"/>
      <c r="N52" s="40" t="str">
        <f t="shared" si="13"/>
        <v/>
      </c>
      <c r="O52" s="46"/>
      <c r="P52" s="47"/>
      <c r="Q52" s="46"/>
    </row>
    <row r="53" spans="1:17" ht="18" customHeight="1" x14ac:dyDescent="0.25">
      <c r="A53" s="32" t="str">
        <f>IF(B53="","",COUNT($B$15:B53))</f>
        <v/>
      </c>
      <c r="B53" s="27"/>
      <c r="C53" s="33" t="str">
        <f t="shared" si="7"/>
        <v/>
      </c>
      <c r="D53" s="34"/>
      <c r="E53" s="34"/>
      <c r="F53" s="35"/>
      <c r="G53" s="36" t="str">
        <f t="shared" si="8"/>
        <v/>
      </c>
      <c r="H53" s="36" t="str">
        <f t="shared" si="9"/>
        <v/>
      </c>
      <c r="I53" s="37" t="str">
        <f t="shared" si="10"/>
        <v/>
      </c>
      <c r="J53" s="38"/>
      <c r="K53" s="39" t="str">
        <f t="shared" si="11"/>
        <v/>
      </c>
      <c r="L53" s="36" t="str">
        <f t="shared" si="12"/>
        <v/>
      </c>
      <c r="M53" s="38"/>
      <c r="N53" s="40" t="str">
        <f t="shared" si="13"/>
        <v/>
      </c>
      <c r="O53" s="38"/>
      <c r="P53" s="41"/>
      <c r="Q53" s="38"/>
    </row>
    <row r="54" spans="1:17" ht="18" customHeight="1" x14ac:dyDescent="0.25">
      <c r="A54" s="42" t="str">
        <f>IF(B54="","",COUNT($B$15:B54))</f>
        <v/>
      </c>
      <c r="B54" s="43"/>
      <c r="C54" s="33" t="str">
        <f t="shared" si="7"/>
        <v/>
      </c>
      <c r="D54" s="44"/>
      <c r="E54" s="44"/>
      <c r="F54" s="45"/>
      <c r="G54" s="36" t="str">
        <f t="shared" si="8"/>
        <v/>
      </c>
      <c r="H54" s="36" t="str">
        <f t="shared" si="9"/>
        <v/>
      </c>
      <c r="I54" s="37" t="str">
        <f t="shared" si="10"/>
        <v/>
      </c>
      <c r="J54" s="46"/>
      <c r="K54" s="39" t="str">
        <f t="shared" si="11"/>
        <v/>
      </c>
      <c r="L54" s="36" t="str">
        <f t="shared" si="12"/>
        <v/>
      </c>
      <c r="M54" s="46"/>
      <c r="N54" s="40" t="str">
        <f t="shared" si="13"/>
        <v/>
      </c>
      <c r="O54" s="46"/>
      <c r="P54" s="47"/>
      <c r="Q54" s="46"/>
    </row>
    <row r="55" spans="1:17" ht="18" customHeight="1" x14ac:dyDescent="0.25">
      <c r="A55" s="32" t="str">
        <f>IF(B55="","",COUNT($B$15:B55))</f>
        <v/>
      </c>
      <c r="B55" s="27"/>
      <c r="C55" s="33" t="str">
        <f t="shared" si="7"/>
        <v/>
      </c>
      <c r="D55" s="34"/>
      <c r="E55" s="34"/>
      <c r="F55" s="35"/>
      <c r="G55" s="36" t="str">
        <f t="shared" si="8"/>
        <v/>
      </c>
      <c r="H55" s="36" t="str">
        <f t="shared" si="9"/>
        <v/>
      </c>
      <c r="I55" s="37" t="str">
        <f t="shared" si="10"/>
        <v/>
      </c>
      <c r="J55" s="38"/>
      <c r="K55" s="39" t="str">
        <f t="shared" si="11"/>
        <v/>
      </c>
      <c r="L55" s="36" t="str">
        <f t="shared" si="12"/>
        <v/>
      </c>
      <c r="M55" s="38"/>
      <c r="N55" s="40" t="str">
        <f t="shared" si="13"/>
        <v/>
      </c>
      <c r="O55" s="38"/>
      <c r="P55" s="41"/>
      <c r="Q55" s="38"/>
    </row>
    <row r="56" spans="1:17" ht="18" customHeight="1" x14ac:dyDescent="0.25">
      <c r="A56" s="42" t="str">
        <f>IF(B56="","",COUNT($B$15:B56))</f>
        <v/>
      </c>
      <c r="B56" s="43"/>
      <c r="C56" s="33" t="str">
        <f t="shared" si="7"/>
        <v/>
      </c>
      <c r="D56" s="44"/>
      <c r="E56" s="44"/>
      <c r="F56" s="45"/>
      <c r="G56" s="36" t="str">
        <f t="shared" si="8"/>
        <v/>
      </c>
      <c r="H56" s="36" t="str">
        <f t="shared" si="9"/>
        <v/>
      </c>
      <c r="I56" s="37" t="str">
        <f t="shared" si="10"/>
        <v/>
      </c>
      <c r="J56" s="46"/>
      <c r="K56" s="39" t="str">
        <f t="shared" si="11"/>
        <v/>
      </c>
      <c r="L56" s="36" t="str">
        <f t="shared" si="12"/>
        <v/>
      </c>
      <c r="M56" s="46"/>
      <c r="N56" s="40" t="str">
        <f t="shared" si="13"/>
        <v/>
      </c>
      <c r="O56" s="46"/>
      <c r="P56" s="47"/>
      <c r="Q56" s="46"/>
    </row>
    <row r="57" spans="1:17" ht="18" customHeight="1" x14ac:dyDescent="0.25">
      <c r="A57" s="32" t="str">
        <f>IF(B57="","",COUNT($B$15:B57))</f>
        <v/>
      </c>
      <c r="B57" s="27"/>
      <c r="C57" s="33" t="str">
        <f t="shared" si="7"/>
        <v/>
      </c>
      <c r="D57" s="34"/>
      <c r="E57" s="34"/>
      <c r="F57" s="35"/>
      <c r="G57" s="36" t="str">
        <f t="shared" si="8"/>
        <v/>
      </c>
      <c r="H57" s="36" t="str">
        <f t="shared" si="9"/>
        <v/>
      </c>
      <c r="I57" s="37" t="str">
        <f t="shared" si="10"/>
        <v/>
      </c>
      <c r="J57" s="38"/>
      <c r="K57" s="39" t="str">
        <f t="shared" si="11"/>
        <v/>
      </c>
      <c r="L57" s="36" t="str">
        <f t="shared" si="12"/>
        <v/>
      </c>
      <c r="M57" s="38"/>
      <c r="N57" s="40" t="str">
        <f t="shared" si="13"/>
        <v/>
      </c>
      <c r="O57" s="38"/>
      <c r="P57" s="41"/>
      <c r="Q57" s="38"/>
    </row>
    <row r="58" spans="1:17" ht="18" customHeight="1" x14ac:dyDescent="0.25">
      <c r="A58" s="42" t="str">
        <f>IF(B58="","",COUNT($B$15:B58))</f>
        <v/>
      </c>
      <c r="B58" s="43"/>
      <c r="C58" s="33" t="str">
        <f t="shared" si="7"/>
        <v/>
      </c>
      <c r="D58" s="44"/>
      <c r="E58" s="44"/>
      <c r="F58" s="45"/>
      <c r="G58" s="36" t="str">
        <f t="shared" si="8"/>
        <v/>
      </c>
      <c r="H58" s="36" t="str">
        <f t="shared" si="9"/>
        <v/>
      </c>
      <c r="I58" s="37" t="str">
        <f t="shared" si="10"/>
        <v/>
      </c>
      <c r="J58" s="46"/>
      <c r="K58" s="39" t="str">
        <f t="shared" si="11"/>
        <v/>
      </c>
      <c r="L58" s="36" t="str">
        <f t="shared" si="12"/>
        <v/>
      </c>
      <c r="M58" s="46"/>
      <c r="N58" s="40" t="str">
        <f t="shared" si="13"/>
        <v/>
      </c>
      <c r="O58" s="46"/>
      <c r="P58" s="47"/>
      <c r="Q58" s="46"/>
    </row>
    <row r="59" spans="1:17" ht="18" customHeight="1" x14ac:dyDescent="0.25">
      <c r="A59" s="32" t="str">
        <f>IF(B59="","",COUNT($B$15:B59))</f>
        <v/>
      </c>
      <c r="B59" s="27"/>
      <c r="C59" s="33" t="str">
        <f t="shared" si="7"/>
        <v/>
      </c>
      <c r="D59" s="34"/>
      <c r="E59" s="34"/>
      <c r="F59" s="35"/>
      <c r="G59" s="36" t="str">
        <f t="shared" si="8"/>
        <v/>
      </c>
      <c r="H59" s="36" t="str">
        <f t="shared" si="9"/>
        <v/>
      </c>
      <c r="I59" s="37" t="str">
        <f t="shared" si="10"/>
        <v/>
      </c>
      <c r="J59" s="38"/>
      <c r="K59" s="39" t="str">
        <f t="shared" si="11"/>
        <v/>
      </c>
      <c r="L59" s="36" t="str">
        <f t="shared" si="12"/>
        <v/>
      </c>
      <c r="M59" s="38"/>
      <c r="N59" s="40" t="str">
        <f t="shared" si="13"/>
        <v/>
      </c>
      <c r="O59" s="38"/>
      <c r="P59" s="41"/>
      <c r="Q59" s="38"/>
    </row>
    <row r="60" spans="1:17" ht="18" customHeight="1" x14ac:dyDescent="0.25">
      <c r="A60" s="42" t="str">
        <f>IF(B60="","",COUNT($B$15:B60))</f>
        <v/>
      </c>
      <c r="B60" s="43"/>
      <c r="C60" s="33" t="str">
        <f t="shared" si="7"/>
        <v/>
      </c>
      <c r="D60" s="44"/>
      <c r="E60" s="44"/>
      <c r="F60" s="45"/>
      <c r="G60" s="36" t="str">
        <f t="shared" si="8"/>
        <v/>
      </c>
      <c r="H60" s="36" t="str">
        <f t="shared" si="9"/>
        <v/>
      </c>
      <c r="I60" s="37" t="str">
        <f t="shared" si="10"/>
        <v/>
      </c>
      <c r="J60" s="46"/>
      <c r="K60" s="39" t="str">
        <f t="shared" si="11"/>
        <v/>
      </c>
      <c r="L60" s="36" t="str">
        <f t="shared" si="12"/>
        <v/>
      </c>
      <c r="M60" s="46"/>
      <c r="N60" s="40" t="str">
        <f t="shared" si="13"/>
        <v/>
      </c>
      <c r="O60" s="46"/>
      <c r="P60" s="47"/>
      <c r="Q60" s="46"/>
    </row>
    <row r="61" spans="1:17" ht="18" customHeight="1" x14ac:dyDescent="0.25">
      <c r="A61" s="32" t="str">
        <f>IF(B61="","",COUNT($B$15:B61))</f>
        <v/>
      </c>
      <c r="B61" s="27"/>
      <c r="C61" s="33" t="str">
        <f t="shared" si="7"/>
        <v/>
      </c>
      <c r="D61" s="34"/>
      <c r="E61" s="34"/>
      <c r="F61" s="35"/>
      <c r="G61" s="36" t="str">
        <f t="shared" si="8"/>
        <v/>
      </c>
      <c r="H61" s="36" t="str">
        <f t="shared" si="9"/>
        <v/>
      </c>
      <c r="I61" s="37" t="str">
        <f t="shared" si="10"/>
        <v/>
      </c>
      <c r="J61" s="38"/>
      <c r="K61" s="39" t="str">
        <f t="shared" si="11"/>
        <v/>
      </c>
      <c r="L61" s="36" t="str">
        <f t="shared" si="12"/>
        <v/>
      </c>
      <c r="M61" s="38"/>
      <c r="N61" s="40" t="str">
        <f t="shared" si="13"/>
        <v/>
      </c>
      <c r="O61" s="38"/>
      <c r="P61" s="41"/>
      <c r="Q61" s="38"/>
    </row>
    <row r="62" spans="1:17" ht="18" customHeight="1" x14ac:dyDescent="0.25">
      <c r="A62" s="42" t="str">
        <f>IF(B62="","",COUNT($B$15:B62))</f>
        <v/>
      </c>
      <c r="B62" s="43"/>
      <c r="C62" s="33" t="str">
        <f t="shared" si="7"/>
        <v/>
      </c>
      <c r="D62" s="44"/>
      <c r="E62" s="44"/>
      <c r="F62" s="45"/>
      <c r="G62" s="36" t="str">
        <f t="shared" si="8"/>
        <v/>
      </c>
      <c r="H62" s="36" t="str">
        <f t="shared" si="9"/>
        <v/>
      </c>
      <c r="I62" s="37" t="str">
        <f t="shared" si="10"/>
        <v/>
      </c>
      <c r="J62" s="46"/>
      <c r="K62" s="39" t="str">
        <f t="shared" si="11"/>
        <v/>
      </c>
      <c r="L62" s="36" t="str">
        <f t="shared" si="12"/>
        <v/>
      </c>
      <c r="M62" s="46"/>
      <c r="N62" s="40" t="str">
        <f t="shared" si="13"/>
        <v/>
      </c>
      <c r="O62" s="46"/>
      <c r="P62" s="47"/>
      <c r="Q62" s="46"/>
    </row>
    <row r="63" spans="1:17" ht="18" customHeight="1" x14ac:dyDescent="0.25">
      <c r="A63" s="32" t="str">
        <f>IF(B63="","",COUNT($B$15:B63))</f>
        <v/>
      </c>
      <c r="B63" s="27"/>
      <c r="C63" s="33" t="str">
        <f t="shared" si="7"/>
        <v/>
      </c>
      <c r="D63" s="34"/>
      <c r="E63" s="34"/>
      <c r="F63" s="35"/>
      <c r="G63" s="36" t="str">
        <f t="shared" si="8"/>
        <v/>
      </c>
      <c r="H63" s="36" t="str">
        <f t="shared" si="9"/>
        <v/>
      </c>
      <c r="I63" s="37" t="str">
        <f t="shared" si="10"/>
        <v/>
      </c>
      <c r="J63" s="38"/>
      <c r="K63" s="39" t="str">
        <f t="shared" si="11"/>
        <v/>
      </c>
      <c r="L63" s="36" t="str">
        <f t="shared" si="12"/>
        <v/>
      </c>
      <c r="M63" s="38"/>
      <c r="N63" s="40" t="str">
        <f t="shared" si="13"/>
        <v/>
      </c>
      <c r="O63" s="38"/>
      <c r="P63" s="41"/>
      <c r="Q63" s="38"/>
    </row>
    <row r="64" spans="1:17" ht="18" customHeight="1" x14ac:dyDescent="0.25">
      <c r="A64" s="42" t="str">
        <f>IF(B64="","",COUNT($B$15:B64))</f>
        <v/>
      </c>
      <c r="B64" s="43"/>
      <c r="C64" s="33" t="str">
        <f t="shared" si="7"/>
        <v/>
      </c>
      <c r="D64" s="44"/>
      <c r="E64" s="44"/>
      <c r="F64" s="45"/>
      <c r="G64" s="36" t="str">
        <f t="shared" si="8"/>
        <v/>
      </c>
      <c r="H64" s="36" t="str">
        <f t="shared" si="9"/>
        <v/>
      </c>
      <c r="I64" s="37" t="str">
        <f t="shared" si="10"/>
        <v/>
      </c>
      <c r="J64" s="46"/>
      <c r="K64" s="39" t="str">
        <f t="shared" si="11"/>
        <v/>
      </c>
      <c r="L64" s="36" t="str">
        <f t="shared" si="12"/>
        <v/>
      </c>
      <c r="M64" s="46"/>
      <c r="N64" s="40" t="str">
        <f t="shared" si="13"/>
        <v/>
      </c>
      <c r="O64" s="46"/>
      <c r="P64" s="47"/>
      <c r="Q64" s="46"/>
    </row>
    <row r="65" spans="1:17" ht="18" customHeight="1" x14ac:dyDescent="0.25">
      <c r="A65" s="32" t="str">
        <f>IF(B65="","",COUNT($B$15:B65))</f>
        <v/>
      </c>
      <c r="B65" s="27"/>
      <c r="C65" s="33" t="str">
        <f t="shared" si="7"/>
        <v/>
      </c>
      <c r="D65" s="34"/>
      <c r="E65" s="34"/>
      <c r="F65" s="35"/>
      <c r="G65" s="36" t="str">
        <f t="shared" si="8"/>
        <v/>
      </c>
      <c r="H65" s="36" t="str">
        <f t="shared" si="9"/>
        <v/>
      </c>
      <c r="I65" s="37" t="str">
        <f t="shared" si="10"/>
        <v/>
      </c>
      <c r="J65" s="38"/>
      <c r="K65" s="39" t="str">
        <f t="shared" si="11"/>
        <v/>
      </c>
      <c r="L65" s="36" t="str">
        <f t="shared" si="12"/>
        <v/>
      </c>
      <c r="M65" s="38"/>
      <c r="N65" s="40" t="str">
        <f t="shared" si="13"/>
        <v/>
      </c>
      <c r="O65" s="38"/>
      <c r="P65" s="41"/>
      <c r="Q65" s="38"/>
    </row>
    <row r="66" spans="1:17" ht="18" customHeight="1" x14ac:dyDescent="0.25">
      <c r="A66" s="42" t="str">
        <f>IF(B66="","",COUNT($B$15:B66))</f>
        <v/>
      </c>
      <c r="B66" s="43"/>
      <c r="C66" s="33" t="str">
        <f t="shared" si="7"/>
        <v/>
      </c>
      <c r="D66" s="44"/>
      <c r="E66" s="44"/>
      <c r="F66" s="45"/>
      <c r="G66" s="36" t="str">
        <f t="shared" si="8"/>
        <v/>
      </c>
      <c r="H66" s="36" t="str">
        <f t="shared" si="9"/>
        <v/>
      </c>
      <c r="I66" s="37" t="str">
        <f t="shared" si="10"/>
        <v/>
      </c>
      <c r="J66" s="46"/>
      <c r="K66" s="39" t="str">
        <f t="shared" si="11"/>
        <v/>
      </c>
      <c r="L66" s="36" t="str">
        <f t="shared" si="12"/>
        <v/>
      </c>
      <c r="M66" s="46"/>
      <c r="N66" s="40" t="str">
        <f t="shared" si="13"/>
        <v/>
      </c>
      <c r="O66" s="46"/>
      <c r="P66" s="47"/>
      <c r="Q66" s="46"/>
    </row>
    <row r="67" spans="1:17" ht="18" customHeight="1" x14ac:dyDescent="0.25">
      <c r="A67" s="32" t="str">
        <f>IF(B67="","",COUNT($B$15:B67))</f>
        <v/>
      </c>
      <c r="B67" s="27"/>
      <c r="C67" s="33" t="str">
        <f t="shared" si="7"/>
        <v/>
      </c>
      <c r="D67" s="34"/>
      <c r="E67" s="34"/>
      <c r="F67" s="35"/>
      <c r="G67" s="36" t="str">
        <f t="shared" si="8"/>
        <v/>
      </c>
      <c r="H67" s="36" t="str">
        <f t="shared" si="9"/>
        <v/>
      </c>
      <c r="I67" s="37" t="str">
        <f t="shared" si="10"/>
        <v/>
      </c>
      <c r="J67" s="38"/>
      <c r="K67" s="39" t="str">
        <f t="shared" si="11"/>
        <v/>
      </c>
      <c r="L67" s="36" t="str">
        <f t="shared" si="12"/>
        <v/>
      </c>
      <c r="M67" s="38"/>
      <c r="N67" s="40" t="str">
        <f t="shared" si="13"/>
        <v/>
      </c>
      <c r="O67" s="38"/>
      <c r="P67" s="41"/>
      <c r="Q67" s="38"/>
    </row>
    <row r="68" spans="1:17" ht="18" customHeight="1" x14ac:dyDescent="0.25">
      <c r="A68" s="42" t="str">
        <f>IF(B68="","",COUNT($B$15:B68))</f>
        <v/>
      </c>
      <c r="B68" s="43"/>
      <c r="C68" s="33" t="str">
        <f t="shared" si="7"/>
        <v/>
      </c>
      <c r="D68" s="44"/>
      <c r="E68" s="44"/>
      <c r="F68" s="45"/>
      <c r="G68" s="36" t="str">
        <f t="shared" si="8"/>
        <v/>
      </c>
      <c r="H68" s="36" t="str">
        <f t="shared" si="9"/>
        <v/>
      </c>
      <c r="I68" s="37" t="str">
        <f t="shared" si="10"/>
        <v/>
      </c>
      <c r="J68" s="46"/>
      <c r="K68" s="39" t="str">
        <f t="shared" si="11"/>
        <v/>
      </c>
      <c r="L68" s="36" t="str">
        <f t="shared" si="12"/>
        <v/>
      </c>
      <c r="M68" s="46"/>
      <c r="N68" s="40" t="str">
        <f t="shared" si="13"/>
        <v/>
      </c>
      <c r="O68" s="46"/>
      <c r="P68" s="47"/>
      <c r="Q68" s="46"/>
    </row>
    <row r="69" spans="1:17" ht="18" customHeight="1" x14ac:dyDescent="0.25">
      <c r="A69" s="32" t="str">
        <f>IF(B69="","",COUNT($B$15:B69))</f>
        <v/>
      </c>
      <c r="B69" s="27"/>
      <c r="C69" s="33" t="str">
        <f t="shared" si="7"/>
        <v/>
      </c>
      <c r="D69" s="34"/>
      <c r="E69" s="34"/>
      <c r="F69" s="35"/>
      <c r="G69" s="36" t="str">
        <f t="shared" si="8"/>
        <v/>
      </c>
      <c r="H69" s="36" t="str">
        <f t="shared" si="9"/>
        <v/>
      </c>
      <c r="I69" s="37" t="str">
        <f t="shared" si="10"/>
        <v/>
      </c>
      <c r="J69" s="38"/>
      <c r="K69" s="39" t="str">
        <f t="shared" si="11"/>
        <v/>
      </c>
      <c r="L69" s="36" t="str">
        <f t="shared" si="12"/>
        <v/>
      </c>
      <c r="M69" s="38"/>
      <c r="N69" s="40" t="str">
        <f t="shared" si="13"/>
        <v/>
      </c>
      <c r="O69" s="38"/>
      <c r="P69" s="41"/>
      <c r="Q69" s="38"/>
    </row>
    <row r="70" spans="1:17" ht="18" customHeight="1" x14ac:dyDescent="0.25">
      <c r="A70" s="42" t="str">
        <f>IF(B70="","",COUNT($B$15:B70))</f>
        <v/>
      </c>
      <c r="B70" s="43"/>
      <c r="C70" s="33" t="str">
        <f t="shared" si="7"/>
        <v/>
      </c>
      <c r="D70" s="44"/>
      <c r="E70" s="44"/>
      <c r="F70" s="45"/>
      <c r="G70" s="36" t="str">
        <f t="shared" si="8"/>
        <v/>
      </c>
      <c r="H70" s="36" t="str">
        <f t="shared" si="9"/>
        <v/>
      </c>
      <c r="I70" s="37" t="str">
        <f t="shared" si="10"/>
        <v/>
      </c>
      <c r="J70" s="46"/>
      <c r="K70" s="39" t="str">
        <f t="shared" si="11"/>
        <v/>
      </c>
      <c r="L70" s="36" t="str">
        <f t="shared" si="12"/>
        <v/>
      </c>
      <c r="M70" s="46"/>
      <c r="N70" s="40" t="str">
        <f t="shared" si="13"/>
        <v/>
      </c>
      <c r="O70" s="46"/>
      <c r="P70" s="47"/>
      <c r="Q70" s="46"/>
    </row>
    <row r="71" spans="1:17" ht="18" customHeight="1" x14ac:dyDescent="0.25">
      <c r="A71" s="32" t="str">
        <f>IF(B71="","",COUNT($B$15:B71))</f>
        <v/>
      </c>
      <c r="B71" s="27"/>
      <c r="C71" s="33" t="str">
        <f t="shared" si="7"/>
        <v/>
      </c>
      <c r="D71" s="34"/>
      <c r="E71" s="34"/>
      <c r="F71" s="35"/>
      <c r="G71" s="36" t="str">
        <f t="shared" si="8"/>
        <v/>
      </c>
      <c r="H71" s="36" t="str">
        <f t="shared" si="9"/>
        <v/>
      </c>
      <c r="I71" s="37" t="str">
        <f t="shared" si="10"/>
        <v/>
      </c>
      <c r="J71" s="38"/>
      <c r="K71" s="39" t="str">
        <f t="shared" si="11"/>
        <v/>
      </c>
      <c r="L71" s="36" t="str">
        <f t="shared" si="12"/>
        <v/>
      </c>
      <c r="M71" s="38"/>
      <c r="N71" s="40" t="str">
        <f t="shared" si="13"/>
        <v/>
      </c>
      <c r="O71" s="38"/>
      <c r="P71" s="41"/>
      <c r="Q71" s="38"/>
    </row>
    <row r="72" spans="1:17" ht="18" customHeight="1" x14ac:dyDescent="0.25">
      <c r="A72" s="42" t="str">
        <f>IF(B72="","",COUNT($B$15:B72))</f>
        <v/>
      </c>
      <c r="B72" s="43"/>
      <c r="C72" s="33" t="str">
        <f t="shared" si="7"/>
        <v/>
      </c>
      <c r="D72" s="44"/>
      <c r="E72" s="44"/>
      <c r="F72" s="45"/>
      <c r="G72" s="36" t="str">
        <f t="shared" si="8"/>
        <v/>
      </c>
      <c r="H72" s="36" t="str">
        <f t="shared" si="9"/>
        <v/>
      </c>
      <c r="I72" s="37" t="str">
        <f t="shared" si="10"/>
        <v/>
      </c>
      <c r="J72" s="46"/>
      <c r="K72" s="39" t="str">
        <f t="shared" si="11"/>
        <v/>
      </c>
      <c r="L72" s="36" t="str">
        <f t="shared" si="12"/>
        <v/>
      </c>
      <c r="M72" s="46"/>
      <c r="N72" s="40" t="str">
        <f t="shared" si="13"/>
        <v/>
      </c>
      <c r="O72" s="46"/>
      <c r="P72" s="47"/>
      <c r="Q72" s="46"/>
    </row>
    <row r="73" spans="1:17" ht="18" customHeight="1" x14ac:dyDescent="0.25">
      <c r="A73" s="32" t="str">
        <f>IF(B73="","",COUNT($B$15:B73))</f>
        <v/>
      </c>
      <c r="B73" s="27"/>
      <c r="C73" s="33" t="str">
        <f t="shared" si="7"/>
        <v/>
      </c>
      <c r="D73" s="34"/>
      <c r="E73" s="34"/>
      <c r="F73" s="35"/>
      <c r="G73" s="36" t="str">
        <f t="shared" si="8"/>
        <v/>
      </c>
      <c r="H73" s="36" t="str">
        <f t="shared" si="9"/>
        <v/>
      </c>
      <c r="I73" s="37" t="str">
        <f t="shared" si="10"/>
        <v/>
      </c>
      <c r="J73" s="38"/>
      <c r="K73" s="39" t="str">
        <f t="shared" si="11"/>
        <v/>
      </c>
      <c r="L73" s="36" t="str">
        <f t="shared" si="12"/>
        <v/>
      </c>
      <c r="M73" s="38"/>
      <c r="N73" s="40" t="str">
        <f t="shared" si="13"/>
        <v/>
      </c>
      <c r="O73" s="38"/>
      <c r="P73" s="41"/>
      <c r="Q73" s="38"/>
    </row>
    <row r="74" spans="1:17" ht="18" customHeight="1" x14ac:dyDescent="0.25">
      <c r="A74" s="42" t="str">
        <f>IF(B74="","",COUNT($B$15:B74))</f>
        <v/>
      </c>
      <c r="B74" s="43"/>
      <c r="C74" s="33" t="str">
        <f t="shared" si="7"/>
        <v/>
      </c>
      <c r="D74" s="44"/>
      <c r="E74" s="44"/>
      <c r="F74" s="45"/>
      <c r="G74" s="36" t="str">
        <f t="shared" si="8"/>
        <v/>
      </c>
      <c r="H74" s="36" t="str">
        <f t="shared" si="9"/>
        <v/>
      </c>
      <c r="I74" s="37" t="str">
        <f t="shared" si="10"/>
        <v/>
      </c>
      <c r="J74" s="46"/>
      <c r="K74" s="39" t="str">
        <f t="shared" si="11"/>
        <v/>
      </c>
      <c r="L74" s="36" t="str">
        <f t="shared" si="12"/>
        <v/>
      </c>
      <c r="M74" s="46"/>
      <c r="N74" s="40" t="str">
        <f t="shared" si="13"/>
        <v/>
      </c>
      <c r="O74" s="46"/>
      <c r="P74" s="47"/>
      <c r="Q74" s="46"/>
    </row>
    <row r="75" spans="1:17" ht="18" customHeight="1" x14ac:dyDescent="0.25">
      <c r="A75" s="32" t="str">
        <f>IF(B75="","",COUNT($B$15:B75))</f>
        <v/>
      </c>
      <c r="B75" s="27"/>
      <c r="C75" s="33" t="str">
        <f t="shared" si="7"/>
        <v/>
      </c>
      <c r="D75" s="34"/>
      <c r="E75" s="34"/>
      <c r="F75" s="35"/>
      <c r="G75" s="36" t="str">
        <f t="shared" si="8"/>
        <v/>
      </c>
      <c r="H75" s="36" t="str">
        <f t="shared" si="9"/>
        <v/>
      </c>
      <c r="I75" s="37" t="str">
        <f t="shared" si="10"/>
        <v/>
      </c>
      <c r="J75" s="38"/>
      <c r="K75" s="39" t="str">
        <f t="shared" si="11"/>
        <v/>
      </c>
      <c r="L75" s="36" t="str">
        <f t="shared" si="12"/>
        <v/>
      </c>
      <c r="M75" s="38"/>
      <c r="N75" s="40" t="str">
        <f t="shared" si="13"/>
        <v/>
      </c>
      <c r="O75" s="38"/>
      <c r="P75" s="41"/>
      <c r="Q75" s="38"/>
    </row>
    <row r="76" spans="1:17" ht="18" customHeight="1" x14ac:dyDescent="0.25">
      <c r="A76" s="42" t="str">
        <f>IF(B76="","",COUNT($B$15:B76))</f>
        <v/>
      </c>
      <c r="B76" s="43"/>
      <c r="C76" s="33" t="str">
        <f t="shared" si="7"/>
        <v/>
      </c>
      <c r="D76" s="44"/>
      <c r="E76" s="44"/>
      <c r="F76" s="45"/>
      <c r="G76" s="36" t="str">
        <f t="shared" si="8"/>
        <v/>
      </c>
      <c r="H76" s="36" t="str">
        <f t="shared" si="9"/>
        <v/>
      </c>
      <c r="I76" s="37" t="str">
        <f t="shared" si="10"/>
        <v/>
      </c>
      <c r="J76" s="46"/>
      <c r="K76" s="39" t="str">
        <f t="shared" si="11"/>
        <v/>
      </c>
      <c r="L76" s="36" t="str">
        <f t="shared" si="12"/>
        <v/>
      </c>
      <c r="M76" s="46"/>
      <c r="N76" s="40" t="str">
        <f t="shared" si="13"/>
        <v/>
      </c>
      <c r="O76" s="46"/>
      <c r="P76" s="47"/>
      <c r="Q76" s="46"/>
    </row>
    <row r="77" spans="1:17" ht="18" customHeight="1" x14ac:dyDescent="0.25">
      <c r="A77" s="32" t="str">
        <f>IF(B77="","",COUNT($B$15:B77))</f>
        <v/>
      </c>
      <c r="B77" s="27"/>
      <c r="C77" s="33" t="str">
        <f t="shared" si="7"/>
        <v/>
      </c>
      <c r="D77" s="34"/>
      <c r="E77" s="34"/>
      <c r="F77" s="35"/>
      <c r="G77" s="36" t="str">
        <f t="shared" si="8"/>
        <v/>
      </c>
      <c r="H77" s="36" t="str">
        <f t="shared" si="9"/>
        <v/>
      </c>
      <c r="I77" s="37" t="str">
        <f t="shared" si="10"/>
        <v/>
      </c>
      <c r="J77" s="38"/>
      <c r="K77" s="39" t="str">
        <f t="shared" si="11"/>
        <v/>
      </c>
      <c r="L77" s="36" t="str">
        <f t="shared" si="12"/>
        <v/>
      </c>
      <c r="M77" s="38"/>
      <c r="N77" s="40" t="str">
        <f t="shared" si="13"/>
        <v/>
      </c>
      <c r="O77" s="38"/>
      <c r="P77" s="41"/>
      <c r="Q77" s="38"/>
    </row>
    <row r="78" spans="1:17" ht="18" customHeight="1" x14ac:dyDescent="0.25">
      <c r="A78" s="42" t="str">
        <f>IF(B78="","",COUNT($B$15:B78))</f>
        <v/>
      </c>
      <c r="B78" s="43"/>
      <c r="C78" s="33" t="str">
        <f t="shared" si="7"/>
        <v/>
      </c>
      <c r="D78" s="44"/>
      <c r="E78" s="44"/>
      <c r="F78" s="45"/>
      <c r="G78" s="36" t="str">
        <f t="shared" si="8"/>
        <v/>
      </c>
      <c r="H78" s="36" t="str">
        <f t="shared" si="9"/>
        <v/>
      </c>
      <c r="I78" s="37" t="str">
        <f t="shared" si="10"/>
        <v/>
      </c>
      <c r="J78" s="46"/>
      <c r="K78" s="39" t="str">
        <f t="shared" si="11"/>
        <v/>
      </c>
      <c r="L78" s="36" t="str">
        <f t="shared" si="12"/>
        <v/>
      </c>
      <c r="M78" s="46"/>
      <c r="N78" s="40" t="str">
        <f t="shared" si="13"/>
        <v/>
      </c>
      <c r="O78" s="46"/>
      <c r="P78" s="47"/>
      <c r="Q78" s="46"/>
    </row>
    <row r="79" spans="1:17" ht="18" customHeight="1" x14ac:dyDescent="0.25">
      <c r="A79" s="32" t="str">
        <f>IF(B79="","",COUNT($B$15:B79))</f>
        <v/>
      </c>
      <c r="B79" s="27"/>
      <c r="C79" s="33" t="str">
        <f t="shared" ref="C79:C114" si="14">IF($B79="","",INDEX(Wochentage,WEEKDAY($B79,2)))</f>
        <v/>
      </c>
      <c r="D79" s="34"/>
      <c r="E79" s="34"/>
      <c r="F79" s="35"/>
      <c r="G79" s="36" t="str">
        <f t="shared" ref="G79:G114" si="15">IF(OR($B79="",$D79="",$E79=""),"",(IF($E79&lt;$D79,$E79+1,$E79)-$D79)*24-N($F79)/60)</f>
        <v/>
      </c>
      <c r="H79" s="36" t="str">
        <f t="shared" ref="H79:H114" si="16">IF($B79="","",IF(OR(WEEKDAY($B79,2)&gt;5,COUNTIF(Feiertage,$B79)&gt;0),0,Tagessoll))</f>
        <v/>
      </c>
      <c r="I79" s="37" t="str">
        <f t="shared" ref="I79:I114" si="17">IF(OR($G79="",$H79=""),"",$G79-$H79)</f>
        <v/>
      </c>
      <c r="J79" s="38"/>
      <c r="K79" s="39" t="str">
        <f t="shared" ref="K79:K114" si="18">IF($J79="","",IFERROR(INDEX(Zuschlagssaetze,MATCH($J79,Zuschlagsarten,0)),0))</f>
        <v/>
      </c>
      <c r="L79" s="36" t="str">
        <f t="shared" ref="L79:L114" si="19">IF($I79="","",MAX(0,$I79)*(1+N($K79)))</f>
        <v/>
      </c>
      <c r="M79" s="38"/>
      <c r="N79" s="40" t="str">
        <f t="shared" ref="N79:N114" si="20">IF($B79="","",IF($M79="Auszahlung",N($L79)*Stundensatz,0))</f>
        <v/>
      </c>
      <c r="O79" s="38"/>
      <c r="P79" s="41"/>
      <c r="Q79" s="38"/>
    </row>
    <row r="80" spans="1:17" ht="18" customHeight="1" x14ac:dyDescent="0.25">
      <c r="A80" s="42" t="str">
        <f>IF(B80="","",COUNT($B$15:B80))</f>
        <v/>
      </c>
      <c r="B80" s="43"/>
      <c r="C80" s="33" t="str">
        <f t="shared" si="14"/>
        <v/>
      </c>
      <c r="D80" s="44"/>
      <c r="E80" s="44"/>
      <c r="F80" s="45"/>
      <c r="G80" s="36" t="str">
        <f t="shared" si="15"/>
        <v/>
      </c>
      <c r="H80" s="36" t="str">
        <f t="shared" si="16"/>
        <v/>
      </c>
      <c r="I80" s="37" t="str">
        <f t="shared" si="17"/>
        <v/>
      </c>
      <c r="J80" s="46"/>
      <c r="K80" s="39" t="str">
        <f t="shared" si="18"/>
        <v/>
      </c>
      <c r="L80" s="36" t="str">
        <f t="shared" si="19"/>
        <v/>
      </c>
      <c r="M80" s="46"/>
      <c r="N80" s="40" t="str">
        <f t="shared" si="20"/>
        <v/>
      </c>
      <c r="O80" s="46"/>
      <c r="P80" s="47"/>
      <c r="Q80" s="46"/>
    </row>
    <row r="81" spans="1:17" ht="18" customHeight="1" x14ac:dyDescent="0.25">
      <c r="A81" s="32" t="str">
        <f>IF(B81="","",COUNT($B$15:B81))</f>
        <v/>
      </c>
      <c r="B81" s="27"/>
      <c r="C81" s="33" t="str">
        <f t="shared" si="14"/>
        <v/>
      </c>
      <c r="D81" s="34"/>
      <c r="E81" s="34"/>
      <c r="F81" s="35"/>
      <c r="G81" s="36" t="str">
        <f t="shared" si="15"/>
        <v/>
      </c>
      <c r="H81" s="36" t="str">
        <f t="shared" si="16"/>
        <v/>
      </c>
      <c r="I81" s="37" t="str">
        <f t="shared" si="17"/>
        <v/>
      </c>
      <c r="J81" s="38"/>
      <c r="K81" s="39" t="str">
        <f t="shared" si="18"/>
        <v/>
      </c>
      <c r="L81" s="36" t="str">
        <f t="shared" si="19"/>
        <v/>
      </c>
      <c r="M81" s="38"/>
      <c r="N81" s="40" t="str">
        <f t="shared" si="20"/>
        <v/>
      </c>
      <c r="O81" s="38"/>
      <c r="P81" s="41"/>
      <c r="Q81" s="38"/>
    </row>
    <row r="82" spans="1:17" ht="18" customHeight="1" x14ac:dyDescent="0.25">
      <c r="A82" s="42" t="str">
        <f>IF(B82="","",COUNT($B$15:B82))</f>
        <v/>
      </c>
      <c r="B82" s="43"/>
      <c r="C82" s="33" t="str">
        <f t="shared" si="14"/>
        <v/>
      </c>
      <c r="D82" s="44"/>
      <c r="E82" s="44"/>
      <c r="F82" s="45"/>
      <c r="G82" s="36" t="str">
        <f t="shared" si="15"/>
        <v/>
      </c>
      <c r="H82" s="36" t="str">
        <f t="shared" si="16"/>
        <v/>
      </c>
      <c r="I82" s="37" t="str">
        <f t="shared" si="17"/>
        <v/>
      </c>
      <c r="J82" s="46"/>
      <c r="K82" s="39" t="str">
        <f t="shared" si="18"/>
        <v/>
      </c>
      <c r="L82" s="36" t="str">
        <f t="shared" si="19"/>
        <v/>
      </c>
      <c r="M82" s="46"/>
      <c r="N82" s="40" t="str">
        <f t="shared" si="20"/>
        <v/>
      </c>
      <c r="O82" s="46"/>
      <c r="P82" s="47"/>
      <c r="Q82" s="46"/>
    </row>
    <row r="83" spans="1:17" ht="18" customHeight="1" x14ac:dyDescent="0.25">
      <c r="A83" s="32" t="str">
        <f>IF(B83="","",COUNT($B$15:B83))</f>
        <v/>
      </c>
      <c r="B83" s="27"/>
      <c r="C83" s="33" t="str">
        <f t="shared" si="14"/>
        <v/>
      </c>
      <c r="D83" s="34"/>
      <c r="E83" s="34"/>
      <c r="F83" s="35"/>
      <c r="G83" s="36" t="str">
        <f t="shared" si="15"/>
        <v/>
      </c>
      <c r="H83" s="36" t="str">
        <f t="shared" si="16"/>
        <v/>
      </c>
      <c r="I83" s="37" t="str">
        <f t="shared" si="17"/>
        <v/>
      </c>
      <c r="J83" s="38"/>
      <c r="K83" s="39" t="str">
        <f t="shared" si="18"/>
        <v/>
      </c>
      <c r="L83" s="36" t="str">
        <f t="shared" si="19"/>
        <v/>
      </c>
      <c r="M83" s="38"/>
      <c r="N83" s="40" t="str">
        <f t="shared" si="20"/>
        <v/>
      </c>
      <c r="O83" s="38"/>
      <c r="P83" s="41"/>
      <c r="Q83" s="38"/>
    </row>
    <row r="84" spans="1:17" ht="18" customHeight="1" x14ac:dyDescent="0.25">
      <c r="A84" s="42" t="str">
        <f>IF(B84="","",COUNT($B$15:B84))</f>
        <v/>
      </c>
      <c r="B84" s="43"/>
      <c r="C84" s="33" t="str">
        <f t="shared" si="14"/>
        <v/>
      </c>
      <c r="D84" s="44"/>
      <c r="E84" s="44"/>
      <c r="F84" s="45"/>
      <c r="G84" s="36" t="str">
        <f t="shared" si="15"/>
        <v/>
      </c>
      <c r="H84" s="36" t="str">
        <f t="shared" si="16"/>
        <v/>
      </c>
      <c r="I84" s="37" t="str">
        <f t="shared" si="17"/>
        <v/>
      </c>
      <c r="J84" s="46"/>
      <c r="K84" s="39" t="str">
        <f t="shared" si="18"/>
        <v/>
      </c>
      <c r="L84" s="36" t="str">
        <f t="shared" si="19"/>
        <v/>
      </c>
      <c r="M84" s="46"/>
      <c r="N84" s="40" t="str">
        <f t="shared" si="20"/>
        <v/>
      </c>
      <c r="O84" s="46"/>
      <c r="P84" s="47"/>
      <c r="Q84" s="46"/>
    </row>
    <row r="85" spans="1:17" ht="18" customHeight="1" x14ac:dyDescent="0.25">
      <c r="A85" s="32" t="str">
        <f>IF(B85="","",COUNT($B$15:B85))</f>
        <v/>
      </c>
      <c r="B85" s="27"/>
      <c r="C85" s="33" t="str">
        <f t="shared" si="14"/>
        <v/>
      </c>
      <c r="D85" s="34"/>
      <c r="E85" s="34"/>
      <c r="F85" s="35"/>
      <c r="G85" s="36" t="str">
        <f t="shared" si="15"/>
        <v/>
      </c>
      <c r="H85" s="36" t="str">
        <f t="shared" si="16"/>
        <v/>
      </c>
      <c r="I85" s="37" t="str">
        <f t="shared" si="17"/>
        <v/>
      </c>
      <c r="J85" s="38"/>
      <c r="K85" s="39" t="str">
        <f t="shared" si="18"/>
        <v/>
      </c>
      <c r="L85" s="36" t="str">
        <f t="shared" si="19"/>
        <v/>
      </c>
      <c r="M85" s="38"/>
      <c r="N85" s="40" t="str">
        <f t="shared" si="20"/>
        <v/>
      </c>
      <c r="O85" s="38"/>
      <c r="P85" s="41"/>
      <c r="Q85" s="38"/>
    </row>
    <row r="86" spans="1:17" ht="18" customHeight="1" x14ac:dyDescent="0.25">
      <c r="A86" s="42" t="str">
        <f>IF(B86="","",COUNT($B$15:B86))</f>
        <v/>
      </c>
      <c r="B86" s="43"/>
      <c r="C86" s="33" t="str">
        <f t="shared" si="14"/>
        <v/>
      </c>
      <c r="D86" s="44"/>
      <c r="E86" s="44"/>
      <c r="F86" s="45"/>
      <c r="G86" s="36" t="str">
        <f t="shared" si="15"/>
        <v/>
      </c>
      <c r="H86" s="36" t="str">
        <f t="shared" si="16"/>
        <v/>
      </c>
      <c r="I86" s="37" t="str">
        <f t="shared" si="17"/>
        <v/>
      </c>
      <c r="J86" s="46"/>
      <c r="K86" s="39" t="str">
        <f t="shared" si="18"/>
        <v/>
      </c>
      <c r="L86" s="36" t="str">
        <f t="shared" si="19"/>
        <v/>
      </c>
      <c r="M86" s="46"/>
      <c r="N86" s="40" t="str">
        <f t="shared" si="20"/>
        <v/>
      </c>
      <c r="O86" s="46"/>
      <c r="P86" s="47"/>
      <c r="Q86" s="46"/>
    </row>
    <row r="87" spans="1:17" ht="18" customHeight="1" x14ac:dyDescent="0.25">
      <c r="A87" s="32" t="str">
        <f>IF(B87="","",COUNT($B$15:B87))</f>
        <v/>
      </c>
      <c r="B87" s="27"/>
      <c r="C87" s="33" t="str">
        <f t="shared" si="14"/>
        <v/>
      </c>
      <c r="D87" s="34"/>
      <c r="E87" s="34"/>
      <c r="F87" s="35"/>
      <c r="G87" s="36" t="str">
        <f t="shared" si="15"/>
        <v/>
      </c>
      <c r="H87" s="36" t="str">
        <f t="shared" si="16"/>
        <v/>
      </c>
      <c r="I87" s="37" t="str">
        <f t="shared" si="17"/>
        <v/>
      </c>
      <c r="J87" s="38"/>
      <c r="K87" s="39" t="str">
        <f t="shared" si="18"/>
        <v/>
      </c>
      <c r="L87" s="36" t="str">
        <f t="shared" si="19"/>
        <v/>
      </c>
      <c r="M87" s="38"/>
      <c r="N87" s="40" t="str">
        <f t="shared" si="20"/>
        <v/>
      </c>
      <c r="O87" s="38"/>
      <c r="P87" s="41"/>
      <c r="Q87" s="38"/>
    </row>
    <row r="88" spans="1:17" ht="18" customHeight="1" x14ac:dyDescent="0.25">
      <c r="A88" s="42" t="str">
        <f>IF(B88="","",COUNT($B$15:B88))</f>
        <v/>
      </c>
      <c r="B88" s="43"/>
      <c r="C88" s="33" t="str">
        <f t="shared" si="14"/>
        <v/>
      </c>
      <c r="D88" s="44"/>
      <c r="E88" s="44"/>
      <c r="F88" s="45"/>
      <c r="G88" s="36" t="str">
        <f t="shared" si="15"/>
        <v/>
      </c>
      <c r="H88" s="36" t="str">
        <f t="shared" si="16"/>
        <v/>
      </c>
      <c r="I88" s="37" t="str">
        <f t="shared" si="17"/>
        <v/>
      </c>
      <c r="J88" s="46"/>
      <c r="K88" s="39" t="str">
        <f t="shared" si="18"/>
        <v/>
      </c>
      <c r="L88" s="36" t="str">
        <f t="shared" si="19"/>
        <v/>
      </c>
      <c r="M88" s="46"/>
      <c r="N88" s="40" t="str">
        <f t="shared" si="20"/>
        <v/>
      </c>
      <c r="O88" s="46"/>
      <c r="P88" s="47"/>
      <c r="Q88" s="46"/>
    </row>
    <row r="89" spans="1:17" ht="18" customHeight="1" x14ac:dyDescent="0.25">
      <c r="A89" s="32" t="str">
        <f>IF(B89="","",COUNT($B$15:B89))</f>
        <v/>
      </c>
      <c r="B89" s="27"/>
      <c r="C89" s="33" t="str">
        <f t="shared" si="14"/>
        <v/>
      </c>
      <c r="D89" s="34"/>
      <c r="E89" s="34"/>
      <c r="F89" s="35"/>
      <c r="G89" s="36" t="str">
        <f t="shared" si="15"/>
        <v/>
      </c>
      <c r="H89" s="36" t="str">
        <f t="shared" si="16"/>
        <v/>
      </c>
      <c r="I89" s="37" t="str">
        <f t="shared" si="17"/>
        <v/>
      </c>
      <c r="J89" s="38"/>
      <c r="K89" s="39" t="str">
        <f t="shared" si="18"/>
        <v/>
      </c>
      <c r="L89" s="36" t="str">
        <f t="shared" si="19"/>
        <v/>
      </c>
      <c r="M89" s="38"/>
      <c r="N89" s="40" t="str">
        <f t="shared" si="20"/>
        <v/>
      </c>
      <c r="O89" s="38"/>
      <c r="P89" s="41"/>
      <c r="Q89" s="38"/>
    </row>
    <row r="90" spans="1:17" ht="18" customHeight="1" x14ac:dyDescent="0.25">
      <c r="A90" s="42" t="str">
        <f>IF(B90="","",COUNT($B$15:B90))</f>
        <v/>
      </c>
      <c r="B90" s="43"/>
      <c r="C90" s="33" t="str">
        <f t="shared" si="14"/>
        <v/>
      </c>
      <c r="D90" s="44"/>
      <c r="E90" s="44"/>
      <c r="F90" s="45"/>
      <c r="G90" s="36" t="str">
        <f t="shared" si="15"/>
        <v/>
      </c>
      <c r="H90" s="36" t="str">
        <f t="shared" si="16"/>
        <v/>
      </c>
      <c r="I90" s="37" t="str">
        <f t="shared" si="17"/>
        <v/>
      </c>
      <c r="J90" s="46"/>
      <c r="K90" s="39" t="str">
        <f t="shared" si="18"/>
        <v/>
      </c>
      <c r="L90" s="36" t="str">
        <f t="shared" si="19"/>
        <v/>
      </c>
      <c r="M90" s="46"/>
      <c r="N90" s="40" t="str">
        <f t="shared" si="20"/>
        <v/>
      </c>
      <c r="O90" s="46"/>
      <c r="P90" s="47"/>
      <c r="Q90" s="46"/>
    </row>
    <row r="91" spans="1:17" ht="18" customHeight="1" x14ac:dyDescent="0.25">
      <c r="A91" s="32" t="str">
        <f>IF(B91="","",COUNT($B$15:B91))</f>
        <v/>
      </c>
      <c r="B91" s="27"/>
      <c r="C91" s="33" t="str">
        <f t="shared" si="14"/>
        <v/>
      </c>
      <c r="D91" s="34"/>
      <c r="E91" s="34"/>
      <c r="F91" s="35"/>
      <c r="G91" s="36" t="str">
        <f t="shared" si="15"/>
        <v/>
      </c>
      <c r="H91" s="36" t="str">
        <f t="shared" si="16"/>
        <v/>
      </c>
      <c r="I91" s="37" t="str">
        <f t="shared" si="17"/>
        <v/>
      </c>
      <c r="J91" s="38"/>
      <c r="K91" s="39" t="str">
        <f t="shared" si="18"/>
        <v/>
      </c>
      <c r="L91" s="36" t="str">
        <f t="shared" si="19"/>
        <v/>
      </c>
      <c r="M91" s="38"/>
      <c r="N91" s="40" t="str">
        <f t="shared" si="20"/>
        <v/>
      </c>
      <c r="O91" s="38"/>
      <c r="P91" s="41"/>
      <c r="Q91" s="38"/>
    </row>
    <row r="92" spans="1:17" ht="18" customHeight="1" x14ac:dyDescent="0.25">
      <c r="A92" s="42" t="str">
        <f>IF(B92="","",COUNT($B$15:B92))</f>
        <v/>
      </c>
      <c r="B92" s="43"/>
      <c r="C92" s="33" t="str">
        <f t="shared" si="14"/>
        <v/>
      </c>
      <c r="D92" s="44"/>
      <c r="E92" s="44"/>
      <c r="F92" s="45"/>
      <c r="G92" s="36" t="str">
        <f t="shared" si="15"/>
        <v/>
      </c>
      <c r="H92" s="36" t="str">
        <f t="shared" si="16"/>
        <v/>
      </c>
      <c r="I92" s="37" t="str">
        <f t="shared" si="17"/>
        <v/>
      </c>
      <c r="J92" s="46"/>
      <c r="K92" s="39" t="str">
        <f t="shared" si="18"/>
        <v/>
      </c>
      <c r="L92" s="36" t="str">
        <f t="shared" si="19"/>
        <v/>
      </c>
      <c r="M92" s="46"/>
      <c r="N92" s="40" t="str">
        <f t="shared" si="20"/>
        <v/>
      </c>
      <c r="O92" s="46"/>
      <c r="P92" s="47"/>
      <c r="Q92" s="46"/>
    </row>
    <row r="93" spans="1:17" ht="18" customHeight="1" x14ac:dyDescent="0.25">
      <c r="A93" s="32" t="str">
        <f>IF(B93="","",COUNT($B$15:B93))</f>
        <v/>
      </c>
      <c r="B93" s="27"/>
      <c r="C93" s="33" t="str">
        <f t="shared" si="14"/>
        <v/>
      </c>
      <c r="D93" s="34"/>
      <c r="E93" s="34"/>
      <c r="F93" s="35"/>
      <c r="G93" s="36" t="str">
        <f t="shared" si="15"/>
        <v/>
      </c>
      <c r="H93" s="36" t="str">
        <f t="shared" si="16"/>
        <v/>
      </c>
      <c r="I93" s="37" t="str">
        <f t="shared" si="17"/>
        <v/>
      </c>
      <c r="J93" s="38"/>
      <c r="K93" s="39" t="str">
        <f t="shared" si="18"/>
        <v/>
      </c>
      <c r="L93" s="36" t="str">
        <f t="shared" si="19"/>
        <v/>
      </c>
      <c r="M93" s="38"/>
      <c r="N93" s="40" t="str">
        <f t="shared" si="20"/>
        <v/>
      </c>
      <c r="O93" s="38"/>
      <c r="P93" s="41"/>
      <c r="Q93" s="38"/>
    </row>
    <row r="94" spans="1:17" ht="18" customHeight="1" x14ac:dyDescent="0.25">
      <c r="A94" s="42" t="str">
        <f>IF(B94="","",COUNT($B$15:B94))</f>
        <v/>
      </c>
      <c r="B94" s="43"/>
      <c r="C94" s="33" t="str">
        <f t="shared" si="14"/>
        <v/>
      </c>
      <c r="D94" s="44"/>
      <c r="E94" s="44"/>
      <c r="F94" s="45"/>
      <c r="G94" s="36" t="str">
        <f t="shared" si="15"/>
        <v/>
      </c>
      <c r="H94" s="36" t="str">
        <f t="shared" si="16"/>
        <v/>
      </c>
      <c r="I94" s="37" t="str">
        <f t="shared" si="17"/>
        <v/>
      </c>
      <c r="J94" s="46"/>
      <c r="K94" s="39" t="str">
        <f t="shared" si="18"/>
        <v/>
      </c>
      <c r="L94" s="36" t="str">
        <f t="shared" si="19"/>
        <v/>
      </c>
      <c r="M94" s="46"/>
      <c r="N94" s="40" t="str">
        <f t="shared" si="20"/>
        <v/>
      </c>
      <c r="O94" s="46"/>
      <c r="P94" s="47"/>
      <c r="Q94" s="46"/>
    </row>
    <row r="95" spans="1:17" ht="18" customHeight="1" x14ac:dyDescent="0.25">
      <c r="A95" s="32" t="str">
        <f>IF(B95="","",COUNT($B$15:B95))</f>
        <v/>
      </c>
      <c r="B95" s="27"/>
      <c r="C95" s="33" t="str">
        <f t="shared" si="14"/>
        <v/>
      </c>
      <c r="D95" s="34"/>
      <c r="E95" s="34"/>
      <c r="F95" s="35"/>
      <c r="G95" s="36" t="str">
        <f t="shared" si="15"/>
        <v/>
      </c>
      <c r="H95" s="36" t="str">
        <f t="shared" si="16"/>
        <v/>
      </c>
      <c r="I95" s="37" t="str">
        <f t="shared" si="17"/>
        <v/>
      </c>
      <c r="J95" s="38"/>
      <c r="K95" s="39" t="str">
        <f t="shared" si="18"/>
        <v/>
      </c>
      <c r="L95" s="36" t="str">
        <f t="shared" si="19"/>
        <v/>
      </c>
      <c r="M95" s="38"/>
      <c r="N95" s="40" t="str">
        <f t="shared" si="20"/>
        <v/>
      </c>
      <c r="O95" s="38"/>
      <c r="P95" s="41"/>
      <c r="Q95" s="38"/>
    </row>
    <row r="96" spans="1:17" ht="18" customHeight="1" x14ac:dyDescent="0.25">
      <c r="A96" s="42" t="str">
        <f>IF(B96="","",COUNT($B$15:B96))</f>
        <v/>
      </c>
      <c r="B96" s="43"/>
      <c r="C96" s="33" t="str">
        <f t="shared" si="14"/>
        <v/>
      </c>
      <c r="D96" s="44"/>
      <c r="E96" s="44"/>
      <c r="F96" s="45"/>
      <c r="G96" s="36" t="str">
        <f t="shared" si="15"/>
        <v/>
      </c>
      <c r="H96" s="36" t="str">
        <f t="shared" si="16"/>
        <v/>
      </c>
      <c r="I96" s="37" t="str">
        <f t="shared" si="17"/>
        <v/>
      </c>
      <c r="J96" s="46"/>
      <c r="K96" s="39" t="str">
        <f t="shared" si="18"/>
        <v/>
      </c>
      <c r="L96" s="36" t="str">
        <f t="shared" si="19"/>
        <v/>
      </c>
      <c r="M96" s="46"/>
      <c r="N96" s="40" t="str">
        <f t="shared" si="20"/>
        <v/>
      </c>
      <c r="O96" s="46"/>
      <c r="P96" s="47"/>
      <c r="Q96" s="46"/>
    </row>
    <row r="97" spans="1:17" ht="18" customHeight="1" x14ac:dyDescent="0.25">
      <c r="A97" s="32" t="str">
        <f>IF(B97="","",COUNT($B$15:B97))</f>
        <v/>
      </c>
      <c r="B97" s="27"/>
      <c r="C97" s="33" t="str">
        <f t="shared" si="14"/>
        <v/>
      </c>
      <c r="D97" s="34"/>
      <c r="E97" s="34"/>
      <c r="F97" s="35"/>
      <c r="G97" s="36" t="str">
        <f t="shared" si="15"/>
        <v/>
      </c>
      <c r="H97" s="36" t="str">
        <f t="shared" si="16"/>
        <v/>
      </c>
      <c r="I97" s="37" t="str">
        <f t="shared" si="17"/>
        <v/>
      </c>
      <c r="J97" s="38"/>
      <c r="K97" s="39" t="str">
        <f t="shared" si="18"/>
        <v/>
      </c>
      <c r="L97" s="36" t="str">
        <f t="shared" si="19"/>
        <v/>
      </c>
      <c r="M97" s="38"/>
      <c r="N97" s="40" t="str">
        <f t="shared" si="20"/>
        <v/>
      </c>
      <c r="O97" s="38"/>
      <c r="P97" s="41"/>
      <c r="Q97" s="38"/>
    </row>
    <row r="98" spans="1:17" ht="18" customHeight="1" x14ac:dyDescent="0.25">
      <c r="A98" s="42" t="str">
        <f>IF(B98="","",COUNT($B$15:B98))</f>
        <v/>
      </c>
      <c r="B98" s="43"/>
      <c r="C98" s="33" t="str">
        <f t="shared" si="14"/>
        <v/>
      </c>
      <c r="D98" s="44"/>
      <c r="E98" s="44"/>
      <c r="F98" s="45"/>
      <c r="G98" s="36" t="str">
        <f t="shared" si="15"/>
        <v/>
      </c>
      <c r="H98" s="36" t="str">
        <f t="shared" si="16"/>
        <v/>
      </c>
      <c r="I98" s="37" t="str">
        <f t="shared" si="17"/>
        <v/>
      </c>
      <c r="J98" s="46"/>
      <c r="K98" s="39" t="str">
        <f t="shared" si="18"/>
        <v/>
      </c>
      <c r="L98" s="36" t="str">
        <f t="shared" si="19"/>
        <v/>
      </c>
      <c r="M98" s="46"/>
      <c r="N98" s="40" t="str">
        <f t="shared" si="20"/>
        <v/>
      </c>
      <c r="O98" s="46"/>
      <c r="P98" s="47"/>
      <c r="Q98" s="46"/>
    </row>
    <row r="99" spans="1:17" ht="18" customHeight="1" x14ac:dyDescent="0.25">
      <c r="A99" s="32" t="str">
        <f>IF(B99="","",COUNT($B$15:B99))</f>
        <v/>
      </c>
      <c r="B99" s="27"/>
      <c r="C99" s="33" t="str">
        <f t="shared" si="14"/>
        <v/>
      </c>
      <c r="D99" s="34"/>
      <c r="E99" s="34"/>
      <c r="F99" s="35"/>
      <c r="G99" s="36" t="str">
        <f t="shared" si="15"/>
        <v/>
      </c>
      <c r="H99" s="36" t="str">
        <f t="shared" si="16"/>
        <v/>
      </c>
      <c r="I99" s="37" t="str">
        <f t="shared" si="17"/>
        <v/>
      </c>
      <c r="J99" s="38"/>
      <c r="K99" s="39" t="str">
        <f t="shared" si="18"/>
        <v/>
      </c>
      <c r="L99" s="36" t="str">
        <f t="shared" si="19"/>
        <v/>
      </c>
      <c r="M99" s="38"/>
      <c r="N99" s="40" t="str">
        <f t="shared" si="20"/>
        <v/>
      </c>
      <c r="O99" s="38"/>
      <c r="P99" s="41"/>
      <c r="Q99" s="38"/>
    </row>
    <row r="100" spans="1:17" ht="18" customHeight="1" x14ac:dyDescent="0.25">
      <c r="A100" s="42" t="str">
        <f>IF(B100="","",COUNT($B$15:B100))</f>
        <v/>
      </c>
      <c r="B100" s="43"/>
      <c r="C100" s="33" t="str">
        <f t="shared" si="14"/>
        <v/>
      </c>
      <c r="D100" s="44"/>
      <c r="E100" s="44"/>
      <c r="F100" s="45"/>
      <c r="G100" s="36" t="str">
        <f t="shared" si="15"/>
        <v/>
      </c>
      <c r="H100" s="36" t="str">
        <f t="shared" si="16"/>
        <v/>
      </c>
      <c r="I100" s="37" t="str">
        <f t="shared" si="17"/>
        <v/>
      </c>
      <c r="J100" s="46"/>
      <c r="K100" s="39" t="str">
        <f t="shared" si="18"/>
        <v/>
      </c>
      <c r="L100" s="36" t="str">
        <f t="shared" si="19"/>
        <v/>
      </c>
      <c r="M100" s="46"/>
      <c r="N100" s="40" t="str">
        <f t="shared" si="20"/>
        <v/>
      </c>
      <c r="O100" s="46"/>
      <c r="P100" s="47"/>
      <c r="Q100" s="46"/>
    </row>
    <row r="101" spans="1:17" ht="18" customHeight="1" x14ac:dyDescent="0.25">
      <c r="A101" s="32" t="str">
        <f>IF(B101="","",COUNT($B$15:B101))</f>
        <v/>
      </c>
      <c r="B101" s="27"/>
      <c r="C101" s="33" t="str">
        <f t="shared" si="14"/>
        <v/>
      </c>
      <c r="D101" s="34"/>
      <c r="E101" s="34"/>
      <c r="F101" s="35"/>
      <c r="G101" s="36" t="str">
        <f t="shared" si="15"/>
        <v/>
      </c>
      <c r="H101" s="36" t="str">
        <f t="shared" si="16"/>
        <v/>
      </c>
      <c r="I101" s="37" t="str">
        <f t="shared" si="17"/>
        <v/>
      </c>
      <c r="J101" s="38"/>
      <c r="K101" s="39" t="str">
        <f t="shared" si="18"/>
        <v/>
      </c>
      <c r="L101" s="36" t="str">
        <f t="shared" si="19"/>
        <v/>
      </c>
      <c r="M101" s="38"/>
      <c r="N101" s="40" t="str">
        <f t="shared" si="20"/>
        <v/>
      </c>
      <c r="O101" s="38"/>
      <c r="P101" s="41"/>
      <c r="Q101" s="38"/>
    </row>
    <row r="102" spans="1:17" ht="18" customHeight="1" x14ac:dyDescent="0.25">
      <c r="A102" s="42" t="str">
        <f>IF(B102="","",COUNT($B$15:B102))</f>
        <v/>
      </c>
      <c r="B102" s="43"/>
      <c r="C102" s="33" t="str">
        <f t="shared" si="14"/>
        <v/>
      </c>
      <c r="D102" s="44"/>
      <c r="E102" s="44"/>
      <c r="F102" s="45"/>
      <c r="G102" s="36" t="str">
        <f t="shared" si="15"/>
        <v/>
      </c>
      <c r="H102" s="36" t="str">
        <f t="shared" si="16"/>
        <v/>
      </c>
      <c r="I102" s="37" t="str">
        <f t="shared" si="17"/>
        <v/>
      </c>
      <c r="J102" s="46"/>
      <c r="K102" s="39" t="str">
        <f t="shared" si="18"/>
        <v/>
      </c>
      <c r="L102" s="36" t="str">
        <f t="shared" si="19"/>
        <v/>
      </c>
      <c r="M102" s="46"/>
      <c r="N102" s="40" t="str">
        <f t="shared" si="20"/>
        <v/>
      </c>
      <c r="O102" s="46"/>
      <c r="P102" s="47"/>
      <c r="Q102" s="46"/>
    </row>
    <row r="103" spans="1:17" ht="18" customHeight="1" x14ac:dyDescent="0.25">
      <c r="A103" s="32" t="str">
        <f>IF(B103="","",COUNT($B$15:B103))</f>
        <v/>
      </c>
      <c r="B103" s="27"/>
      <c r="C103" s="33" t="str">
        <f t="shared" si="14"/>
        <v/>
      </c>
      <c r="D103" s="34"/>
      <c r="E103" s="34"/>
      <c r="F103" s="35"/>
      <c r="G103" s="36" t="str">
        <f t="shared" si="15"/>
        <v/>
      </c>
      <c r="H103" s="36" t="str">
        <f t="shared" si="16"/>
        <v/>
      </c>
      <c r="I103" s="37" t="str">
        <f t="shared" si="17"/>
        <v/>
      </c>
      <c r="J103" s="38"/>
      <c r="K103" s="39" t="str">
        <f t="shared" si="18"/>
        <v/>
      </c>
      <c r="L103" s="36" t="str">
        <f t="shared" si="19"/>
        <v/>
      </c>
      <c r="M103" s="38"/>
      <c r="N103" s="40" t="str">
        <f t="shared" si="20"/>
        <v/>
      </c>
      <c r="O103" s="38"/>
      <c r="P103" s="41"/>
      <c r="Q103" s="38"/>
    </row>
    <row r="104" spans="1:17" ht="18" customHeight="1" x14ac:dyDescent="0.25">
      <c r="A104" s="42" t="str">
        <f>IF(B104="","",COUNT($B$15:B104))</f>
        <v/>
      </c>
      <c r="B104" s="43"/>
      <c r="C104" s="33" t="str">
        <f t="shared" si="14"/>
        <v/>
      </c>
      <c r="D104" s="44"/>
      <c r="E104" s="44"/>
      <c r="F104" s="45"/>
      <c r="G104" s="36" t="str">
        <f t="shared" si="15"/>
        <v/>
      </c>
      <c r="H104" s="36" t="str">
        <f t="shared" si="16"/>
        <v/>
      </c>
      <c r="I104" s="37" t="str">
        <f t="shared" si="17"/>
        <v/>
      </c>
      <c r="J104" s="46"/>
      <c r="K104" s="39" t="str">
        <f t="shared" si="18"/>
        <v/>
      </c>
      <c r="L104" s="36" t="str">
        <f t="shared" si="19"/>
        <v/>
      </c>
      <c r="M104" s="46"/>
      <c r="N104" s="40" t="str">
        <f t="shared" si="20"/>
        <v/>
      </c>
      <c r="O104" s="46"/>
      <c r="P104" s="47"/>
      <c r="Q104" s="46"/>
    </row>
    <row r="105" spans="1:17" ht="18" customHeight="1" x14ac:dyDescent="0.25">
      <c r="A105" s="32" t="str">
        <f>IF(B105="","",COUNT($B$15:B105))</f>
        <v/>
      </c>
      <c r="B105" s="27"/>
      <c r="C105" s="33" t="str">
        <f t="shared" si="14"/>
        <v/>
      </c>
      <c r="D105" s="34"/>
      <c r="E105" s="34"/>
      <c r="F105" s="35"/>
      <c r="G105" s="36" t="str">
        <f t="shared" si="15"/>
        <v/>
      </c>
      <c r="H105" s="36" t="str">
        <f t="shared" si="16"/>
        <v/>
      </c>
      <c r="I105" s="37" t="str">
        <f t="shared" si="17"/>
        <v/>
      </c>
      <c r="J105" s="38"/>
      <c r="K105" s="39" t="str">
        <f t="shared" si="18"/>
        <v/>
      </c>
      <c r="L105" s="36" t="str">
        <f t="shared" si="19"/>
        <v/>
      </c>
      <c r="M105" s="38"/>
      <c r="N105" s="40" t="str">
        <f t="shared" si="20"/>
        <v/>
      </c>
      <c r="O105" s="38"/>
      <c r="P105" s="41"/>
      <c r="Q105" s="38"/>
    </row>
    <row r="106" spans="1:17" ht="18" customHeight="1" x14ac:dyDescent="0.25">
      <c r="A106" s="42" t="str">
        <f>IF(B106="","",COUNT($B$15:B106))</f>
        <v/>
      </c>
      <c r="B106" s="43"/>
      <c r="C106" s="33" t="str">
        <f t="shared" si="14"/>
        <v/>
      </c>
      <c r="D106" s="44"/>
      <c r="E106" s="44"/>
      <c r="F106" s="45"/>
      <c r="G106" s="36" t="str">
        <f t="shared" si="15"/>
        <v/>
      </c>
      <c r="H106" s="36" t="str">
        <f t="shared" si="16"/>
        <v/>
      </c>
      <c r="I106" s="37" t="str">
        <f t="shared" si="17"/>
        <v/>
      </c>
      <c r="J106" s="46"/>
      <c r="K106" s="39" t="str">
        <f t="shared" si="18"/>
        <v/>
      </c>
      <c r="L106" s="36" t="str">
        <f t="shared" si="19"/>
        <v/>
      </c>
      <c r="M106" s="46"/>
      <c r="N106" s="40" t="str">
        <f t="shared" si="20"/>
        <v/>
      </c>
      <c r="O106" s="46"/>
      <c r="P106" s="47"/>
      <c r="Q106" s="46"/>
    </row>
    <row r="107" spans="1:17" ht="18" customHeight="1" x14ac:dyDescent="0.25">
      <c r="A107" s="32" t="str">
        <f>IF(B107="","",COUNT($B$15:B107))</f>
        <v/>
      </c>
      <c r="B107" s="27"/>
      <c r="C107" s="33" t="str">
        <f t="shared" si="14"/>
        <v/>
      </c>
      <c r="D107" s="34"/>
      <c r="E107" s="34"/>
      <c r="F107" s="35"/>
      <c r="G107" s="36" t="str">
        <f t="shared" si="15"/>
        <v/>
      </c>
      <c r="H107" s="36" t="str">
        <f t="shared" si="16"/>
        <v/>
      </c>
      <c r="I107" s="37" t="str">
        <f t="shared" si="17"/>
        <v/>
      </c>
      <c r="J107" s="38"/>
      <c r="K107" s="39" t="str">
        <f t="shared" si="18"/>
        <v/>
      </c>
      <c r="L107" s="36" t="str">
        <f t="shared" si="19"/>
        <v/>
      </c>
      <c r="M107" s="38"/>
      <c r="N107" s="40" t="str">
        <f t="shared" si="20"/>
        <v/>
      </c>
      <c r="O107" s="38"/>
      <c r="P107" s="41"/>
      <c r="Q107" s="38"/>
    </row>
    <row r="108" spans="1:17" ht="18" customHeight="1" x14ac:dyDescent="0.25">
      <c r="A108" s="42" t="str">
        <f>IF(B108="","",COUNT($B$15:B108))</f>
        <v/>
      </c>
      <c r="B108" s="43"/>
      <c r="C108" s="33" t="str">
        <f t="shared" si="14"/>
        <v/>
      </c>
      <c r="D108" s="44"/>
      <c r="E108" s="44"/>
      <c r="F108" s="45"/>
      <c r="G108" s="36" t="str">
        <f t="shared" si="15"/>
        <v/>
      </c>
      <c r="H108" s="36" t="str">
        <f t="shared" si="16"/>
        <v/>
      </c>
      <c r="I108" s="37" t="str">
        <f t="shared" si="17"/>
        <v/>
      </c>
      <c r="J108" s="46"/>
      <c r="K108" s="39" t="str">
        <f t="shared" si="18"/>
        <v/>
      </c>
      <c r="L108" s="36" t="str">
        <f t="shared" si="19"/>
        <v/>
      </c>
      <c r="M108" s="46"/>
      <c r="N108" s="40" t="str">
        <f t="shared" si="20"/>
        <v/>
      </c>
      <c r="O108" s="46"/>
      <c r="P108" s="47"/>
      <c r="Q108" s="46"/>
    </row>
    <row r="109" spans="1:17" ht="18" customHeight="1" x14ac:dyDescent="0.25">
      <c r="A109" s="32" t="str">
        <f>IF(B109="","",COUNT($B$15:B109))</f>
        <v/>
      </c>
      <c r="B109" s="27"/>
      <c r="C109" s="33" t="str">
        <f t="shared" si="14"/>
        <v/>
      </c>
      <c r="D109" s="34"/>
      <c r="E109" s="34"/>
      <c r="F109" s="35"/>
      <c r="G109" s="36" t="str">
        <f t="shared" si="15"/>
        <v/>
      </c>
      <c r="H109" s="36" t="str">
        <f t="shared" si="16"/>
        <v/>
      </c>
      <c r="I109" s="37" t="str">
        <f t="shared" si="17"/>
        <v/>
      </c>
      <c r="J109" s="38"/>
      <c r="K109" s="39" t="str">
        <f t="shared" si="18"/>
        <v/>
      </c>
      <c r="L109" s="36" t="str">
        <f t="shared" si="19"/>
        <v/>
      </c>
      <c r="M109" s="38"/>
      <c r="N109" s="40" t="str">
        <f t="shared" si="20"/>
        <v/>
      </c>
      <c r="O109" s="38"/>
      <c r="P109" s="41"/>
      <c r="Q109" s="38"/>
    </row>
    <row r="110" spans="1:17" ht="18" customHeight="1" x14ac:dyDescent="0.25">
      <c r="A110" s="42" t="str">
        <f>IF(B110="","",COUNT($B$15:B110))</f>
        <v/>
      </c>
      <c r="B110" s="43"/>
      <c r="C110" s="33" t="str">
        <f t="shared" si="14"/>
        <v/>
      </c>
      <c r="D110" s="44"/>
      <c r="E110" s="44"/>
      <c r="F110" s="45"/>
      <c r="G110" s="36" t="str">
        <f t="shared" si="15"/>
        <v/>
      </c>
      <c r="H110" s="36" t="str">
        <f t="shared" si="16"/>
        <v/>
      </c>
      <c r="I110" s="37" t="str">
        <f t="shared" si="17"/>
        <v/>
      </c>
      <c r="J110" s="46"/>
      <c r="K110" s="39" t="str">
        <f t="shared" si="18"/>
        <v/>
      </c>
      <c r="L110" s="36" t="str">
        <f t="shared" si="19"/>
        <v/>
      </c>
      <c r="M110" s="46"/>
      <c r="N110" s="40" t="str">
        <f t="shared" si="20"/>
        <v/>
      </c>
      <c r="O110" s="46"/>
      <c r="P110" s="47"/>
      <c r="Q110" s="46"/>
    </row>
    <row r="111" spans="1:17" ht="18" customHeight="1" x14ac:dyDescent="0.25">
      <c r="A111" s="32" t="str">
        <f>IF(B111="","",COUNT($B$15:B111))</f>
        <v/>
      </c>
      <c r="B111" s="27"/>
      <c r="C111" s="33" t="str">
        <f t="shared" si="14"/>
        <v/>
      </c>
      <c r="D111" s="34"/>
      <c r="E111" s="34"/>
      <c r="F111" s="35"/>
      <c r="G111" s="36" t="str">
        <f t="shared" si="15"/>
        <v/>
      </c>
      <c r="H111" s="36" t="str">
        <f t="shared" si="16"/>
        <v/>
      </c>
      <c r="I111" s="37" t="str">
        <f t="shared" si="17"/>
        <v/>
      </c>
      <c r="J111" s="38"/>
      <c r="K111" s="39" t="str">
        <f t="shared" si="18"/>
        <v/>
      </c>
      <c r="L111" s="36" t="str">
        <f t="shared" si="19"/>
        <v/>
      </c>
      <c r="M111" s="38"/>
      <c r="N111" s="40" t="str">
        <f t="shared" si="20"/>
        <v/>
      </c>
      <c r="O111" s="38"/>
      <c r="P111" s="41"/>
      <c r="Q111" s="38"/>
    </row>
    <row r="112" spans="1:17" ht="18" customHeight="1" x14ac:dyDescent="0.25">
      <c r="A112" s="42" t="str">
        <f>IF(B112="","",COUNT($B$15:B112))</f>
        <v/>
      </c>
      <c r="B112" s="43"/>
      <c r="C112" s="33" t="str">
        <f t="shared" si="14"/>
        <v/>
      </c>
      <c r="D112" s="44"/>
      <c r="E112" s="44"/>
      <c r="F112" s="45"/>
      <c r="G112" s="36" t="str">
        <f t="shared" si="15"/>
        <v/>
      </c>
      <c r="H112" s="36" t="str">
        <f t="shared" si="16"/>
        <v/>
      </c>
      <c r="I112" s="37" t="str">
        <f t="shared" si="17"/>
        <v/>
      </c>
      <c r="J112" s="46"/>
      <c r="K112" s="39" t="str">
        <f t="shared" si="18"/>
        <v/>
      </c>
      <c r="L112" s="36" t="str">
        <f t="shared" si="19"/>
        <v/>
      </c>
      <c r="M112" s="46"/>
      <c r="N112" s="40" t="str">
        <f t="shared" si="20"/>
        <v/>
      </c>
      <c r="O112" s="46"/>
      <c r="P112" s="47"/>
      <c r="Q112" s="46"/>
    </row>
    <row r="113" spans="1:17" ht="18" customHeight="1" x14ac:dyDescent="0.25">
      <c r="A113" s="32" t="str">
        <f>IF(B113="","",COUNT($B$15:B113))</f>
        <v/>
      </c>
      <c r="B113" s="27"/>
      <c r="C113" s="33" t="str">
        <f t="shared" si="14"/>
        <v/>
      </c>
      <c r="D113" s="34"/>
      <c r="E113" s="34"/>
      <c r="F113" s="35"/>
      <c r="G113" s="36" t="str">
        <f t="shared" si="15"/>
        <v/>
      </c>
      <c r="H113" s="36" t="str">
        <f t="shared" si="16"/>
        <v/>
      </c>
      <c r="I113" s="37" t="str">
        <f t="shared" si="17"/>
        <v/>
      </c>
      <c r="J113" s="38"/>
      <c r="K113" s="39" t="str">
        <f t="shared" si="18"/>
        <v/>
      </c>
      <c r="L113" s="36" t="str">
        <f t="shared" si="19"/>
        <v/>
      </c>
      <c r="M113" s="38"/>
      <c r="N113" s="40" t="str">
        <f t="shared" si="20"/>
        <v/>
      </c>
      <c r="O113" s="38"/>
      <c r="P113" s="41"/>
      <c r="Q113" s="38"/>
    </row>
    <row r="114" spans="1:17" ht="18" customHeight="1" x14ac:dyDescent="0.25">
      <c r="A114" s="42" t="str">
        <f>IF(B114="","",COUNT($B$15:B114))</f>
        <v/>
      </c>
      <c r="B114" s="43"/>
      <c r="C114" s="33" t="str">
        <f t="shared" si="14"/>
        <v/>
      </c>
      <c r="D114" s="44"/>
      <c r="E114" s="44"/>
      <c r="F114" s="45"/>
      <c r="G114" s="36" t="str">
        <f t="shared" si="15"/>
        <v/>
      </c>
      <c r="H114" s="36" t="str">
        <f t="shared" si="16"/>
        <v/>
      </c>
      <c r="I114" s="37" t="str">
        <f t="shared" si="17"/>
        <v/>
      </c>
      <c r="J114" s="46"/>
      <c r="K114" s="39" t="str">
        <f t="shared" si="18"/>
        <v/>
      </c>
      <c r="L114" s="36" t="str">
        <f t="shared" si="19"/>
        <v/>
      </c>
      <c r="M114" s="46"/>
      <c r="N114" s="40" t="str">
        <f t="shared" si="20"/>
        <v/>
      </c>
      <c r="O114" s="46"/>
      <c r="P114" s="47"/>
      <c r="Q114" s="46"/>
    </row>
    <row r="115" spans="1:17" ht="24" customHeight="1" x14ac:dyDescent="0.25">
      <c r="A115" s="2" t="s">
        <v>117</v>
      </c>
      <c r="B115" s="2"/>
      <c r="C115" s="2"/>
      <c r="D115" s="2"/>
      <c r="E115" s="2"/>
      <c r="F115" s="2"/>
      <c r="G115" s="49">
        <f>SUM(G15:G114)</f>
        <v>260.50000000000017</v>
      </c>
      <c r="H115" s="50">
        <f>SUM(H15:H114)</f>
        <v>192</v>
      </c>
      <c r="I115" s="49">
        <f>SUM(I15:I114)</f>
        <v>68.500000000000114</v>
      </c>
      <c r="J115" s="51"/>
      <c r="K115" s="51"/>
      <c r="L115" s="49">
        <f>SUM(L15:L114)</f>
        <v>94.125000000000185</v>
      </c>
      <c r="M115" s="51"/>
      <c r="N115" s="52">
        <f>SUM(N15:N114)</f>
        <v>1869.656250000002</v>
      </c>
      <c r="O115" s="1"/>
      <c r="P115" s="1"/>
      <c r="Q115" s="1"/>
    </row>
    <row r="118" spans="1:17" ht="19.5" customHeight="1" x14ac:dyDescent="0.25">
      <c r="A118" s="9" t="s">
        <v>118</v>
      </c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</row>
    <row r="120" spans="1:17" x14ac:dyDescent="0.25">
      <c r="A120" s="53" t="s">
        <v>119</v>
      </c>
    </row>
    <row r="123" spans="1:17" ht="21.75" customHeight="1" x14ac:dyDescent="0.25">
      <c r="A123" s="65"/>
      <c r="B123" s="65"/>
      <c r="C123" s="65"/>
      <c r="D123" s="65"/>
      <c r="F123" s="65"/>
      <c r="G123" s="65"/>
      <c r="H123" s="65"/>
      <c r="I123" s="65"/>
      <c r="K123" s="65"/>
      <c r="L123" s="65"/>
      <c r="M123" s="65"/>
      <c r="N123" s="65"/>
      <c r="O123" s="65"/>
      <c r="P123" s="65"/>
      <c r="Q123" s="65"/>
    </row>
    <row r="124" spans="1:17" x14ac:dyDescent="0.25">
      <c r="A124" s="66" t="s">
        <v>120</v>
      </c>
      <c r="B124" s="66"/>
      <c r="C124" s="66"/>
      <c r="D124" s="66"/>
      <c r="F124" s="66" t="s">
        <v>121</v>
      </c>
      <c r="G124" s="66"/>
      <c r="H124" s="66"/>
      <c r="I124" s="66"/>
      <c r="K124" s="66" t="s">
        <v>122</v>
      </c>
      <c r="L124" s="66"/>
      <c r="M124" s="66"/>
      <c r="N124" s="66"/>
      <c r="O124" s="66" t="s">
        <v>123</v>
      </c>
      <c r="P124" s="66"/>
      <c r="Q124" s="66"/>
    </row>
  </sheetData>
  <mergeCells count="43">
    <mergeCell ref="A123:D123"/>
    <mergeCell ref="F123:I123"/>
    <mergeCell ref="K123:N123"/>
    <mergeCell ref="O123:Q123"/>
    <mergeCell ref="A124:D124"/>
    <mergeCell ref="F124:I124"/>
    <mergeCell ref="K124:N124"/>
    <mergeCell ref="O124:Q124"/>
    <mergeCell ref="P10:Q10"/>
    <mergeCell ref="A12:Q12"/>
    <mergeCell ref="A115:F115"/>
    <mergeCell ref="O115:Q115"/>
    <mergeCell ref="A118:Q118"/>
    <mergeCell ref="A10:B10"/>
    <mergeCell ref="C10:F10"/>
    <mergeCell ref="H10:J10"/>
    <mergeCell ref="K10:L10"/>
    <mergeCell ref="M10:O10"/>
    <mergeCell ref="P8:Q8"/>
    <mergeCell ref="A9:B9"/>
    <mergeCell ref="C9:F9"/>
    <mergeCell ref="H9:J9"/>
    <mergeCell ref="K9:L9"/>
    <mergeCell ref="M9:O9"/>
    <mergeCell ref="P9:Q9"/>
    <mergeCell ref="A8:B8"/>
    <mergeCell ref="C8:F8"/>
    <mergeCell ref="H8:J8"/>
    <mergeCell ref="K8:L8"/>
    <mergeCell ref="M8:O8"/>
    <mergeCell ref="A6:F6"/>
    <mergeCell ref="H6:Q6"/>
    <mergeCell ref="A7:B7"/>
    <mergeCell ref="C7:F7"/>
    <mergeCell ref="H7:J7"/>
    <mergeCell ref="K7:L7"/>
    <mergeCell ref="M7:O7"/>
    <mergeCell ref="P7:Q7"/>
    <mergeCell ref="A1:Q1"/>
    <mergeCell ref="A2:H2"/>
    <mergeCell ref="I2:Q2"/>
    <mergeCell ref="A3:Q3"/>
    <mergeCell ref="A4:Q4"/>
  </mergeCells>
  <conditionalFormatting sqref="A15:Q114">
    <cfRule type="expression" dxfId="4" priority="2">
      <formula>AND($B15&lt;&gt;"",COUNTIF(Feiertage,$B15)&gt;0)</formula>
    </cfRule>
    <cfRule type="expression" dxfId="3" priority="3">
      <formula>AND($B15&lt;&gt;"",WEEKDAY($B15,2)&gt;5)</formula>
    </cfRule>
  </conditionalFormatting>
  <conditionalFormatting sqref="I15:I114">
    <cfRule type="cellIs" dxfId="2" priority="4" operator="lessThan">
      <formula>0</formula>
    </cfRule>
  </conditionalFormatting>
  <conditionalFormatting sqref="M15:M114">
    <cfRule type="expression" dxfId="1" priority="5">
      <formula>$M15="Offen"</formula>
    </cfRule>
  </conditionalFormatting>
  <dataValidations count="3">
    <dataValidation type="list" allowBlank="1" promptTitle="Auswahlliste" prompt="Zuschlagsart auswählen" sqref="J15:J114" xr:uid="{00000000-0002-0000-0100-000000000000}">
      <formula1>Zuschlagsarten</formula1>
      <formula2>0</formula2>
    </dataValidation>
    <dataValidation type="list" allowBlank="1" promptTitle="Auswahlliste" prompt="Auszahlung, Freizeitausgleich oder Offen" sqref="M15:M114" xr:uid="{00000000-0002-0000-0100-000001000000}">
      <formula1>Ausgleichsarten</formula1>
      <formula2>0</formula2>
    </dataValidation>
    <dataValidation type="whole" allowBlank="1" errorTitle="Ungültige Eingabe" error="Bitte Pausendauer in Minuten (0–480) eingeben." sqref="F15:F114" xr:uid="{00000000-0002-0000-0100-000002000000}">
      <formula1>0</formula1>
      <formula2>480</formula2>
    </dataValidation>
  </dataValidations>
  <pageMargins left="0.75" right="0.75" top="1" bottom="1" header="0.511811023622047" footer="0.511811023622047"/>
  <pageSetup paperSize="9" fitToHeight="0" orientation="landscape" horizontalDpi="300" verticalDpi="30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1"/>
  <sheetViews>
    <sheetView showGridLines="0" zoomScaleNormal="100" workbookViewId="0">
      <pane ySplit="6" topLeftCell="A7" activePane="bottomLeft" state="frozen"/>
      <selection pane="bottomLeft"/>
    </sheetView>
  </sheetViews>
  <sheetFormatPr baseColWidth="10" defaultColWidth="8.7109375" defaultRowHeight="15" x14ac:dyDescent="0.25"/>
  <cols>
    <col min="1" max="1" width="4" customWidth="1"/>
    <col min="2" max="2" width="16" customWidth="1"/>
    <col min="3" max="4" width="13" customWidth="1"/>
    <col min="5" max="5" width="14" customWidth="1"/>
    <col min="6" max="6" width="13" customWidth="1"/>
    <col min="7" max="7" width="16" customWidth="1"/>
    <col min="8" max="8" width="12" customWidth="1"/>
    <col min="9" max="9" width="14" customWidth="1"/>
    <col min="10" max="10" width="16" customWidth="1"/>
    <col min="11" max="11" width="18" customWidth="1"/>
  </cols>
  <sheetData>
    <row r="1" spans="1:11" ht="6" customHeigh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31.5" customHeight="1" x14ac:dyDescent="0.25">
      <c r="A2" s="68" t="s">
        <v>124</v>
      </c>
      <c r="B2" s="68"/>
      <c r="C2" s="68"/>
      <c r="D2" s="68"/>
      <c r="E2" s="68"/>
      <c r="F2" s="68"/>
      <c r="G2" s="68"/>
      <c r="H2" s="69" t="str">
        <f>"Stundensatz: "&amp;TEXT(Stundensatz,"#,##0.00")&amp;" €  ·  Tagessoll: "&amp;TEXT(Tagessoll,"#,##0.00")&amp;" h"</f>
        <v>Stundensatz: 24,5000 €  ·  Tagessoll: 8,000 h</v>
      </c>
      <c r="I2" s="69"/>
      <c r="J2" s="69"/>
      <c r="K2" s="69"/>
    </row>
    <row r="3" spans="1:11" x14ac:dyDescent="0.25">
      <c r="A3" s="11" t="s">
        <v>125</v>
      </c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ht="3.75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6" spans="1:11" ht="30" customHeight="1" x14ac:dyDescent="0.25">
      <c r="B6" s="31" t="s">
        <v>126</v>
      </c>
      <c r="C6" s="31" t="s">
        <v>127</v>
      </c>
      <c r="D6" s="31" t="s">
        <v>74</v>
      </c>
      <c r="E6" s="31" t="s">
        <v>76</v>
      </c>
      <c r="F6" s="31" t="s">
        <v>128</v>
      </c>
      <c r="G6" s="31" t="s">
        <v>129</v>
      </c>
      <c r="H6" s="31" t="s">
        <v>130</v>
      </c>
      <c r="I6" s="31" t="s">
        <v>131</v>
      </c>
      <c r="J6" s="31" t="s">
        <v>132</v>
      </c>
      <c r="K6" s="31" t="s">
        <v>133</v>
      </c>
    </row>
    <row r="7" spans="1:11" ht="18.75" customHeight="1" x14ac:dyDescent="0.25">
      <c r="B7" s="54" t="s">
        <v>134</v>
      </c>
      <c r="C7" s="55">
        <f>COUNTIFS(Überstundenerfassung!$B$15:$B$114,"&gt;="&amp;DATE(Jahr,1,1),Überstundenerfassung!$B$15:$B$114,"&lt;="&amp;DATE(Jahr,2,0))</f>
        <v>5</v>
      </c>
      <c r="D7" s="56">
        <f>SUMIFS(Überstundenerfassung!$G$15:$G$114,Überstundenerfassung!$B$15:$B$114,"&gt;="&amp;DATE(Jahr,1,1),Überstundenerfassung!$B$15:$B$114,"&lt;="&amp;DATE(Jahr,2,0))</f>
        <v>45.249999999999993</v>
      </c>
      <c r="E7" s="57">
        <f>SUMIFS(Überstundenerfassung!$I$15:$I$114,Überstundenerfassung!$B$15:$B$114,"&gt;="&amp;DATE(Jahr,1,1),Überstundenerfassung!$B$15:$B$114,"&lt;="&amp;DATE(Jahr,2,0))</f>
        <v>13.249999999999995</v>
      </c>
      <c r="F7" s="56">
        <f>SUMIFS(Überstundenerfassung!$I$15:$I$114,Überstundenerfassung!$B$15:$B$114,"&gt;="&amp;DATE(Jahr,1,1),Überstundenerfassung!$B$15:$B$114,"&lt;="&amp;DATE(Jahr,2,0),Überstundenerfassung!$M$15:$M$114,"Auszahlung")</f>
        <v>11.499999999999986</v>
      </c>
      <c r="G7" s="56">
        <f>SUMIFS(Überstundenerfassung!$I$15:$I$114,Überstundenerfassung!$B$15:$B$114,"&gt;="&amp;DATE(Jahr,1,1),Überstundenerfassung!$B$15:$B$114,"&lt;="&amp;DATE(Jahr,2,0),Überstundenerfassung!$M$15:$M$114,"Freizeitausgleich")</f>
        <v>1.7500000000000089</v>
      </c>
      <c r="H7" s="56">
        <f>SUMIFS(Überstundenerfassung!$I$15:$I$114,Überstundenerfassung!$B$15:$B$114,"&gt;="&amp;DATE(Jahr,1,1),Überstundenerfassung!$B$15:$B$114,"&lt;="&amp;DATE(Jahr,2,0),Überstundenerfassung!$M$15:$M$114,"Offen")</f>
        <v>0</v>
      </c>
      <c r="I7" s="56">
        <f>SUMIFS(Überstundenerfassung!$L$15:$L$114,Überstundenerfassung!$B$15:$B$114,"&gt;="&amp;DATE(Jahr,1,1),Überstundenerfassung!$B$15:$B$114,"&lt;="&amp;DATE(Jahr,2,0))</f>
        <v>16.562499999999993</v>
      </c>
      <c r="J7" s="58">
        <f>SUMIFS(Überstundenerfassung!$N$15:$N$114,Überstundenerfassung!$B$15:$B$114,"&gt;="&amp;DATE(Jahr,1,1),Überstundenerfassung!$B$15:$B$114,"&lt;="&amp;DATE(Jahr,2,0))</f>
        <v>352.18749999999955</v>
      </c>
      <c r="K7" s="59">
        <f>E7-F7</f>
        <v>1.7500000000000089</v>
      </c>
    </row>
    <row r="8" spans="1:11" ht="18.75" customHeight="1" x14ac:dyDescent="0.25">
      <c r="B8" s="60" t="s">
        <v>135</v>
      </c>
      <c r="C8" s="61">
        <f>COUNTIFS(Überstundenerfassung!$B$15:$B$114,"&gt;="&amp;DATE(Jahr,2,1),Überstundenerfassung!$B$15:$B$114,"&lt;="&amp;DATE(Jahr,3,0))</f>
        <v>5</v>
      </c>
      <c r="D8" s="36">
        <f>SUMIFS(Überstundenerfassung!$G$15:$G$114,Überstundenerfassung!$B$15:$B$114,"&gt;="&amp;DATE(Jahr,2,1),Überstundenerfassung!$B$15:$B$114,"&lt;="&amp;DATE(Jahr,3,0))</f>
        <v>44.250000000000021</v>
      </c>
      <c r="E8" s="37">
        <f>SUMIFS(Überstundenerfassung!$I$15:$I$114,Überstundenerfassung!$B$15:$B$114,"&gt;="&amp;DATE(Jahr,2,1),Überstundenerfassung!$B$15:$B$114,"&lt;="&amp;DATE(Jahr,3,0))</f>
        <v>12.250000000000027</v>
      </c>
      <c r="F8" s="36">
        <f>SUMIFS(Überstundenerfassung!$I$15:$I$114,Überstundenerfassung!$B$15:$B$114,"&gt;="&amp;DATE(Jahr,2,1),Überstundenerfassung!$B$15:$B$114,"&lt;="&amp;DATE(Jahr,3,0),Überstundenerfassung!$M$15:$M$114,"Auszahlung")</f>
        <v>8.5</v>
      </c>
      <c r="G8" s="36">
        <f>SUMIFS(Überstundenerfassung!$I$15:$I$114,Überstundenerfassung!$B$15:$B$114,"&gt;="&amp;DATE(Jahr,2,1),Überstundenerfassung!$B$15:$B$114,"&lt;="&amp;DATE(Jahr,3,0),Überstundenerfassung!$M$15:$M$114,"Freizeitausgleich")</f>
        <v>3.0000000000000107</v>
      </c>
      <c r="H8" s="36">
        <f>SUMIFS(Überstundenerfassung!$I$15:$I$114,Überstundenerfassung!$B$15:$B$114,"&gt;="&amp;DATE(Jahr,2,1),Überstundenerfassung!$B$15:$B$114,"&lt;="&amp;DATE(Jahr,3,0),Überstundenerfassung!$M$15:$M$114,"Offen")</f>
        <v>0.75000000000001599</v>
      </c>
      <c r="I8" s="36">
        <f>SUMIFS(Überstundenerfassung!$L$15:$L$114,Überstundenerfassung!$B$15:$B$114,"&gt;="&amp;DATE(Jahr,2,1),Überstundenerfassung!$B$15:$B$114,"&lt;="&amp;DATE(Jahr,3,0))</f>
        <v>15.312500000000032</v>
      </c>
      <c r="J8" s="62">
        <f>SUMIFS(Überstundenerfassung!$N$15:$N$114,Überstundenerfassung!$B$15:$B$114,"&gt;="&amp;DATE(Jahr,2,1),Überstundenerfassung!$B$15:$B$114,"&lt;="&amp;DATE(Jahr,3,0))</f>
        <v>260.3125</v>
      </c>
      <c r="K8" s="63">
        <f t="shared" ref="K8:K18" si="0">K7+E8-F8</f>
        <v>5.5000000000000355</v>
      </c>
    </row>
    <row r="9" spans="1:11" ht="18.75" customHeight="1" x14ac:dyDescent="0.25">
      <c r="B9" s="54" t="s">
        <v>136</v>
      </c>
      <c r="C9" s="55">
        <f>COUNTIFS(Überstundenerfassung!$B$15:$B$114,"&gt;="&amp;DATE(Jahr,3,1),Überstundenerfassung!$B$15:$B$114,"&lt;="&amp;DATE(Jahr,4,0))</f>
        <v>5</v>
      </c>
      <c r="D9" s="56">
        <f>SUMIFS(Überstundenerfassung!$G$15:$G$114,Überstundenerfassung!$B$15:$B$114,"&gt;="&amp;DATE(Jahr,3,1),Überstundenerfassung!$B$15:$B$114,"&lt;="&amp;DATE(Jahr,4,0))</f>
        <v>45.750000000000028</v>
      </c>
      <c r="E9" s="57">
        <f>SUMIFS(Überstundenerfassung!$I$15:$I$114,Überstundenerfassung!$B$15:$B$114,"&gt;="&amp;DATE(Jahr,3,1),Überstundenerfassung!$B$15:$B$114,"&lt;="&amp;DATE(Jahr,4,0))</f>
        <v>13.750000000000028</v>
      </c>
      <c r="F9" s="56">
        <f>SUMIFS(Überstundenerfassung!$I$15:$I$114,Überstundenerfassung!$B$15:$B$114,"&gt;="&amp;DATE(Jahr,3,1),Überstundenerfassung!$B$15:$B$114,"&lt;="&amp;DATE(Jahr,4,0),Überstundenerfassung!$M$15:$M$114,"Auszahlung")</f>
        <v>11.500000000000028</v>
      </c>
      <c r="G9" s="56">
        <f>SUMIFS(Überstundenerfassung!$I$15:$I$114,Überstundenerfassung!$B$15:$B$114,"&gt;="&amp;DATE(Jahr,3,1),Überstundenerfassung!$B$15:$B$114,"&lt;="&amp;DATE(Jahr,4,0),Überstundenerfassung!$M$15:$M$114,"Freizeitausgleich")</f>
        <v>0.74999999999998401</v>
      </c>
      <c r="H9" s="56">
        <f>SUMIFS(Überstundenerfassung!$I$15:$I$114,Überstundenerfassung!$B$15:$B$114,"&gt;="&amp;DATE(Jahr,3,1),Überstundenerfassung!$B$15:$B$114,"&lt;="&amp;DATE(Jahr,4,0),Überstundenerfassung!$M$15:$M$114,"Offen")</f>
        <v>1.500000000000016</v>
      </c>
      <c r="I9" s="56">
        <f>SUMIFS(Überstundenerfassung!$L$15:$L$114,Überstundenerfassung!$B$15:$B$114,"&gt;="&amp;DATE(Jahr,3,1),Überstundenerfassung!$B$15:$B$114,"&lt;="&amp;DATE(Jahr,4,0))</f>
        <v>18.562500000000036</v>
      </c>
      <c r="J9" s="58">
        <f>SUMIFS(Überstundenerfassung!$N$15:$N$114,Überstundenerfassung!$B$15:$B$114,"&gt;="&amp;DATE(Jahr,3,1),Überstundenerfassung!$B$15:$B$114,"&lt;="&amp;DATE(Jahr,4,0))</f>
        <v>385.87500000000085</v>
      </c>
      <c r="K9" s="59">
        <f t="shared" si="0"/>
        <v>7.7500000000000355</v>
      </c>
    </row>
    <row r="10" spans="1:11" ht="18.75" customHeight="1" x14ac:dyDescent="0.25">
      <c r="B10" s="60" t="s">
        <v>137</v>
      </c>
      <c r="C10" s="61">
        <f>COUNTIFS(Überstundenerfassung!$B$15:$B$114,"&gt;="&amp;DATE(Jahr,4,1),Überstundenerfassung!$B$15:$B$114,"&lt;="&amp;DATE(Jahr,5,0))</f>
        <v>5</v>
      </c>
      <c r="D10" s="36">
        <f>SUMIFS(Überstundenerfassung!$G$15:$G$114,Überstundenerfassung!$B$15:$B$114,"&gt;="&amp;DATE(Jahr,4,1),Überstundenerfassung!$B$15:$B$114,"&lt;="&amp;DATE(Jahr,5,0))</f>
        <v>41.250000000000028</v>
      </c>
      <c r="E10" s="37">
        <f>SUMIFS(Überstundenerfassung!$I$15:$I$114,Überstundenerfassung!$B$15:$B$114,"&gt;="&amp;DATE(Jahr,4,1),Überstundenerfassung!$B$15:$B$114,"&lt;="&amp;DATE(Jahr,5,0))</f>
        <v>9.250000000000032</v>
      </c>
      <c r="F10" s="36">
        <f>SUMIFS(Überstundenerfassung!$I$15:$I$114,Überstundenerfassung!$B$15:$B$114,"&gt;="&amp;DATE(Jahr,4,1),Überstundenerfassung!$B$15:$B$114,"&lt;="&amp;DATE(Jahr,5,0),Überstundenerfassung!$M$15:$M$114,"Auszahlung")</f>
        <v>7.000000000000016</v>
      </c>
      <c r="G10" s="36">
        <f>SUMIFS(Überstundenerfassung!$I$15:$I$114,Überstundenerfassung!$B$15:$B$114,"&gt;="&amp;DATE(Jahr,4,1),Überstundenerfassung!$B$15:$B$114,"&lt;="&amp;DATE(Jahr,5,0),Überstundenerfassung!$M$15:$M$114,"Freizeitausgleich")</f>
        <v>2.0000000000000249</v>
      </c>
      <c r="H10" s="36">
        <f>SUMIFS(Überstundenerfassung!$I$15:$I$114,Überstundenerfassung!$B$15:$B$114,"&gt;="&amp;DATE(Jahr,4,1),Überstundenerfassung!$B$15:$B$114,"&lt;="&amp;DATE(Jahr,5,0),Überstundenerfassung!$M$15:$M$114,"Offen")</f>
        <v>0.24999999999999112</v>
      </c>
      <c r="I10" s="36">
        <f>SUMIFS(Überstundenerfassung!$L$15:$L$114,Überstundenerfassung!$B$15:$B$114,"&gt;="&amp;DATE(Jahr,4,1),Überstundenerfassung!$B$15:$B$114,"&lt;="&amp;DATE(Jahr,5,0))</f>
        <v>15.312500000000044</v>
      </c>
      <c r="J10" s="62">
        <f>SUMIFS(Überstundenerfassung!$N$15:$N$114,Überstundenerfassung!$B$15:$B$114,"&gt;="&amp;DATE(Jahr,4,1),Überstundenerfassung!$B$15:$B$114,"&lt;="&amp;DATE(Jahr,5,0))</f>
        <v>306.25000000000063</v>
      </c>
      <c r="K10" s="63">
        <f t="shared" si="0"/>
        <v>10.000000000000052</v>
      </c>
    </row>
    <row r="11" spans="1:11" ht="18.75" customHeight="1" x14ac:dyDescent="0.25">
      <c r="B11" s="54" t="s">
        <v>138</v>
      </c>
      <c r="C11" s="55">
        <f>COUNTIFS(Überstundenerfassung!$B$15:$B$114,"&gt;="&amp;DATE(Jahr,5,1),Überstundenerfassung!$B$15:$B$114,"&lt;="&amp;DATE(Jahr,6,0))</f>
        <v>5</v>
      </c>
      <c r="D11" s="56">
        <f>SUMIFS(Überstundenerfassung!$G$15:$G$114,Überstundenerfassung!$B$15:$B$114,"&gt;="&amp;DATE(Jahr,5,1),Überstundenerfassung!$B$15:$B$114,"&lt;="&amp;DATE(Jahr,6,0))</f>
        <v>37.750000000000028</v>
      </c>
      <c r="E11" s="57">
        <f>SUMIFS(Überstundenerfassung!$I$15:$I$114,Überstundenerfassung!$B$15:$B$114,"&gt;="&amp;DATE(Jahr,5,1),Überstundenerfassung!$B$15:$B$114,"&lt;="&amp;DATE(Jahr,6,0))</f>
        <v>13.750000000000027</v>
      </c>
      <c r="F11" s="56">
        <f>SUMIFS(Überstundenerfassung!$I$15:$I$114,Überstundenerfassung!$B$15:$B$114,"&gt;="&amp;DATE(Jahr,5,1),Überstundenerfassung!$B$15:$B$114,"&lt;="&amp;DATE(Jahr,6,0),Überstundenerfassung!$M$15:$M$114,"Auszahlung")</f>
        <v>12.000000000000009</v>
      </c>
      <c r="G11" s="56">
        <f>SUMIFS(Überstundenerfassung!$I$15:$I$114,Überstundenerfassung!$B$15:$B$114,"&gt;="&amp;DATE(Jahr,5,1),Überstundenerfassung!$B$15:$B$114,"&lt;="&amp;DATE(Jahr,6,0),Überstundenerfassung!$M$15:$M$114,"Freizeitausgleich")</f>
        <v>1.0000000000000018</v>
      </c>
      <c r="H11" s="56">
        <f>SUMIFS(Überstundenerfassung!$I$15:$I$114,Überstundenerfassung!$B$15:$B$114,"&gt;="&amp;DATE(Jahr,5,1),Überstundenerfassung!$B$15:$B$114,"&lt;="&amp;DATE(Jahr,6,0),Überstundenerfassung!$M$15:$M$114,"Offen")</f>
        <v>0.75000000000001599</v>
      </c>
      <c r="I11" s="56">
        <f>SUMIFS(Überstundenerfassung!$L$15:$L$114,Überstundenerfassung!$B$15:$B$114,"&gt;="&amp;DATE(Jahr,5,1),Überstundenerfassung!$B$15:$B$114,"&lt;="&amp;DATE(Jahr,6,0))</f>
        <v>20.562500000000043</v>
      </c>
      <c r="J11" s="58">
        <f>SUMIFS(Überstundenerfassung!$N$15:$N$114,Überstundenerfassung!$B$15:$B$114,"&gt;="&amp;DATE(Jahr,5,1),Überstundenerfassung!$B$15:$B$114,"&lt;="&amp;DATE(Jahr,6,0))</f>
        <v>450.18750000000057</v>
      </c>
      <c r="K11" s="59">
        <f t="shared" si="0"/>
        <v>11.750000000000069</v>
      </c>
    </row>
    <row r="12" spans="1:11" ht="18.75" customHeight="1" x14ac:dyDescent="0.25">
      <c r="B12" s="60" t="s">
        <v>139</v>
      </c>
      <c r="C12" s="61">
        <f>COUNTIFS(Überstundenerfassung!$B$15:$B$114,"&gt;="&amp;DATE(Jahr,6,1),Überstundenerfassung!$B$15:$B$114,"&lt;="&amp;DATE(Jahr,7,0))</f>
        <v>5</v>
      </c>
      <c r="D12" s="36">
        <f>SUMIFS(Überstundenerfassung!$G$15:$G$114,Überstundenerfassung!$B$15:$B$114,"&gt;="&amp;DATE(Jahr,6,1),Überstundenerfassung!$B$15:$B$114,"&lt;="&amp;DATE(Jahr,7,0))</f>
        <v>46.250000000000014</v>
      </c>
      <c r="E12" s="37">
        <f>SUMIFS(Überstundenerfassung!$I$15:$I$114,Überstundenerfassung!$B$15:$B$114,"&gt;="&amp;DATE(Jahr,6,1),Überstundenerfassung!$B$15:$B$114,"&lt;="&amp;DATE(Jahr,7,0))</f>
        <v>6.2500000000000178</v>
      </c>
      <c r="F12" s="36">
        <f>SUMIFS(Überstundenerfassung!$I$15:$I$114,Überstundenerfassung!$B$15:$B$114,"&gt;="&amp;DATE(Jahr,6,1),Überstundenerfassung!$B$15:$B$114,"&lt;="&amp;DATE(Jahr,7,0),Überstundenerfassung!$M$15:$M$114,"Auszahlung")</f>
        <v>3.750000000000016</v>
      </c>
      <c r="G12" s="36">
        <f>SUMIFS(Überstundenerfassung!$I$15:$I$114,Überstundenerfassung!$B$15:$B$114,"&gt;="&amp;DATE(Jahr,6,1),Überstundenerfassung!$B$15:$B$114,"&lt;="&amp;DATE(Jahr,7,0),Überstundenerfassung!$M$15:$M$114,"Freizeitausgleich")</f>
        <v>2.5000000000000178</v>
      </c>
      <c r="H12" s="36">
        <f>SUMIFS(Überstundenerfassung!$I$15:$I$114,Überstundenerfassung!$B$15:$B$114,"&gt;="&amp;DATE(Jahr,6,1),Überstundenerfassung!$B$15:$B$114,"&lt;="&amp;DATE(Jahr,7,0),Überstundenerfassung!$M$15:$M$114,"Offen")</f>
        <v>-1.5987211554602254E-14</v>
      </c>
      <c r="I12" s="36">
        <f>SUMIFS(Überstundenerfassung!$L$15:$L$114,Überstundenerfassung!$B$15:$B$114,"&gt;="&amp;DATE(Jahr,6,1),Überstundenerfassung!$B$15:$B$114,"&lt;="&amp;DATE(Jahr,7,0))</f>
        <v>7.8125000000000426</v>
      </c>
      <c r="J12" s="62">
        <f>SUMIFS(Überstundenerfassung!$N$15:$N$114,Überstundenerfassung!$B$15:$B$114,"&gt;="&amp;DATE(Jahr,6,1),Überstundenerfassung!$B$15:$B$114,"&lt;="&amp;DATE(Jahr,7,0))</f>
        <v>114.84375000000048</v>
      </c>
      <c r="K12" s="63">
        <f t="shared" si="0"/>
        <v>14.250000000000069</v>
      </c>
    </row>
    <row r="13" spans="1:11" ht="18.75" customHeight="1" x14ac:dyDescent="0.25">
      <c r="B13" s="54" t="s">
        <v>140</v>
      </c>
      <c r="C13" s="55">
        <f>COUNTIFS(Überstundenerfassung!$B$15:$B$114,"&gt;="&amp;DATE(Jahr,7,1),Überstundenerfassung!$B$15:$B$114,"&lt;="&amp;DATE(Jahr,8,0))</f>
        <v>0</v>
      </c>
      <c r="D13" s="56">
        <f>SUMIFS(Überstundenerfassung!$G$15:$G$114,Überstundenerfassung!$B$15:$B$114,"&gt;="&amp;DATE(Jahr,7,1),Überstundenerfassung!$B$15:$B$114,"&lt;="&amp;DATE(Jahr,8,0))</f>
        <v>0</v>
      </c>
      <c r="E13" s="57">
        <f>SUMIFS(Überstundenerfassung!$I$15:$I$114,Überstundenerfassung!$B$15:$B$114,"&gt;="&amp;DATE(Jahr,7,1),Überstundenerfassung!$B$15:$B$114,"&lt;="&amp;DATE(Jahr,8,0))</f>
        <v>0</v>
      </c>
      <c r="F13" s="56">
        <f>SUMIFS(Überstundenerfassung!$I$15:$I$114,Überstundenerfassung!$B$15:$B$114,"&gt;="&amp;DATE(Jahr,7,1),Überstundenerfassung!$B$15:$B$114,"&lt;="&amp;DATE(Jahr,8,0),Überstundenerfassung!$M$15:$M$114,"Auszahlung")</f>
        <v>0</v>
      </c>
      <c r="G13" s="56">
        <f>SUMIFS(Überstundenerfassung!$I$15:$I$114,Überstundenerfassung!$B$15:$B$114,"&gt;="&amp;DATE(Jahr,7,1),Überstundenerfassung!$B$15:$B$114,"&lt;="&amp;DATE(Jahr,8,0),Überstundenerfassung!$M$15:$M$114,"Freizeitausgleich")</f>
        <v>0</v>
      </c>
      <c r="H13" s="56">
        <f>SUMIFS(Überstundenerfassung!$I$15:$I$114,Überstundenerfassung!$B$15:$B$114,"&gt;="&amp;DATE(Jahr,7,1),Überstundenerfassung!$B$15:$B$114,"&lt;="&amp;DATE(Jahr,8,0),Überstundenerfassung!$M$15:$M$114,"Offen")</f>
        <v>0</v>
      </c>
      <c r="I13" s="56">
        <f>SUMIFS(Überstundenerfassung!$L$15:$L$114,Überstundenerfassung!$B$15:$B$114,"&gt;="&amp;DATE(Jahr,7,1),Überstundenerfassung!$B$15:$B$114,"&lt;="&amp;DATE(Jahr,8,0))</f>
        <v>0</v>
      </c>
      <c r="J13" s="58">
        <f>SUMIFS(Überstundenerfassung!$N$15:$N$114,Überstundenerfassung!$B$15:$B$114,"&gt;="&amp;DATE(Jahr,7,1),Überstundenerfassung!$B$15:$B$114,"&lt;="&amp;DATE(Jahr,8,0))</f>
        <v>0</v>
      </c>
      <c r="K13" s="59">
        <f t="shared" si="0"/>
        <v>14.250000000000069</v>
      </c>
    </row>
    <row r="14" spans="1:11" ht="18.75" customHeight="1" x14ac:dyDescent="0.25">
      <c r="B14" s="60" t="s">
        <v>141</v>
      </c>
      <c r="C14" s="61">
        <f>COUNTIFS(Überstundenerfassung!$B$15:$B$114,"&gt;="&amp;DATE(Jahr,8,1),Überstundenerfassung!$B$15:$B$114,"&lt;="&amp;DATE(Jahr,9,0))</f>
        <v>0</v>
      </c>
      <c r="D14" s="36">
        <f>SUMIFS(Überstundenerfassung!$G$15:$G$114,Überstundenerfassung!$B$15:$B$114,"&gt;="&amp;DATE(Jahr,8,1),Überstundenerfassung!$B$15:$B$114,"&lt;="&amp;DATE(Jahr,9,0))</f>
        <v>0</v>
      </c>
      <c r="E14" s="37">
        <f>SUMIFS(Überstundenerfassung!$I$15:$I$114,Überstundenerfassung!$B$15:$B$114,"&gt;="&amp;DATE(Jahr,8,1),Überstundenerfassung!$B$15:$B$114,"&lt;="&amp;DATE(Jahr,9,0))</f>
        <v>0</v>
      </c>
      <c r="F14" s="36">
        <f>SUMIFS(Überstundenerfassung!$I$15:$I$114,Überstundenerfassung!$B$15:$B$114,"&gt;="&amp;DATE(Jahr,8,1),Überstundenerfassung!$B$15:$B$114,"&lt;="&amp;DATE(Jahr,9,0),Überstundenerfassung!$M$15:$M$114,"Auszahlung")</f>
        <v>0</v>
      </c>
      <c r="G14" s="36">
        <f>SUMIFS(Überstundenerfassung!$I$15:$I$114,Überstundenerfassung!$B$15:$B$114,"&gt;="&amp;DATE(Jahr,8,1),Überstundenerfassung!$B$15:$B$114,"&lt;="&amp;DATE(Jahr,9,0),Überstundenerfassung!$M$15:$M$114,"Freizeitausgleich")</f>
        <v>0</v>
      </c>
      <c r="H14" s="36">
        <f>SUMIFS(Überstundenerfassung!$I$15:$I$114,Überstundenerfassung!$B$15:$B$114,"&gt;="&amp;DATE(Jahr,8,1),Überstundenerfassung!$B$15:$B$114,"&lt;="&amp;DATE(Jahr,9,0),Überstundenerfassung!$M$15:$M$114,"Offen")</f>
        <v>0</v>
      </c>
      <c r="I14" s="36">
        <f>SUMIFS(Überstundenerfassung!$L$15:$L$114,Überstundenerfassung!$B$15:$B$114,"&gt;="&amp;DATE(Jahr,8,1),Überstundenerfassung!$B$15:$B$114,"&lt;="&amp;DATE(Jahr,9,0))</f>
        <v>0</v>
      </c>
      <c r="J14" s="62">
        <f>SUMIFS(Überstundenerfassung!$N$15:$N$114,Überstundenerfassung!$B$15:$B$114,"&gt;="&amp;DATE(Jahr,8,1),Überstundenerfassung!$B$15:$B$114,"&lt;="&amp;DATE(Jahr,9,0))</f>
        <v>0</v>
      </c>
      <c r="K14" s="63">
        <f t="shared" si="0"/>
        <v>14.250000000000069</v>
      </c>
    </row>
    <row r="15" spans="1:11" ht="18.75" customHeight="1" x14ac:dyDescent="0.25">
      <c r="B15" s="54" t="s">
        <v>142</v>
      </c>
      <c r="C15" s="55">
        <f>COUNTIFS(Überstundenerfassung!$B$15:$B$114,"&gt;="&amp;DATE(Jahr,9,1),Überstundenerfassung!$B$15:$B$114,"&lt;="&amp;DATE(Jahr,10,0))</f>
        <v>0</v>
      </c>
      <c r="D15" s="56">
        <f>SUMIFS(Überstundenerfassung!$G$15:$G$114,Überstundenerfassung!$B$15:$B$114,"&gt;="&amp;DATE(Jahr,9,1),Überstundenerfassung!$B$15:$B$114,"&lt;="&amp;DATE(Jahr,10,0))</f>
        <v>0</v>
      </c>
      <c r="E15" s="57">
        <f>SUMIFS(Überstundenerfassung!$I$15:$I$114,Überstundenerfassung!$B$15:$B$114,"&gt;="&amp;DATE(Jahr,9,1),Überstundenerfassung!$B$15:$B$114,"&lt;="&amp;DATE(Jahr,10,0))</f>
        <v>0</v>
      </c>
      <c r="F15" s="56">
        <f>SUMIFS(Überstundenerfassung!$I$15:$I$114,Überstundenerfassung!$B$15:$B$114,"&gt;="&amp;DATE(Jahr,9,1),Überstundenerfassung!$B$15:$B$114,"&lt;="&amp;DATE(Jahr,10,0),Überstundenerfassung!$M$15:$M$114,"Auszahlung")</f>
        <v>0</v>
      </c>
      <c r="G15" s="56">
        <f>SUMIFS(Überstundenerfassung!$I$15:$I$114,Überstundenerfassung!$B$15:$B$114,"&gt;="&amp;DATE(Jahr,9,1),Überstundenerfassung!$B$15:$B$114,"&lt;="&amp;DATE(Jahr,10,0),Überstundenerfassung!$M$15:$M$114,"Freizeitausgleich")</f>
        <v>0</v>
      </c>
      <c r="H15" s="56">
        <f>SUMIFS(Überstundenerfassung!$I$15:$I$114,Überstundenerfassung!$B$15:$B$114,"&gt;="&amp;DATE(Jahr,9,1),Überstundenerfassung!$B$15:$B$114,"&lt;="&amp;DATE(Jahr,10,0),Überstundenerfassung!$M$15:$M$114,"Offen")</f>
        <v>0</v>
      </c>
      <c r="I15" s="56">
        <f>SUMIFS(Überstundenerfassung!$L$15:$L$114,Überstundenerfassung!$B$15:$B$114,"&gt;="&amp;DATE(Jahr,9,1),Überstundenerfassung!$B$15:$B$114,"&lt;="&amp;DATE(Jahr,10,0))</f>
        <v>0</v>
      </c>
      <c r="J15" s="58">
        <f>SUMIFS(Überstundenerfassung!$N$15:$N$114,Überstundenerfassung!$B$15:$B$114,"&gt;="&amp;DATE(Jahr,9,1),Überstundenerfassung!$B$15:$B$114,"&lt;="&amp;DATE(Jahr,10,0))</f>
        <v>0</v>
      </c>
      <c r="K15" s="59">
        <f t="shared" si="0"/>
        <v>14.250000000000069</v>
      </c>
    </row>
    <row r="16" spans="1:11" ht="18.75" customHeight="1" x14ac:dyDescent="0.25">
      <c r="B16" s="60" t="s">
        <v>143</v>
      </c>
      <c r="C16" s="61">
        <f>COUNTIFS(Überstundenerfassung!$B$15:$B$114,"&gt;="&amp;DATE(Jahr,10,1),Überstundenerfassung!$B$15:$B$114,"&lt;="&amp;DATE(Jahr,11,0))</f>
        <v>0</v>
      </c>
      <c r="D16" s="36">
        <f>SUMIFS(Überstundenerfassung!$G$15:$G$114,Überstundenerfassung!$B$15:$B$114,"&gt;="&amp;DATE(Jahr,10,1),Überstundenerfassung!$B$15:$B$114,"&lt;="&amp;DATE(Jahr,11,0))</f>
        <v>0</v>
      </c>
      <c r="E16" s="37">
        <f>SUMIFS(Überstundenerfassung!$I$15:$I$114,Überstundenerfassung!$B$15:$B$114,"&gt;="&amp;DATE(Jahr,10,1),Überstundenerfassung!$B$15:$B$114,"&lt;="&amp;DATE(Jahr,11,0))</f>
        <v>0</v>
      </c>
      <c r="F16" s="36">
        <f>SUMIFS(Überstundenerfassung!$I$15:$I$114,Überstundenerfassung!$B$15:$B$114,"&gt;="&amp;DATE(Jahr,10,1),Überstundenerfassung!$B$15:$B$114,"&lt;="&amp;DATE(Jahr,11,0),Überstundenerfassung!$M$15:$M$114,"Auszahlung")</f>
        <v>0</v>
      </c>
      <c r="G16" s="36">
        <f>SUMIFS(Überstundenerfassung!$I$15:$I$114,Überstundenerfassung!$B$15:$B$114,"&gt;="&amp;DATE(Jahr,10,1),Überstundenerfassung!$B$15:$B$114,"&lt;="&amp;DATE(Jahr,11,0),Überstundenerfassung!$M$15:$M$114,"Freizeitausgleich")</f>
        <v>0</v>
      </c>
      <c r="H16" s="36">
        <f>SUMIFS(Überstundenerfassung!$I$15:$I$114,Überstundenerfassung!$B$15:$B$114,"&gt;="&amp;DATE(Jahr,10,1),Überstundenerfassung!$B$15:$B$114,"&lt;="&amp;DATE(Jahr,11,0),Überstundenerfassung!$M$15:$M$114,"Offen")</f>
        <v>0</v>
      </c>
      <c r="I16" s="36">
        <f>SUMIFS(Überstundenerfassung!$L$15:$L$114,Überstundenerfassung!$B$15:$B$114,"&gt;="&amp;DATE(Jahr,10,1),Überstundenerfassung!$B$15:$B$114,"&lt;="&amp;DATE(Jahr,11,0))</f>
        <v>0</v>
      </c>
      <c r="J16" s="62">
        <f>SUMIFS(Überstundenerfassung!$N$15:$N$114,Überstundenerfassung!$B$15:$B$114,"&gt;="&amp;DATE(Jahr,10,1),Überstundenerfassung!$B$15:$B$114,"&lt;="&amp;DATE(Jahr,11,0))</f>
        <v>0</v>
      </c>
      <c r="K16" s="63">
        <f t="shared" si="0"/>
        <v>14.250000000000069</v>
      </c>
    </row>
    <row r="17" spans="2:11" ht="18.75" customHeight="1" x14ac:dyDescent="0.25">
      <c r="B17" s="54" t="s">
        <v>144</v>
      </c>
      <c r="C17" s="55">
        <f>COUNTIFS(Überstundenerfassung!$B$15:$B$114,"&gt;="&amp;DATE(Jahr,11,1),Überstundenerfassung!$B$15:$B$114,"&lt;="&amp;DATE(Jahr,12,0))</f>
        <v>0</v>
      </c>
      <c r="D17" s="56">
        <f>SUMIFS(Überstundenerfassung!$G$15:$G$114,Überstundenerfassung!$B$15:$B$114,"&gt;="&amp;DATE(Jahr,11,1),Überstundenerfassung!$B$15:$B$114,"&lt;="&amp;DATE(Jahr,12,0))</f>
        <v>0</v>
      </c>
      <c r="E17" s="57">
        <f>SUMIFS(Überstundenerfassung!$I$15:$I$114,Überstundenerfassung!$B$15:$B$114,"&gt;="&amp;DATE(Jahr,11,1),Überstundenerfassung!$B$15:$B$114,"&lt;="&amp;DATE(Jahr,12,0))</f>
        <v>0</v>
      </c>
      <c r="F17" s="56">
        <f>SUMIFS(Überstundenerfassung!$I$15:$I$114,Überstundenerfassung!$B$15:$B$114,"&gt;="&amp;DATE(Jahr,11,1),Überstundenerfassung!$B$15:$B$114,"&lt;="&amp;DATE(Jahr,12,0),Überstundenerfassung!$M$15:$M$114,"Auszahlung")</f>
        <v>0</v>
      </c>
      <c r="G17" s="56">
        <f>SUMIFS(Überstundenerfassung!$I$15:$I$114,Überstundenerfassung!$B$15:$B$114,"&gt;="&amp;DATE(Jahr,11,1),Überstundenerfassung!$B$15:$B$114,"&lt;="&amp;DATE(Jahr,12,0),Überstundenerfassung!$M$15:$M$114,"Freizeitausgleich")</f>
        <v>0</v>
      </c>
      <c r="H17" s="56">
        <f>SUMIFS(Überstundenerfassung!$I$15:$I$114,Überstundenerfassung!$B$15:$B$114,"&gt;="&amp;DATE(Jahr,11,1),Überstundenerfassung!$B$15:$B$114,"&lt;="&amp;DATE(Jahr,12,0),Überstundenerfassung!$M$15:$M$114,"Offen")</f>
        <v>0</v>
      </c>
      <c r="I17" s="56">
        <f>SUMIFS(Überstundenerfassung!$L$15:$L$114,Überstundenerfassung!$B$15:$B$114,"&gt;="&amp;DATE(Jahr,11,1),Überstundenerfassung!$B$15:$B$114,"&lt;="&amp;DATE(Jahr,12,0))</f>
        <v>0</v>
      </c>
      <c r="J17" s="58">
        <f>SUMIFS(Überstundenerfassung!$N$15:$N$114,Überstundenerfassung!$B$15:$B$114,"&gt;="&amp;DATE(Jahr,11,1),Überstundenerfassung!$B$15:$B$114,"&lt;="&amp;DATE(Jahr,12,0))</f>
        <v>0</v>
      </c>
      <c r="K17" s="59">
        <f t="shared" si="0"/>
        <v>14.250000000000069</v>
      </c>
    </row>
    <row r="18" spans="2:11" ht="18.75" customHeight="1" x14ac:dyDescent="0.25">
      <c r="B18" s="60" t="s">
        <v>145</v>
      </c>
      <c r="C18" s="61">
        <f>COUNTIFS(Überstundenerfassung!$B$15:$B$114,"&gt;="&amp;DATE(Jahr,12,1),Überstundenerfassung!$B$15:$B$114,"&lt;="&amp;DATE(Jahr,13,0))</f>
        <v>0</v>
      </c>
      <c r="D18" s="36">
        <f>SUMIFS(Überstundenerfassung!$G$15:$G$114,Überstundenerfassung!$B$15:$B$114,"&gt;="&amp;DATE(Jahr,12,1),Überstundenerfassung!$B$15:$B$114,"&lt;="&amp;DATE(Jahr,13,0))</f>
        <v>0</v>
      </c>
      <c r="E18" s="37">
        <f>SUMIFS(Überstundenerfassung!$I$15:$I$114,Überstundenerfassung!$B$15:$B$114,"&gt;="&amp;DATE(Jahr,12,1),Überstundenerfassung!$B$15:$B$114,"&lt;="&amp;DATE(Jahr,13,0))</f>
        <v>0</v>
      </c>
      <c r="F18" s="36">
        <f>SUMIFS(Überstundenerfassung!$I$15:$I$114,Überstundenerfassung!$B$15:$B$114,"&gt;="&amp;DATE(Jahr,12,1),Überstundenerfassung!$B$15:$B$114,"&lt;="&amp;DATE(Jahr,13,0),Überstundenerfassung!$M$15:$M$114,"Auszahlung")</f>
        <v>0</v>
      </c>
      <c r="G18" s="36">
        <f>SUMIFS(Überstundenerfassung!$I$15:$I$114,Überstundenerfassung!$B$15:$B$114,"&gt;="&amp;DATE(Jahr,12,1),Überstundenerfassung!$B$15:$B$114,"&lt;="&amp;DATE(Jahr,13,0),Überstundenerfassung!$M$15:$M$114,"Freizeitausgleich")</f>
        <v>0</v>
      </c>
      <c r="H18" s="36">
        <f>SUMIFS(Überstundenerfassung!$I$15:$I$114,Überstundenerfassung!$B$15:$B$114,"&gt;="&amp;DATE(Jahr,12,1),Überstundenerfassung!$B$15:$B$114,"&lt;="&amp;DATE(Jahr,13,0),Überstundenerfassung!$M$15:$M$114,"Offen")</f>
        <v>0</v>
      </c>
      <c r="I18" s="36">
        <f>SUMIFS(Überstundenerfassung!$L$15:$L$114,Überstundenerfassung!$B$15:$B$114,"&gt;="&amp;DATE(Jahr,12,1),Überstundenerfassung!$B$15:$B$114,"&lt;="&amp;DATE(Jahr,13,0))</f>
        <v>0</v>
      </c>
      <c r="J18" s="62">
        <f>SUMIFS(Überstundenerfassung!$N$15:$N$114,Überstundenerfassung!$B$15:$B$114,"&gt;="&amp;DATE(Jahr,12,1),Überstundenerfassung!$B$15:$B$114,"&lt;="&amp;DATE(Jahr,13,0))</f>
        <v>0</v>
      </c>
      <c r="K18" s="63">
        <f t="shared" si="0"/>
        <v>14.250000000000069</v>
      </c>
    </row>
    <row r="19" spans="2:11" ht="24" customHeight="1" x14ac:dyDescent="0.25">
      <c r="B19" s="48" t="s">
        <v>146</v>
      </c>
      <c r="C19" s="64">
        <f t="shared" ref="C19:J19" si="1">SUM(C7:C18)</f>
        <v>30</v>
      </c>
      <c r="D19" s="49">
        <f t="shared" si="1"/>
        <v>260.50000000000011</v>
      </c>
      <c r="E19" s="49">
        <f t="shared" si="1"/>
        <v>68.500000000000128</v>
      </c>
      <c r="F19" s="49">
        <f t="shared" si="1"/>
        <v>54.25000000000005</v>
      </c>
      <c r="G19" s="49">
        <f t="shared" si="1"/>
        <v>11.000000000000048</v>
      </c>
      <c r="H19" s="49">
        <f t="shared" si="1"/>
        <v>3.2500000000000231</v>
      </c>
      <c r="I19" s="49">
        <f t="shared" si="1"/>
        <v>94.125000000000185</v>
      </c>
      <c r="J19" s="52">
        <f t="shared" si="1"/>
        <v>1869.6562500000023</v>
      </c>
      <c r="K19" s="49">
        <f>K18</f>
        <v>14.250000000000069</v>
      </c>
    </row>
    <row r="21" spans="2:11" x14ac:dyDescent="0.25">
      <c r="B21" s="15" t="s">
        <v>147</v>
      </c>
    </row>
  </sheetData>
  <mergeCells count="5">
    <mergeCell ref="A1:K1"/>
    <mergeCell ref="A2:G2"/>
    <mergeCell ref="H2:K2"/>
    <mergeCell ref="A3:K3"/>
    <mergeCell ref="A4:K4"/>
  </mergeCells>
  <conditionalFormatting sqref="E7:E18">
    <cfRule type="cellIs" dxfId="0" priority="2" operator="greaterThan">
      <formula>Warnwert</formula>
    </cfRule>
  </conditionalFormatting>
  <pageMargins left="0.75" right="0.75" top="1" bottom="1" header="0.511811023622047" footer="0.511811023622047"/>
  <pageSetup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11</vt:i4>
      </vt:variant>
    </vt:vector>
  </HeadingPairs>
  <TitlesOfParts>
    <vt:vector size="14" baseType="lpstr">
      <vt:lpstr>Stammdaten</vt:lpstr>
      <vt:lpstr>Überstundenerfassung</vt:lpstr>
      <vt:lpstr>Monatsauswertung</vt:lpstr>
      <vt:lpstr>Ausgleichsarten</vt:lpstr>
      <vt:lpstr>Überstundenerfassung!Druckbereich</vt:lpstr>
      <vt:lpstr>Überstundenerfassung!Drucktitel</vt:lpstr>
      <vt:lpstr>Feiertage</vt:lpstr>
      <vt:lpstr>Jahr</vt:lpstr>
      <vt:lpstr>Stundensatz</vt:lpstr>
      <vt:lpstr>Tagessoll</vt:lpstr>
      <vt:lpstr>Warnwert</vt:lpstr>
      <vt:lpstr>Wochentage</vt:lpstr>
      <vt:lpstr>Zuschlagsarten</vt:lpstr>
      <vt:lpstr>Zuschlagssaetze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1</cp:revision>
  <dcterms:created xsi:type="dcterms:W3CDTF">2026-07-13T06:47:37Z</dcterms:created>
  <dcterms:modified xsi:type="dcterms:W3CDTF">2026-07-13T08:47:16Z</dcterms:modified>
  <dc:language>en-US</dc:language>
</cp:coreProperties>
</file>