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Reservierungen" sheetId="2" state="visible" r:id="rId4"/>
    <sheet name="Tisch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<sst xmlns="http://schemas.openxmlformats.org/spreadsheetml/2006/main" count="358" uniqueCount="227">
  <si>
    <t xml:space="preserve">TISCHRESERVIERUNG  ·  ÜBERSICHT 2026</t>
  </si>
  <si>
    <t xml:space="preserve">Restaurant Lindenhof  ·  Zusammenfassung aller Reservierungen aus dem Blatt „Reservierungen“</t>
  </si>
  <si>
    <t xml:space="preserve">Reservierungen gesamt</t>
  </si>
  <si>
    <t xml:space="preserve">Bestätigte Buchungen</t>
  </si>
  <si>
    <t xml:space="preserve">Angefragte Buchungen</t>
  </si>
  <si>
    <t xml:space="preserve">Stornierungen</t>
  </si>
  <si>
    <t xml:space="preserve">Gäste gesamt (netto)</t>
  </si>
  <si>
    <t xml:space="preserve">Ø Gäste pro Buchung</t>
  </si>
  <si>
    <t xml:space="preserve">Anzahlungen gesamt</t>
  </si>
  <si>
    <t xml:space="preserve">No-Show-Quote</t>
  </si>
  <si>
    <t xml:space="preserve">Verteilung nach Status</t>
  </si>
  <si>
    <t xml:space="preserve">Verteilung nach Anlass</t>
  </si>
  <si>
    <t xml:space="preserve">Status</t>
  </si>
  <si>
    <t xml:space="preserve">Anzahl</t>
  </si>
  <si>
    <t xml:space="preserve">Gäste</t>
  </si>
  <si>
    <t xml:space="preserve">Anteil</t>
  </si>
  <si>
    <t xml:space="preserve">Anlass</t>
  </si>
  <si>
    <t xml:space="preserve">Bestätigt</t>
  </si>
  <si>
    <t xml:space="preserve">Privat</t>
  </si>
  <si>
    <t xml:space="preserve">Angefragt</t>
  </si>
  <si>
    <t xml:space="preserve">Geschäftsessen</t>
  </si>
  <si>
    <t xml:space="preserve">Warteliste</t>
  </si>
  <si>
    <t xml:space="preserve">Geburtstag</t>
  </si>
  <si>
    <t xml:space="preserve">Storniert</t>
  </si>
  <si>
    <t xml:space="preserve">Jubiläum</t>
  </si>
  <si>
    <t xml:space="preserve">Kein Erschienen</t>
  </si>
  <si>
    <t xml:space="preserve">Familienfeier</t>
  </si>
  <si>
    <t xml:space="preserve">Abgeschlossen</t>
  </si>
  <si>
    <t xml:space="preserve">Verlobung</t>
  </si>
  <si>
    <t xml:space="preserve">Gesamt</t>
  </si>
  <si>
    <t xml:space="preserve">Firmenevent</t>
  </si>
  <si>
    <t xml:space="preserve">Hochzeit</t>
  </si>
  <si>
    <t xml:space="preserve">Sonstiges</t>
  </si>
  <si>
    <t xml:space="preserve">Reservierungen nach Wochentag</t>
  </si>
  <si>
    <t xml:space="preserve">Auslastung nach Bereich</t>
  </si>
  <si>
    <t xml:space="preserve">Wochentag</t>
  </si>
  <si>
    <t xml:space="preserve">Buchungen</t>
  </si>
  <si>
    <t xml:space="preserve">Ø Personen</t>
  </si>
  <si>
    <t xml:space="preserve">Bereich</t>
  </si>
  <si>
    <t xml:space="preserve">Ø Auslastung</t>
  </si>
  <si>
    <t xml:space="preserve">Montag</t>
  </si>
  <si>
    <t xml:space="preserve">Bar-Lounge</t>
  </si>
  <si>
    <t xml:space="preserve">Dienstag</t>
  </si>
  <si>
    <t xml:space="preserve">Innenbereich</t>
  </si>
  <si>
    <t xml:space="preserve">Mittwoch</t>
  </si>
  <si>
    <t xml:space="preserve">Séparée</t>
  </si>
  <si>
    <t xml:space="preserve">Donnerstag</t>
  </si>
  <si>
    <t xml:space="preserve">Terrasse</t>
  </si>
  <si>
    <t xml:space="preserve">Freitag</t>
  </si>
  <si>
    <t xml:space="preserve">Wintergarten</t>
  </si>
  <si>
    <t xml:space="preserve">Samstag</t>
  </si>
  <si>
    <t xml:space="preserve">Sonntag</t>
  </si>
  <si>
    <t xml:space="preserve">Alle Kennzahlen aktualisieren sich automatisch, sobald Sie im Blatt „Reservierungen“ Buchungen ergänzen oder ändern.</t>
  </si>
  <si>
    <t xml:space="preserve">RESERVIERUNGEN — Buchungsliste</t>
  </si>
  <si>
    <t xml:space="preserve">Legende:  ▪ Blaue Zellen = manuell erfassen  ▪ Dunkle Zellen = automatisch berechnet  ▪ Status, Anlass und Tisch per Dropdown wählen  ▪ Bei Überkapazität wird die Zelle rot markiert</t>
  </si>
  <si>
    <t xml:space="preserve">Res.-Nr.</t>
  </si>
  <si>
    <t xml:space="preserve">Datum</t>
  </si>
  <si>
    <t xml:space="preserve">Uhrzeit</t>
  </si>
  <si>
    <t xml:space="preserve">Gastname</t>
  </si>
  <si>
    <t xml:space="preserve">Telefon</t>
  </si>
  <si>
    <t xml:space="preserve">E-Mail</t>
  </si>
  <si>
    <t xml:space="preserve">Personen</t>
  </si>
  <si>
    <t xml:space="preserve">Tisch</t>
  </si>
  <si>
    <t xml:space="preserve">Kapazität</t>
  </si>
  <si>
    <t xml:space="preserve">Auslastung</t>
  </si>
  <si>
    <t xml:space="preserve">Anzahlung (€)</t>
  </si>
  <si>
    <t xml:space="preserve">Reserviert am</t>
  </si>
  <si>
    <t xml:space="preserve">Notizen / Sonderwünsche</t>
  </si>
  <si>
    <t xml:space="preserve">RES-2026-0001</t>
  </si>
  <si>
    <t xml:space="preserve">Simon Voigt</t>
  </si>
  <si>
    <t xml:space="preserve">+49 151 7904211</t>
  </si>
  <si>
    <t xml:space="preserve">simon.voigt@outlook.de</t>
  </si>
  <si>
    <t xml:space="preserve">T-07</t>
  </si>
  <si>
    <t xml:space="preserve">Zwei Hunde werden mitgebracht</t>
  </si>
  <si>
    <t xml:space="preserve">RES-2026-0002</t>
  </si>
  <si>
    <t xml:space="preserve">Sabrina Zimmermann</t>
  </si>
  <si>
    <t xml:space="preserve">+49 161 6515361</t>
  </si>
  <si>
    <t xml:space="preserve">sabrina.zimmermann@outlook.de</t>
  </si>
  <si>
    <t xml:space="preserve">T-14</t>
  </si>
  <si>
    <t xml:space="preserve">RES-2026-0003</t>
  </si>
  <si>
    <t xml:space="preserve">Sabrina Roth</t>
  </si>
  <si>
    <t xml:space="preserve">+49 154 2405116</t>
  </si>
  <si>
    <t xml:space="preserve">sabrina.roth@web.de</t>
  </si>
  <si>
    <t xml:space="preserve">T-06</t>
  </si>
  <si>
    <t xml:space="preserve">Vegetarisches Menü vorbestellt</t>
  </si>
  <si>
    <t xml:space="preserve">RES-2026-0004</t>
  </si>
  <si>
    <t xml:space="preserve">Verena Bergmann</t>
  </si>
  <si>
    <t xml:space="preserve">+49 178 4685377</t>
  </si>
  <si>
    <t xml:space="preserve">verena.bergmann@posteo.de</t>
  </si>
  <si>
    <t xml:space="preserve">Späte Ankunft ca. 20 Min.</t>
  </si>
  <si>
    <t xml:space="preserve">RES-2026-0005</t>
  </si>
  <si>
    <t xml:space="preserve">Fabian Herrmann</t>
  </si>
  <si>
    <t xml:space="preserve">+49 171 5593645</t>
  </si>
  <si>
    <t xml:space="preserve">fabian.herrmann@posteo.de</t>
  </si>
  <si>
    <t xml:space="preserve">T-05</t>
  </si>
  <si>
    <t xml:space="preserve">RES-2026-0006</t>
  </si>
  <si>
    <t xml:space="preserve">Carolin Richter</t>
  </si>
  <si>
    <t xml:space="preserve">+49 170 1869613</t>
  </si>
  <si>
    <t xml:space="preserve">carolin.richter@posteo.de</t>
  </si>
  <si>
    <t xml:space="preserve">T-04</t>
  </si>
  <si>
    <t xml:space="preserve">Kinderstuhl benötigt</t>
  </si>
  <si>
    <t xml:space="preserve">RES-2026-0007</t>
  </si>
  <si>
    <t xml:space="preserve">Julia Schuster</t>
  </si>
  <si>
    <t xml:space="preserve">+49 172 7746047</t>
  </si>
  <si>
    <t xml:space="preserve">julia.schuster@outlook.de</t>
  </si>
  <si>
    <t xml:space="preserve">T-11</t>
  </si>
  <si>
    <t xml:space="preserve">RES-2026-0008</t>
  </si>
  <si>
    <t xml:space="preserve">Sophie Hartmann</t>
  </si>
  <si>
    <t xml:space="preserve">+49 169 2822027</t>
  </si>
  <si>
    <t xml:space="preserve">sophie.hartmann@gmail.com</t>
  </si>
  <si>
    <t xml:space="preserve">RES-2026-0009</t>
  </si>
  <si>
    <t xml:space="preserve">Markus Böhm</t>
  </si>
  <si>
    <t xml:space="preserve">+49 156 1399047</t>
  </si>
  <si>
    <t xml:space="preserve">markus.boehm@t-online.de</t>
  </si>
  <si>
    <t xml:space="preserve">T-03</t>
  </si>
  <si>
    <t xml:space="preserve">Ruhiger Tisch gewünscht</t>
  </si>
  <si>
    <t xml:space="preserve">RES-2026-0010</t>
  </si>
  <si>
    <t xml:space="preserve">Stefan Kaufmann</t>
  </si>
  <si>
    <t xml:space="preserve">+49 157 4798266</t>
  </si>
  <si>
    <t xml:space="preserve">stefan.kaufmann@gmail.com</t>
  </si>
  <si>
    <t xml:space="preserve">T-08</t>
  </si>
  <si>
    <t xml:space="preserve">RES-2026-0011</t>
  </si>
  <si>
    <t xml:space="preserve">Tobias Zimmermann</t>
  </si>
  <si>
    <t xml:space="preserve">+49 163 2593792</t>
  </si>
  <si>
    <t xml:space="preserve">tobias.zimmermann@gmx.de</t>
  </si>
  <si>
    <t xml:space="preserve">RES-2026-0012</t>
  </si>
  <si>
    <t xml:space="preserve">Verena Kaufmann</t>
  </si>
  <si>
    <t xml:space="preserve">+49 163 8759790</t>
  </si>
  <si>
    <t xml:space="preserve">verena.kaufmann@gmail.com</t>
  </si>
  <si>
    <t xml:space="preserve">Glutenfrei für 1 Person</t>
  </si>
  <si>
    <t xml:space="preserve">RES-2026-0013</t>
  </si>
  <si>
    <t xml:space="preserve">Fabian Voigt</t>
  </si>
  <si>
    <t xml:space="preserve">+49 159 5932703</t>
  </si>
  <si>
    <t xml:space="preserve">fabian.voigt@posteo.de</t>
  </si>
  <si>
    <t xml:space="preserve">Rollstuhlgerechter Zugang nötig</t>
  </si>
  <si>
    <t xml:space="preserve">RES-2026-0014</t>
  </si>
  <si>
    <t xml:space="preserve">Hanna Lindner</t>
  </si>
  <si>
    <t xml:space="preserve">+49 176 5747251</t>
  </si>
  <si>
    <t xml:space="preserve">hanna.lindner@outlook.de</t>
  </si>
  <si>
    <t xml:space="preserve">T-12</t>
  </si>
  <si>
    <t xml:space="preserve">RES-2026-0015</t>
  </si>
  <si>
    <t xml:space="preserve">Anna Kaufmann</t>
  </si>
  <si>
    <t xml:space="preserve">+49 175 8698754</t>
  </si>
  <si>
    <t xml:space="preserve">anna.kaufmann@gmail.com</t>
  </si>
  <si>
    <t xml:space="preserve">T-17</t>
  </si>
  <si>
    <t xml:space="preserve">RES-2026-0016</t>
  </si>
  <si>
    <t xml:space="preserve">Anna Zimmermann</t>
  </si>
  <si>
    <t xml:space="preserve">+49 155 2530816</t>
  </si>
  <si>
    <t xml:space="preserve">anna.zimmermann@t-online.de</t>
  </si>
  <si>
    <t xml:space="preserve">RES-2026-0017</t>
  </si>
  <si>
    <t xml:space="preserve">Lena Lehmann</t>
  </si>
  <si>
    <t xml:space="preserve">+49 155 7097223</t>
  </si>
  <si>
    <t xml:space="preserve">lena.lehmann@gmx.de</t>
  </si>
  <si>
    <t xml:space="preserve">RES-2026-0018</t>
  </si>
  <si>
    <t xml:space="preserve">Anna Vogel</t>
  </si>
  <si>
    <t xml:space="preserve">+49 160 9487795</t>
  </si>
  <si>
    <t xml:space="preserve">anna.vogel@posteo.de</t>
  </si>
  <si>
    <t xml:space="preserve">T-15</t>
  </si>
  <si>
    <t xml:space="preserve">RES-2026-0019</t>
  </si>
  <si>
    <t xml:space="preserve">Sophie Kellner</t>
  </si>
  <si>
    <t xml:space="preserve">+49 166 3174123</t>
  </si>
  <si>
    <t xml:space="preserve">sophie.kellner@gmx.de</t>
  </si>
  <si>
    <t xml:space="preserve">RES-2026-0020</t>
  </si>
  <si>
    <t xml:space="preserve">Jonas Marquardt</t>
  </si>
  <si>
    <t xml:space="preserve">+49 171 1654217</t>
  </si>
  <si>
    <t xml:space="preserve">jonas.marquardt@posteo.de</t>
  </si>
  <si>
    <t xml:space="preserve">T-09</t>
  </si>
  <si>
    <t xml:space="preserve">Fensterplatz erwünscht</t>
  </si>
  <si>
    <t xml:space="preserve">RES-2026-0021</t>
  </si>
  <si>
    <t xml:space="preserve">Tobias Steiner</t>
  </si>
  <si>
    <t xml:space="preserve">+49 179 1423238</t>
  </si>
  <si>
    <t xml:space="preserve">tobias.steiner@posteo.de</t>
  </si>
  <si>
    <t xml:space="preserve">RES-2026-0022</t>
  </si>
  <si>
    <t xml:space="preserve">Miriam Neumann</t>
  </si>
  <si>
    <t xml:space="preserve">+49 155 6104052</t>
  </si>
  <si>
    <t xml:space="preserve">miriam.neumann@gmail.com</t>
  </si>
  <si>
    <t xml:space="preserve">RES-2026-0023</t>
  </si>
  <si>
    <t xml:space="preserve">Philipp Kellner</t>
  </si>
  <si>
    <t xml:space="preserve">+49 177 6210854</t>
  </si>
  <si>
    <t xml:space="preserve">philipp.kellner@posteo.de</t>
  </si>
  <si>
    <t xml:space="preserve">RES-2026-0024</t>
  </si>
  <si>
    <t xml:space="preserve">+49 157 8483342</t>
  </si>
  <si>
    <t xml:space="preserve">tobias.zimmermann@outlook.de</t>
  </si>
  <si>
    <t xml:space="preserve">TISCHE — Stammdaten &amp; Kapazität</t>
  </si>
  <si>
    <t xml:space="preserve">Erfassen Sie hier alle Tische Ihres Betriebs. Die Tisch-Nr. steht in der Reservierungsliste als Auswahl zur Verfügung; Kapazität wird automatisch übernommen.</t>
  </si>
  <si>
    <t xml:space="preserve">Tisch-Nr.</t>
  </si>
  <si>
    <t xml:space="preserve">Ausstattung</t>
  </si>
  <si>
    <t xml:space="preserve">Standard-Status</t>
  </si>
  <si>
    <t xml:space="preserve">Bemerkung</t>
  </si>
  <si>
    <t xml:space="preserve">T-01</t>
  </si>
  <si>
    <t xml:space="preserve">Fensterplatz, ruhig</t>
  </si>
  <si>
    <t xml:space="preserve">Aktiv</t>
  </si>
  <si>
    <t xml:space="preserve">Zwei-Personen-Nische</t>
  </si>
  <si>
    <t xml:space="preserve">T-02</t>
  </si>
  <si>
    <t xml:space="preserve">Fensterplatz</t>
  </si>
  <si>
    <t xml:space="preserve">Runder Tisch, zentral</t>
  </si>
  <si>
    <t xml:space="preserve">Rechteckig, Standard</t>
  </si>
  <si>
    <t xml:space="preserve">An der Weinwand</t>
  </si>
  <si>
    <t xml:space="preserve">Beliebt für Paare</t>
  </si>
  <si>
    <t xml:space="preserve">Große Rundplatte</t>
  </si>
  <si>
    <t xml:space="preserve">Familientisch, ausziehbar</t>
  </si>
  <si>
    <t xml:space="preserve">Bis 10 Pers. möglich</t>
  </si>
  <si>
    <t xml:space="preserve">Bistrotisch</t>
  </si>
  <si>
    <t xml:space="preserve">Saisonal</t>
  </si>
  <si>
    <t xml:space="preserve">April–Oktober</t>
  </si>
  <si>
    <t xml:space="preserve">Sonnenschirm inkl.</t>
  </si>
  <si>
    <t xml:space="preserve">T-10</t>
  </si>
  <si>
    <t xml:space="preserve">Blick auf Innenhof</t>
  </si>
  <si>
    <t xml:space="preserve">Große Gruppe, Eckplatz</t>
  </si>
  <si>
    <t xml:space="preserve">Verglast, beheizt</t>
  </si>
  <si>
    <t xml:space="preserve">T-13</t>
  </si>
  <si>
    <t xml:space="preserve">Runder Tisch, Panoramablick</t>
  </si>
  <si>
    <t xml:space="preserve">Privater Raum, Tür schließbar</t>
  </si>
  <si>
    <t xml:space="preserve">Aufpreis 25 €</t>
  </si>
  <si>
    <t xml:space="preserve">Großer Saal, Beamer möglich</t>
  </si>
  <si>
    <t xml:space="preserve">Für Firmen-Events</t>
  </si>
  <si>
    <t xml:space="preserve">T-16</t>
  </si>
  <si>
    <t xml:space="preserve">Hochtisch an der Bar</t>
  </si>
  <si>
    <t xml:space="preserve">Loungesofa</t>
  </si>
  <si>
    <t xml:space="preserve">T-18</t>
  </si>
  <si>
    <t xml:space="preserve">Stehtisch, informell</t>
  </si>
  <si>
    <t xml:space="preserve">Zusammenfassung</t>
  </si>
  <si>
    <t xml:space="preserve">Anzahl Tische gesamt</t>
  </si>
  <si>
    <t xml:space="preserve">Sitzplätze gesamt</t>
  </si>
  <si>
    <t xml:space="preserve">Ø Kapazität pro Tisch</t>
  </si>
  <si>
    <t xml:space="preserve">Aktive Tische</t>
  </si>
  <si>
    <t xml:space="preserve">Saisonale Tische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</si>
</sst>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#,##0"/>
    <numFmt numFmtId="167" formatCode="0.0"/>
    <numFmt numFmtId="168" formatCode="#,##0.00&quot; €&quot;"/>
    <numFmt numFmtId="169" formatCode="0.0%"/>
    <numFmt numFmtId="170" formatCode="General"/>
    <numFmt numFmtId="171" formatCode="dd\.mm\.yyyy"/>
    <numFmt numFmtId="172" formatCode="hh:mm"/>
    <numFmt numFmtId="173" formatCode="0%"/>
    <numFmt numFmtId="174" formatCode="#,##0.00&quot; €&quot;;\-#,##0.00&quot; €&quot;;\–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11"/>
      <color rgb="FF8B7A6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22"/>
      <color rgb="FF2E1B25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2E1B25"/>
      <name val="Calibri"/>
      <family val="0"/>
      <charset val="1"/>
    </font>
    <font>
      <sz val="10"/>
      <color rgb="FF1F1A1E"/>
      <name val="Calibri"/>
      <family val="0"/>
      <charset val="1"/>
    </font>
    <font>
      <sz val="10"/>
      <color rgb="FF2E1B25"/>
      <name val="Calibri"/>
      <family val="0"/>
      <charset val="1"/>
    </font>
    <font>
      <i val="true"/>
      <sz val="9"/>
      <color rgb="FF8B7A6B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2456A3"/>
      <name val="Calibri"/>
      <family val="0"/>
      <charset val="1"/>
    </font>
    <font>
      <i val="true"/>
      <sz val="10"/>
      <color rgb="FF8B7A6B"/>
      <name val="Calibri"/>
      <family val="0"/>
      <charset val="1"/>
    </font>
    <font>
      <b val="true"/>
      <sz val="12"/>
      <color rgb="FF2E1B25"/>
      <name val="Calibri"/>
      <family val="0"/>
      <charset val="1"/>
    </font>
    <font>
      <sz val="10"/>
      <color rgb="FF8B7A6B"/>
      <name val="Calibri"/>
      <family val="0"/>
      <charset val="1"/>
    </font>
    <font>
      <b val="true"/>
      <sz val="11"/>
      <color rgb="FF2E1B25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2E1B25"/>
        <bgColor rgb="FF1F1A1E"/>
      </patternFill>
    </fill>
    <fill>
      <patternFill patternType="solid">
        <fgColor rgb="FFB8934A"/>
        <bgColor rgb="FFB87333"/>
      </patternFill>
    </fill>
    <fill>
      <patternFill patternType="solid">
        <fgColor rgb="FF4A2C3D"/>
        <bgColor rgb="FF2E1B25"/>
      </patternFill>
    </fill>
    <fill>
      <patternFill patternType="solid">
        <fgColor rgb="FFF4EFE7"/>
        <bgColor rgb="FFF0EBDF"/>
      </patternFill>
    </fill>
    <fill>
      <patternFill patternType="solid">
        <fgColor rgb="FFEBE3D3"/>
        <bgColor rgb="FFF3E3CE"/>
      </patternFill>
    </fill>
    <fill>
      <patternFill patternType="solid">
        <fgColor rgb="FFFFFFFF"/>
        <bgColor rgb="FFF1F5FB"/>
      </patternFill>
    </fill>
    <fill>
      <patternFill patternType="solid">
        <fgColor rgb="FFE8EEF7"/>
        <bgColor rgb="FFF1F5FB"/>
      </patternFill>
    </fill>
    <fill>
      <patternFill patternType="solid">
        <fgColor rgb="FFF1F5FB"/>
        <bgColor rgb="FFE8EEF7"/>
      </patternFill>
    </fill>
    <fill>
      <patternFill patternType="solid">
        <fgColor rgb="FFF0EBDF"/>
        <bgColor rgb="FFF4EFE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>
        <color rgb="FFC9C0B3"/>
      </left>
      <right style="hair">
        <color rgb="FFC9C0B3"/>
      </right>
      <top style="hair">
        <color rgb="FFC9C0B3"/>
      </top>
      <bottom style="hair">
        <color rgb="FFC9C0B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70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70" fontId="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8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9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9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9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ill>
        <patternFill patternType="solid">
          <fgColor rgb="FF4A2C3D"/>
          <bgColor rgb="FF000000"/>
        </patternFill>
      </fill>
    </dxf>
    <dxf>
      <fill>
        <patternFill patternType="solid">
          <fgColor rgb="FFE8EEF7"/>
          <bgColor rgb="FF000000"/>
        </patternFill>
      </fill>
    </dxf>
    <dxf>
      <fill>
        <patternFill patternType="solid">
          <fgColor rgb="FFF1F5FB"/>
          <bgColor rgb="FF000000"/>
        </patternFill>
      </fill>
    </dxf>
    <dxf>
      <fill>
        <patternFill patternType="solid">
          <fgColor rgb="FF2456A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BE3D3"/>
          <bgColor rgb="FF000000"/>
        </patternFill>
      </fill>
    </dxf>
    <dxf>
      <fill>
        <patternFill patternType="solid">
          <fgColor rgb="FFF0EBDF"/>
          <bgColor rgb="FF000000"/>
        </patternFill>
      </fill>
    </dxf>
    <dxf>
      <fill>
        <patternFill patternType="solid">
          <fgColor rgb="FF8B7A6B"/>
          <bgColor rgb="FF000000"/>
        </patternFill>
      </fill>
    </dxf>
    <dxf>
      <fill>
        <patternFill patternType="solid">
          <fgColor rgb="FF2E1B25"/>
          <bgColor rgb="FF000000"/>
        </patternFill>
      </fill>
    </dxf>
    <dxf>
      <fill>
        <patternFill patternType="solid">
          <fgColor rgb="FFDDE6D5"/>
          <bgColor rgb="FF000000"/>
        </patternFill>
      </fill>
    </dxf>
    <dxf>
      <fill>
        <patternFill patternType="solid">
          <fgColor rgb="FF5A7A4E"/>
          <bgColor rgb="FF000000"/>
        </patternFill>
      </fill>
    </dxf>
    <dxf>
      <fill>
        <patternFill patternType="solid">
          <fgColor rgb="FFE8D9B8"/>
          <bgColor rgb="FF000000"/>
        </patternFill>
      </fill>
    </dxf>
    <dxf>
      <fill>
        <patternFill patternType="solid">
          <fgColor rgb="FFF0D6CE"/>
          <bgColor rgb="FF000000"/>
        </patternFill>
      </fill>
    </dxf>
    <dxf>
      <fill>
        <patternFill patternType="solid">
          <fgColor rgb="FFF3E3CE"/>
          <bgColor rgb="FF000000"/>
        </patternFill>
      </fill>
    </dxf>
    <dxf>
      <fill>
        <patternFill patternType="solid">
          <fgColor rgb="FFA63D2A"/>
          <bgColor rgb="FF000000"/>
        </patternFill>
      </fill>
    </dxf>
    <dxf>
      <fill>
        <patternFill patternType="solid">
          <fgColor rgb="FFB87333"/>
          <bgColor rgb="FF000000"/>
        </patternFill>
      </fill>
    </dxf>
    <dxf>
      <fill>
        <patternFill patternType="solid">
          <fgColor rgb="FFB8934A"/>
          <bgColor rgb="FF000000"/>
        </patternFill>
      </fill>
    </dxf>
    <dxf>
      <font>
        <name val="Calibri"/>
        <charset val="1"/>
        <family val="0"/>
        <b val="1"/>
        <color rgb="FF5A7A4E"/>
        <sz val="10"/>
      </font>
      <fill>
        <patternFill>
          <bgColor rgb="FFDDE6D5"/>
        </patternFill>
      </fill>
    </dxf>
    <dxf>
      <font>
        <name val="Calibri"/>
        <charset val="1"/>
        <family val="0"/>
        <b val="1"/>
        <color rgb="FFB87333"/>
        <sz val="10"/>
      </font>
      <fill>
        <patternFill>
          <bgColor rgb="FFF3E3CE"/>
        </patternFill>
      </fill>
    </dxf>
    <dxf>
      <font>
        <name val="Calibri"/>
        <charset val="1"/>
        <family val="0"/>
        <b val="1"/>
        <color rgb="FFB8934A"/>
        <sz val="10"/>
      </font>
      <fill>
        <patternFill>
          <bgColor rgb="FFE8D9B8"/>
        </patternFill>
      </fill>
    </dxf>
    <dxf>
      <font>
        <name val="Calibri"/>
        <charset val="1"/>
        <family val="0"/>
        <b val="1"/>
        <color rgb="FFA63D2A"/>
        <sz val="10"/>
      </font>
      <fill>
        <patternFill>
          <bgColor rgb="FFF0D6CE"/>
        </patternFill>
      </fill>
    </dxf>
    <dxf>
      <font>
        <name val="Calibri"/>
        <charset val="1"/>
        <family val="0"/>
        <b val="1"/>
        <color rgb="FF8B7A6B"/>
        <sz val="10"/>
      </font>
      <fill>
        <patternFill>
          <bgColor rgb="FFEBE3D3"/>
        </patternFill>
      </fill>
    </dxf>
    <dxf>
      <font>
        <name val="Calibri"/>
        <charset val="1"/>
        <family val="0"/>
        <b val="1"/>
        <color rgb="FF2E1B25"/>
        <sz val="10"/>
      </font>
      <fill>
        <patternFill>
          <bgColor rgb="FFE8D9B8"/>
        </patternFill>
      </fill>
    </dxf>
    <dxf>
      <fill>
        <patternFill patternType="solid">
          <fgColor rgb="FF1F1A1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7333"/>
      <rgbColor rgb="FF800080"/>
      <rgbColor rgb="FF008080"/>
      <rgbColor rgb="FFC9C0B3"/>
      <rgbColor rgb="FF8B7A6B"/>
      <rgbColor rgb="FF9999FF"/>
      <rgbColor rgb="FF993366"/>
      <rgbColor rgb="FFF4EFE7"/>
      <rgbColor rgb="FFE8EEF7"/>
      <rgbColor rgb="FF660066"/>
      <rgbColor rgb="FFFF8080"/>
      <rgbColor rgb="FF2456A3"/>
      <rgbColor rgb="FFF0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B"/>
      <rgbColor rgb="FFDDE6D5"/>
      <rgbColor rgb="FFF3E3CE"/>
      <rgbColor rgb="FFEBE3D3"/>
      <rgbColor rgb="FFF0EBDF"/>
      <rgbColor rgb="FFCC99FF"/>
      <rgbColor rgb="FFE8D9B8"/>
      <rgbColor rgb="FF3366FF"/>
      <rgbColor rgb="FF33CCCC"/>
      <rgbColor rgb="FF99CC00"/>
      <rgbColor rgb="FFFFCC00"/>
      <rgbColor rgb="FFFF9900"/>
      <rgbColor rgb="FFFF6600"/>
      <rgbColor rgb="FF5A7A4E"/>
      <rgbColor rgb="FFB8934A"/>
      <rgbColor rgb="FF003366"/>
      <rgbColor rgb="FF339966"/>
      <rgbColor rgb="FF1F1A1E"/>
      <rgbColor rgb="FF2E1B25"/>
      <rgbColor rgb="FFA63D2A"/>
      <rgbColor rgb="FF993366"/>
      <rgbColor rgb="FF333399"/>
      <rgbColor rgb="FF4A2C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blReservierungen" displayName="tblReservierungen" ref="B7:Q71" headerRowCount="1" totalsRowCount="0" totalsRowShown="0">
  <autoFilter ref="B7:Q71"/>
  <tableColumns count="16">
    <tableColumn id="1" name="Res.-Nr."/>
    <tableColumn id="2" name="Datum"/>
    <tableColumn id="3" name="Uhrzeit"/>
    <tableColumn id="4" name="Wochentag"/>
    <tableColumn id="5" name="Gastname"/>
    <tableColumn id="6" name="Telefon"/>
    <tableColumn id="7" name="E-Mail"/>
    <tableColumn id="8" name="Personen"/>
    <tableColumn id="9" name="Tisch"/>
    <tableColumn id="10" name="Kapazität"/>
    <tableColumn id="11" name="Auslastung"/>
    <tableColumn id="12" name="Status"/>
    <tableColumn id="13" name="Anlass"/>
    <tableColumn id="14" name="Anzahlung (€)"/>
    <tableColumn id="15" name="Reserviert am"/>
    <tableColumn id="16" name="Notizen / Sonderwünsche"/>
  </tableColumns>
</table>
</file>

<file path=xl/tables/table2.xml><?xml version="1.0" encoding="utf-8"?>
<table xmlns="http://schemas.openxmlformats.org/spreadsheetml/2006/main" id="2" name="tblTische" displayName="tblTische" ref="B7:G25" headerRowCount="1" totalsRowCount="0" totalsRowShown="0">
  <autoFilter ref="B7:G25"/>
  <tableColumns count="6">
    <tableColumn id="1" name="Tisch-Nr."/>
    <tableColumn id="2" name="Bereich"/>
    <tableColumn id="3" name="Kapazität"/>
    <tableColumn id="4" name="Ausstattung"/>
    <tableColumn id="5" name="Standard-Status"/>
    <tableColumn id="6" name="Bemerkung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9" min="2" style="0" width="22"/>
  </cols>
  <sheetData>
    <row r="1" customFormat="false" ht="6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4.5" hidden="false" customHeight="true" outlineLevel="0" collapsed="false">
      <c r="B3" s="2"/>
      <c r="C3" s="2"/>
      <c r="D3" s="2"/>
      <c r="E3" s="2"/>
      <c r="F3" s="2"/>
      <c r="G3" s="2"/>
      <c r="H3" s="2"/>
      <c r="I3" s="2"/>
    </row>
    <row r="4" customFormat="false" ht="25.5" hidden="false" customHeight="true" outlineLevel="0" collapsed="false">
      <c r="B4" s="3" t="s">
        <v>1</v>
      </c>
      <c r="C4" s="3"/>
      <c r="D4" s="3"/>
      <c r="E4" s="3"/>
      <c r="F4" s="3"/>
      <c r="G4" s="3"/>
      <c r="H4" s="3"/>
      <c r="I4" s="3"/>
    </row>
    <row r="5" customFormat="false" ht="9.75" hidden="false" customHeight="true" outlineLevel="0" collapsed="false"/>
    <row r="6" customFormat="false" ht="19.5" hidden="false" customHeight="true" outlineLevel="0" collapsed="false">
      <c r="B6" s="4" t="s">
        <v>2</v>
      </c>
      <c r="C6" s="4"/>
      <c r="D6" s="4" t="s">
        <v>3</v>
      </c>
      <c r="E6" s="4"/>
      <c r="F6" s="4" t="s">
        <v>4</v>
      </c>
      <c r="G6" s="4"/>
      <c r="H6" s="4" t="s">
        <v>5</v>
      </c>
      <c r="I6" s="4"/>
    </row>
    <row r="7" customFormat="false" ht="33.75" hidden="false" customHeight="true" outlineLevel="0" collapsed="false">
      <c r="B7" s="5" t="n">
        <f aca="false">COUNTA(tblReservierungen[Res.-Nr.])</f>
        <v>24</v>
      </c>
      <c r="C7" s="5"/>
      <c r="D7" s="5" t="n">
        <f aca="false">COUNTIF(tblReservierungen[Status],"Bestätigt")</f>
        <v>15</v>
      </c>
      <c r="E7" s="5"/>
      <c r="F7" s="5" t="n">
        <f aca="false">COUNTIF(tblReservierungen[Status],"Angefragt")</f>
        <v>3</v>
      </c>
      <c r="G7" s="5"/>
      <c r="H7" s="5" t="n">
        <f aca="false">COUNTIF(tblReservierungen[Status],"Storniert")+COUNTIF(tblReservierungen[Status],"Kein Erschienen")</f>
        <v>4</v>
      </c>
      <c r="I7" s="5"/>
    </row>
    <row r="8" customFormat="false" ht="6" hidden="false" customHeight="true" outlineLevel="0" collapsed="false">
      <c r="B8" s="2"/>
      <c r="C8" s="2"/>
      <c r="D8" s="2"/>
      <c r="E8" s="2"/>
      <c r="F8" s="2"/>
      <c r="G8" s="2"/>
      <c r="H8" s="2"/>
      <c r="I8" s="2"/>
    </row>
    <row r="9" customFormat="false" ht="6" hidden="false" customHeight="true" outlineLevel="0" collapsed="false"/>
    <row r="10" customFormat="false" ht="19.5" hidden="false" customHeight="true" outlineLevel="0" collapsed="false">
      <c r="B10" s="4" t="s">
        <v>6</v>
      </c>
      <c r="C10" s="4"/>
      <c r="D10" s="4" t="s">
        <v>7</v>
      </c>
      <c r="E10" s="4"/>
      <c r="F10" s="4" t="s">
        <v>8</v>
      </c>
      <c r="G10" s="4"/>
      <c r="H10" s="4" t="s">
        <v>9</v>
      </c>
      <c r="I10" s="4"/>
    </row>
    <row r="11" customFormat="false" ht="33.75" hidden="false" customHeight="true" outlineLevel="0" collapsed="false">
      <c r="B11" s="6" t="n">
        <f aca="false">SUMIFS(tblReservierungen[Personen],tblReservierungen[Status],"Bestätigt")+SUMIFS(tblReservierungen[Personen],tblReservierungen[Status],"Abgeschlossen")</f>
        <v>62</v>
      </c>
      <c r="C11" s="6"/>
      <c r="D11" s="7" t="n">
        <f aca="false">IFERROR(AVERAGE(tblReservierungen[Personen]),0)</f>
        <v>4.04166666666667</v>
      </c>
      <c r="E11" s="7"/>
      <c r="F11" s="8" t="n">
        <f aca="false">SUM(tblReservierungen[Anzahlung (€)])</f>
        <v>540</v>
      </c>
      <c r="G11" s="8"/>
      <c r="H11" s="9" t="n">
        <f aca="false">IFERROR(COUNTIF(tblReservierungen[Status],"Kein Erschienen")/COUNTA(tblReservierungen[Res.-Nr.]),0)</f>
        <v>0.0416666666666667</v>
      </c>
      <c r="I11" s="9"/>
    </row>
    <row r="12" customFormat="false" ht="6" hidden="false" customHeight="true" outlineLevel="0" collapsed="false">
      <c r="B12" s="2"/>
      <c r="C12" s="2"/>
      <c r="D12" s="2"/>
      <c r="E12" s="2"/>
      <c r="F12" s="2"/>
      <c r="G12" s="2"/>
      <c r="H12" s="2"/>
      <c r="I12" s="2"/>
    </row>
    <row r="13" customFormat="false" ht="12" hidden="false" customHeight="true" outlineLevel="0" collapsed="false"/>
    <row r="14" customFormat="false" ht="27.75" hidden="false" customHeight="true" outlineLevel="0" collapsed="false">
      <c r="B14" s="10" t="s">
        <v>10</v>
      </c>
      <c r="C14" s="10"/>
      <c r="D14" s="10"/>
      <c r="E14" s="10"/>
      <c r="F14" s="10" t="s">
        <v>11</v>
      </c>
      <c r="G14" s="10"/>
      <c r="H14" s="10"/>
      <c r="I14" s="10"/>
    </row>
    <row r="15" customFormat="false" ht="21.75" hidden="false" customHeight="true" outlineLevel="0" collapsed="false">
      <c r="B15" s="11" t="s">
        <v>12</v>
      </c>
      <c r="C15" s="11" t="s">
        <v>13</v>
      </c>
      <c r="D15" s="11" t="s">
        <v>14</v>
      </c>
      <c r="E15" s="11" t="s">
        <v>15</v>
      </c>
      <c r="F15" s="11" t="s">
        <v>16</v>
      </c>
      <c r="G15" s="11" t="s">
        <v>13</v>
      </c>
      <c r="H15" s="11" t="s">
        <v>14</v>
      </c>
      <c r="I15" s="11" t="s">
        <v>15</v>
      </c>
    </row>
    <row r="16" customFormat="false" ht="19.5" hidden="false" customHeight="true" outlineLevel="0" collapsed="false">
      <c r="B16" s="12" t="s">
        <v>17</v>
      </c>
      <c r="C16" s="13" t="n">
        <f aca="false">COUNTIF(tblReservierungen[Status],B16)</f>
        <v>15</v>
      </c>
      <c r="D16" s="14" t="n">
        <f aca="false">SUMIFS(tblReservierungen[Personen],tblReservierungen[Status],B16)</f>
        <v>57</v>
      </c>
      <c r="E16" s="15" t="n">
        <f aca="false">IFERROR(C16/COUNTA(tblReservierungen[Res.-Nr.]),0)</f>
        <v>0.625</v>
      </c>
      <c r="F16" s="12" t="s">
        <v>18</v>
      </c>
      <c r="G16" s="13" t="n">
        <f aca="false">COUNTIF(tblReservierungen[Anlass],F16)</f>
        <v>10</v>
      </c>
      <c r="H16" s="14" t="n">
        <f aca="false">SUMIFS(tblReservierungen[Personen],tblReservierungen[Anlass],F16)</f>
        <v>46</v>
      </c>
      <c r="I16" s="15" t="n">
        <f aca="false">IFERROR(G16/COUNTA(tblReservierungen[Res.-Nr.]),0)</f>
        <v>0.416666666666667</v>
      </c>
    </row>
    <row r="17" customFormat="false" ht="19.5" hidden="false" customHeight="true" outlineLevel="0" collapsed="false">
      <c r="B17" s="16" t="s">
        <v>19</v>
      </c>
      <c r="C17" s="17" t="n">
        <f aca="false">COUNTIF(tblReservierungen[Status],B17)</f>
        <v>3</v>
      </c>
      <c r="D17" s="18" t="n">
        <f aca="false">SUMIFS(tblReservierungen[Personen],tblReservierungen[Status],B17)</f>
        <v>9</v>
      </c>
      <c r="E17" s="19" t="n">
        <f aca="false">IFERROR(C17/COUNTA(tblReservierungen[Res.-Nr.]),0)</f>
        <v>0.125</v>
      </c>
      <c r="F17" s="16" t="s">
        <v>20</v>
      </c>
      <c r="G17" s="17" t="n">
        <f aca="false">COUNTIF(tblReservierungen[Anlass],F17)</f>
        <v>5</v>
      </c>
      <c r="H17" s="18" t="n">
        <f aca="false">SUMIFS(tblReservierungen[Personen],tblReservierungen[Anlass],F17)</f>
        <v>16</v>
      </c>
      <c r="I17" s="19" t="n">
        <f aca="false">IFERROR(G17/COUNTA(tblReservierungen[Res.-Nr.]),0)</f>
        <v>0.208333333333333</v>
      </c>
    </row>
    <row r="18" customFormat="false" ht="19.5" hidden="false" customHeight="true" outlineLevel="0" collapsed="false">
      <c r="B18" s="12" t="s">
        <v>21</v>
      </c>
      <c r="C18" s="13" t="n">
        <f aca="false">COUNTIF(tblReservierungen[Status],B18)</f>
        <v>1</v>
      </c>
      <c r="D18" s="14" t="n">
        <f aca="false">SUMIFS(tblReservierungen[Personen],tblReservierungen[Status],B18)</f>
        <v>4</v>
      </c>
      <c r="E18" s="15" t="n">
        <f aca="false">IFERROR(C18/COUNTA(tblReservierungen[Res.-Nr.]),0)</f>
        <v>0.0416666666666667</v>
      </c>
      <c r="F18" s="12" t="s">
        <v>22</v>
      </c>
      <c r="G18" s="13" t="n">
        <f aca="false">COUNTIF(tblReservierungen[Anlass],F18)</f>
        <v>3</v>
      </c>
      <c r="H18" s="14" t="n">
        <f aca="false">SUMIFS(tblReservierungen[Personen],tblReservierungen[Anlass],F18)</f>
        <v>14</v>
      </c>
      <c r="I18" s="15" t="n">
        <f aca="false">IFERROR(G18/COUNTA(tblReservierungen[Res.-Nr.]),0)</f>
        <v>0.125</v>
      </c>
    </row>
    <row r="19" customFormat="false" ht="19.5" hidden="false" customHeight="true" outlineLevel="0" collapsed="false">
      <c r="B19" s="16" t="s">
        <v>23</v>
      </c>
      <c r="C19" s="17" t="n">
        <f aca="false">COUNTIF(tblReservierungen[Status],B19)</f>
        <v>3</v>
      </c>
      <c r="D19" s="18" t="n">
        <f aca="false">SUMIFS(tblReservierungen[Personen],tblReservierungen[Status],B19)</f>
        <v>16</v>
      </c>
      <c r="E19" s="19" t="n">
        <f aca="false">IFERROR(C19/COUNTA(tblReservierungen[Res.-Nr.]),0)</f>
        <v>0.125</v>
      </c>
      <c r="F19" s="16" t="s">
        <v>24</v>
      </c>
      <c r="G19" s="17" t="n">
        <f aca="false">COUNTIF(tblReservierungen[Anlass],F19)</f>
        <v>2</v>
      </c>
      <c r="H19" s="18" t="n">
        <f aca="false">SUMIFS(tblReservierungen[Personen],tblReservierungen[Anlass],F19)</f>
        <v>9</v>
      </c>
      <c r="I19" s="19" t="n">
        <f aca="false">IFERROR(G19/COUNTA(tblReservierungen[Res.-Nr.]),0)</f>
        <v>0.0833333333333333</v>
      </c>
    </row>
    <row r="20" customFormat="false" ht="19.5" hidden="false" customHeight="true" outlineLevel="0" collapsed="false">
      <c r="B20" s="12" t="s">
        <v>25</v>
      </c>
      <c r="C20" s="13" t="n">
        <f aca="false">COUNTIF(tblReservierungen[Status],B20)</f>
        <v>1</v>
      </c>
      <c r="D20" s="14" t="n">
        <f aca="false">SUMIFS(tblReservierungen[Personen],tblReservierungen[Status],B20)</f>
        <v>6</v>
      </c>
      <c r="E20" s="15" t="n">
        <f aca="false">IFERROR(C20/COUNTA(tblReservierungen[Res.-Nr.]),0)</f>
        <v>0.0416666666666667</v>
      </c>
      <c r="F20" s="12" t="s">
        <v>26</v>
      </c>
      <c r="G20" s="13" t="n">
        <f aca="false">COUNTIF(tblReservierungen[Anlass],F20)</f>
        <v>1</v>
      </c>
      <c r="H20" s="14" t="n">
        <f aca="false">SUMIFS(tblReservierungen[Personen],tblReservierungen[Anlass],F20)</f>
        <v>2</v>
      </c>
      <c r="I20" s="15" t="n">
        <f aca="false">IFERROR(G20/COUNTA(tblReservierungen[Res.-Nr.]),0)</f>
        <v>0.0416666666666667</v>
      </c>
    </row>
    <row r="21" customFormat="false" ht="19.5" hidden="false" customHeight="true" outlineLevel="0" collapsed="false">
      <c r="B21" s="16" t="s">
        <v>27</v>
      </c>
      <c r="C21" s="17" t="n">
        <f aca="false">COUNTIF(tblReservierungen[Status],B21)</f>
        <v>1</v>
      </c>
      <c r="D21" s="18" t="n">
        <f aca="false">SUMIFS(tblReservierungen[Personen],tblReservierungen[Status],B21)</f>
        <v>5</v>
      </c>
      <c r="E21" s="19" t="n">
        <f aca="false">IFERROR(C21/COUNTA(tblReservierungen[Res.-Nr.]),0)</f>
        <v>0.0416666666666667</v>
      </c>
      <c r="F21" s="16" t="s">
        <v>28</v>
      </c>
      <c r="G21" s="17" t="n">
        <f aca="false">COUNTIF(tblReservierungen[Anlass],F21)</f>
        <v>0</v>
      </c>
      <c r="H21" s="18" t="n">
        <f aca="false">SUMIFS(tblReservierungen[Personen],tblReservierungen[Anlass],F21)</f>
        <v>0</v>
      </c>
      <c r="I21" s="19" t="n">
        <f aca="false">IFERROR(G21/COUNTA(tblReservierungen[Res.-Nr.]),0)</f>
        <v>0</v>
      </c>
    </row>
    <row r="22" customFormat="false" ht="19.5" hidden="false" customHeight="true" outlineLevel="0" collapsed="false">
      <c r="B22" s="20" t="s">
        <v>29</v>
      </c>
      <c r="C22" s="21" t="n">
        <f aca="false">SUM(C16:C21)</f>
        <v>24</v>
      </c>
      <c r="D22" s="21" t="n">
        <f aca="false">SUM(D16:D21)</f>
        <v>97</v>
      </c>
      <c r="E22" s="22" t="n">
        <f aca="false">SUM(E16:E21)</f>
        <v>1</v>
      </c>
      <c r="F22" s="12" t="s">
        <v>30</v>
      </c>
      <c r="G22" s="13" t="n">
        <f aca="false">COUNTIF(tblReservierungen[Anlass],F22)</f>
        <v>2</v>
      </c>
      <c r="H22" s="14" t="n">
        <f aca="false">SUMIFS(tblReservierungen[Personen],tblReservierungen[Anlass],F22)</f>
        <v>6</v>
      </c>
      <c r="I22" s="15" t="n">
        <f aca="false">IFERROR(G22/COUNTA(tblReservierungen[Res.-Nr.]),0)</f>
        <v>0.0833333333333333</v>
      </c>
    </row>
    <row r="23" customFormat="false" ht="19.5" hidden="false" customHeight="true" outlineLevel="0" collapsed="false">
      <c r="F23" s="16" t="s">
        <v>31</v>
      </c>
      <c r="G23" s="17" t="n">
        <f aca="false">COUNTIF(tblReservierungen[Anlass],F23)</f>
        <v>0</v>
      </c>
      <c r="H23" s="18" t="n">
        <f aca="false">SUMIFS(tblReservierungen[Personen],tblReservierungen[Anlass],F23)</f>
        <v>0</v>
      </c>
      <c r="I23" s="19" t="n">
        <f aca="false">IFERROR(G23/COUNTA(tblReservierungen[Res.-Nr.]),0)</f>
        <v>0</v>
      </c>
    </row>
    <row r="24" customFormat="false" ht="19.5" hidden="false" customHeight="true" outlineLevel="0" collapsed="false">
      <c r="F24" s="12" t="s">
        <v>32</v>
      </c>
      <c r="G24" s="13" t="n">
        <f aca="false">COUNTIF(tblReservierungen[Anlass],F24)</f>
        <v>1</v>
      </c>
      <c r="H24" s="14" t="n">
        <f aca="false">SUMIFS(tblReservierungen[Personen],tblReservierungen[Anlass],F24)</f>
        <v>4</v>
      </c>
      <c r="I24" s="15" t="n">
        <f aca="false">IFERROR(G24/COUNTA(tblReservierungen[Res.-Nr.]),0)</f>
        <v>0.0416666666666667</v>
      </c>
    </row>
    <row r="25" customFormat="false" ht="15" hidden="false" customHeight="false" outlineLevel="0" collapsed="false">
      <c r="F25" s="20" t="s">
        <v>29</v>
      </c>
      <c r="G25" s="21" t="n">
        <f aca="false">SUM(G16:G24)</f>
        <v>24</v>
      </c>
      <c r="H25" s="21" t="n">
        <f aca="false">SUM(H16:H24)</f>
        <v>97</v>
      </c>
      <c r="I25" s="22" t="n">
        <f aca="false">SUM(I16:I24)</f>
        <v>1</v>
      </c>
    </row>
    <row r="28" customFormat="false" ht="27.75" hidden="false" customHeight="true" outlineLevel="0" collapsed="false">
      <c r="B28" s="10" t="s">
        <v>33</v>
      </c>
      <c r="C28" s="10"/>
      <c r="D28" s="10"/>
      <c r="E28" s="10"/>
      <c r="F28" s="10" t="s">
        <v>34</v>
      </c>
      <c r="G28" s="10"/>
      <c r="H28" s="10"/>
      <c r="I28" s="10"/>
    </row>
    <row r="29" customFormat="false" ht="21.75" hidden="false" customHeight="true" outlineLevel="0" collapsed="false">
      <c r="B29" s="11" t="s">
        <v>35</v>
      </c>
      <c r="C29" s="11" t="s">
        <v>36</v>
      </c>
      <c r="D29" s="11" t="s">
        <v>14</v>
      </c>
      <c r="E29" s="11" t="s">
        <v>37</v>
      </c>
      <c r="F29" s="11" t="s">
        <v>38</v>
      </c>
      <c r="G29" s="11" t="s">
        <v>36</v>
      </c>
      <c r="H29" s="11" t="s">
        <v>14</v>
      </c>
      <c r="I29" s="11" t="s">
        <v>39</v>
      </c>
    </row>
    <row r="30" customFormat="false" ht="19.5" hidden="false" customHeight="true" outlineLevel="0" collapsed="false">
      <c r="B30" s="12" t="s">
        <v>40</v>
      </c>
      <c r="C30" s="13" t="n">
        <f aca="false">SUMPRODUCT((tblReservierungen[Datum]&lt;&gt;"")*(WEEKDAY(tblReservierungen[Datum],2)=1))</f>
        <v>2</v>
      </c>
      <c r="D30" s="14" t="n">
        <f aca="false">SUMPRODUCT((tblReservierungen[Datum]&lt;&gt;"")*(WEEKDAY(tblReservierungen[Datum],2)=1)*tblReservierungen[Personen])</f>
        <v>10</v>
      </c>
      <c r="E30" s="23" t="n">
        <f aca="false">IFERROR(D30/C30,0)</f>
        <v>5</v>
      </c>
      <c r="F30" s="12" t="s">
        <v>41</v>
      </c>
      <c r="G30" s="13" t="n">
        <f aca="false">SUMPRODUCT(COUNTIFS(tblTische[Bereich],F30,tblTische[Tisch-Nr.],tblReservierungen[Tisch]))</f>
        <v>1</v>
      </c>
      <c r="H30" s="14" t="n">
        <f aca="false">SUMPRODUCT((COUNTIFS(tblTische[Bereich],F30,tblTische[Tisch-Nr.],tblReservierungen[Tisch]))*tblReservierungen[Personen])</f>
        <v>3</v>
      </c>
      <c r="I30" s="15" t="n">
        <f aca="false">IFERROR(SUMPRODUCT((COUNTIFS(tblTische[Bereich],F30,tblTische[Tisch-Nr.],tblReservierungen[Tisch]))*tblReservierungen[Auslastung])/G30,0)</f>
        <v>0</v>
      </c>
    </row>
    <row r="31" customFormat="false" ht="19.5" hidden="false" customHeight="true" outlineLevel="0" collapsed="false">
      <c r="B31" s="16" t="s">
        <v>42</v>
      </c>
      <c r="C31" s="17" t="n">
        <f aca="false">SUMPRODUCT((tblReservierungen[Datum]&lt;&gt;"")*(WEEKDAY(tblReservierungen[Datum],2)=2))</f>
        <v>6</v>
      </c>
      <c r="D31" s="18" t="n">
        <f aca="false">SUMPRODUCT((tblReservierungen[Datum]&lt;&gt;"")*(WEEKDAY(tblReservierungen[Datum],2)=2)*tblReservierungen[Personen])</f>
        <v>28</v>
      </c>
      <c r="E31" s="24" t="n">
        <f aca="false">IFERROR(D31/C31,0)</f>
        <v>4.66666666666667</v>
      </c>
      <c r="F31" s="16" t="s">
        <v>43</v>
      </c>
      <c r="G31" s="17" t="n">
        <f aca="false">SUMPRODUCT(COUNTIFS(tblTische[Bereich],F31,tblTische[Tisch-Nr.],tblReservierungen[Tisch]))</f>
        <v>14</v>
      </c>
      <c r="H31" s="18" t="n">
        <f aca="false">SUMPRODUCT((COUNTIFS(tblTische[Bereich],F31,tblTische[Tisch-Nr.],tblReservierungen[Tisch]))*tblReservierungen[Personen])</f>
        <v>58</v>
      </c>
      <c r="I31" s="19" t="n">
        <f aca="false">IFERROR(SUMPRODUCT((COUNTIFS(tblTische[Bereich],F31,tblTische[Tisch-Nr.],tblReservierungen[Tisch]))*tblReservierungen[Auslastung])/G31,0)</f>
        <v>0</v>
      </c>
    </row>
    <row r="32" customFormat="false" ht="19.5" hidden="false" customHeight="true" outlineLevel="0" collapsed="false">
      <c r="B32" s="12" t="s">
        <v>44</v>
      </c>
      <c r="C32" s="13" t="n">
        <f aca="false">SUMPRODUCT((tblReservierungen[Datum]&lt;&gt;"")*(WEEKDAY(tblReservierungen[Datum],2)=3))</f>
        <v>4</v>
      </c>
      <c r="D32" s="14" t="n">
        <f aca="false">SUMPRODUCT((tblReservierungen[Datum]&lt;&gt;"")*(WEEKDAY(tblReservierungen[Datum],2)=3)*tblReservierungen[Personen])</f>
        <v>17</v>
      </c>
      <c r="E32" s="23" t="n">
        <f aca="false">IFERROR(D32/C32,0)</f>
        <v>4.25</v>
      </c>
      <c r="F32" s="12" t="s">
        <v>45</v>
      </c>
      <c r="G32" s="13" t="n">
        <f aca="false">SUMPRODUCT(COUNTIFS(tblTische[Bereich],F32,tblTische[Tisch-Nr.],tblReservierungen[Tisch]))</f>
        <v>3</v>
      </c>
      <c r="H32" s="14" t="n">
        <f aca="false">SUMPRODUCT((COUNTIFS(tblTische[Bereich],F32,tblTische[Tisch-Nr.],tblReservierungen[Tisch]))*tblReservierungen[Personen])</f>
        <v>16</v>
      </c>
      <c r="I32" s="15" t="n">
        <f aca="false">IFERROR(SUMPRODUCT((COUNTIFS(tblTische[Bereich],F32,tblTische[Tisch-Nr.],tblReservierungen[Tisch]))*tblReservierungen[Auslastung])/G32,0)</f>
        <v>0</v>
      </c>
    </row>
    <row r="33" customFormat="false" ht="19.5" hidden="false" customHeight="true" outlineLevel="0" collapsed="false">
      <c r="B33" s="16" t="s">
        <v>46</v>
      </c>
      <c r="C33" s="17" t="n">
        <f aca="false">SUMPRODUCT((tblReservierungen[Datum]&lt;&gt;"")*(WEEKDAY(tblReservierungen[Datum],2)=4))</f>
        <v>2</v>
      </c>
      <c r="D33" s="18" t="n">
        <f aca="false">SUMPRODUCT((tblReservierungen[Datum]&lt;&gt;"")*(WEEKDAY(tblReservierungen[Datum],2)=4)*tblReservierungen[Personen])</f>
        <v>7</v>
      </c>
      <c r="E33" s="24" t="n">
        <f aca="false">IFERROR(D33/C33,0)</f>
        <v>3.5</v>
      </c>
      <c r="F33" s="16" t="s">
        <v>47</v>
      </c>
      <c r="G33" s="17" t="n">
        <f aca="false">SUMPRODUCT(COUNTIFS(tblTische[Bereich],F33,tblTische[Tisch-Nr.],tblReservierungen[Tisch]))</f>
        <v>5</v>
      </c>
      <c r="H33" s="18" t="n">
        <f aca="false">SUMPRODUCT((COUNTIFS(tblTische[Bereich],F33,tblTische[Tisch-Nr.],tblReservierungen[Tisch]))*tblReservierungen[Personen])</f>
        <v>18</v>
      </c>
      <c r="I33" s="19" t="n">
        <f aca="false">IFERROR(SUMPRODUCT((COUNTIFS(tblTische[Bereich],F33,tblTische[Tisch-Nr.],tblReservierungen[Tisch]))*tblReservierungen[Auslastung])/G33,0)</f>
        <v>0</v>
      </c>
    </row>
    <row r="34" customFormat="false" ht="19.5" hidden="false" customHeight="true" outlineLevel="0" collapsed="false">
      <c r="B34" s="12" t="s">
        <v>48</v>
      </c>
      <c r="C34" s="13" t="n">
        <f aca="false">SUMPRODUCT((tblReservierungen[Datum]&lt;&gt;"")*(WEEKDAY(tblReservierungen[Datum],2)=5))</f>
        <v>5</v>
      </c>
      <c r="D34" s="14" t="n">
        <f aca="false">SUMPRODUCT((tblReservierungen[Datum]&lt;&gt;"")*(WEEKDAY(tblReservierungen[Datum],2)=5)*tblReservierungen[Personen])</f>
        <v>15</v>
      </c>
      <c r="E34" s="23" t="n">
        <f aca="false">IFERROR(D34/C34,0)</f>
        <v>3</v>
      </c>
      <c r="F34" s="12" t="s">
        <v>49</v>
      </c>
      <c r="G34" s="13" t="n">
        <f aca="false">SUMPRODUCT(COUNTIFS(tblTische[Bereich],F34,tblTische[Tisch-Nr.],tblReservierungen[Tisch]))</f>
        <v>1</v>
      </c>
      <c r="H34" s="14" t="n">
        <f aca="false">SUMPRODUCT((COUNTIFS(tblTische[Bereich],F34,tblTische[Tisch-Nr.],tblReservierungen[Tisch]))*tblReservierungen[Personen])</f>
        <v>2</v>
      </c>
      <c r="I34" s="15" t="n">
        <f aca="false">IFERROR(SUMPRODUCT((COUNTIFS(tblTische[Bereich],F34,tblTische[Tisch-Nr.],tblReservierungen[Tisch]))*tblReservierungen[Auslastung])/G34,0)</f>
        <v>0</v>
      </c>
    </row>
    <row r="35" customFormat="false" ht="19.5" hidden="false" customHeight="true" outlineLevel="0" collapsed="false">
      <c r="B35" s="16" t="s">
        <v>50</v>
      </c>
      <c r="C35" s="17" t="n">
        <f aca="false">SUMPRODUCT((tblReservierungen[Datum]&lt;&gt;"")*(WEEKDAY(tblReservierungen[Datum],2)=6))</f>
        <v>2</v>
      </c>
      <c r="D35" s="18" t="n">
        <f aca="false">SUMPRODUCT((tblReservierungen[Datum]&lt;&gt;"")*(WEEKDAY(tblReservierungen[Datum],2)=6)*tblReservierungen[Personen])</f>
        <v>4</v>
      </c>
      <c r="E35" s="24" t="n">
        <f aca="false">IFERROR(D35/C35,0)</f>
        <v>2</v>
      </c>
    </row>
    <row r="36" customFormat="false" ht="19.5" hidden="false" customHeight="true" outlineLevel="0" collapsed="false">
      <c r="B36" s="12" t="s">
        <v>51</v>
      </c>
      <c r="C36" s="13" t="n">
        <f aca="false">SUMPRODUCT((tblReservierungen[Datum]&lt;&gt;"")*(WEEKDAY(tblReservierungen[Datum],2)=7))</f>
        <v>3</v>
      </c>
      <c r="D36" s="14" t="n">
        <f aca="false">SUMPRODUCT((tblReservierungen[Datum]&lt;&gt;"")*(WEEKDAY(tblReservierungen[Datum],2)=7)*tblReservierungen[Personen])</f>
        <v>16</v>
      </c>
      <c r="E36" s="23" t="n">
        <f aca="false">IFERROR(D36/C36,0)</f>
        <v>5.33333333333333</v>
      </c>
    </row>
    <row r="39" customFormat="false" ht="6" hidden="false" customHeight="true" outlineLevel="0" collapsed="false">
      <c r="B39" s="2"/>
      <c r="C39" s="2"/>
      <c r="D39" s="2"/>
      <c r="E39" s="2"/>
      <c r="F39" s="2"/>
      <c r="G39" s="2"/>
      <c r="H39" s="2"/>
      <c r="I39" s="2"/>
    </row>
    <row r="40" customFormat="false" ht="21.75" hidden="false" customHeight="true" outlineLevel="0" collapsed="false">
      <c r="B40" s="25" t="s">
        <v>52</v>
      </c>
      <c r="C40" s="25"/>
      <c r="D40" s="25"/>
      <c r="E40" s="25"/>
      <c r="F40" s="25"/>
      <c r="G40" s="25"/>
      <c r="H40" s="25"/>
      <c r="I40" s="25"/>
    </row>
  </sheetData>
  <mergeCells count="33">
    <mergeCell ref="B2:I2"/>
    <mergeCell ref="B3:I3"/>
    <mergeCell ref="B4:I4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4:E14"/>
    <mergeCell ref="F14:I14"/>
    <mergeCell ref="B28:E28"/>
    <mergeCell ref="F28:I28"/>
    <mergeCell ref="B39:I39"/>
    <mergeCell ref="B40:I40"/>
  </mergeCells>
  <conditionalFormatting sqref="C30:C36">
    <cfRule type="dataBar" priority="2">
      <dataBar showValue="1" minLength="10" maxLength="90">
        <cfvo type="min" val="0"/>
        <cfvo type="max" val="0"/>
        <color rgb="FFB8934A"/>
      </dataBar>
      <extLst>
        <ext xmlns:x14="http://schemas.microsoft.com/office/spreadsheetml/2009/9/main" uri="{B025F937-C7B1-47D3-B67F-A62EFF666E3E}">
          <x14:id>{D17FE291-F9B9-461D-8836-96E0DC7B414B}</x14:id>
        </ext>
      </extLst>
    </cfRule>
  </conditionalFormatting>
  <conditionalFormatting sqref="G30:G34">
    <cfRule type="dataBar" priority="3">
      <dataBar showValue="1" minLength="10" maxLength="90">
        <cfvo type="min" val="0"/>
        <cfvo type="max" val="0"/>
        <color rgb="FFB8934A"/>
      </dataBar>
      <extLst>
        <ext xmlns:x14="http://schemas.microsoft.com/office/spreadsheetml/2009/9/main" uri="{B025F937-C7B1-47D3-B67F-A62EFF666E3E}">
          <x14:id>{CADE1DAC-CDA6-4C00-B54E-4DD610727CAF}</x14:id>
        </ext>
      </extLst>
    </cfRule>
  </conditionalFormatting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7FE291-F9B9-461D-8836-96E0DC7B414B}">
            <x14:dataBar minLength="10" maxLength="90" axisPosition="none" gradient="true">
              <x14:cfvo type="min"/>
              <x14:cfvo type="max"/>
              <x14:negativeFillColor rgb="FFB8934A"/>
              <x14:axisColor rgb="FF000000"/>
            </x14:dataBar>
          </x14:cfRule>
          <xm:sqref>C30:C36</xm:sqref>
        </x14:conditionalFormatting>
        <x14:conditionalFormatting xmlns:xm="http://schemas.microsoft.com/office/excel/2006/main">
          <x14:cfRule type="dataBar" id="{CADE1DAC-CDA6-4C00-B54E-4DD610727CAF}">
            <x14:dataBar minLength="10" maxLength="90" axisPosition="none" gradient="true">
              <x14:cfvo type="min"/>
              <x14:cfvo type="max"/>
              <x14:negativeFillColor rgb="FFB8934A"/>
              <x14:axisColor rgb="FF000000"/>
            </x14:dataBar>
          </x14:cfRule>
          <xm:sqref>G30:G34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15"/>
    <col collapsed="false" customWidth="true" hidden="false" outlineLevel="0" max="8" min="8" style="0" width="26"/>
    <col collapsed="false" customWidth="true" hidden="false" outlineLevel="0" max="10" min="9" style="0" width="10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6"/>
    <col collapsed="false" customWidth="true" hidden="false" outlineLevel="0" max="15" min="15" style="0" width="13"/>
    <col collapsed="false" customWidth="true" hidden="false" outlineLevel="0" max="16" min="16" style="0" width="12"/>
    <col collapsed="false" customWidth="true" hidden="false" outlineLevel="0" max="17" min="17" style="0" width="36"/>
  </cols>
  <sheetData>
    <row r="1" customFormat="false" ht="6" hidden="false" customHeight="true" outlineLevel="0" collapsed="false"/>
    <row r="2" customFormat="false" ht="33.75" hidden="false" customHeight="true" outlineLevel="0" collapsed="false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customFormat="false" ht="3.75" hidden="false" customHeight="tru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7.5" hidden="false" customHeight="true" outlineLevel="0" collapsed="false"/>
    <row r="5" customFormat="false" ht="19.5" hidden="false" customHeight="true" outlineLevel="0" collapsed="false">
      <c r="B5" s="25" t="s">
        <v>54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customFormat="false" ht="6" hidden="false" customHeight="true" outlineLevel="0" collapsed="false"/>
    <row r="7" customFormat="false" ht="31.5" hidden="false" customHeight="true" outlineLevel="0" collapsed="false">
      <c r="B7" s="27" t="s">
        <v>55</v>
      </c>
      <c r="C7" s="27" t="s">
        <v>56</v>
      </c>
      <c r="D7" s="27" t="s">
        <v>57</v>
      </c>
      <c r="E7" s="27" t="s">
        <v>35</v>
      </c>
      <c r="F7" s="27" t="s">
        <v>58</v>
      </c>
      <c r="G7" s="27" t="s">
        <v>59</v>
      </c>
      <c r="H7" s="27" t="s">
        <v>60</v>
      </c>
      <c r="I7" s="27" t="s">
        <v>61</v>
      </c>
      <c r="J7" s="27" t="s">
        <v>62</v>
      </c>
      <c r="K7" s="27" t="s">
        <v>63</v>
      </c>
      <c r="L7" s="27" t="s">
        <v>64</v>
      </c>
      <c r="M7" s="27" t="s">
        <v>12</v>
      </c>
      <c r="N7" s="27" t="s">
        <v>16</v>
      </c>
      <c r="O7" s="27" t="s">
        <v>65</v>
      </c>
      <c r="P7" s="27" t="s">
        <v>66</v>
      </c>
      <c r="Q7" s="27" t="s">
        <v>67</v>
      </c>
    </row>
    <row r="8" customFormat="false" ht="21.75" hidden="false" customHeight="true" outlineLevel="0" collapsed="false">
      <c r="B8" s="28" t="s">
        <v>68</v>
      </c>
      <c r="C8" s="29" t="n">
        <v>46093</v>
      </c>
      <c r="D8" s="30" t="n">
        <v>0.75</v>
      </c>
      <c r="E8" s="31" t="str">
        <f aca="false">IF(C8="","",TEXT(C8,"dddd"))</f>
        <v>Thursday</v>
      </c>
      <c r="F8" s="32" t="s">
        <v>69</v>
      </c>
      <c r="G8" s="32" t="s">
        <v>70</v>
      </c>
      <c r="H8" s="32" t="s">
        <v>71</v>
      </c>
      <c r="I8" s="28" t="n">
        <v>5</v>
      </c>
      <c r="J8" s="28" t="s">
        <v>72</v>
      </c>
      <c r="K8" s="33" t="n">
        <f aca="false">IFERROR(VLOOKUP(J8,tblTische[[Tisch-Nr.]:[Kapazität]],3,FALSE()),"")</f>
        <v>8</v>
      </c>
      <c r="L8" s="34" t="n">
        <f aca="false">IFERROR(I8/K8,"")</f>
        <v>0.625</v>
      </c>
      <c r="M8" s="28" t="s">
        <v>27</v>
      </c>
      <c r="N8" s="28" t="s">
        <v>18</v>
      </c>
      <c r="O8" s="35" t="n">
        <v>0</v>
      </c>
      <c r="P8" s="29" t="n">
        <v>46082</v>
      </c>
      <c r="Q8" s="32" t="s">
        <v>73</v>
      </c>
    </row>
    <row r="9" customFormat="false" ht="21.75" hidden="false" customHeight="true" outlineLevel="0" collapsed="false">
      <c r="B9" s="36" t="s">
        <v>74</v>
      </c>
      <c r="C9" s="37" t="n">
        <v>46103</v>
      </c>
      <c r="D9" s="38" t="n">
        <v>0.854166666666667</v>
      </c>
      <c r="E9" s="39" t="str">
        <f aca="false">IF(C9="","",TEXT(C9,"dddd"))</f>
        <v>Sunday</v>
      </c>
      <c r="F9" s="40" t="s">
        <v>75</v>
      </c>
      <c r="G9" s="40" t="s">
        <v>76</v>
      </c>
      <c r="H9" s="40" t="s">
        <v>77</v>
      </c>
      <c r="I9" s="36" t="n">
        <v>4</v>
      </c>
      <c r="J9" s="36" t="s">
        <v>78</v>
      </c>
      <c r="K9" s="41" t="n">
        <f aca="false">IFERROR(VLOOKUP(J9,tblTische[[Tisch-Nr.]:[Kapazität]],3,FALSE()),"")</f>
        <v>10</v>
      </c>
      <c r="L9" s="42" t="n">
        <f aca="false">IFERROR(I9/K9,"")</f>
        <v>0.4</v>
      </c>
      <c r="M9" s="36" t="s">
        <v>17</v>
      </c>
      <c r="N9" s="36" t="s">
        <v>20</v>
      </c>
      <c r="O9" s="43" t="n">
        <v>0</v>
      </c>
      <c r="P9" s="37" t="n">
        <v>46076</v>
      </c>
      <c r="Q9" s="40" t="s">
        <v>73</v>
      </c>
    </row>
    <row r="10" customFormat="false" ht="21.75" hidden="false" customHeight="true" outlineLevel="0" collapsed="false">
      <c r="B10" s="28" t="s">
        <v>79</v>
      </c>
      <c r="C10" s="29" t="n">
        <v>46101</v>
      </c>
      <c r="D10" s="30" t="n">
        <v>0.75</v>
      </c>
      <c r="E10" s="31" t="str">
        <f aca="false">IF(C10="","",TEXT(C10,"dddd"))</f>
        <v>Friday</v>
      </c>
      <c r="F10" s="32" t="s">
        <v>80</v>
      </c>
      <c r="G10" s="32" t="s">
        <v>81</v>
      </c>
      <c r="H10" s="32" t="s">
        <v>82</v>
      </c>
      <c r="I10" s="28" t="n">
        <v>3</v>
      </c>
      <c r="J10" s="28" t="s">
        <v>83</v>
      </c>
      <c r="K10" s="33" t="n">
        <f aca="false">IFERROR(VLOOKUP(J10,tblTische[[Tisch-Nr.]:[Kapazität]],3,FALSE()),"")</f>
        <v>6</v>
      </c>
      <c r="L10" s="34" t="n">
        <f aca="false">IFERROR(I10/K10,"")</f>
        <v>0.5</v>
      </c>
      <c r="M10" s="28" t="s">
        <v>17</v>
      </c>
      <c r="N10" s="28" t="s">
        <v>24</v>
      </c>
      <c r="O10" s="35" t="n">
        <v>60</v>
      </c>
      <c r="P10" s="29" t="n">
        <v>46078</v>
      </c>
      <c r="Q10" s="32" t="s">
        <v>84</v>
      </c>
    </row>
    <row r="11" customFormat="false" ht="21.75" hidden="false" customHeight="true" outlineLevel="0" collapsed="false">
      <c r="B11" s="36" t="s">
        <v>85</v>
      </c>
      <c r="C11" s="37" t="n">
        <v>46094</v>
      </c>
      <c r="D11" s="38" t="n">
        <v>0.75</v>
      </c>
      <c r="E11" s="39" t="str">
        <f aca="false">IF(C11="","",TEXT(C11,"dddd"))</f>
        <v>Friday</v>
      </c>
      <c r="F11" s="40" t="s">
        <v>86</v>
      </c>
      <c r="G11" s="40" t="s">
        <v>87</v>
      </c>
      <c r="H11" s="40" t="s">
        <v>88</v>
      </c>
      <c r="I11" s="36" t="n">
        <v>3</v>
      </c>
      <c r="J11" s="36" t="s">
        <v>83</v>
      </c>
      <c r="K11" s="41" t="n">
        <f aca="false">IFERROR(VLOOKUP(J11,tblTische[[Tisch-Nr.]:[Kapazität]],3,FALSE()),"")</f>
        <v>6</v>
      </c>
      <c r="L11" s="42" t="n">
        <f aca="false">IFERROR(I11/K11,"")</f>
        <v>0.5</v>
      </c>
      <c r="M11" s="36" t="s">
        <v>17</v>
      </c>
      <c r="N11" s="36" t="s">
        <v>18</v>
      </c>
      <c r="O11" s="43" t="n">
        <v>0</v>
      </c>
      <c r="P11" s="37" t="n">
        <v>46073</v>
      </c>
      <c r="Q11" s="40" t="s">
        <v>89</v>
      </c>
    </row>
    <row r="12" customFormat="false" ht="21.75" hidden="false" customHeight="true" outlineLevel="0" collapsed="false">
      <c r="B12" s="28" t="s">
        <v>90</v>
      </c>
      <c r="C12" s="29" t="n">
        <v>46098</v>
      </c>
      <c r="D12" s="30" t="n">
        <v>0.833333333333333</v>
      </c>
      <c r="E12" s="31" t="str">
        <f aca="false">IF(C12="","",TEXT(C12,"dddd"))</f>
        <v>Tuesday</v>
      </c>
      <c r="F12" s="32" t="s">
        <v>91</v>
      </c>
      <c r="G12" s="32" t="s">
        <v>92</v>
      </c>
      <c r="H12" s="32" t="s">
        <v>93</v>
      </c>
      <c r="I12" s="28" t="n">
        <v>4</v>
      </c>
      <c r="J12" s="28" t="s">
        <v>94</v>
      </c>
      <c r="K12" s="33" t="n">
        <f aca="false">IFERROR(VLOOKUP(J12,tblTische[[Tisch-Nr.]:[Kapazität]],3,FALSE()),"")</f>
        <v>4</v>
      </c>
      <c r="L12" s="34" t="n">
        <f aca="false">IFERROR(I12/K12,"")</f>
        <v>1</v>
      </c>
      <c r="M12" s="28" t="s">
        <v>23</v>
      </c>
      <c r="N12" s="28" t="s">
        <v>18</v>
      </c>
      <c r="O12" s="35" t="n">
        <v>0</v>
      </c>
      <c r="P12" s="29" t="n">
        <v>46085</v>
      </c>
      <c r="Q12" s="32"/>
    </row>
    <row r="13" customFormat="false" ht="21.75" hidden="false" customHeight="true" outlineLevel="0" collapsed="false">
      <c r="B13" s="36" t="s">
        <v>95</v>
      </c>
      <c r="C13" s="37" t="n">
        <v>46092</v>
      </c>
      <c r="D13" s="38" t="n">
        <v>0.854166666666667</v>
      </c>
      <c r="E13" s="39" t="str">
        <f aca="false">IF(C13="","",TEXT(C13,"dddd"))</f>
        <v>Wednesday</v>
      </c>
      <c r="F13" s="40" t="s">
        <v>96</v>
      </c>
      <c r="G13" s="40" t="s">
        <v>97</v>
      </c>
      <c r="H13" s="40" t="s">
        <v>98</v>
      </c>
      <c r="I13" s="36" t="n">
        <v>4</v>
      </c>
      <c r="J13" s="36" t="s">
        <v>99</v>
      </c>
      <c r="K13" s="41" t="n">
        <f aca="false">IFERROR(VLOOKUP(J13,tblTische[[Tisch-Nr.]:[Kapazität]],3,FALSE()),"")</f>
        <v>4</v>
      </c>
      <c r="L13" s="42" t="n">
        <f aca="false">IFERROR(I13/K13,"")</f>
        <v>1</v>
      </c>
      <c r="M13" s="36" t="s">
        <v>17</v>
      </c>
      <c r="N13" s="36" t="s">
        <v>18</v>
      </c>
      <c r="O13" s="43" t="n">
        <v>0</v>
      </c>
      <c r="P13" s="37" t="n">
        <v>46086</v>
      </c>
      <c r="Q13" s="40" t="s">
        <v>100</v>
      </c>
    </row>
    <row r="14" customFormat="false" ht="21.75" hidden="false" customHeight="true" outlineLevel="0" collapsed="false">
      <c r="B14" s="28" t="s">
        <v>101</v>
      </c>
      <c r="C14" s="29" t="n">
        <v>46092</v>
      </c>
      <c r="D14" s="30" t="n">
        <v>0.5625</v>
      </c>
      <c r="E14" s="31" t="str">
        <f aca="false">IF(C14="","",TEXT(C14,"dddd"))</f>
        <v>Wednesday</v>
      </c>
      <c r="F14" s="32" t="s">
        <v>102</v>
      </c>
      <c r="G14" s="32" t="s">
        <v>103</v>
      </c>
      <c r="H14" s="32" t="s">
        <v>104</v>
      </c>
      <c r="I14" s="28" t="n">
        <v>6</v>
      </c>
      <c r="J14" s="28" t="s">
        <v>105</v>
      </c>
      <c r="K14" s="33" t="n">
        <f aca="false">IFERROR(VLOOKUP(J14,tblTische[[Tisch-Nr.]:[Kapazität]],3,FALSE()),"")</f>
        <v>6</v>
      </c>
      <c r="L14" s="34" t="n">
        <f aca="false">IFERROR(I14/K14,"")</f>
        <v>1</v>
      </c>
      <c r="M14" s="28" t="s">
        <v>17</v>
      </c>
      <c r="N14" s="28" t="s">
        <v>24</v>
      </c>
      <c r="O14" s="35" t="n">
        <v>90</v>
      </c>
      <c r="P14" s="29" t="n">
        <v>46065</v>
      </c>
      <c r="Q14" s="32"/>
    </row>
    <row r="15" customFormat="false" ht="21.75" hidden="false" customHeight="true" outlineLevel="0" collapsed="false">
      <c r="B15" s="36" t="s">
        <v>106</v>
      </c>
      <c r="C15" s="37" t="n">
        <v>46094</v>
      </c>
      <c r="D15" s="38" t="n">
        <v>0.75</v>
      </c>
      <c r="E15" s="39" t="str">
        <f aca="false">IF(C15="","",TEXT(C15,"dddd"))</f>
        <v>Friday</v>
      </c>
      <c r="F15" s="40" t="s">
        <v>107</v>
      </c>
      <c r="G15" s="40" t="s">
        <v>108</v>
      </c>
      <c r="H15" s="40" t="s">
        <v>109</v>
      </c>
      <c r="I15" s="36" t="n">
        <v>4</v>
      </c>
      <c r="J15" s="36" t="s">
        <v>99</v>
      </c>
      <c r="K15" s="41" t="n">
        <f aca="false">IFERROR(VLOOKUP(J15,tblTische[[Tisch-Nr.]:[Kapazität]],3,FALSE()),"")</f>
        <v>4</v>
      </c>
      <c r="L15" s="42" t="n">
        <f aca="false">IFERROR(I15/K15,"")</f>
        <v>1</v>
      </c>
      <c r="M15" s="36" t="s">
        <v>17</v>
      </c>
      <c r="N15" s="36" t="s">
        <v>22</v>
      </c>
      <c r="O15" s="43" t="n">
        <v>0</v>
      </c>
      <c r="P15" s="37" t="n">
        <v>46072</v>
      </c>
      <c r="Q15" s="40" t="s">
        <v>84</v>
      </c>
    </row>
    <row r="16" customFormat="false" ht="21.75" hidden="false" customHeight="true" outlineLevel="0" collapsed="false">
      <c r="B16" s="28" t="s">
        <v>110</v>
      </c>
      <c r="C16" s="29" t="n">
        <v>46090</v>
      </c>
      <c r="D16" s="30" t="n">
        <v>0.541666666666667</v>
      </c>
      <c r="E16" s="31" t="str">
        <f aca="false">IF(C16="","",TEXT(C16,"dddd"))</f>
        <v>Monday</v>
      </c>
      <c r="F16" s="32" t="s">
        <v>111</v>
      </c>
      <c r="G16" s="32" t="s">
        <v>112</v>
      </c>
      <c r="H16" s="32" t="s">
        <v>113</v>
      </c>
      <c r="I16" s="28" t="n">
        <v>4</v>
      </c>
      <c r="J16" s="28" t="s">
        <v>114</v>
      </c>
      <c r="K16" s="33" t="n">
        <f aca="false">IFERROR(VLOOKUP(J16,tblTische[[Tisch-Nr.]:[Kapazität]],3,FALSE()),"")</f>
        <v>4</v>
      </c>
      <c r="L16" s="34" t="n">
        <f aca="false">IFERROR(I16/K16,"")</f>
        <v>1</v>
      </c>
      <c r="M16" s="28" t="s">
        <v>21</v>
      </c>
      <c r="N16" s="28" t="s">
        <v>30</v>
      </c>
      <c r="O16" s="35" t="n">
        <v>80</v>
      </c>
      <c r="P16" s="29" t="n">
        <v>46062</v>
      </c>
      <c r="Q16" s="32" t="s">
        <v>115</v>
      </c>
    </row>
    <row r="17" customFormat="false" ht="21.75" hidden="false" customHeight="true" outlineLevel="0" collapsed="false">
      <c r="B17" s="36" t="s">
        <v>116</v>
      </c>
      <c r="C17" s="37" t="n">
        <v>46102</v>
      </c>
      <c r="D17" s="38" t="n">
        <v>0.8125</v>
      </c>
      <c r="E17" s="39" t="str">
        <f aca="false">IF(C17="","",TEXT(C17,"dddd"))</f>
        <v>Saturday</v>
      </c>
      <c r="F17" s="40" t="s">
        <v>117</v>
      </c>
      <c r="G17" s="40" t="s">
        <v>118</v>
      </c>
      <c r="H17" s="40" t="s">
        <v>119</v>
      </c>
      <c r="I17" s="36" t="n">
        <v>2</v>
      </c>
      <c r="J17" s="36" t="s">
        <v>120</v>
      </c>
      <c r="K17" s="41" t="n">
        <f aca="false">IFERROR(VLOOKUP(J17,tblTische[[Tisch-Nr.]:[Kapazität]],3,FALSE()),"")</f>
        <v>2</v>
      </c>
      <c r="L17" s="42" t="n">
        <f aca="false">IFERROR(I17/K17,"")</f>
        <v>1</v>
      </c>
      <c r="M17" s="36" t="s">
        <v>17</v>
      </c>
      <c r="N17" s="36" t="s">
        <v>20</v>
      </c>
      <c r="O17" s="43" t="n">
        <v>0</v>
      </c>
      <c r="P17" s="37" t="n">
        <v>46073</v>
      </c>
      <c r="Q17" s="40" t="s">
        <v>115</v>
      </c>
    </row>
    <row r="18" customFormat="false" ht="21.75" hidden="false" customHeight="true" outlineLevel="0" collapsed="false">
      <c r="B18" s="28" t="s">
        <v>121</v>
      </c>
      <c r="C18" s="29" t="n">
        <v>46091</v>
      </c>
      <c r="D18" s="30" t="n">
        <v>0.729166666666667</v>
      </c>
      <c r="E18" s="31" t="str">
        <f aca="false">IF(C18="","",TEXT(C18,"dddd"))</f>
        <v>Tuesday</v>
      </c>
      <c r="F18" s="32" t="s">
        <v>122</v>
      </c>
      <c r="G18" s="32" t="s">
        <v>123</v>
      </c>
      <c r="H18" s="32" t="s">
        <v>124</v>
      </c>
      <c r="I18" s="28" t="n">
        <v>8</v>
      </c>
      <c r="J18" s="28" t="s">
        <v>78</v>
      </c>
      <c r="K18" s="33" t="n">
        <f aca="false">IFERROR(VLOOKUP(J18,tblTische[[Tisch-Nr.]:[Kapazität]],3,FALSE()),"")</f>
        <v>10</v>
      </c>
      <c r="L18" s="34" t="n">
        <f aca="false">IFERROR(I18/K18,"")</f>
        <v>0.8</v>
      </c>
      <c r="M18" s="28" t="s">
        <v>17</v>
      </c>
      <c r="N18" s="28" t="s">
        <v>22</v>
      </c>
      <c r="O18" s="35" t="n">
        <v>120</v>
      </c>
      <c r="P18" s="29" t="n">
        <v>46069</v>
      </c>
      <c r="Q18" s="32"/>
    </row>
    <row r="19" customFormat="false" ht="21.75" hidden="false" customHeight="true" outlineLevel="0" collapsed="false">
      <c r="B19" s="36" t="s">
        <v>125</v>
      </c>
      <c r="C19" s="37" t="n">
        <v>46092</v>
      </c>
      <c r="D19" s="38" t="n">
        <v>0.729166666666667</v>
      </c>
      <c r="E19" s="39" t="str">
        <f aca="false">IF(C19="","",TEXT(C19,"dddd"))</f>
        <v>Wednesday</v>
      </c>
      <c r="F19" s="40" t="s">
        <v>126</v>
      </c>
      <c r="G19" s="40" t="s">
        <v>127</v>
      </c>
      <c r="H19" s="40" t="s">
        <v>128</v>
      </c>
      <c r="I19" s="36" t="n">
        <v>4</v>
      </c>
      <c r="J19" s="36" t="s">
        <v>72</v>
      </c>
      <c r="K19" s="41" t="n">
        <f aca="false">IFERROR(VLOOKUP(J19,tblTische[[Tisch-Nr.]:[Kapazität]],3,FALSE()),"")</f>
        <v>8</v>
      </c>
      <c r="L19" s="42" t="n">
        <f aca="false">IFERROR(I19/K19,"")</f>
        <v>0.5</v>
      </c>
      <c r="M19" s="36" t="s">
        <v>17</v>
      </c>
      <c r="N19" s="36" t="s">
        <v>20</v>
      </c>
      <c r="O19" s="43" t="n">
        <v>0</v>
      </c>
      <c r="P19" s="37" t="n">
        <v>46062</v>
      </c>
      <c r="Q19" s="40" t="s">
        <v>129</v>
      </c>
    </row>
    <row r="20" customFormat="false" ht="21.75" hidden="false" customHeight="true" outlineLevel="0" collapsed="false">
      <c r="B20" s="28" t="s">
        <v>130</v>
      </c>
      <c r="C20" s="29" t="n">
        <v>46105</v>
      </c>
      <c r="D20" s="30" t="n">
        <v>0.895833333333333</v>
      </c>
      <c r="E20" s="31" t="str">
        <f aca="false">IF(C20="","",TEXT(C20,"dddd"))</f>
        <v>Tuesday</v>
      </c>
      <c r="F20" s="32" t="s">
        <v>131</v>
      </c>
      <c r="G20" s="32" t="s">
        <v>132</v>
      </c>
      <c r="H20" s="32" t="s">
        <v>133</v>
      </c>
      <c r="I20" s="28" t="n">
        <v>6</v>
      </c>
      <c r="J20" s="28" t="s">
        <v>72</v>
      </c>
      <c r="K20" s="33" t="n">
        <f aca="false">IFERROR(VLOOKUP(J20,tblTische[[Tisch-Nr.]:[Kapazität]],3,FALSE()),"")</f>
        <v>8</v>
      </c>
      <c r="L20" s="34" t="n">
        <f aca="false">IFERROR(I20/K20,"")</f>
        <v>0.75</v>
      </c>
      <c r="M20" s="28" t="s">
        <v>23</v>
      </c>
      <c r="N20" s="28" t="s">
        <v>18</v>
      </c>
      <c r="O20" s="35" t="n">
        <v>0</v>
      </c>
      <c r="P20" s="29" t="n">
        <v>46103</v>
      </c>
      <c r="Q20" s="32" t="s">
        <v>134</v>
      </c>
    </row>
    <row r="21" customFormat="false" ht="21.75" hidden="false" customHeight="true" outlineLevel="0" collapsed="false">
      <c r="B21" s="36" t="s">
        <v>135</v>
      </c>
      <c r="C21" s="37" t="n">
        <v>46095</v>
      </c>
      <c r="D21" s="38" t="n">
        <v>0.854166666666667</v>
      </c>
      <c r="E21" s="39" t="str">
        <f aca="false">IF(C21="","",TEXT(C21,"dddd"))</f>
        <v>Saturday</v>
      </c>
      <c r="F21" s="40" t="s">
        <v>136</v>
      </c>
      <c r="G21" s="40" t="s">
        <v>137</v>
      </c>
      <c r="H21" s="40" t="s">
        <v>138</v>
      </c>
      <c r="I21" s="36" t="n">
        <v>2</v>
      </c>
      <c r="J21" s="36" t="s">
        <v>139</v>
      </c>
      <c r="K21" s="41" t="n">
        <f aca="false">IFERROR(VLOOKUP(J21,tblTische[[Tisch-Nr.]:[Kapazität]],3,FALSE()),"")</f>
        <v>4</v>
      </c>
      <c r="L21" s="42" t="n">
        <f aca="false">IFERROR(I21/K21,"")</f>
        <v>0.5</v>
      </c>
      <c r="M21" s="36" t="s">
        <v>17</v>
      </c>
      <c r="N21" s="36" t="s">
        <v>22</v>
      </c>
      <c r="O21" s="43" t="n">
        <v>0</v>
      </c>
      <c r="P21" s="37" t="n">
        <v>46066</v>
      </c>
      <c r="Q21" s="40" t="s">
        <v>89</v>
      </c>
    </row>
    <row r="22" customFormat="false" ht="21.75" hidden="false" customHeight="true" outlineLevel="0" collapsed="false">
      <c r="B22" s="28" t="s">
        <v>140</v>
      </c>
      <c r="C22" s="29" t="n">
        <v>46101</v>
      </c>
      <c r="D22" s="30" t="n">
        <v>0.895833333333333</v>
      </c>
      <c r="E22" s="31" t="str">
        <f aca="false">IF(C22="","",TEXT(C22,"dddd"))</f>
        <v>Friday</v>
      </c>
      <c r="F22" s="32" t="s">
        <v>141</v>
      </c>
      <c r="G22" s="32" t="s">
        <v>142</v>
      </c>
      <c r="H22" s="32" t="s">
        <v>143</v>
      </c>
      <c r="I22" s="28" t="n">
        <v>3</v>
      </c>
      <c r="J22" s="28" t="s">
        <v>144</v>
      </c>
      <c r="K22" s="33" t="n">
        <f aca="false">IFERROR(VLOOKUP(J22,tblTische[[Tisch-Nr.]:[Kapazität]],3,FALSE()),"")</f>
        <v>4</v>
      </c>
      <c r="L22" s="34" t="n">
        <f aca="false">IFERROR(I22/K22,"")</f>
        <v>0.75</v>
      </c>
      <c r="M22" s="28" t="s">
        <v>19</v>
      </c>
      <c r="N22" s="28" t="s">
        <v>20</v>
      </c>
      <c r="O22" s="35" t="n">
        <v>0</v>
      </c>
      <c r="P22" s="29" t="n">
        <v>46093</v>
      </c>
      <c r="Q22" s="32" t="s">
        <v>134</v>
      </c>
    </row>
    <row r="23" customFormat="false" ht="21.75" hidden="false" customHeight="true" outlineLevel="0" collapsed="false">
      <c r="B23" s="36" t="s">
        <v>145</v>
      </c>
      <c r="C23" s="37" t="n">
        <v>46098</v>
      </c>
      <c r="D23" s="38" t="n">
        <v>0.833333333333333</v>
      </c>
      <c r="E23" s="39" t="str">
        <f aca="false">IF(C23="","",TEXT(C23,"dddd"))</f>
        <v>Tuesday</v>
      </c>
      <c r="F23" s="40" t="s">
        <v>146</v>
      </c>
      <c r="G23" s="40" t="s">
        <v>147</v>
      </c>
      <c r="H23" s="40" t="s">
        <v>148</v>
      </c>
      <c r="I23" s="36" t="n">
        <v>6</v>
      </c>
      <c r="J23" s="36" t="s">
        <v>105</v>
      </c>
      <c r="K23" s="41" t="n">
        <f aca="false">IFERROR(VLOOKUP(J23,tblTische[[Tisch-Nr.]:[Kapazität]],3,FALSE()),"")</f>
        <v>6</v>
      </c>
      <c r="L23" s="42" t="n">
        <f aca="false">IFERROR(I23/K23,"")</f>
        <v>1</v>
      </c>
      <c r="M23" s="36" t="s">
        <v>23</v>
      </c>
      <c r="N23" s="36" t="s">
        <v>18</v>
      </c>
      <c r="O23" s="43" t="n">
        <v>0</v>
      </c>
      <c r="P23" s="37" t="n">
        <v>46094</v>
      </c>
      <c r="Q23" s="40" t="s">
        <v>73</v>
      </c>
    </row>
    <row r="24" customFormat="false" ht="21.75" hidden="false" customHeight="true" outlineLevel="0" collapsed="false">
      <c r="B24" s="28" t="s">
        <v>149</v>
      </c>
      <c r="C24" s="29" t="n">
        <v>46096</v>
      </c>
      <c r="D24" s="30" t="n">
        <v>0.895833333333333</v>
      </c>
      <c r="E24" s="31" t="str">
        <f aca="false">IF(C24="","",TEXT(C24,"dddd"))</f>
        <v>Sunday</v>
      </c>
      <c r="F24" s="32" t="s">
        <v>150</v>
      </c>
      <c r="G24" s="32" t="s">
        <v>151</v>
      </c>
      <c r="H24" s="32" t="s">
        <v>152</v>
      </c>
      <c r="I24" s="28" t="n">
        <v>8</v>
      </c>
      <c r="J24" s="28" t="s">
        <v>72</v>
      </c>
      <c r="K24" s="33" t="n">
        <f aca="false">IFERROR(VLOOKUP(J24,tblTische[[Tisch-Nr.]:[Kapazität]],3,FALSE()),"")</f>
        <v>8</v>
      </c>
      <c r="L24" s="34" t="n">
        <f aca="false">IFERROR(I24/K24,"")</f>
        <v>1</v>
      </c>
      <c r="M24" s="28" t="s">
        <v>17</v>
      </c>
      <c r="N24" s="28" t="s">
        <v>18</v>
      </c>
      <c r="O24" s="35" t="n">
        <v>160</v>
      </c>
      <c r="P24" s="29" t="n">
        <v>46079</v>
      </c>
      <c r="Q24" s="32" t="s">
        <v>73</v>
      </c>
    </row>
    <row r="25" customFormat="false" ht="21.75" hidden="false" customHeight="true" outlineLevel="0" collapsed="false">
      <c r="B25" s="36" t="s">
        <v>153</v>
      </c>
      <c r="C25" s="37" t="n">
        <v>46096</v>
      </c>
      <c r="D25" s="38" t="n">
        <v>0.854166666666667</v>
      </c>
      <c r="E25" s="39" t="str">
        <f aca="false">IF(C25="","",TEXT(C25,"dddd"))</f>
        <v>Sunday</v>
      </c>
      <c r="F25" s="40" t="s">
        <v>154</v>
      </c>
      <c r="G25" s="40" t="s">
        <v>155</v>
      </c>
      <c r="H25" s="40" t="s">
        <v>156</v>
      </c>
      <c r="I25" s="36" t="n">
        <v>4</v>
      </c>
      <c r="J25" s="36" t="s">
        <v>157</v>
      </c>
      <c r="K25" s="41" t="n">
        <f aca="false">IFERROR(VLOOKUP(J25,tblTische[[Tisch-Nr.]:[Kapazität]],3,FALSE()),"")</f>
        <v>14</v>
      </c>
      <c r="L25" s="42" t="n">
        <f aca="false">IFERROR(I25/K25,"")</f>
        <v>0.285714285714286</v>
      </c>
      <c r="M25" s="36" t="s">
        <v>19</v>
      </c>
      <c r="N25" s="36" t="s">
        <v>32</v>
      </c>
      <c r="O25" s="43" t="n">
        <v>0</v>
      </c>
      <c r="P25" s="37" t="n">
        <v>46076</v>
      </c>
      <c r="Q25" s="40" t="s">
        <v>100</v>
      </c>
    </row>
    <row r="26" customFormat="false" ht="21.75" hidden="false" customHeight="true" outlineLevel="0" collapsed="false">
      <c r="B26" s="28" t="s">
        <v>158</v>
      </c>
      <c r="C26" s="29" t="n">
        <v>46104</v>
      </c>
      <c r="D26" s="30" t="n">
        <v>0.770833333333333</v>
      </c>
      <c r="E26" s="31" t="str">
        <f aca="false">IF(C26="","",TEXT(C26,"dddd"))</f>
        <v>Monday</v>
      </c>
      <c r="F26" s="32" t="s">
        <v>159</v>
      </c>
      <c r="G26" s="32" t="s">
        <v>160</v>
      </c>
      <c r="H26" s="32" t="s">
        <v>161</v>
      </c>
      <c r="I26" s="28" t="n">
        <v>6</v>
      </c>
      <c r="J26" s="28" t="s">
        <v>72</v>
      </c>
      <c r="K26" s="33" t="n">
        <f aca="false">IFERROR(VLOOKUP(J26,tblTische[[Tisch-Nr.]:[Kapazität]],3,FALSE()),"")</f>
        <v>8</v>
      </c>
      <c r="L26" s="34" t="n">
        <f aca="false">IFERROR(I26/K26,"")</f>
        <v>0.75</v>
      </c>
      <c r="M26" s="28" t="s">
        <v>25</v>
      </c>
      <c r="N26" s="28" t="s">
        <v>18</v>
      </c>
      <c r="O26" s="35" t="n">
        <v>0</v>
      </c>
      <c r="P26" s="29" t="n">
        <v>46075</v>
      </c>
      <c r="Q26" s="32"/>
    </row>
    <row r="27" customFormat="false" ht="21.75" hidden="false" customHeight="true" outlineLevel="0" collapsed="false">
      <c r="B27" s="36" t="s">
        <v>162</v>
      </c>
      <c r="C27" s="37" t="n">
        <v>46093</v>
      </c>
      <c r="D27" s="38" t="n">
        <v>0.895833333333333</v>
      </c>
      <c r="E27" s="39" t="str">
        <f aca="false">IF(C27="","",TEXT(C27,"dddd"))</f>
        <v>Thursday</v>
      </c>
      <c r="F27" s="40" t="s">
        <v>163</v>
      </c>
      <c r="G27" s="40" t="s">
        <v>164</v>
      </c>
      <c r="H27" s="40" t="s">
        <v>165</v>
      </c>
      <c r="I27" s="36" t="n">
        <v>2</v>
      </c>
      <c r="J27" s="36" t="s">
        <v>166</v>
      </c>
      <c r="K27" s="41" t="n">
        <f aca="false">IFERROR(VLOOKUP(J27,tblTische[[Tisch-Nr.]:[Kapazität]],3,FALSE()),"")</f>
        <v>4</v>
      </c>
      <c r="L27" s="42" t="n">
        <f aca="false">IFERROR(I27/K27,"")</f>
        <v>0.5</v>
      </c>
      <c r="M27" s="36" t="s">
        <v>17</v>
      </c>
      <c r="N27" s="36" t="s">
        <v>18</v>
      </c>
      <c r="O27" s="43" t="n">
        <v>0</v>
      </c>
      <c r="P27" s="37" t="n">
        <v>46075</v>
      </c>
      <c r="Q27" s="40" t="s">
        <v>167</v>
      </c>
    </row>
    <row r="28" customFormat="false" ht="21.75" hidden="false" customHeight="true" outlineLevel="0" collapsed="false">
      <c r="B28" s="28" t="s">
        <v>168</v>
      </c>
      <c r="C28" s="29" t="n">
        <v>46098</v>
      </c>
      <c r="D28" s="30" t="n">
        <v>0.8125</v>
      </c>
      <c r="E28" s="31" t="str">
        <f aca="false">IF(C28="","",TEXT(C28,"dddd"))</f>
        <v>Tuesday</v>
      </c>
      <c r="F28" s="32" t="s">
        <v>169</v>
      </c>
      <c r="G28" s="32" t="s">
        <v>170</v>
      </c>
      <c r="H28" s="32" t="s">
        <v>171</v>
      </c>
      <c r="I28" s="28" t="n">
        <v>2</v>
      </c>
      <c r="J28" s="28" t="s">
        <v>166</v>
      </c>
      <c r="K28" s="33" t="n">
        <f aca="false">IFERROR(VLOOKUP(J28,tblTische[[Tisch-Nr.]:[Kapazität]],3,FALSE()),"")</f>
        <v>4</v>
      </c>
      <c r="L28" s="34" t="n">
        <f aca="false">IFERROR(I28/K28,"")</f>
        <v>0.5</v>
      </c>
      <c r="M28" s="28" t="s">
        <v>19</v>
      </c>
      <c r="N28" s="28" t="s">
        <v>18</v>
      </c>
      <c r="O28" s="35" t="n">
        <v>0</v>
      </c>
      <c r="P28" s="29" t="n">
        <v>46073</v>
      </c>
      <c r="Q28" s="32" t="s">
        <v>115</v>
      </c>
    </row>
    <row r="29" customFormat="false" ht="21.75" hidden="false" customHeight="true" outlineLevel="0" collapsed="false">
      <c r="B29" s="36" t="s">
        <v>172</v>
      </c>
      <c r="C29" s="37" t="n">
        <v>46099</v>
      </c>
      <c r="D29" s="38" t="n">
        <v>0.833333333333333</v>
      </c>
      <c r="E29" s="39" t="str">
        <f aca="false">IF(C29="","",TEXT(C29,"dddd"))</f>
        <v>Wednesday</v>
      </c>
      <c r="F29" s="40" t="s">
        <v>173</v>
      </c>
      <c r="G29" s="40" t="s">
        <v>174</v>
      </c>
      <c r="H29" s="40" t="s">
        <v>175</v>
      </c>
      <c r="I29" s="36" t="n">
        <v>3</v>
      </c>
      <c r="J29" s="36" t="s">
        <v>99</v>
      </c>
      <c r="K29" s="41" t="n">
        <f aca="false">IFERROR(VLOOKUP(J29,tblTische[[Tisch-Nr.]:[Kapazität]],3,FALSE()),"")</f>
        <v>4</v>
      </c>
      <c r="L29" s="42" t="n">
        <f aca="false">IFERROR(I29/K29,"")</f>
        <v>0.75</v>
      </c>
      <c r="M29" s="36" t="s">
        <v>17</v>
      </c>
      <c r="N29" s="36" t="s">
        <v>20</v>
      </c>
      <c r="O29" s="43" t="n">
        <v>0</v>
      </c>
      <c r="P29" s="37" t="n">
        <v>46083</v>
      </c>
      <c r="Q29" s="40" t="s">
        <v>73</v>
      </c>
    </row>
    <row r="30" customFormat="false" ht="21.75" hidden="false" customHeight="true" outlineLevel="0" collapsed="false">
      <c r="B30" s="28" t="s">
        <v>176</v>
      </c>
      <c r="C30" s="29" t="n">
        <v>46101</v>
      </c>
      <c r="D30" s="30" t="n">
        <v>0.895833333333333</v>
      </c>
      <c r="E30" s="31" t="str">
        <f aca="false">IF(C30="","",TEXT(C30,"dddd"))</f>
        <v>Friday</v>
      </c>
      <c r="F30" s="32" t="s">
        <v>177</v>
      </c>
      <c r="G30" s="32" t="s">
        <v>178</v>
      </c>
      <c r="H30" s="32" t="s">
        <v>179</v>
      </c>
      <c r="I30" s="28" t="n">
        <v>2</v>
      </c>
      <c r="J30" s="28" t="s">
        <v>94</v>
      </c>
      <c r="K30" s="33" t="n">
        <f aca="false">IFERROR(VLOOKUP(J30,tblTische[[Tisch-Nr.]:[Kapazität]],3,FALSE()),"")</f>
        <v>4</v>
      </c>
      <c r="L30" s="34" t="n">
        <f aca="false">IFERROR(I30/K30,"")</f>
        <v>0.5</v>
      </c>
      <c r="M30" s="28" t="s">
        <v>17</v>
      </c>
      <c r="N30" s="28" t="s">
        <v>30</v>
      </c>
      <c r="O30" s="35" t="n">
        <v>30</v>
      </c>
      <c r="P30" s="29" t="n">
        <v>46086</v>
      </c>
      <c r="Q30" s="32" t="s">
        <v>73</v>
      </c>
    </row>
    <row r="31" customFormat="false" ht="21.75" hidden="false" customHeight="true" outlineLevel="0" collapsed="false">
      <c r="B31" s="36" t="s">
        <v>180</v>
      </c>
      <c r="C31" s="37" t="n">
        <v>46105</v>
      </c>
      <c r="D31" s="38" t="n">
        <v>0.770833333333333</v>
      </c>
      <c r="E31" s="39" t="str">
        <f aca="false">IF(C31="","",TEXT(C31,"dddd"))</f>
        <v>Tuesday</v>
      </c>
      <c r="F31" s="40" t="s">
        <v>122</v>
      </c>
      <c r="G31" s="40" t="s">
        <v>181</v>
      </c>
      <c r="H31" s="40" t="s">
        <v>182</v>
      </c>
      <c r="I31" s="36" t="n">
        <v>2</v>
      </c>
      <c r="J31" s="36" t="s">
        <v>99</v>
      </c>
      <c r="K31" s="41" t="n">
        <f aca="false">IFERROR(VLOOKUP(J31,tblTische[[Tisch-Nr.]:[Kapazität]],3,FALSE()),"")</f>
        <v>4</v>
      </c>
      <c r="L31" s="42" t="n">
        <f aca="false">IFERROR(I31/K31,"")</f>
        <v>0.5</v>
      </c>
      <c r="M31" s="36" t="s">
        <v>17</v>
      </c>
      <c r="N31" s="36" t="s">
        <v>26</v>
      </c>
      <c r="O31" s="43" t="n">
        <v>0</v>
      </c>
      <c r="P31" s="37" t="n">
        <v>46077</v>
      </c>
      <c r="Q31" s="40" t="s">
        <v>84</v>
      </c>
    </row>
    <row r="32" customFormat="false" ht="21.75" hidden="false" customHeight="true" outlineLevel="0" collapsed="false">
      <c r="B32" s="28"/>
      <c r="C32" s="29"/>
      <c r="D32" s="30"/>
      <c r="E32" s="31" t="str">
        <f aca="false">IF(C32="","",TEXT(C32,"dddd"))</f>
        <v/>
      </c>
      <c r="F32" s="32"/>
      <c r="G32" s="32"/>
      <c r="H32" s="32"/>
      <c r="I32" s="28"/>
      <c r="J32" s="28"/>
      <c r="K32" s="33" t="str">
        <f aca="false">IFERROR(VLOOKUP(J32,tblTische[[Tisch-Nr.]:[Kapazität]],3,FALSE()),"")</f>
        <v/>
      </c>
      <c r="L32" s="34" t="str">
        <f aca="false">IFERROR(I32/K32,"")</f>
        <v/>
      </c>
      <c r="M32" s="28"/>
      <c r="N32" s="28"/>
      <c r="O32" s="35"/>
      <c r="P32" s="29"/>
      <c r="Q32" s="32"/>
    </row>
    <row r="33" customFormat="false" ht="21.75" hidden="false" customHeight="true" outlineLevel="0" collapsed="false">
      <c r="B33" s="36"/>
      <c r="C33" s="37"/>
      <c r="D33" s="38"/>
      <c r="E33" s="39" t="str">
        <f aca="false">IF(C33="","",TEXT(C33,"dddd"))</f>
        <v/>
      </c>
      <c r="F33" s="40"/>
      <c r="G33" s="40"/>
      <c r="H33" s="40"/>
      <c r="I33" s="36"/>
      <c r="J33" s="36"/>
      <c r="K33" s="41" t="str">
        <f aca="false">IFERROR(VLOOKUP(J33,tblTische[[Tisch-Nr.]:[Kapazität]],3,FALSE()),"")</f>
        <v/>
      </c>
      <c r="L33" s="42" t="str">
        <f aca="false">IFERROR(I33/K33,"")</f>
        <v/>
      </c>
      <c r="M33" s="36"/>
      <c r="N33" s="36"/>
      <c r="O33" s="43"/>
      <c r="P33" s="37"/>
      <c r="Q33" s="40"/>
    </row>
    <row r="34" customFormat="false" ht="21.75" hidden="false" customHeight="true" outlineLevel="0" collapsed="false">
      <c r="B34" s="28"/>
      <c r="C34" s="29"/>
      <c r="D34" s="30"/>
      <c r="E34" s="31" t="str">
        <f aca="false">IF(C34="","",TEXT(C34,"dddd"))</f>
        <v/>
      </c>
      <c r="F34" s="32"/>
      <c r="G34" s="32"/>
      <c r="H34" s="32"/>
      <c r="I34" s="28"/>
      <c r="J34" s="28"/>
      <c r="K34" s="33" t="str">
        <f aca="false">IFERROR(VLOOKUP(J34,tblTische[[Tisch-Nr.]:[Kapazität]],3,FALSE()),"")</f>
        <v/>
      </c>
      <c r="L34" s="34" t="str">
        <f aca="false">IFERROR(I34/K34,"")</f>
        <v/>
      </c>
      <c r="M34" s="28"/>
      <c r="N34" s="28"/>
      <c r="O34" s="35"/>
      <c r="P34" s="29"/>
      <c r="Q34" s="32"/>
    </row>
    <row r="35" customFormat="false" ht="21.75" hidden="false" customHeight="true" outlineLevel="0" collapsed="false">
      <c r="B35" s="36"/>
      <c r="C35" s="37"/>
      <c r="D35" s="38"/>
      <c r="E35" s="39" t="str">
        <f aca="false">IF(C35="","",TEXT(C35,"dddd"))</f>
        <v/>
      </c>
      <c r="F35" s="40"/>
      <c r="G35" s="40"/>
      <c r="H35" s="40"/>
      <c r="I35" s="36"/>
      <c r="J35" s="36"/>
      <c r="K35" s="41" t="str">
        <f aca="false">IFERROR(VLOOKUP(J35,tblTische[[Tisch-Nr.]:[Kapazität]],3,FALSE()),"")</f>
        <v/>
      </c>
      <c r="L35" s="42" t="str">
        <f aca="false">IFERROR(I35/K35,"")</f>
        <v/>
      </c>
      <c r="M35" s="36"/>
      <c r="N35" s="36"/>
      <c r="O35" s="43"/>
      <c r="P35" s="37"/>
      <c r="Q35" s="40"/>
    </row>
    <row r="36" customFormat="false" ht="21.75" hidden="false" customHeight="true" outlineLevel="0" collapsed="false">
      <c r="B36" s="28"/>
      <c r="C36" s="29"/>
      <c r="D36" s="30"/>
      <c r="E36" s="31" t="str">
        <f aca="false">IF(C36="","",TEXT(C36,"dddd"))</f>
        <v/>
      </c>
      <c r="F36" s="32"/>
      <c r="G36" s="32"/>
      <c r="H36" s="32"/>
      <c r="I36" s="28"/>
      <c r="J36" s="28"/>
      <c r="K36" s="33" t="str">
        <f aca="false">IFERROR(VLOOKUP(J36,tblTische[[Tisch-Nr.]:[Kapazität]],3,FALSE()),"")</f>
        <v/>
      </c>
      <c r="L36" s="34" t="str">
        <f aca="false">IFERROR(I36/K36,"")</f>
        <v/>
      </c>
      <c r="M36" s="28"/>
      <c r="N36" s="28"/>
      <c r="O36" s="35"/>
      <c r="P36" s="29"/>
      <c r="Q36" s="32"/>
    </row>
    <row r="37" customFormat="false" ht="21.75" hidden="false" customHeight="true" outlineLevel="0" collapsed="false">
      <c r="B37" s="36"/>
      <c r="C37" s="37"/>
      <c r="D37" s="38"/>
      <c r="E37" s="39" t="str">
        <f aca="false">IF(C37="","",TEXT(C37,"dddd"))</f>
        <v/>
      </c>
      <c r="F37" s="40"/>
      <c r="G37" s="40"/>
      <c r="H37" s="40"/>
      <c r="I37" s="36"/>
      <c r="J37" s="36"/>
      <c r="K37" s="41" t="str">
        <f aca="false">IFERROR(VLOOKUP(J37,tblTische[[Tisch-Nr.]:[Kapazität]],3,FALSE()),"")</f>
        <v/>
      </c>
      <c r="L37" s="42" t="str">
        <f aca="false">IFERROR(I37/K37,"")</f>
        <v/>
      </c>
      <c r="M37" s="36"/>
      <c r="N37" s="36"/>
      <c r="O37" s="43"/>
      <c r="P37" s="37"/>
      <c r="Q37" s="40"/>
    </row>
    <row r="38" customFormat="false" ht="21.75" hidden="false" customHeight="true" outlineLevel="0" collapsed="false">
      <c r="B38" s="28"/>
      <c r="C38" s="29"/>
      <c r="D38" s="30"/>
      <c r="E38" s="31" t="str">
        <f aca="false">IF(C38="","",TEXT(C38,"dddd"))</f>
        <v/>
      </c>
      <c r="F38" s="32"/>
      <c r="G38" s="32"/>
      <c r="H38" s="32"/>
      <c r="I38" s="28"/>
      <c r="J38" s="28"/>
      <c r="K38" s="33" t="str">
        <f aca="false">IFERROR(VLOOKUP(J38,tblTische[[Tisch-Nr.]:[Kapazität]],3,FALSE()),"")</f>
        <v/>
      </c>
      <c r="L38" s="34" t="str">
        <f aca="false">IFERROR(I38/K38,"")</f>
        <v/>
      </c>
      <c r="M38" s="28"/>
      <c r="N38" s="28"/>
      <c r="O38" s="35"/>
      <c r="P38" s="29"/>
      <c r="Q38" s="32"/>
    </row>
    <row r="39" customFormat="false" ht="21.75" hidden="false" customHeight="true" outlineLevel="0" collapsed="false">
      <c r="B39" s="36"/>
      <c r="C39" s="37"/>
      <c r="D39" s="38"/>
      <c r="E39" s="39" t="str">
        <f aca="false">IF(C39="","",TEXT(C39,"dddd"))</f>
        <v/>
      </c>
      <c r="F39" s="40"/>
      <c r="G39" s="40"/>
      <c r="H39" s="40"/>
      <c r="I39" s="36"/>
      <c r="J39" s="36"/>
      <c r="K39" s="41" t="str">
        <f aca="false">IFERROR(VLOOKUP(J39,tblTische[[Tisch-Nr.]:[Kapazität]],3,FALSE()),"")</f>
        <v/>
      </c>
      <c r="L39" s="42" t="str">
        <f aca="false">IFERROR(I39/K39,"")</f>
        <v/>
      </c>
      <c r="M39" s="36"/>
      <c r="N39" s="36"/>
      <c r="O39" s="43"/>
      <c r="P39" s="37"/>
      <c r="Q39" s="40"/>
    </row>
    <row r="40" customFormat="false" ht="21.75" hidden="false" customHeight="true" outlineLevel="0" collapsed="false">
      <c r="B40" s="28"/>
      <c r="C40" s="29"/>
      <c r="D40" s="30"/>
      <c r="E40" s="31" t="str">
        <f aca="false">IF(C40="","",TEXT(C40,"dddd"))</f>
        <v/>
      </c>
      <c r="F40" s="32"/>
      <c r="G40" s="32"/>
      <c r="H40" s="32"/>
      <c r="I40" s="28"/>
      <c r="J40" s="28"/>
      <c r="K40" s="33" t="str">
        <f aca="false">IFERROR(VLOOKUP(J40,tblTische[[Tisch-Nr.]:[Kapazität]],3,FALSE()),"")</f>
        <v/>
      </c>
      <c r="L40" s="34" t="str">
        <f aca="false">IFERROR(I40/K40,"")</f>
        <v/>
      </c>
      <c r="M40" s="28"/>
      <c r="N40" s="28"/>
      <c r="O40" s="35"/>
      <c r="P40" s="29"/>
      <c r="Q40" s="32"/>
    </row>
    <row r="41" customFormat="false" ht="21.75" hidden="false" customHeight="true" outlineLevel="0" collapsed="false">
      <c r="B41" s="36"/>
      <c r="C41" s="37"/>
      <c r="D41" s="38"/>
      <c r="E41" s="39" t="str">
        <f aca="false">IF(C41="","",TEXT(C41,"dddd"))</f>
        <v/>
      </c>
      <c r="F41" s="40"/>
      <c r="G41" s="40"/>
      <c r="H41" s="40"/>
      <c r="I41" s="36"/>
      <c r="J41" s="36"/>
      <c r="K41" s="41" t="str">
        <f aca="false">IFERROR(VLOOKUP(J41,tblTische[[Tisch-Nr.]:[Kapazität]],3,FALSE()),"")</f>
        <v/>
      </c>
      <c r="L41" s="42" t="str">
        <f aca="false">IFERROR(I41/K41,"")</f>
        <v/>
      </c>
      <c r="M41" s="36"/>
      <c r="N41" s="36"/>
      <c r="O41" s="43"/>
      <c r="P41" s="37"/>
      <c r="Q41" s="40"/>
    </row>
    <row r="42" customFormat="false" ht="21.75" hidden="false" customHeight="true" outlineLevel="0" collapsed="false">
      <c r="B42" s="28"/>
      <c r="C42" s="29"/>
      <c r="D42" s="30"/>
      <c r="E42" s="31" t="str">
        <f aca="false">IF(C42="","",TEXT(C42,"dddd"))</f>
        <v/>
      </c>
      <c r="F42" s="32"/>
      <c r="G42" s="32"/>
      <c r="H42" s="32"/>
      <c r="I42" s="28"/>
      <c r="J42" s="28"/>
      <c r="K42" s="33" t="str">
        <f aca="false">IFERROR(VLOOKUP(J42,tblTische[[Tisch-Nr.]:[Kapazität]],3,FALSE()),"")</f>
        <v/>
      </c>
      <c r="L42" s="34" t="str">
        <f aca="false">IFERROR(I42/K42,"")</f>
        <v/>
      </c>
      <c r="M42" s="28"/>
      <c r="N42" s="28"/>
      <c r="O42" s="35"/>
      <c r="P42" s="29"/>
      <c r="Q42" s="32"/>
    </row>
    <row r="43" customFormat="false" ht="21.75" hidden="false" customHeight="true" outlineLevel="0" collapsed="false">
      <c r="B43" s="36"/>
      <c r="C43" s="37"/>
      <c r="D43" s="38"/>
      <c r="E43" s="39" t="str">
        <f aca="false">IF(C43="","",TEXT(C43,"dddd"))</f>
        <v/>
      </c>
      <c r="F43" s="40"/>
      <c r="G43" s="40"/>
      <c r="H43" s="40"/>
      <c r="I43" s="36"/>
      <c r="J43" s="36"/>
      <c r="K43" s="41" t="str">
        <f aca="false">IFERROR(VLOOKUP(J43,tblTische[[Tisch-Nr.]:[Kapazität]],3,FALSE()),"")</f>
        <v/>
      </c>
      <c r="L43" s="42" t="str">
        <f aca="false">IFERROR(I43/K43,"")</f>
        <v/>
      </c>
      <c r="M43" s="36"/>
      <c r="N43" s="36"/>
      <c r="O43" s="43"/>
      <c r="P43" s="37"/>
      <c r="Q43" s="40"/>
    </row>
    <row r="44" customFormat="false" ht="21.75" hidden="false" customHeight="true" outlineLevel="0" collapsed="false">
      <c r="B44" s="28"/>
      <c r="C44" s="29"/>
      <c r="D44" s="30"/>
      <c r="E44" s="31" t="str">
        <f aca="false">IF(C44="","",TEXT(C44,"dddd"))</f>
        <v/>
      </c>
      <c r="F44" s="32"/>
      <c r="G44" s="32"/>
      <c r="H44" s="32"/>
      <c r="I44" s="28"/>
      <c r="J44" s="28"/>
      <c r="K44" s="33" t="str">
        <f aca="false">IFERROR(VLOOKUP(J44,tblTische[[Tisch-Nr.]:[Kapazität]],3,FALSE()),"")</f>
        <v/>
      </c>
      <c r="L44" s="34" t="str">
        <f aca="false">IFERROR(I44/K44,"")</f>
        <v/>
      </c>
      <c r="M44" s="28"/>
      <c r="N44" s="28"/>
      <c r="O44" s="35"/>
      <c r="P44" s="29"/>
      <c r="Q44" s="32"/>
    </row>
    <row r="45" customFormat="false" ht="21.75" hidden="false" customHeight="true" outlineLevel="0" collapsed="false">
      <c r="B45" s="36"/>
      <c r="C45" s="37"/>
      <c r="D45" s="38"/>
      <c r="E45" s="39" t="str">
        <f aca="false">IF(C45="","",TEXT(C45,"dddd"))</f>
        <v/>
      </c>
      <c r="F45" s="40"/>
      <c r="G45" s="40"/>
      <c r="H45" s="40"/>
      <c r="I45" s="36"/>
      <c r="J45" s="36"/>
      <c r="K45" s="41" t="str">
        <f aca="false">IFERROR(VLOOKUP(J45,tblTische[[Tisch-Nr.]:[Kapazität]],3,FALSE()),"")</f>
        <v/>
      </c>
      <c r="L45" s="42" t="str">
        <f aca="false">IFERROR(I45/K45,"")</f>
        <v/>
      </c>
      <c r="M45" s="36"/>
      <c r="N45" s="36"/>
      <c r="O45" s="43"/>
      <c r="P45" s="37"/>
      <c r="Q45" s="40"/>
    </row>
    <row r="46" customFormat="false" ht="21.75" hidden="false" customHeight="true" outlineLevel="0" collapsed="false">
      <c r="B46" s="28"/>
      <c r="C46" s="29"/>
      <c r="D46" s="30"/>
      <c r="E46" s="31" t="str">
        <f aca="false">IF(C46="","",TEXT(C46,"dddd"))</f>
        <v/>
      </c>
      <c r="F46" s="32"/>
      <c r="G46" s="32"/>
      <c r="H46" s="32"/>
      <c r="I46" s="28"/>
      <c r="J46" s="28"/>
      <c r="K46" s="33" t="str">
        <f aca="false">IFERROR(VLOOKUP(J46,tblTische[[Tisch-Nr.]:[Kapazität]],3,FALSE()),"")</f>
        <v/>
      </c>
      <c r="L46" s="34" t="str">
        <f aca="false">IFERROR(I46/K46,"")</f>
        <v/>
      </c>
      <c r="M46" s="28"/>
      <c r="N46" s="28"/>
      <c r="O46" s="35"/>
      <c r="P46" s="29"/>
      <c r="Q46" s="32"/>
    </row>
    <row r="47" customFormat="false" ht="21.75" hidden="false" customHeight="true" outlineLevel="0" collapsed="false">
      <c r="B47" s="36"/>
      <c r="C47" s="37"/>
      <c r="D47" s="38"/>
      <c r="E47" s="39" t="str">
        <f aca="false">IF(C47="","",TEXT(C47,"dddd"))</f>
        <v/>
      </c>
      <c r="F47" s="40"/>
      <c r="G47" s="40"/>
      <c r="H47" s="40"/>
      <c r="I47" s="36"/>
      <c r="J47" s="36"/>
      <c r="K47" s="41" t="str">
        <f aca="false">IFERROR(VLOOKUP(J47,tblTische[[Tisch-Nr.]:[Kapazität]],3,FALSE()),"")</f>
        <v/>
      </c>
      <c r="L47" s="42" t="str">
        <f aca="false">IFERROR(I47/K47,"")</f>
        <v/>
      </c>
      <c r="M47" s="36"/>
      <c r="N47" s="36"/>
      <c r="O47" s="43"/>
      <c r="P47" s="37"/>
      <c r="Q47" s="40"/>
    </row>
    <row r="48" customFormat="false" ht="21.75" hidden="false" customHeight="true" outlineLevel="0" collapsed="false">
      <c r="B48" s="28"/>
      <c r="C48" s="29"/>
      <c r="D48" s="30"/>
      <c r="E48" s="31" t="str">
        <f aca="false">IF(C48="","",TEXT(C48,"dddd"))</f>
        <v/>
      </c>
      <c r="F48" s="32"/>
      <c r="G48" s="32"/>
      <c r="H48" s="32"/>
      <c r="I48" s="28"/>
      <c r="J48" s="28"/>
      <c r="K48" s="33" t="str">
        <f aca="false">IFERROR(VLOOKUP(J48,tblTische[[Tisch-Nr.]:[Kapazität]],3,FALSE()),"")</f>
        <v/>
      </c>
      <c r="L48" s="34" t="str">
        <f aca="false">IFERROR(I48/K48,"")</f>
        <v/>
      </c>
      <c r="M48" s="28"/>
      <c r="N48" s="28"/>
      <c r="O48" s="35"/>
      <c r="P48" s="29"/>
      <c r="Q48" s="32"/>
    </row>
    <row r="49" customFormat="false" ht="21.75" hidden="false" customHeight="true" outlineLevel="0" collapsed="false">
      <c r="B49" s="36"/>
      <c r="C49" s="37"/>
      <c r="D49" s="38"/>
      <c r="E49" s="39" t="str">
        <f aca="false">IF(C49="","",TEXT(C49,"dddd"))</f>
        <v/>
      </c>
      <c r="F49" s="40"/>
      <c r="G49" s="40"/>
      <c r="H49" s="40"/>
      <c r="I49" s="36"/>
      <c r="J49" s="36"/>
      <c r="K49" s="41" t="str">
        <f aca="false">IFERROR(VLOOKUP(J49,tblTische[[Tisch-Nr.]:[Kapazität]],3,FALSE()),"")</f>
        <v/>
      </c>
      <c r="L49" s="42" t="str">
        <f aca="false">IFERROR(I49/K49,"")</f>
        <v/>
      </c>
      <c r="M49" s="36"/>
      <c r="N49" s="36"/>
      <c r="O49" s="43"/>
      <c r="P49" s="37"/>
      <c r="Q49" s="40"/>
    </row>
    <row r="50" customFormat="false" ht="21.75" hidden="false" customHeight="true" outlineLevel="0" collapsed="false">
      <c r="B50" s="28"/>
      <c r="C50" s="29"/>
      <c r="D50" s="30"/>
      <c r="E50" s="31" t="str">
        <f aca="false">IF(C50="","",TEXT(C50,"dddd"))</f>
        <v/>
      </c>
      <c r="F50" s="32"/>
      <c r="G50" s="32"/>
      <c r="H50" s="32"/>
      <c r="I50" s="28"/>
      <c r="J50" s="28"/>
      <c r="K50" s="33" t="str">
        <f aca="false">IFERROR(VLOOKUP(J50,tblTische[[Tisch-Nr.]:[Kapazität]],3,FALSE()),"")</f>
        <v/>
      </c>
      <c r="L50" s="34" t="str">
        <f aca="false">IFERROR(I50/K50,"")</f>
        <v/>
      </c>
      <c r="M50" s="28"/>
      <c r="N50" s="28"/>
      <c r="O50" s="35"/>
      <c r="P50" s="29"/>
      <c r="Q50" s="32"/>
    </row>
    <row r="51" customFormat="false" ht="21.75" hidden="false" customHeight="true" outlineLevel="0" collapsed="false">
      <c r="B51" s="36"/>
      <c r="C51" s="37"/>
      <c r="D51" s="38"/>
      <c r="E51" s="39" t="str">
        <f aca="false">IF(C51="","",TEXT(C51,"dddd"))</f>
        <v/>
      </c>
      <c r="F51" s="40"/>
      <c r="G51" s="40"/>
      <c r="H51" s="40"/>
      <c r="I51" s="36"/>
      <c r="J51" s="36"/>
      <c r="K51" s="41" t="str">
        <f aca="false">IFERROR(VLOOKUP(J51,tblTische[[Tisch-Nr.]:[Kapazität]],3,FALSE()),"")</f>
        <v/>
      </c>
      <c r="L51" s="42" t="str">
        <f aca="false">IFERROR(I51/K51,"")</f>
        <v/>
      </c>
      <c r="M51" s="36"/>
      <c r="N51" s="36"/>
      <c r="O51" s="43"/>
      <c r="P51" s="37"/>
      <c r="Q51" s="40"/>
    </row>
    <row r="52" customFormat="false" ht="21.75" hidden="false" customHeight="true" outlineLevel="0" collapsed="false">
      <c r="B52" s="28"/>
      <c r="C52" s="29"/>
      <c r="D52" s="30"/>
      <c r="E52" s="31" t="str">
        <f aca="false">IF(C52="","",TEXT(C52,"dddd"))</f>
        <v/>
      </c>
      <c r="F52" s="32"/>
      <c r="G52" s="32"/>
      <c r="H52" s="32"/>
      <c r="I52" s="28"/>
      <c r="J52" s="28"/>
      <c r="K52" s="33" t="str">
        <f aca="false">IFERROR(VLOOKUP(J52,tblTische[[Tisch-Nr.]:[Kapazität]],3,FALSE()),"")</f>
        <v/>
      </c>
      <c r="L52" s="34" t="str">
        <f aca="false">IFERROR(I52/K52,"")</f>
        <v/>
      </c>
      <c r="M52" s="28"/>
      <c r="N52" s="28"/>
      <c r="O52" s="35"/>
      <c r="P52" s="29"/>
      <c r="Q52" s="32"/>
    </row>
    <row r="53" customFormat="false" ht="21.75" hidden="false" customHeight="true" outlineLevel="0" collapsed="false">
      <c r="B53" s="36"/>
      <c r="C53" s="37"/>
      <c r="D53" s="38"/>
      <c r="E53" s="39" t="str">
        <f aca="false">IF(C53="","",TEXT(C53,"dddd"))</f>
        <v/>
      </c>
      <c r="F53" s="40"/>
      <c r="G53" s="40"/>
      <c r="H53" s="40"/>
      <c r="I53" s="36"/>
      <c r="J53" s="36"/>
      <c r="K53" s="41" t="str">
        <f aca="false">IFERROR(VLOOKUP(J53,tblTische[[Tisch-Nr.]:[Kapazität]],3,FALSE()),"")</f>
        <v/>
      </c>
      <c r="L53" s="42" t="str">
        <f aca="false">IFERROR(I53/K53,"")</f>
        <v/>
      </c>
      <c r="M53" s="36"/>
      <c r="N53" s="36"/>
      <c r="O53" s="43"/>
      <c r="P53" s="37"/>
      <c r="Q53" s="40"/>
    </row>
    <row r="54" customFormat="false" ht="21.75" hidden="false" customHeight="true" outlineLevel="0" collapsed="false">
      <c r="B54" s="28"/>
      <c r="C54" s="29"/>
      <c r="D54" s="30"/>
      <c r="E54" s="31" t="str">
        <f aca="false">IF(C54="","",TEXT(C54,"dddd"))</f>
        <v/>
      </c>
      <c r="F54" s="32"/>
      <c r="G54" s="32"/>
      <c r="H54" s="32"/>
      <c r="I54" s="28"/>
      <c r="J54" s="28"/>
      <c r="K54" s="33" t="str">
        <f aca="false">IFERROR(VLOOKUP(J54,tblTische[[Tisch-Nr.]:[Kapazität]],3,FALSE()),"")</f>
        <v/>
      </c>
      <c r="L54" s="34" t="str">
        <f aca="false">IFERROR(I54/K54,"")</f>
        <v/>
      </c>
      <c r="M54" s="28"/>
      <c r="N54" s="28"/>
      <c r="O54" s="35"/>
      <c r="P54" s="29"/>
      <c r="Q54" s="32"/>
    </row>
    <row r="55" customFormat="false" ht="21.75" hidden="false" customHeight="true" outlineLevel="0" collapsed="false">
      <c r="B55" s="36"/>
      <c r="C55" s="37"/>
      <c r="D55" s="38"/>
      <c r="E55" s="39" t="str">
        <f aca="false">IF(C55="","",TEXT(C55,"dddd"))</f>
        <v/>
      </c>
      <c r="F55" s="40"/>
      <c r="G55" s="40"/>
      <c r="H55" s="40"/>
      <c r="I55" s="36"/>
      <c r="J55" s="36"/>
      <c r="K55" s="41" t="str">
        <f aca="false">IFERROR(VLOOKUP(J55,tblTische[[Tisch-Nr.]:[Kapazität]],3,FALSE()),"")</f>
        <v/>
      </c>
      <c r="L55" s="42" t="str">
        <f aca="false">IFERROR(I55/K55,"")</f>
        <v/>
      </c>
      <c r="M55" s="36"/>
      <c r="N55" s="36"/>
      <c r="O55" s="43"/>
      <c r="P55" s="37"/>
      <c r="Q55" s="40"/>
    </row>
    <row r="56" customFormat="false" ht="21.75" hidden="false" customHeight="true" outlineLevel="0" collapsed="false">
      <c r="B56" s="28"/>
      <c r="C56" s="29"/>
      <c r="D56" s="30"/>
      <c r="E56" s="31" t="str">
        <f aca="false">IF(C56="","",TEXT(C56,"dddd"))</f>
        <v/>
      </c>
      <c r="F56" s="32"/>
      <c r="G56" s="32"/>
      <c r="H56" s="32"/>
      <c r="I56" s="28"/>
      <c r="J56" s="28"/>
      <c r="K56" s="33" t="str">
        <f aca="false">IFERROR(VLOOKUP(J56,tblTische[[Tisch-Nr.]:[Kapazität]],3,FALSE()),"")</f>
        <v/>
      </c>
      <c r="L56" s="34" t="str">
        <f aca="false">IFERROR(I56/K56,"")</f>
        <v/>
      </c>
      <c r="M56" s="28"/>
      <c r="N56" s="28"/>
      <c r="O56" s="35"/>
      <c r="P56" s="29"/>
      <c r="Q56" s="32"/>
    </row>
    <row r="57" customFormat="false" ht="21.75" hidden="false" customHeight="true" outlineLevel="0" collapsed="false">
      <c r="B57" s="36"/>
      <c r="C57" s="37"/>
      <c r="D57" s="38"/>
      <c r="E57" s="39" t="str">
        <f aca="false">IF(C57="","",TEXT(C57,"dddd"))</f>
        <v/>
      </c>
      <c r="F57" s="40"/>
      <c r="G57" s="40"/>
      <c r="H57" s="40"/>
      <c r="I57" s="36"/>
      <c r="J57" s="36"/>
      <c r="K57" s="41" t="str">
        <f aca="false">IFERROR(VLOOKUP(J57,tblTische[[Tisch-Nr.]:[Kapazität]],3,FALSE()),"")</f>
        <v/>
      </c>
      <c r="L57" s="42" t="str">
        <f aca="false">IFERROR(I57/K57,"")</f>
        <v/>
      </c>
      <c r="M57" s="36"/>
      <c r="N57" s="36"/>
      <c r="O57" s="43"/>
      <c r="P57" s="37"/>
      <c r="Q57" s="40"/>
    </row>
    <row r="58" customFormat="false" ht="21.75" hidden="false" customHeight="true" outlineLevel="0" collapsed="false">
      <c r="B58" s="28"/>
      <c r="C58" s="29"/>
      <c r="D58" s="30"/>
      <c r="E58" s="31" t="str">
        <f aca="false">IF(C58="","",TEXT(C58,"dddd"))</f>
        <v/>
      </c>
      <c r="F58" s="32"/>
      <c r="G58" s="32"/>
      <c r="H58" s="32"/>
      <c r="I58" s="28"/>
      <c r="J58" s="28"/>
      <c r="K58" s="33" t="str">
        <f aca="false">IFERROR(VLOOKUP(J58,tblTische[[Tisch-Nr.]:[Kapazität]],3,FALSE()),"")</f>
        <v/>
      </c>
      <c r="L58" s="34" t="str">
        <f aca="false">IFERROR(I58/K58,"")</f>
        <v/>
      </c>
      <c r="M58" s="28"/>
      <c r="N58" s="28"/>
      <c r="O58" s="35"/>
      <c r="P58" s="29"/>
      <c r="Q58" s="32"/>
    </row>
    <row r="59" customFormat="false" ht="21.75" hidden="false" customHeight="true" outlineLevel="0" collapsed="false">
      <c r="B59" s="36"/>
      <c r="C59" s="37"/>
      <c r="D59" s="38"/>
      <c r="E59" s="39" t="str">
        <f aca="false">IF(C59="","",TEXT(C59,"dddd"))</f>
        <v/>
      </c>
      <c r="F59" s="40"/>
      <c r="G59" s="40"/>
      <c r="H59" s="40"/>
      <c r="I59" s="36"/>
      <c r="J59" s="36"/>
      <c r="K59" s="41" t="str">
        <f aca="false">IFERROR(VLOOKUP(J59,tblTische[[Tisch-Nr.]:[Kapazität]],3,FALSE()),"")</f>
        <v/>
      </c>
      <c r="L59" s="42" t="str">
        <f aca="false">IFERROR(I59/K59,"")</f>
        <v/>
      </c>
      <c r="M59" s="36"/>
      <c r="N59" s="36"/>
      <c r="O59" s="43"/>
      <c r="P59" s="37"/>
      <c r="Q59" s="40"/>
    </row>
    <row r="60" customFormat="false" ht="21.75" hidden="false" customHeight="true" outlineLevel="0" collapsed="false">
      <c r="B60" s="28"/>
      <c r="C60" s="29"/>
      <c r="D60" s="30"/>
      <c r="E60" s="31" t="str">
        <f aca="false">IF(C60="","",TEXT(C60,"dddd"))</f>
        <v/>
      </c>
      <c r="F60" s="32"/>
      <c r="G60" s="32"/>
      <c r="H60" s="32"/>
      <c r="I60" s="28"/>
      <c r="J60" s="28"/>
      <c r="K60" s="33" t="str">
        <f aca="false">IFERROR(VLOOKUP(J60,tblTische[[Tisch-Nr.]:[Kapazität]],3,FALSE()),"")</f>
        <v/>
      </c>
      <c r="L60" s="34" t="str">
        <f aca="false">IFERROR(I60/K60,"")</f>
        <v/>
      </c>
      <c r="M60" s="28"/>
      <c r="N60" s="28"/>
      <c r="O60" s="35"/>
      <c r="P60" s="29"/>
      <c r="Q60" s="32"/>
    </row>
    <row r="61" customFormat="false" ht="21.75" hidden="false" customHeight="true" outlineLevel="0" collapsed="false">
      <c r="B61" s="36"/>
      <c r="C61" s="37"/>
      <c r="D61" s="38"/>
      <c r="E61" s="39" t="str">
        <f aca="false">IF(C61="","",TEXT(C61,"dddd"))</f>
        <v/>
      </c>
      <c r="F61" s="40"/>
      <c r="G61" s="40"/>
      <c r="H61" s="40"/>
      <c r="I61" s="36"/>
      <c r="J61" s="36"/>
      <c r="K61" s="41" t="str">
        <f aca="false">IFERROR(VLOOKUP(J61,tblTische[[Tisch-Nr.]:[Kapazität]],3,FALSE()),"")</f>
        <v/>
      </c>
      <c r="L61" s="42" t="str">
        <f aca="false">IFERROR(I61/K61,"")</f>
        <v/>
      </c>
      <c r="M61" s="36"/>
      <c r="N61" s="36"/>
      <c r="O61" s="43"/>
      <c r="P61" s="37"/>
      <c r="Q61" s="40"/>
    </row>
    <row r="62" customFormat="false" ht="21.75" hidden="false" customHeight="true" outlineLevel="0" collapsed="false">
      <c r="B62" s="28"/>
      <c r="C62" s="29"/>
      <c r="D62" s="30"/>
      <c r="E62" s="31" t="str">
        <f aca="false">IF(C62="","",TEXT(C62,"dddd"))</f>
        <v/>
      </c>
      <c r="F62" s="32"/>
      <c r="G62" s="32"/>
      <c r="H62" s="32"/>
      <c r="I62" s="28"/>
      <c r="J62" s="28"/>
      <c r="K62" s="33" t="str">
        <f aca="false">IFERROR(VLOOKUP(J62,tblTische[[Tisch-Nr.]:[Kapazität]],3,FALSE()),"")</f>
        <v/>
      </c>
      <c r="L62" s="34" t="str">
        <f aca="false">IFERROR(I62/K62,"")</f>
        <v/>
      </c>
      <c r="M62" s="28"/>
      <c r="N62" s="28"/>
      <c r="O62" s="35"/>
      <c r="P62" s="29"/>
      <c r="Q62" s="32"/>
    </row>
    <row r="63" customFormat="false" ht="21.75" hidden="false" customHeight="true" outlineLevel="0" collapsed="false">
      <c r="B63" s="36"/>
      <c r="C63" s="37"/>
      <c r="D63" s="38"/>
      <c r="E63" s="39" t="str">
        <f aca="false">IF(C63="","",TEXT(C63,"dddd"))</f>
        <v/>
      </c>
      <c r="F63" s="40"/>
      <c r="G63" s="40"/>
      <c r="H63" s="40"/>
      <c r="I63" s="36"/>
      <c r="J63" s="36"/>
      <c r="K63" s="41" t="str">
        <f aca="false">IFERROR(VLOOKUP(J63,tblTische[[Tisch-Nr.]:[Kapazität]],3,FALSE()),"")</f>
        <v/>
      </c>
      <c r="L63" s="42" t="str">
        <f aca="false">IFERROR(I63/K63,"")</f>
        <v/>
      </c>
      <c r="M63" s="36"/>
      <c r="N63" s="36"/>
      <c r="O63" s="43"/>
      <c r="P63" s="37"/>
      <c r="Q63" s="40"/>
    </row>
    <row r="64" customFormat="false" ht="21.75" hidden="false" customHeight="true" outlineLevel="0" collapsed="false">
      <c r="B64" s="28"/>
      <c r="C64" s="29"/>
      <c r="D64" s="30"/>
      <c r="E64" s="31" t="str">
        <f aca="false">IF(C64="","",TEXT(C64,"dddd"))</f>
        <v/>
      </c>
      <c r="F64" s="32"/>
      <c r="G64" s="32"/>
      <c r="H64" s="32"/>
      <c r="I64" s="28"/>
      <c r="J64" s="28"/>
      <c r="K64" s="33" t="str">
        <f aca="false">IFERROR(VLOOKUP(J64,tblTische[[Tisch-Nr.]:[Kapazität]],3,FALSE()),"")</f>
        <v/>
      </c>
      <c r="L64" s="34" t="str">
        <f aca="false">IFERROR(I64/K64,"")</f>
        <v/>
      </c>
      <c r="M64" s="28"/>
      <c r="N64" s="28"/>
      <c r="O64" s="35"/>
      <c r="P64" s="29"/>
      <c r="Q64" s="32"/>
    </row>
    <row r="65" customFormat="false" ht="21.75" hidden="false" customHeight="true" outlineLevel="0" collapsed="false">
      <c r="B65" s="36"/>
      <c r="C65" s="37"/>
      <c r="D65" s="38"/>
      <c r="E65" s="39" t="str">
        <f aca="false">IF(C65="","",TEXT(C65,"dddd"))</f>
        <v/>
      </c>
      <c r="F65" s="40"/>
      <c r="G65" s="40"/>
      <c r="H65" s="40"/>
      <c r="I65" s="36"/>
      <c r="J65" s="36"/>
      <c r="K65" s="41" t="str">
        <f aca="false">IFERROR(VLOOKUP(J65,tblTische[[Tisch-Nr.]:[Kapazität]],3,FALSE()),"")</f>
        <v/>
      </c>
      <c r="L65" s="42" t="str">
        <f aca="false">IFERROR(I65/K65,"")</f>
        <v/>
      </c>
      <c r="M65" s="36"/>
      <c r="N65" s="36"/>
      <c r="O65" s="43"/>
      <c r="P65" s="37"/>
      <c r="Q65" s="40"/>
    </row>
    <row r="66" customFormat="false" ht="21.75" hidden="false" customHeight="true" outlineLevel="0" collapsed="false">
      <c r="B66" s="28"/>
      <c r="C66" s="29"/>
      <c r="D66" s="30"/>
      <c r="E66" s="31" t="str">
        <f aca="false">IF(C66="","",TEXT(C66,"dddd"))</f>
        <v/>
      </c>
      <c r="F66" s="32"/>
      <c r="G66" s="32"/>
      <c r="H66" s="32"/>
      <c r="I66" s="28"/>
      <c r="J66" s="28"/>
      <c r="K66" s="33" t="str">
        <f aca="false">IFERROR(VLOOKUP(J66,tblTische[[Tisch-Nr.]:[Kapazität]],3,FALSE()),"")</f>
        <v/>
      </c>
      <c r="L66" s="34" t="str">
        <f aca="false">IFERROR(I66/K66,"")</f>
        <v/>
      </c>
      <c r="M66" s="28"/>
      <c r="N66" s="28"/>
      <c r="O66" s="35"/>
      <c r="P66" s="29"/>
      <c r="Q66" s="32"/>
    </row>
    <row r="67" customFormat="false" ht="21.75" hidden="false" customHeight="true" outlineLevel="0" collapsed="false">
      <c r="B67" s="36"/>
      <c r="C67" s="37"/>
      <c r="D67" s="38"/>
      <c r="E67" s="39" t="str">
        <f aca="false">IF(C67="","",TEXT(C67,"dddd"))</f>
        <v/>
      </c>
      <c r="F67" s="40"/>
      <c r="G67" s="40"/>
      <c r="H67" s="40"/>
      <c r="I67" s="36"/>
      <c r="J67" s="36"/>
      <c r="K67" s="41" t="str">
        <f aca="false">IFERROR(VLOOKUP(J67,tblTische[[Tisch-Nr.]:[Kapazität]],3,FALSE()),"")</f>
        <v/>
      </c>
      <c r="L67" s="42" t="str">
        <f aca="false">IFERROR(I67/K67,"")</f>
        <v/>
      </c>
      <c r="M67" s="36"/>
      <c r="N67" s="36"/>
      <c r="O67" s="43"/>
      <c r="P67" s="37"/>
      <c r="Q67" s="40"/>
    </row>
    <row r="68" customFormat="false" ht="21.75" hidden="false" customHeight="true" outlineLevel="0" collapsed="false">
      <c r="B68" s="28"/>
      <c r="C68" s="29"/>
      <c r="D68" s="30"/>
      <c r="E68" s="31" t="str">
        <f aca="false">IF(C68="","",TEXT(C68,"dddd"))</f>
        <v/>
      </c>
      <c r="F68" s="32"/>
      <c r="G68" s="32"/>
      <c r="H68" s="32"/>
      <c r="I68" s="28"/>
      <c r="J68" s="28"/>
      <c r="K68" s="33" t="str">
        <f aca="false">IFERROR(VLOOKUP(J68,tblTische[[Tisch-Nr.]:[Kapazität]],3,FALSE()),"")</f>
        <v/>
      </c>
      <c r="L68" s="34" t="str">
        <f aca="false">IFERROR(I68/K68,"")</f>
        <v/>
      </c>
      <c r="M68" s="28"/>
      <c r="N68" s="28"/>
      <c r="O68" s="35"/>
      <c r="P68" s="29"/>
      <c r="Q68" s="32"/>
    </row>
    <row r="69" customFormat="false" ht="21.75" hidden="false" customHeight="true" outlineLevel="0" collapsed="false">
      <c r="B69" s="36"/>
      <c r="C69" s="37"/>
      <c r="D69" s="38"/>
      <c r="E69" s="39" t="str">
        <f aca="false">IF(C69="","",TEXT(C69,"dddd"))</f>
        <v/>
      </c>
      <c r="F69" s="40"/>
      <c r="G69" s="40"/>
      <c r="H69" s="40"/>
      <c r="I69" s="36"/>
      <c r="J69" s="36"/>
      <c r="K69" s="41" t="str">
        <f aca="false">IFERROR(VLOOKUP(J69,tblTische[[Tisch-Nr.]:[Kapazität]],3,FALSE()),"")</f>
        <v/>
      </c>
      <c r="L69" s="42" t="str">
        <f aca="false">IFERROR(I69/K69,"")</f>
        <v/>
      </c>
      <c r="M69" s="36"/>
      <c r="N69" s="36"/>
      <c r="O69" s="43"/>
      <c r="P69" s="37"/>
      <c r="Q69" s="40"/>
    </row>
    <row r="70" customFormat="false" ht="21.75" hidden="false" customHeight="true" outlineLevel="0" collapsed="false">
      <c r="B70" s="28"/>
      <c r="C70" s="29"/>
      <c r="D70" s="30"/>
      <c r="E70" s="31" t="str">
        <f aca="false">IF(C70="","",TEXT(C70,"dddd"))</f>
        <v/>
      </c>
      <c r="F70" s="32"/>
      <c r="G70" s="32"/>
      <c r="H70" s="32"/>
      <c r="I70" s="28"/>
      <c r="J70" s="28"/>
      <c r="K70" s="33" t="str">
        <f aca="false">IFERROR(VLOOKUP(J70,tblTische[[Tisch-Nr.]:[Kapazität]],3,FALSE()),"")</f>
        <v/>
      </c>
      <c r="L70" s="34" t="str">
        <f aca="false">IFERROR(I70/K70,"")</f>
        <v/>
      </c>
      <c r="M70" s="28"/>
      <c r="N70" s="28"/>
      <c r="O70" s="35"/>
      <c r="P70" s="29"/>
      <c r="Q70" s="32"/>
    </row>
    <row r="71" customFormat="false" ht="21.75" hidden="false" customHeight="true" outlineLevel="0" collapsed="false">
      <c r="B71" s="36"/>
      <c r="C71" s="37"/>
      <c r="D71" s="38"/>
      <c r="E71" s="39" t="str">
        <f aca="false">IF(C71="","",TEXT(C71,"dddd"))</f>
        <v/>
      </c>
      <c r="F71" s="40"/>
      <c r="G71" s="40"/>
      <c r="H71" s="40"/>
      <c r="I71" s="36"/>
      <c r="J71" s="36"/>
      <c r="K71" s="41" t="str">
        <f aca="false">IFERROR(VLOOKUP(J71,tblTische[[Tisch-Nr.]:[Kapazität]],3,FALSE()),"")</f>
        <v/>
      </c>
      <c r="L71" s="42" t="str">
        <f aca="false">IFERROR(I71/K71,"")</f>
        <v/>
      </c>
      <c r="M71" s="36"/>
      <c r="N71" s="36"/>
      <c r="O71" s="43"/>
      <c r="P71" s="37"/>
      <c r="Q71" s="40"/>
    </row>
  </sheetData>
  <mergeCells count="3">
    <mergeCell ref="B2:Q2"/>
    <mergeCell ref="B3:Q3"/>
    <mergeCell ref="B5:Q5"/>
  </mergeCells>
  <conditionalFormatting sqref="M8:M71">
    <cfRule type="expression" priority="2" aboveAverage="0" equalAverage="0" bottom="0" percent="0" rank="0" text="" dxfId="17">
      <formula>$M8="Bestätigt"</formula>
    </cfRule>
    <cfRule type="expression" priority="3" aboveAverage="0" equalAverage="0" bottom="0" percent="0" rank="0" text="" dxfId="18">
      <formula>$M8="Angefragt"</formula>
    </cfRule>
    <cfRule type="expression" priority="4" aboveAverage="0" equalAverage="0" bottom="0" percent="0" rank="0" text="" dxfId="19">
      <formula>$M8="Warteliste"</formula>
    </cfRule>
    <cfRule type="expression" priority="5" aboveAverage="0" equalAverage="0" bottom="0" percent="0" rank="0" text="" dxfId="20">
      <formula>$M8="Storniert"</formula>
    </cfRule>
    <cfRule type="expression" priority="6" aboveAverage="0" equalAverage="0" bottom="0" percent="0" rank="0" text="" dxfId="20">
      <formula>$M8="Kein Erschienen"</formula>
    </cfRule>
    <cfRule type="expression" priority="7" aboveAverage="0" equalAverage="0" bottom="0" percent="0" rank="0" text="" dxfId="21">
      <formula>$M8="Abgeschlossen"</formula>
    </cfRule>
  </conditionalFormatting>
  <conditionalFormatting sqref="I8:L71">
    <cfRule type="expression" priority="8" aboveAverage="0" equalAverage="0" bottom="0" percent="0" rank="0" text="" dxfId="20">
      <formula>AND($I8&lt;&gt;"",$K8&lt;&gt;"",$I8&gt;$K8)</formula>
    </cfRule>
  </conditionalFormatting>
  <conditionalFormatting sqref="L8:L71">
    <cfRule type="expression" priority="9" aboveAverage="0" equalAverage="0" bottom="0" percent="0" rank="0" text="" dxfId="17">
      <formula>AND($L8&gt;=0.8,$L8&lt;=1)</formula>
    </cfRule>
  </conditionalFormatting>
  <conditionalFormatting sqref="C8:C71">
    <cfRule type="expression" priority="10" aboveAverage="0" equalAverage="0" bottom="0" percent="0" rank="0" text="" dxfId="22">
      <formula>$C8=TODAY()</formula>
    </cfRule>
  </conditionalFormatting>
  <dataValidations count="5">
    <dataValidation allowBlank="true" error="Bitte einen der Werte aus der Liste wählen." errorStyle="stop" errorTitle="Ungültiger Status" operator="between" showDropDown="false" showErrorMessage="false" showInputMessage="false" sqref="M8:M71" type="list">
      <formula1>"Bestätigt,Angefragt,Warteliste,Storniert,Kein Erschienen,Abgeschlossen"</formula1>
      <formula2>0</formula2>
    </dataValidation>
    <dataValidation allowBlank="true" errorStyle="stop" operator="between" showDropDown="false" showErrorMessage="false" showInputMessage="false" sqref="N8:N71" type="list">
      <formula1>"Privat,Geschäftsessen,Geburtstag,Jubiläum,Familienfeier,Verlobung,Firmenevent,Hochzeit,Sonstiges"</formula1>
      <formula2>0</formula2>
    </dataValidation>
    <dataValidation allowBlank="true" error="Bitte einen definierten Tisch wählen (Blatt „Tische“)." errorStyle="stop" errorTitle="Unbekannter Tisch" operator="between" showDropDown="false" showErrorMessage="false" showInputMessage="false" sqref="J8:J71" type="list">
      <formula1>Tische!$B$8:$B$25</formula1>
      <formula2>0</formula2>
    </dataValidation>
    <dataValidation allowBlank="true" error="Bitte ganze Zahl zwischen 1 und 200 eingeben." errorStyle="stop" errorTitle="Ungültige Personenzahl" operator="between" showDropDown="false" showErrorMessage="false" showInputMessage="false" sqref="I8:I71" type="whole">
      <formula1>1</formula1>
      <formula2>200</formula2>
    </dataValidation>
    <dataValidation allowBlank="true" errorStyle="stop" operator="greaterThanOrEqual" showDropDown="false" showErrorMessage="false" showInputMessage="false" sqref="O8:O71" type="decimal">
      <formula1>0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30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" hidden="false" customHeight="true" outlineLevel="0" collapsed="false"/>
    <row r="2" customFormat="false" ht="33.75" hidden="false" customHeight="true" outlineLevel="0" collapsed="false">
      <c r="B2" s="26" t="s">
        <v>183</v>
      </c>
      <c r="C2" s="26"/>
      <c r="D2" s="26"/>
      <c r="E2" s="26"/>
      <c r="F2" s="26"/>
      <c r="G2" s="26"/>
    </row>
    <row r="3" customFormat="false" ht="3.75" hidden="false" customHeight="true" outlineLevel="0" collapsed="false">
      <c r="B3" s="2"/>
      <c r="C3" s="2"/>
      <c r="D3" s="2"/>
      <c r="E3" s="2"/>
      <c r="F3" s="2"/>
      <c r="G3" s="2"/>
    </row>
    <row r="4" customFormat="false" ht="9.75" hidden="false" customHeight="true" outlineLevel="0" collapsed="false"/>
    <row r="5" customFormat="false" ht="21.75" hidden="false" customHeight="true" outlineLevel="0" collapsed="false">
      <c r="B5" s="44" t="s">
        <v>184</v>
      </c>
      <c r="C5" s="44"/>
      <c r="D5" s="44"/>
      <c r="E5" s="44"/>
      <c r="F5" s="44"/>
      <c r="G5" s="44"/>
    </row>
    <row r="6" customFormat="false" ht="7.5" hidden="false" customHeight="true" outlineLevel="0" collapsed="false"/>
    <row r="7" customFormat="false" ht="30" hidden="false" customHeight="true" outlineLevel="0" collapsed="false">
      <c r="B7" s="27" t="s">
        <v>185</v>
      </c>
      <c r="C7" s="27" t="s">
        <v>38</v>
      </c>
      <c r="D7" s="27" t="s">
        <v>63</v>
      </c>
      <c r="E7" s="27" t="s">
        <v>186</v>
      </c>
      <c r="F7" s="27" t="s">
        <v>187</v>
      </c>
      <c r="G7" s="27" t="s">
        <v>188</v>
      </c>
    </row>
    <row r="8" customFormat="false" ht="15" hidden="false" customHeight="false" outlineLevel="0" collapsed="false">
      <c r="B8" s="45" t="s">
        <v>189</v>
      </c>
      <c r="C8" s="46" t="s">
        <v>43</v>
      </c>
      <c r="D8" s="47" t="n">
        <v>2</v>
      </c>
      <c r="E8" s="46" t="s">
        <v>190</v>
      </c>
      <c r="F8" s="46" t="s">
        <v>191</v>
      </c>
      <c r="G8" s="46" t="s">
        <v>192</v>
      </c>
    </row>
    <row r="9" customFormat="false" ht="15" hidden="false" customHeight="false" outlineLevel="0" collapsed="false">
      <c r="B9" s="48" t="s">
        <v>193</v>
      </c>
      <c r="C9" s="49" t="s">
        <v>43</v>
      </c>
      <c r="D9" s="50" t="n">
        <v>2</v>
      </c>
      <c r="E9" s="49" t="s">
        <v>194</v>
      </c>
      <c r="F9" s="49" t="s">
        <v>191</v>
      </c>
      <c r="G9" s="49"/>
    </row>
    <row r="10" customFormat="false" ht="15" hidden="false" customHeight="false" outlineLevel="0" collapsed="false">
      <c r="B10" s="45" t="s">
        <v>114</v>
      </c>
      <c r="C10" s="46" t="s">
        <v>43</v>
      </c>
      <c r="D10" s="47" t="n">
        <v>4</v>
      </c>
      <c r="E10" s="46" t="s">
        <v>195</v>
      </c>
      <c r="F10" s="46" t="s">
        <v>191</v>
      </c>
      <c r="G10" s="46"/>
    </row>
    <row r="11" customFormat="false" ht="15" hidden="false" customHeight="false" outlineLevel="0" collapsed="false">
      <c r="B11" s="48" t="s">
        <v>99</v>
      </c>
      <c r="C11" s="49" t="s">
        <v>43</v>
      </c>
      <c r="D11" s="50" t="n">
        <v>4</v>
      </c>
      <c r="E11" s="49" t="s">
        <v>196</v>
      </c>
      <c r="F11" s="49" t="s">
        <v>191</v>
      </c>
      <c r="G11" s="49"/>
    </row>
    <row r="12" customFormat="false" ht="15" hidden="false" customHeight="false" outlineLevel="0" collapsed="false">
      <c r="B12" s="45" t="s">
        <v>94</v>
      </c>
      <c r="C12" s="46" t="s">
        <v>43</v>
      </c>
      <c r="D12" s="47" t="n">
        <v>4</v>
      </c>
      <c r="E12" s="46" t="s">
        <v>197</v>
      </c>
      <c r="F12" s="46" t="s">
        <v>191</v>
      </c>
      <c r="G12" s="46" t="s">
        <v>198</v>
      </c>
    </row>
    <row r="13" customFormat="false" ht="15" hidden="false" customHeight="false" outlineLevel="0" collapsed="false">
      <c r="B13" s="48" t="s">
        <v>83</v>
      </c>
      <c r="C13" s="49" t="s">
        <v>43</v>
      </c>
      <c r="D13" s="50" t="n">
        <v>6</v>
      </c>
      <c r="E13" s="49" t="s">
        <v>199</v>
      </c>
      <c r="F13" s="49" t="s">
        <v>191</v>
      </c>
      <c r="G13" s="49"/>
    </row>
    <row r="14" customFormat="false" ht="15" hidden="false" customHeight="false" outlineLevel="0" collapsed="false">
      <c r="B14" s="45" t="s">
        <v>72</v>
      </c>
      <c r="C14" s="46" t="s">
        <v>43</v>
      </c>
      <c r="D14" s="47" t="n">
        <v>8</v>
      </c>
      <c r="E14" s="46" t="s">
        <v>200</v>
      </c>
      <c r="F14" s="46" t="s">
        <v>191</v>
      </c>
      <c r="G14" s="46" t="s">
        <v>201</v>
      </c>
    </row>
    <row r="15" customFormat="false" ht="15" hidden="false" customHeight="false" outlineLevel="0" collapsed="false">
      <c r="B15" s="48" t="s">
        <v>120</v>
      </c>
      <c r="C15" s="49" t="s">
        <v>47</v>
      </c>
      <c r="D15" s="50" t="n">
        <v>2</v>
      </c>
      <c r="E15" s="49" t="s">
        <v>202</v>
      </c>
      <c r="F15" s="49" t="s">
        <v>203</v>
      </c>
      <c r="G15" s="49" t="s">
        <v>204</v>
      </c>
    </row>
    <row r="16" customFormat="false" ht="15" hidden="false" customHeight="false" outlineLevel="0" collapsed="false">
      <c r="B16" s="45" t="s">
        <v>166</v>
      </c>
      <c r="C16" s="46" t="s">
        <v>47</v>
      </c>
      <c r="D16" s="47" t="n">
        <v>4</v>
      </c>
      <c r="E16" s="46" t="s">
        <v>205</v>
      </c>
      <c r="F16" s="46" t="s">
        <v>203</v>
      </c>
      <c r="G16" s="46"/>
    </row>
    <row r="17" customFormat="false" ht="15" hidden="false" customHeight="false" outlineLevel="0" collapsed="false">
      <c r="B17" s="48" t="s">
        <v>206</v>
      </c>
      <c r="C17" s="49" t="s">
        <v>47</v>
      </c>
      <c r="D17" s="50" t="n">
        <v>4</v>
      </c>
      <c r="E17" s="49" t="s">
        <v>207</v>
      </c>
      <c r="F17" s="49" t="s">
        <v>203</v>
      </c>
      <c r="G17" s="49"/>
    </row>
    <row r="18" customFormat="false" ht="15" hidden="false" customHeight="false" outlineLevel="0" collapsed="false">
      <c r="B18" s="45" t="s">
        <v>105</v>
      </c>
      <c r="C18" s="46" t="s">
        <v>47</v>
      </c>
      <c r="D18" s="47" t="n">
        <v>6</v>
      </c>
      <c r="E18" s="46" t="s">
        <v>208</v>
      </c>
      <c r="F18" s="46" t="s">
        <v>203</v>
      </c>
      <c r="G18" s="46"/>
    </row>
    <row r="19" customFormat="false" ht="15" hidden="false" customHeight="false" outlineLevel="0" collapsed="false">
      <c r="B19" s="48" t="s">
        <v>139</v>
      </c>
      <c r="C19" s="49" t="s">
        <v>49</v>
      </c>
      <c r="D19" s="50" t="n">
        <v>4</v>
      </c>
      <c r="E19" s="49" t="s">
        <v>209</v>
      </c>
      <c r="F19" s="49" t="s">
        <v>191</v>
      </c>
      <c r="G19" s="49"/>
    </row>
    <row r="20" customFormat="false" ht="15" hidden="false" customHeight="false" outlineLevel="0" collapsed="false">
      <c r="B20" s="45" t="s">
        <v>210</v>
      </c>
      <c r="C20" s="46" t="s">
        <v>49</v>
      </c>
      <c r="D20" s="47" t="n">
        <v>6</v>
      </c>
      <c r="E20" s="46" t="s">
        <v>211</v>
      </c>
      <c r="F20" s="46" t="s">
        <v>191</v>
      </c>
      <c r="G20" s="46"/>
    </row>
    <row r="21" customFormat="false" ht="15" hidden="false" customHeight="false" outlineLevel="0" collapsed="false">
      <c r="B21" s="48" t="s">
        <v>78</v>
      </c>
      <c r="C21" s="49" t="s">
        <v>45</v>
      </c>
      <c r="D21" s="50" t="n">
        <v>10</v>
      </c>
      <c r="E21" s="49" t="s">
        <v>212</v>
      </c>
      <c r="F21" s="49" t="s">
        <v>191</v>
      </c>
      <c r="G21" s="49" t="s">
        <v>213</v>
      </c>
    </row>
    <row r="22" customFormat="false" ht="15" hidden="false" customHeight="false" outlineLevel="0" collapsed="false">
      <c r="B22" s="45" t="s">
        <v>157</v>
      </c>
      <c r="C22" s="46" t="s">
        <v>45</v>
      </c>
      <c r="D22" s="47" t="n">
        <v>14</v>
      </c>
      <c r="E22" s="46" t="s">
        <v>214</v>
      </c>
      <c r="F22" s="46" t="s">
        <v>191</v>
      </c>
      <c r="G22" s="46" t="s">
        <v>215</v>
      </c>
    </row>
    <row r="23" customFormat="false" ht="15" hidden="false" customHeight="false" outlineLevel="0" collapsed="false">
      <c r="B23" s="48" t="s">
        <v>216</v>
      </c>
      <c r="C23" s="49" t="s">
        <v>41</v>
      </c>
      <c r="D23" s="50" t="n">
        <v>2</v>
      </c>
      <c r="E23" s="49" t="s">
        <v>217</v>
      </c>
      <c r="F23" s="49" t="s">
        <v>191</v>
      </c>
      <c r="G23" s="49"/>
    </row>
    <row r="24" customFormat="false" ht="15" hidden="false" customHeight="false" outlineLevel="0" collapsed="false">
      <c r="B24" s="45" t="s">
        <v>144</v>
      </c>
      <c r="C24" s="46" t="s">
        <v>41</v>
      </c>
      <c r="D24" s="47" t="n">
        <v>4</v>
      </c>
      <c r="E24" s="46" t="s">
        <v>218</v>
      </c>
      <c r="F24" s="46" t="s">
        <v>191</v>
      </c>
      <c r="G24" s="46"/>
    </row>
    <row r="25" customFormat="false" ht="15" hidden="false" customHeight="false" outlineLevel="0" collapsed="false">
      <c r="B25" s="48" t="s">
        <v>219</v>
      </c>
      <c r="C25" s="49" t="s">
        <v>41</v>
      </c>
      <c r="D25" s="50" t="n">
        <v>4</v>
      </c>
      <c r="E25" s="49" t="s">
        <v>220</v>
      </c>
      <c r="F25" s="49" t="s">
        <v>191</v>
      </c>
      <c r="G25" s="49"/>
    </row>
    <row r="28" customFormat="false" ht="21.75" hidden="false" customHeight="true" outlineLevel="0" collapsed="false">
      <c r="B28" s="51" t="s">
        <v>221</v>
      </c>
    </row>
    <row r="29" customFormat="false" ht="19.5" hidden="false" customHeight="true" outlineLevel="0" collapsed="false">
      <c r="B29" s="52" t="s">
        <v>222</v>
      </c>
      <c r="C29" s="52"/>
      <c r="D29" s="52"/>
      <c r="E29" s="53" t="n">
        <f aca="false">COUNTA(tblTische[Tisch-Nr.])</f>
        <v>18</v>
      </c>
      <c r="F29" s="53"/>
    </row>
    <row r="30" customFormat="false" ht="19.5" hidden="false" customHeight="true" outlineLevel="0" collapsed="false">
      <c r="B30" s="52" t="s">
        <v>223</v>
      </c>
      <c r="C30" s="52"/>
      <c r="D30" s="52"/>
      <c r="E30" s="53" t="n">
        <f aca="false">SUM(tblTische[Kapazität])</f>
        <v>90</v>
      </c>
      <c r="F30" s="53"/>
    </row>
    <row r="31" customFormat="false" ht="19.5" hidden="false" customHeight="true" outlineLevel="0" collapsed="false">
      <c r="B31" s="52" t="s">
        <v>224</v>
      </c>
      <c r="C31" s="52"/>
      <c r="D31" s="52"/>
      <c r="E31" s="54" t="n">
        <f aca="false">IFERROR(AVERAGE(tblTische[Kapazität]),0)</f>
        <v>5</v>
      </c>
      <c r="F31" s="54"/>
    </row>
    <row r="32" customFormat="false" ht="19.5" hidden="false" customHeight="true" outlineLevel="0" collapsed="false">
      <c r="B32" s="52" t="s">
        <v>225</v>
      </c>
      <c r="C32" s="52"/>
      <c r="D32" s="52"/>
      <c r="E32" s="53" t="n">
        <f aca="false">COUNTIF(tblTische[Standard-Status],"Aktiv")</f>
        <v>14</v>
      </c>
      <c r="F32" s="53"/>
    </row>
    <row r="33" customFormat="false" ht="19.5" hidden="false" customHeight="true" outlineLevel="0" collapsed="false">
      <c r="B33" s="52" t="s">
        <v>226</v>
      </c>
      <c r="C33" s="52"/>
      <c r="D33" s="52"/>
      <c r="E33" s="53" t="n">
        <f aca="false">COUNTIF(tblTische[Standard-Status],"Saisonal")</f>
        <v>4</v>
      </c>
      <c r="F33" s="53"/>
    </row>
  </sheetData>
  <mergeCells count="13">
    <mergeCell ref="B2:G2"/>
    <mergeCell ref="B3:G3"/>
    <mergeCell ref="B5:G5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2026-07-13T06:32:08Z</dcterms:created>
  <dc:creator>openpyxl</dc:creator>
  <dc:description/>
  <dc:language>en-US</dc:language>
  <cp:lastModifiedBy/>
  <dcterms:modified xsi:type="dcterms:W3CDTF">2026-07-13T06:32:09Z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