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62665225-FD54-4EC2-864B-E3D414313A38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Tankbuch" sheetId="1" r:id="rId1"/>
    <sheet name="Stammdaten" sheetId="2" r:id="rId2"/>
  </sheets>
  <definedNames>
    <definedName name="_xlnm.Print_Area" localSheetId="0">Tankbuch!$A$1:$P$74</definedName>
    <definedName name="_xlnm.Print_Titles" localSheetId="0">Tankbuch!$14:$14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1" i="1" l="1"/>
  <c r="D71" i="1"/>
  <c r="F71" i="1" s="1"/>
  <c r="C71" i="1"/>
  <c r="B71" i="1"/>
  <c r="E70" i="1"/>
  <c r="D70" i="1"/>
  <c r="G70" i="1" s="1"/>
  <c r="C70" i="1"/>
  <c r="B70" i="1"/>
  <c r="G69" i="1"/>
  <c r="F69" i="1"/>
  <c r="E69" i="1"/>
  <c r="D69" i="1"/>
  <c r="C69" i="1"/>
  <c r="B69" i="1"/>
  <c r="E68" i="1"/>
  <c r="D68" i="1"/>
  <c r="G68" i="1" s="1"/>
  <c r="C68" i="1"/>
  <c r="B68" i="1"/>
  <c r="E67" i="1"/>
  <c r="D67" i="1"/>
  <c r="G67" i="1" s="1"/>
  <c r="C67" i="1"/>
  <c r="B67" i="1"/>
  <c r="D66" i="1"/>
  <c r="C66" i="1"/>
  <c r="B66" i="1"/>
  <c r="C65" i="1"/>
  <c r="B65" i="1"/>
  <c r="C64" i="1"/>
  <c r="B64" i="1"/>
  <c r="E63" i="1"/>
  <c r="D63" i="1"/>
  <c r="F63" i="1" s="1"/>
  <c r="C63" i="1"/>
  <c r="B63" i="1"/>
  <c r="C62" i="1"/>
  <c r="B62" i="1"/>
  <c r="C61" i="1"/>
  <c r="B61" i="1"/>
  <c r="D60" i="1"/>
  <c r="C60" i="1"/>
  <c r="C72" i="1" s="1"/>
  <c r="B60" i="1"/>
  <c r="B72" i="1" s="1"/>
  <c r="N55" i="1"/>
  <c r="H55" i="1"/>
  <c r="J54" i="1"/>
  <c r="G54" i="1"/>
  <c r="M54" i="1" s="1"/>
  <c r="J53" i="1"/>
  <c r="G53" i="1"/>
  <c r="M53" i="1" s="1"/>
  <c r="J52" i="1"/>
  <c r="G52" i="1"/>
  <c r="L52" i="1" s="1"/>
  <c r="L51" i="1"/>
  <c r="J51" i="1"/>
  <c r="M51" i="1" s="1"/>
  <c r="G51" i="1"/>
  <c r="J50" i="1"/>
  <c r="G50" i="1"/>
  <c r="M50" i="1" s="1"/>
  <c r="J49" i="1"/>
  <c r="G49" i="1"/>
  <c r="M49" i="1" s="1"/>
  <c r="J48" i="1"/>
  <c r="G48" i="1"/>
  <c r="M48" i="1" s="1"/>
  <c r="J47" i="1"/>
  <c r="G47" i="1"/>
  <c r="L47" i="1" s="1"/>
  <c r="L46" i="1"/>
  <c r="J46" i="1"/>
  <c r="M46" i="1" s="1"/>
  <c r="G46" i="1"/>
  <c r="J45" i="1"/>
  <c r="G45" i="1"/>
  <c r="M45" i="1" s="1"/>
  <c r="J44" i="1"/>
  <c r="G44" i="1"/>
  <c r="L44" i="1" s="1"/>
  <c r="J43" i="1"/>
  <c r="G43" i="1"/>
  <c r="M43" i="1" s="1"/>
  <c r="J42" i="1"/>
  <c r="G42" i="1"/>
  <c r="L42" i="1" s="1"/>
  <c r="L41" i="1"/>
  <c r="J41" i="1"/>
  <c r="M41" i="1" s="1"/>
  <c r="G41" i="1"/>
  <c r="J40" i="1"/>
  <c r="G40" i="1"/>
  <c r="M40" i="1" s="1"/>
  <c r="J39" i="1"/>
  <c r="G39" i="1"/>
  <c r="L39" i="1" s="1"/>
  <c r="J38" i="1"/>
  <c r="G38" i="1"/>
  <c r="M38" i="1" s="1"/>
  <c r="J37" i="1"/>
  <c r="G37" i="1"/>
  <c r="M37" i="1" s="1"/>
  <c r="L36" i="1"/>
  <c r="J36" i="1"/>
  <c r="M36" i="1" s="1"/>
  <c r="G36" i="1"/>
  <c r="J35" i="1"/>
  <c r="G35" i="1"/>
  <c r="M35" i="1" s="1"/>
  <c r="J34" i="1"/>
  <c r="G34" i="1"/>
  <c r="M34" i="1" s="1"/>
  <c r="J33" i="1"/>
  <c r="G33" i="1"/>
  <c r="M33" i="1" s="1"/>
  <c r="J32" i="1"/>
  <c r="G32" i="1"/>
  <c r="L32" i="1" s="1"/>
  <c r="L31" i="1"/>
  <c r="J31" i="1"/>
  <c r="M31" i="1" s="1"/>
  <c r="G31" i="1"/>
  <c r="J30" i="1"/>
  <c r="G30" i="1"/>
  <c r="M30" i="1" s="1"/>
  <c r="J29" i="1"/>
  <c r="G29" i="1"/>
  <c r="L29" i="1" s="1"/>
  <c r="J28" i="1"/>
  <c r="E65" i="1" s="1"/>
  <c r="G28" i="1"/>
  <c r="M28" i="1" s="1"/>
  <c r="J27" i="1"/>
  <c r="G27" i="1"/>
  <c r="D64" i="1" s="1"/>
  <c r="L26" i="1"/>
  <c r="J26" i="1"/>
  <c r="E64" i="1" s="1"/>
  <c r="G26" i="1"/>
  <c r="J25" i="1"/>
  <c r="G25" i="1"/>
  <c r="M25" i="1" s="1"/>
  <c r="J24" i="1"/>
  <c r="G24" i="1"/>
  <c r="L24" i="1" s="1"/>
  <c r="J23" i="1"/>
  <c r="G23" i="1"/>
  <c r="M23" i="1" s="1"/>
  <c r="J22" i="1"/>
  <c r="G22" i="1"/>
  <c r="L22" i="1" s="1"/>
  <c r="L21" i="1"/>
  <c r="J21" i="1"/>
  <c r="M21" i="1" s="1"/>
  <c r="G21" i="1"/>
  <c r="J20" i="1"/>
  <c r="E62" i="1" s="1"/>
  <c r="G20" i="1"/>
  <c r="M20" i="1" s="1"/>
  <c r="J19" i="1"/>
  <c r="G19" i="1"/>
  <c r="M19" i="1" s="1"/>
  <c r="J18" i="1"/>
  <c r="G18" i="1"/>
  <c r="M18" i="1" s="1"/>
  <c r="J17" i="1"/>
  <c r="E61" i="1" s="1"/>
  <c r="G17" i="1"/>
  <c r="L17" i="1" s="1"/>
  <c r="L16" i="1"/>
  <c r="J16" i="1"/>
  <c r="E60" i="1" s="1"/>
  <c r="G16" i="1"/>
  <c r="J15" i="1"/>
  <c r="J55" i="1" s="1"/>
  <c r="G15" i="1"/>
  <c r="M15" i="1" s="1"/>
  <c r="G11" i="1"/>
  <c r="G10" i="1"/>
  <c r="G9" i="1"/>
  <c r="K6" i="1"/>
  <c r="I6" i="1"/>
  <c r="G64" i="1" l="1"/>
  <c r="F64" i="1"/>
  <c r="I55" i="1"/>
  <c r="E66" i="1"/>
  <c r="G66" i="1" s="1"/>
  <c r="M16" i="1"/>
  <c r="M26" i="1"/>
  <c r="M17" i="1"/>
  <c r="M27" i="1"/>
  <c r="M32" i="1"/>
  <c r="M42" i="1"/>
  <c r="M47" i="1"/>
  <c r="M52" i="1"/>
  <c r="G60" i="1"/>
  <c r="L18" i="1"/>
  <c r="L23" i="1"/>
  <c r="L33" i="1"/>
  <c r="L38" i="1"/>
  <c r="L43" i="1"/>
  <c r="L53" i="1"/>
  <c r="L19" i="1"/>
  <c r="L34" i="1"/>
  <c r="L49" i="1"/>
  <c r="L54" i="1"/>
  <c r="G71" i="1"/>
  <c r="M24" i="1"/>
  <c r="M29" i="1"/>
  <c r="M39" i="1"/>
  <c r="M44" i="1"/>
  <c r="D65" i="1"/>
  <c r="F68" i="1"/>
  <c r="L37" i="1"/>
  <c r="M6" i="1"/>
  <c r="K9" i="1" s="1"/>
  <c r="F60" i="1"/>
  <c r="D62" i="1"/>
  <c r="F66" i="1"/>
  <c r="M22" i="1"/>
  <c r="F70" i="1"/>
  <c r="O6" i="1"/>
  <c r="D61" i="1"/>
  <c r="G55" i="1"/>
  <c r="L20" i="1"/>
  <c r="L25" i="1"/>
  <c r="L30" i="1"/>
  <c r="L35" i="1"/>
  <c r="L40" i="1"/>
  <c r="L45" i="1"/>
  <c r="L50" i="1"/>
  <c r="L27" i="1"/>
  <c r="G63" i="1"/>
  <c r="F67" i="1"/>
  <c r="L28" i="1"/>
  <c r="L48" i="1"/>
  <c r="L15" i="1"/>
  <c r="E72" i="1" l="1"/>
  <c r="G62" i="1"/>
  <c r="F62" i="1"/>
  <c r="F65" i="1"/>
  <c r="G65" i="1"/>
  <c r="D72" i="1"/>
  <c r="G61" i="1"/>
  <c r="F61" i="1"/>
  <c r="I9" i="1"/>
  <c r="O9" i="1" s="1"/>
  <c r="M9" i="1"/>
  <c r="L55" i="1"/>
  <c r="M55" i="1"/>
  <c r="G72" i="1" l="1"/>
  <c r="F72" i="1"/>
</calcChain>
</file>

<file path=xl/sharedStrings.xml><?xml version="1.0" encoding="utf-8"?>
<sst xmlns="http://schemas.openxmlformats.org/spreadsheetml/2006/main" count="235" uniqueCount="135">
  <si>
    <t>MUSTER LOGISTIK GMBH</t>
  </si>
  <si>
    <t>T A N K B U C H</t>
  </si>
  <si>
    <t>Fuhrparkverwaltung · Kraftstoff- und Verbrauchsnachweis</t>
  </si>
  <si>
    <t>FAHRZEUG / MODELL</t>
  </si>
  <si>
    <t>Transporter 2.0 TDI</t>
  </si>
  <si>
    <t>BERICHTSJAHR</t>
  </si>
  <si>
    <t>KENNZEICHEN</t>
  </si>
  <si>
    <t>MU-LG 4821</t>
  </si>
  <si>
    <t>KM-STAND AM 01.01.</t>
  </si>
  <si>
    <t>BETANKUNGEN</t>
  </si>
  <si>
    <t>GETANKTE MENGE</t>
  </si>
  <si>
    <t>KRAFTSTOFFKOSTEN</t>
  </si>
  <si>
    <t>GEFAHRENE KM</t>
  </si>
  <si>
    <t>FAHRZEUG-NR.</t>
  </si>
  <si>
    <t>FZG-014 · Kostenstelle 3200</t>
  </si>
  <si>
    <t>NORMVERBRAUCH</t>
  </si>
  <si>
    <t>KRAFTSTOFFART</t>
  </si>
  <si>
    <t>Diesel</t>
  </si>
  <si>
    <t>AKTUELLER KM-STAND</t>
  </si>
  <si>
    <t>TANKVOLUMEN</t>
  </si>
  <si>
    <t>ERSTE BETANKUNG</t>
  </si>
  <si>
    <t>Ø VERBRAUCH JE 100 KM</t>
  </si>
  <si>
    <t>Ø PREIS JE LITER</t>
  </si>
  <si>
    <t>KOSTEN JE 100 KM</t>
  </si>
  <si>
    <t>ABWEICHUNG ZUR NORM</t>
  </si>
  <si>
    <t>HALTER / ABTEILUNG</t>
  </si>
  <si>
    <t>Fuhrpark · Aussendienst</t>
  </si>
  <si>
    <t>LETZTE BETANKUNG</t>
  </si>
  <si>
    <t>Weisse Felder ausfüllen · hell hinterlegte Spalten werden berechnet · Verbrauch nur zwischen zwei Volltankungen · alle Beträge inkl. MwSt.</t>
  </si>
  <si>
    <t>Datum</t>
  </si>
  <si>
    <t>Beleg-Nr.</t>
  </si>
  <si>
    <t>Tankstelle</t>
  </si>
  <si>
    <t>Ort</t>
  </si>
  <si>
    <t>Kraftstoff</t>
  </si>
  <si>
    <t>km-Stand</t>
  </si>
  <si>
    <t>Gefahrene km</t>
  </si>
  <si>
    <t>Liter</t>
  </si>
  <si>
    <t>Preis / Liter</t>
  </si>
  <si>
    <t>Gesamtpreis</t>
  </si>
  <si>
    <t>Volltankung</t>
  </si>
  <si>
    <t>Verbrauch l/100 km</t>
  </si>
  <si>
    <t>Kosten / 100 km</t>
  </si>
  <si>
    <t>Fahrer/in</t>
  </si>
  <si>
    <t>Zahlungsart</t>
  </si>
  <si>
    <t>Bemerkung</t>
  </si>
  <si>
    <t>TK-2026-001</t>
  </si>
  <si>
    <t>Autohof Nord</t>
  </si>
  <si>
    <t>Musterstadt</t>
  </si>
  <si>
    <t>Ja</t>
  </si>
  <si>
    <t>T. Krüger</t>
  </si>
  <si>
    <t>Tankkarte</t>
  </si>
  <si>
    <t>TK-2026-002</t>
  </si>
  <si>
    <t>Stadttankstelle Zentrum</t>
  </si>
  <si>
    <t>Neuhausen</t>
  </si>
  <si>
    <t>TK-2026-003</t>
  </si>
  <si>
    <t>Autobahnstation West</t>
  </si>
  <si>
    <t>Waldkirch</t>
  </si>
  <si>
    <t>S. Menzel</t>
  </si>
  <si>
    <t>Firmenkreditkarte</t>
  </si>
  <si>
    <t>Autobahnzuschlag</t>
  </si>
  <si>
    <t>TK-2026-004</t>
  </si>
  <si>
    <t>Tankstelle Industriepark</t>
  </si>
  <si>
    <t>TK-2026-005</t>
  </si>
  <si>
    <t>Raststätte Ostwind</t>
  </si>
  <si>
    <t>Bergheim</t>
  </si>
  <si>
    <t>Diesel Premium</t>
  </si>
  <si>
    <t>A. Roth</t>
  </si>
  <si>
    <t>Nur Premium verfügbar</t>
  </si>
  <si>
    <t>TK-2026-006</t>
  </si>
  <si>
    <t>Werkstankstelle Betriebshof</t>
  </si>
  <si>
    <t>Rechnung</t>
  </si>
  <si>
    <t>TK-2026-007</t>
  </si>
  <si>
    <t>TK-2026-008</t>
  </si>
  <si>
    <t>Freie Tankstelle Süd</t>
  </si>
  <si>
    <t>Seedorf</t>
  </si>
  <si>
    <t>Nein</t>
  </si>
  <si>
    <t>Barzahlung</t>
  </si>
  <si>
    <t>Teilbetankung – Tank nicht voll</t>
  </si>
  <si>
    <t>TK-2026-009</t>
  </si>
  <si>
    <t>Volltankung nach Teilbetankung</t>
  </si>
  <si>
    <t>TK-2026-010</t>
  </si>
  <si>
    <t>TK-2026-011</t>
  </si>
  <si>
    <t>EC-Karte</t>
  </si>
  <si>
    <t>TK-2026-012</t>
  </si>
  <si>
    <t>L. Fuchs</t>
  </si>
  <si>
    <t>Ersatzfahrer</t>
  </si>
  <si>
    <t>TK-2026-013</t>
  </si>
  <si>
    <t>TK-2026-014</t>
  </si>
  <si>
    <t>TK-2026-015</t>
  </si>
  <si>
    <t>Lindenberg</t>
  </si>
  <si>
    <t>Anhängerbetrieb</t>
  </si>
  <si>
    <t>TK-2026-016</t>
  </si>
  <si>
    <t>TK-2026-017</t>
  </si>
  <si>
    <t>SUMME / DURCHSCHNITT</t>
  </si>
  <si>
    <t>MONATSAUSWERTUNG</t>
  </si>
  <si>
    <t>Monat</t>
  </si>
  <si>
    <t>Betankungen</t>
  </si>
  <si>
    <t>Kosten</t>
  </si>
  <si>
    <t>Ø Verbrauch</t>
  </si>
  <si>
    <t>Ø Kosten / 100 km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</si>
  <si>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</si>
  <si>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</si>
  <si>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</si>
  <si>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</si>
  <si>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</si>
  <si>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</si>
  <si>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</si>
  <si>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</si>
  <si>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</si>
  <si>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</si>
  <si>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</si>
  <si>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</si>
  <si>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 GESAMT</t>
  </si>
  <si>
    <t>Belege sind gemäss den betrieblichen Aufbewahrungsfristen abzulegen. Ein Verbrauch von mehr als 5 % über der Herstellerangabe wird hervorgehoben und sollte geprüft werden (Fahrprofil, Reifendruck, Zuladung, Wartungsintervall).</t>
  </si>
  <si>
    <t>STAMMDATEN</t>
  </si>
  <si>
    <t>Auswahllisten für das Tankbuch. Einträge können frei ergänzt oder überschrieben werden.</t>
  </si>
  <si>
    <t>TANKSTELLE</t>
  </si>
  <si>
    <t>ZAHLUNGSART</t>
  </si>
  <si>
    <t>FAHRER/IN</t>
  </si>
  <si>
    <t>VOLLTANKUNG</t>
  </si>
  <si>
    <t>Super E10</t>
  </si>
  <si>
    <t>Super E5</t>
  </si>
  <si>
    <t>Super Plus</t>
  </si>
  <si>
    <t>LPG / Autogas</t>
  </si>
  <si>
    <t>CNG / Erdgas</t>
  </si>
  <si>
    <t>AdBlue</t>
  </si>
  <si>
    <t>Strom (kWh)</t>
  </si>
  <si>
    <t>ANLEITUNG</t>
  </si>
  <si>
    <t>1.  Kopfbereich ausfüllen: Fahrzeugdaten, Berichtsjahr, km-Stand zu Jahresbeginn und Normverbrauch laut Hersteller.</t>
  </si>
  <si>
    <t>2.  Der km-Stand zu Jahresbeginn muss dem Stand bei der letzten Volltankung entsprechen, sonst wird die erste Verbrauchsberechnung verfälscht.</t>
  </si>
  <si>
    <t>3.  Je Betankung erfassen: Datum, Beleg-Nr., Tankstelle, Ort, Kraftstoff, km-Stand, Liter, Preis je Liter, Volltankung, Fahrer/in, Zahlungsart.</t>
  </si>
  <si>
    <t>4.  Gefahrene km, Gesamtpreis, Verbrauch und Kosten je 100 km werden automatisch berechnet (hell hinterlegte Spalten).</t>
  </si>
  <si>
    <t>5.  Der Verbrauch wird nur zwischen zwei Volltankungen ausgewiesen. Teilbetankungen («Nein») fliessen in Summen und Durchschnitt ein, nicht aber in die Verbrauchsberechnung.</t>
  </si>
  <si>
    <t>6.  Zeilen chronologisch und lückenlos ausfüllen: Die Kilometerdifferenz bezieht sich stets auf die Zeile darüber.</t>
  </si>
  <si>
    <t>7.  Die Monatsauswertung unterhalb der Tabelle aktualisiert sich automatisch über das Belegdatum.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</si>
</sst>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&quot; l&quot;"/>
    <numFmt numFmtId="165" formatCode="#,##0.00&quot; €&quot;"/>
    <numFmt numFmtId="166" formatCode="#,##0&quot; km&quot;"/>
    <numFmt numFmtId="167" formatCode="0.0&quot; l&quot;"/>
    <numFmt numFmtId="168" formatCode="0.00&quot; l&quot;"/>
    <numFmt numFmtId="169" formatCode="0.000&quot; €&quot;"/>
    <numFmt numFmtId="170" formatCode="\+0.00&quot; l&quot;;\-0.00&quot; l&quot;;0.00&quot; l&quot;"/>
    <numFmt numFmtId="171" formatCode="0&quot; Liter&quot;"/>
    <numFmt numFmtId="172" formatCode="dd\.mm\.yyyy"/>
    <numFmt numFmtId="173" formatCode="#,##0;;\–"/>
    <numFmt numFmtId="174" formatCode="#,##0.00&quot; l&quot;;;\–"/>
    <numFmt numFmtId="175" formatCode="#,##0&quot; km&quot;;;\–"/>
    <numFmt numFmtId="176" formatCode="#,##0.00&quot; €&quot;;;\–"/>
  </numFmts>
  <fonts count="14" x14ac:knownFonts="1">
    <font>
      <sz val="11"/>
      <color theme="1"/>
      <name val="Calibri"/>
      <family val="2"/>
      <charset val="1"/>
    </font>
    <font>
      <b/>
      <sz val="16"/>
      <color rgb="FF22282E"/>
      <name val="Calibri"/>
      <charset val="1"/>
    </font>
    <font>
      <sz val="10"/>
      <color rgb="FF7A848C"/>
      <name val="Calibri"/>
      <charset val="1"/>
    </font>
    <font>
      <sz val="9"/>
      <color rgb="FF7A848C"/>
      <name val="Calibri"/>
      <charset val="1"/>
    </font>
    <font>
      <b/>
      <sz val="11"/>
      <color rgb="FF22282E"/>
      <name val="Calibri"/>
      <charset val="1"/>
    </font>
    <font>
      <b/>
      <sz val="14"/>
      <color rgb="FF22282E"/>
      <name val="Calibri"/>
      <charset val="1"/>
    </font>
    <font>
      <b/>
      <sz val="14"/>
      <color rgb="FF8A2B34"/>
      <name val="Calibri"/>
      <charset val="1"/>
    </font>
    <font>
      <i/>
      <sz val="9"/>
      <color rgb="FF7A848C"/>
      <name val="Calibri"/>
      <charset val="1"/>
    </font>
    <font>
      <b/>
      <sz val="9"/>
      <color rgb="FFFFFFFF"/>
      <name val="Calibri"/>
      <charset val="1"/>
    </font>
    <font>
      <sz val="10"/>
      <color rgb="FF22282E"/>
      <name val="Calibri"/>
      <charset val="1"/>
    </font>
    <font>
      <b/>
      <sz val="10"/>
      <color rgb="FF22282E"/>
      <name val="Calibri"/>
      <charset val="1"/>
    </font>
    <font>
      <b/>
      <sz val="10"/>
      <color rgb="FF7A848C"/>
      <name val="Calibri"/>
      <charset val="1"/>
    </font>
    <font>
      <b/>
      <sz val="9"/>
      <color rgb="FF7A848C"/>
      <name val="Calibri"/>
      <charset val="1"/>
    </font>
    <font>
      <b/>
      <sz val="32"/>
      <color rgb="FF8A2B3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6F7F8"/>
        <bgColor rgb="FFFFFFFF"/>
      </patternFill>
    </fill>
    <fill>
      <patternFill patternType="solid">
        <fgColor rgb="FF22282E"/>
        <bgColor rgb="FF333300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22282E"/>
      </bottom>
      <diagonal/>
    </border>
    <border>
      <left/>
      <right/>
      <top/>
      <bottom style="thin">
        <color rgb="FFDCE0E4"/>
      </bottom>
      <diagonal/>
    </border>
    <border>
      <left style="thin">
        <color rgb="FFDCE0E4"/>
      </left>
      <right/>
      <top/>
      <bottom/>
      <diagonal/>
    </border>
    <border>
      <left/>
      <right/>
      <top/>
      <bottom style="medium">
        <color rgb="FF8A2B34"/>
      </bottom>
      <diagonal/>
    </border>
    <border>
      <left/>
      <right/>
      <top style="double">
        <color rgb="FF22282E"/>
      </top>
      <bottom/>
      <diagonal/>
    </border>
    <border>
      <left/>
      <right/>
      <top/>
      <bottom style="thin">
        <color rgb="FF22282E"/>
      </bottom>
      <diagonal/>
    </border>
  </borders>
  <cellStyleXfs count="1">
    <xf numFmtId="0" fontId="0" fillId="0" borderId="0"/>
  </cellStyleXfs>
  <cellXfs count="57">
    <xf numFmtId="0" fontId="0" fillId="0" borderId="0" xfId="0"/>
    <xf numFmtId="171" fontId="4" fillId="0" borderId="2" xfId="0" applyNumberFormat="1" applyFont="1" applyBorder="1" applyAlignment="1">
      <alignment horizontal="left" vertical="center"/>
    </xf>
    <xf numFmtId="170" fontId="6" fillId="0" borderId="3" xfId="0" applyNumberFormat="1" applyFont="1" applyBorder="1" applyAlignment="1">
      <alignment horizontal="left" vertical="center"/>
    </xf>
    <xf numFmtId="169" fontId="5" fillId="0" borderId="3" xfId="0" applyNumberFormat="1" applyFont="1" applyBorder="1" applyAlignment="1">
      <alignment horizontal="left" vertical="center"/>
    </xf>
    <xf numFmtId="168" fontId="6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166" fontId="5" fillId="0" borderId="3" xfId="0" applyNumberFormat="1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3" fillId="0" borderId="0" xfId="0" applyFont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left" vertical="center"/>
    </xf>
    <xf numFmtId="167" fontId="4" fillId="0" borderId="2" xfId="0" applyNumberFormat="1" applyFont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left" vertical="center"/>
    </xf>
    <xf numFmtId="172" fontId="4" fillId="2" borderId="2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 wrapText="1"/>
    </xf>
    <xf numFmtId="172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right" vertical="center"/>
    </xf>
    <xf numFmtId="173" fontId="9" fillId="2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169" fontId="9" fillId="0" borderId="2" xfId="0" applyNumberFormat="1" applyFont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right" vertical="center"/>
    </xf>
    <xf numFmtId="165" fontId="9" fillId="2" borderId="2" xfId="0" applyNumberFormat="1" applyFont="1" applyFill="1" applyBorder="1" applyAlignment="1">
      <alignment horizontal="right" vertical="center"/>
    </xf>
    <xf numFmtId="166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right" vertical="center"/>
    </xf>
    <xf numFmtId="169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2" fontId="10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173" fontId="9" fillId="0" borderId="2" xfId="0" applyNumberFormat="1" applyFont="1" applyBorder="1" applyAlignment="1">
      <alignment horizontal="right" vertical="center"/>
    </xf>
    <xf numFmtId="174" fontId="9" fillId="0" borderId="2" xfId="0" applyNumberFormat="1" applyFont="1" applyBorder="1" applyAlignment="1">
      <alignment horizontal="right" vertical="center"/>
    </xf>
    <xf numFmtId="175" fontId="9" fillId="0" borderId="2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2" fontId="9" fillId="0" borderId="2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3" fontId="10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0" fillId="0" borderId="4" xfId="0" applyBorder="1"/>
    <xf numFmtId="0" fontId="12" fillId="0" borderId="6" xfId="0" applyFont="1" applyBorder="1" applyAlignment="1">
      <alignment horizontal="left" vertical="center"/>
    </xf>
    <xf numFmtId="0" fontId="10" fillId="0" borderId="0" xfId="0" applyFont="1"/>
    <xf numFmtId="0" fontId="2" fillId="0" borderId="0" xfId="0" applyFont="1"/>
    <xf numFmtId="0" fontId="7" fillId="0" borderId="0" xfId="0" applyFont="1"/>
    <xf numFmtId="0" fontId="11" fillId="0" borderId="5" xfId="0" applyFont="1" applyBorder="1" applyAlignment="1">
      <alignment horizontal="left" vertical="center"/>
    </xf>
    <xf numFmtId="0" fontId="4" fillId="0" borderId="0" xfId="0" applyFont="1"/>
    <xf numFmtId="0" fontId="13" fillId="0" borderId="0" xfId="0" applyFont="1" applyAlignment="1">
      <alignment horizontal="right" vertical="center"/>
    </xf>
  </cellXfs>
  <cellStyles count="1">
    <cellStyle name="Standard" xfId="0" builtinId="0"/>
  </cellStyles>
  <dxfs count="4">
    <dxf>
      <font>
        <b/>
        <sz val="14"/>
        <color rgb="FF2F6B4F"/>
        <name val="Calibri"/>
        <charset val="1"/>
      </font>
    </dxf>
    <dxf>
      <font>
        <b/>
        <sz val="10"/>
        <color rgb="FF2F6B4F"/>
        <name val="Calibri"/>
        <charset val="1"/>
      </font>
    </dxf>
    <dxf>
      <font>
        <b/>
        <sz val="10"/>
        <color rgb="FF8A2B34"/>
        <name val="Calibri"/>
        <charset val="1"/>
      </font>
    </dxf>
    <dxf>
      <fill>
        <patternFill>
          <bgColor rgb="FFF7EDE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F6B4F"/>
      <rgbColor rgb="FFC0C0C0"/>
      <rgbColor rgb="FF7A848C"/>
      <rgbColor rgb="FF9999FF"/>
      <rgbColor rgb="FF8A2B34"/>
      <rgbColor rgb="FFF6F7F8"/>
      <rgbColor rgb="FFF7EDEE"/>
      <rgbColor rgb="FF660066"/>
      <rgbColor rgb="FFFF8080"/>
      <rgbColor rgb="FF0066CC"/>
      <rgbColor rgb="FFDCE0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8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"/>
  <sheetViews>
    <sheetView showGridLines="0" tabSelected="1" zoomScaleNormal="100" workbookViewId="0">
      <pane ySplit="14" topLeftCell="A15" activePane="bottomLeft" state="frozen"/>
      <selection pane="bottomLeft" activeCell="P66" sqref="P66"/>
    </sheetView>
  </sheetViews>
  <sheetFormatPr baseColWidth="10" defaultColWidth="8.7109375" defaultRowHeight="15" x14ac:dyDescent="0.25"/>
  <cols>
    <col min="1" max="1" width="16.7109375" bestFit="1" customWidth="1"/>
    <col min="2" max="2" width="11" bestFit="1" customWidth="1"/>
    <col min="3" max="3" width="23.42578125" bestFit="1" customWidth="1"/>
    <col min="4" max="4" width="11.140625" bestFit="1" customWidth="1"/>
    <col min="5" max="5" width="13.28515625" bestFit="1" customWidth="1"/>
    <col min="6" max="6" width="9.7109375" bestFit="1" customWidth="1"/>
    <col min="7" max="7" width="11.5703125" bestFit="1" customWidth="1"/>
    <col min="8" max="8" width="7.28515625" bestFit="1" customWidth="1"/>
    <col min="9" max="9" width="9.140625" bestFit="1" customWidth="1"/>
    <col min="10" max="10" width="10" bestFit="1" customWidth="1"/>
    <col min="11" max="11" width="9.42578125" bestFit="1" customWidth="1"/>
    <col min="12" max="12" width="8.140625" bestFit="1" customWidth="1"/>
    <col min="13" max="13" width="10" bestFit="1" customWidth="1"/>
    <col min="14" max="14" width="8.5703125" bestFit="1" customWidth="1"/>
    <col min="15" max="15" width="15" customWidth="1"/>
    <col min="16" max="16" width="26.5703125" bestFit="1" customWidth="1"/>
  </cols>
  <sheetData>
    <row r="1" spans="1:16" ht="9.75" customHeight="1" x14ac:dyDescent="0.25"/>
    <row r="2" spans="1:16" ht="24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K2" s="56" t="s">
        <v>1</v>
      </c>
      <c r="L2" s="56"/>
      <c r="M2" s="56"/>
      <c r="N2" s="56"/>
      <c r="O2" s="56"/>
      <c r="P2" s="56"/>
    </row>
    <row r="3" spans="1:16" ht="15.75" customHeight="1" x14ac:dyDescent="0.25">
      <c r="A3" s="12" t="s">
        <v>2</v>
      </c>
      <c r="B3" s="12"/>
      <c r="C3" s="12"/>
      <c r="D3" s="12"/>
      <c r="E3" s="12"/>
      <c r="F3" s="12"/>
      <c r="G3" s="12"/>
      <c r="H3" s="12"/>
      <c r="K3" s="56"/>
      <c r="L3" s="56"/>
      <c r="M3" s="56"/>
      <c r="N3" s="56"/>
      <c r="O3" s="56"/>
      <c r="P3" s="56"/>
    </row>
    <row r="4" spans="1:16" ht="7.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9.75" customHeight="1" x14ac:dyDescent="0.25"/>
    <row r="6" spans="1:16" ht="21.75" customHeight="1" x14ac:dyDescent="0.25">
      <c r="A6" s="15" t="s">
        <v>3</v>
      </c>
      <c r="C6" s="11" t="s">
        <v>4</v>
      </c>
      <c r="D6" s="11"/>
      <c r="E6" s="10" t="s">
        <v>5</v>
      </c>
      <c r="F6" s="10"/>
      <c r="G6" s="16">
        <v>2026</v>
      </c>
      <c r="I6" s="9">
        <f>COUNT($A$15:$A$54)</f>
        <v>17</v>
      </c>
      <c r="J6" s="9"/>
      <c r="K6" s="8">
        <f>ROUND(SUM($H$15:$H$54),2)</f>
        <v>824.4</v>
      </c>
      <c r="L6" s="8"/>
      <c r="M6" s="7">
        <f>ROUND(SUM($J$15:$J$54),2)</f>
        <v>1466.18</v>
      </c>
      <c r="N6" s="7"/>
      <c r="O6" s="6">
        <f>SUM($G$15:$G$54)</f>
        <v>12040</v>
      </c>
      <c r="P6" s="6"/>
    </row>
    <row r="7" spans="1:16" ht="13.5" customHeight="1" x14ac:dyDescent="0.25">
      <c r="A7" s="15" t="s">
        <v>6</v>
      </c>
      <c r="C7" s="11" t="s">
        <v>7</v>
      </c>
      <c r="D7" s="11"/>
      <c r="E7" s="10" t="s">
        <v>8</v>
      </c>
      <c r="F7" s="10"/>
      <c r="G7" s="17">
        <v>24500</v>
      </c>
      <c r="I7" s="5" t="s">
        <v>9</v>
      </c>
      <c r="J7" s="5"/>
      <c r="K7" s="5" t="s">
        <v>10</v>
      </c>
      <c r="L7" s="5"/>
      <c r="M7" s="5" t="s">
        <v>11</v>
      </c>
      <c r="N7" s="5"/>
      <c r="O7" s="5" t="s">
        <v>12</v>
      </c>
      <c r="P7" s="5"/>
    </row>
    <row r="8" spans="1:16" ht="18.75" customHeight="1" x14ac:dyDescent="0.25">
      <c r="A8" s="15" t="s">
        <v>13</v>
      </c>
      <c r="C8" s="11" t="s">
        <v>14</v>
      </c>
      <c r="D8" s="11"/>
      <c r="E8" s="10" t="s">
        <v>15</v>
      </c>
      <c r="F8" s="10"/>
      <c r="G8" s="18">
        <v>6.8</v>
      </c>
    </row>
    <row r="9" spans="1:16" ht="21.75" customHeight="1" x14ac:dyDescent="0.25">
      <c r="A9" s="15" t="s">
        <v>16</v>
      </c>
      <c r="C9" s="11" t="s">
        <v>17</v>
      </c>
      <c r="D9" s="11"/>
      <c r="E9" s="10" t="s">
        <v>18</v>
      </c>
      <c r="F9" s="10"/>
      <c r="G9" s="19">
        <f>IF(COUNT($F$15:$F$54)=0,$G$7,MAX($F$15:$F$54))</f>
        <v>36540</v>
      </c>
      <c r="I9" s="4">
        <f>IF($O$6=0,0,ROUND($K$6/$O$6*100,2))</f>
        <v>6.85</v>
      </c>
      <c r="J9" s="4"/>
      <c r="K9" s="3">
        <f>IF($K$6=0,0,ROUND($M$6/$K$6,3))</f>
        <v>1.778</v>
      </c>
      <c r="L9" s="3"/>
      <c r="M9" s="7">
        <f>IF($O$6=0,0,ROUND($M$6/$O$6*100,2))</f>
        <v>12.18</v>
      </c>
      <c r="N9" s="7"/>
      <c r="O9" s="2">
        <f>ROUND($I$9-$G$8,2)</f>
        <v>0.05</v>
      </c>
      <c r="P9" s="2"/>
    </row>
    <row r="10" spans="1:16" ht="13.5" customHeight="1" x14ac:dyDescent="0.25">
      <c r="A10" s="15" t="s">
        <v>19</v>
      </c>
      <c r="C10" s="1">
        <v>80</v>
      </c>
      <c r="D10" s="1"/>
      <c r="E10" s="10" t="s">
        <v>20</v>
      </c>
      <c r="F10" s="10"/>
      <c r="G10" s="20">
        <f>IF(COUNT($A$15:$A$54)=0,"–",MIN($A$15:$A$54))</f>
        <v>46030</v>
      </c>
      <c r="I10" s="5" t="s">
        <v>21</v>
      </c>
      <c r="J10" s="5"/>
      <c r="K10" s="5" t="s">
        <v>22</v>
      </c>
      <c r="L10" s="5"/>
      <c r="M10" s="5" t="s">
        <v>23</v>
      </c>
      <c r="N10" s="5"/>
      <c r="O10" s="5" t="s">
        <v>24</v>
      </c>
      <c r="P10" s="5"/>
    </row>
    <row r="11" spans="1:16" ht="18.75" customHeight="1" x14ac:dyDescent="0.25">
      <c r="A11" s="15" t="s">
        <v>25</v>
      </c>
      <c r="C11" s="11" t="s">
        <v>26</v>
      </c>
      <c r="D11" s="11"/>
      <c r="E11" s="10" t="s">
        <v>27</v>
      </c>
      <c r="F11" s="10"/>
      <c r="G11" s="20">
        <f>IF(COUNT($A$15:$A$54)=0,"–",MAX($A$15:$A$54))</f>
        <v>46211</v>
      </c>
    </row>
    <row r="12" spans="1:16" ht="6" customHeight="1" x14ac:dyDescent="0.25"/>
    <row r="13" spans="1:16" ht="15" customHeight="1" x14ac:dyDescent="0.25">
      <c r="A13" s="53" t="s">
        <v>28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ht="30" customHeight="1" x14ac:dyDescent="0.25">
      <c r="A14" s="21" t="s">
        <v>29</v>
      </c>
      <c r="B14" s="21" t="s">
        <v>30</v>
      </c>
      <c r="C14" s="21" t="s">
        <v>31</v>
      </c>
      <c r="D14" s="21" t="s">
        <v>32</v>
      </c>
      <c r="E14" s="21" t="s">
        <v>33</v>
      </c>
      <c r="F14" s="21" t="s">
        <v>34</v>
      </c>
      <c r="G14" s="21" t="s">
        <v>35</v>
      </c>
      <c r="H14" s="21" t="s">
        <v>36</v>
      </c>
      <c r="I14" s="21" t="s">
        <v>37</v>
      </c>
      <c r="J14" s="21" t="s">
        <v>38</v>
      </c>
      <c r="K14" s="21" t="s">
        <v>39</v>
      </c>
      <c r="L14" s="21" t="s">
        <v>40</v>
      </c>
      <c r="M14" s="21" t="s">
        <v>41</v>
      </c>
      <c r="N14" s="21" t="s">
        <v>42</v>
      </c>
      <c r="O14" s="21" t="s">
        <v>43</v>
      </c>
      <c r="P14" s="21" t="s">
        <v>44</v>
      </c>
    </row>
    <row r="15" spans="1:16" ht="16.5" customHeight="1" x14ac:dyDescent="0.25">
      <c r="A15" s="22">
        <v>46030</v>
      </c>
      <c r="B15" s="23" t="s">
        <v>45</v>
      </c>
      <c r="C15" s="23" t="s">
        <v>46</v>
      </c>
      <c r="D15" s="23" t="s">
        <v>47</v>
      </c>
      <c r="E15" s="23" t="s">
        <v>17</v>
      </c>
      <c r="F15" s="24">
        <v>25180</v>
      </c>
      <c r="G15" s="25">
        <f>IF(OR($F15="",$G$7=""),"",IF($F15-$G$7&lt;=0,"",$F15-$G$7))</f>
        <v>680</v>
      </c>
      <c r="H15" s="26">
        <v>47.1</v>
      </c>
      <c r="I15" s="27">
        <v>1.7490000000000001</v>
      </c>
      <c r="J15" s="28">
        <f t="shared" ref="J15:J54" si="0">IF(OR($H15="",$I15=""),"",ROUND($H15*$I15,2))</f>
        <v>82.38</v>
      </c>
      <c r="K15" s="29" t="s">
        <v>48</v>
      </c>
      <c r="L15" s="30">
        <f>IF(OR($G15="",$H15="",$K15&lt;&gt;"Ja","Ja"&lt;&gt;"Ja"),"",ROUND($H15/$G15*100,2))</f>
        <v>6.93</v>
      </c>
      <c r="M15" s="31">
        <f t="shared" ref="M15:M54" si="1">IF(OR($G15="",$J15=""),"",ROUND($J15/$G15*100,2))</f>
        <v>12.11</v>
      </c>
      <c r="N15" s="23" t="s">
        <v>49</v>
      </c>
      <c r="O15" s="23" t="s">
        <v>50</v>
      </c>
      <c r="P15" s="23"/>
    </row>
    <row r="16" spans="1:16" ht="16.5" customHeight="1" x14ac:dyDescent="0.25">
      <c r="A16" s="22">
        <v>46041</v>
      </c>
      <c r="B16" s="23" t="s">
        <v>51</v>
      </c>
      <c r="C16" s="23" t="s">
        <v>52</v>
      </c>
      <c r="D16" s="23" t="s">
        <v>53</v>
      </c>
      <c r="E16" s="23" t="s">
        <v>17</v>
      </c>
      <c r="F16" s="24">
        <v>25910</v>
      </c>
      <c r="G16" s="25">
        <f t="shared" ref="G16:G54" si="2">IF(OR($F16="",$F15=""),"",IF($F16-$F15&lt;=0,"",$F16-$F15))</f>
        <v>730</v>
      </c>
      <c r="H16" s="26">
        <v>49.8</v>
      </c>
      <c r="I16" s="27">
        <v>1.7689999999999999</v>
      </c>
      <c r="J16" s="28">
        <f t="shared" si="0"/>
        <v>88.1</v>
      </c>
      <c r="K16" s="29" t="s">
        <v>48</v>
      </c>
      <c r="L16" s="30">
        <f t="shared" ref="L16:L54" si="3">IF(OR($G16="",$H16="",$K16&lt;&gt;"Ja",$K15&lt;&gt;"Ja"),"",ROUND($H16/$G16*100,2))</f>
        <v>6.82</v>
      </c>
      <c r="M16" s="31">
        <f t="shared" si="1"/>
        <v>12.07</v>
      </c>
      <c r="N16" s="23" t="s">
        <v>49</v>
      </c>
      <c r="O16" s="23" t="s">
        <v>50</v>
      </c>
      <c r="P16" s="23"/>
    </row>
    <row r="17" spans="1:16" ht="16.5" customHeight="1" x14ac:dyDescent="0.25">
      <c r="A17" s="22">
        <v>46055</v>
      </c>
      <c r="B17" s="23" t="s">
        <v>54</v>
      </c>
      <c r="C17" s="23" t="s">
        <v>55</v>
      </c>
      <c r="D17" s="23" t="s">
        <v>56</v>
      </c>
      <c r="E17" s="23" t="s">
        <v>17</v>
      </c>
      <c r="F17" s="24">
        <v>26640</v>
      </c>
      <c r="G17" s="25">
        <f t="shared" si="2"/>
        <v>730</v>
      </c>
      <c r="H17" s="26">
        <v>50.2</v>
      </c>
      <c r="I17" s="27">
        <v>1.7989999999999999</v>
      </c>
      <c r="J17" s="28">
        <f t="shared" si="0"/>
        <v>90.31</v>
      </c>
      <c r="K17" s="29" t="s">
        <v>48</v>
      </c>
      <c r="L17" s="30">
        <f t="shared" si="3"/>
        <v>6.88</v>
      </c>
      <c r="M17" s="31">
        <f t="shared" si="1"/>
        <v>12.37</v>
      </c>
      <c r="N17" s="23" t="s">
        <v>57</v>
      </c>
      <c r="O17" s="23" t="s">
        <v>58</v>
      </c>
      <c r="P17" s="23" t="s">
        <v>59</v>
      </c>
    </row>
    <row r="18" spans="1:16" ht="16.5" customHeight="1" x14ac:dyDescent="0.25">
      <c r="A18" s="22">
        <v>46066</v>
      </c>
      <c r="B18" s="23" t="s">
        <v>60</v>
      </c>
      <c r="C18" s="23" t="s">
        <v>61</v>
      </c>
      <c r="D18" s="23" t="s">
        <v>47</v>
      </c>
      <c r="E18" s="23" t="s">
        <v>17</v>
      </c>
      <c r="F18" s="24">
        <v>27280</v>
      </c>
      <c r="G18" s="25">
        <f t="shared" si="2"/>
        <v>640</v>
      </c>
      <c r="H18" s="26">
        <v>43.6</v>
      </c>
      <c r="I18" s="27">
        <v>1.7589999999999999</v>
      </c>
      <c r="J18" s="28">
        <f t="shared" si="0"/>
        <v>76.69</v>
      </c>
      <c r="K18" s="29" t="s">
        <v>48</v>
      </c>
      <c r="L18" s="30">
        <f t="shared" si="3"/>
        <v>6.81</v>
      </c>
      <c r="M18" s="31">
        <f t="shared" si="1"/>
        <v>11.98</v>
      </c>
      <c r="N18" s="23" t="s">
        <v>49</v>
      </c>
      <c r="O18" s="23" t="s">
        <v>50</v>
      </c>
      <c r="P18" s="23"/>
    </row>
    <row r="19" spans="1:16" ht="16.5" customHeight="1" x14ac:dyDescent="0.25">
      <c r="A19" s="22">
        <v>46078</v>
      </c>
      <c r="B19" s="23" t="s">
        <v>62</v>
      </c>
      <c r="C19" s="23" t="s">
        <v>63</v>
      </c>
      <c r="D19" s="23" t="s">
        <v>64</v>
      </c>
      <c r="E19" s="23" t="s">
        <v>65</v>
      </c>
      <c r="F19" s="24">
        <v>28050</v>
      </c>
      <c r="G19" s="25">
        <f t="shared" si="2"/>
        <v>770</v>
      </c>
      <c r="H19" s="26">
        <v>52.9</v>
      </c>
      <c r="I19" s="27">
        <v>1.9490000000000001</v>
      </c>
      <c r="J19" s="28">
        <f t="shared" si="0"/>
        <v>103.1</v>
      </c>
      <c r="K19" s="29" t="s">
        <v>48</v>
      </c>
      <c r="L19" s="30">
        <f t="shared" si="3"/>
        <v>6.87</v>
      </c>
      <c r="M19" s="31">
        <f t="shared" si="1"/>
        <v>13.39</v>
      </c>
      <c r="N19" s="23" t="s">
        <v>66</v>
      </c>
      <c r="O19" s="23" t="s">
        <v>58</v>
      </c>
      <c r="P19" s="23" t="s">
        <v>67</v>
      </c>
    </row>
    <row r="20" spans="1:16" ht="16.5" customHeight="1" x14ac:dyDescent="0.25">
      <c r="A20" s="22">
        <v>46090</v>
      </c>
      <c r="B20" s="23" t="s">
        <v>68</v>
      </c>
      <c r="C20" s="23" t="s">
        <v>69</v>
      </c>
      <c r="D20" s="23" t="s">
        <v>47</v>
      </c>
      <c r="E20" s="23" t="s">
        <v>17</v>
      </c>
      <c r="F20" s="24">
        <v>28720</v>
      </c>
      <c r="G20" s="25">
        <f t="shared" si="2"/>
        <v>670</v>
      </c>
      <c r="H20" s="26">
        <v>45.3</v>
      </c>
      <c r="I20" s="27">
        <v>1.7290000000000001</v>
      </c>
      <c r="J20" s="28">
        <f t="shared" si="0"/>
        <v>78.319999999999993</v>
      </c>
      <c r="K20" s="29" t="s">
        <v>48</v>
      </c>
      <c r="L20" s="30">
        <f t="shared" si="3"/>
        <v>6.76</v>
      </c>
      <c r="M20" s="31">
        <f t="shared" si="1"/>
        <v>11.69</v>
      </c>
      <c r="N20" s="23" t="s">
        <v>49</v>
      </c>
      <c r="O20" s="23" t="s">
        <v>70</v>
      </c>
      <c r="P20" s="23"/>
    </row>
    <row r="21" spans="1:16" ht="16.5" customHeight="1" x14ac:dyDescent="0.25">
      <c r="A21" s="22">
        <v>46101</v>
      </c>
      <c r="B21" s="23" t="s">
        <v>71</v>
      </c>
      <c r="C21" s="23" t="s">
        <v>46</v>
      </c>
      <c r="D21" s="23" t="s">
        <v>47</v>
      </c>
      <c r="E21" s="23" t="s">
        <v>17</v>
      </c>
      <c r="F21" s="24">
        <v>29460</v>
      </c>
      <c r="G21" s="25">
        <f t="shared" si="2"/>
        <v>740</v>
      </c>
      <c r="H21" s="26">
        <v>50.1</v>
      </c>
      <c r="I21" s="27">
        <v>1.7390000000000001</v>
      </c>
      <c r="J21" s="28">
        <f t="shared" si="0"/>
        <v>87.12</v>
      </c>
      <c r="K21" s="29" t="s">
        <v>48</v>
      </c>
      <c r="L21" s="30">
        <f t="shared" si="3"/>
        <v>6.77</v>
      </c>
      <c r="M21" s="31">
        <f t="shared" si="1"/>
        <v>11.77</v>
      </c>
      <c r="N21" s="23" t="s">
        <v>57</v>
      </c>
      <c r="O21" s="23" t="s">
        <v>50</v>
      </c>
      <c r="P21" s="23"/>
    </row>
    <row r="22" spans="1:16" ht="16.5" customHeight="1" x14ac:dyDescent="0.25">
      <c r="A22" s="22">
        <v>46112</v>
      </c>
      <c r="B22" s="23" t="s">
        <v>72</v>
      </c>
      <c r="C22" s="23" t="s">
        <v>73</v>
      </c>
      <c r="D22" s="23" t="s">
        <v>74</v>
      </c>
      <c r="E22" s="23" t="s">
        <v>17</v>
      </c>
      <c r="F22" s="24">
        <v>30140</v>
      </c>
      <c r="G22" s="25">
        <f t="shared" si="2"/>
        <v>680</v>
      </c>
      <c r="H22" s="26">
        <v>30</v>
      </c>
      <c r="I22" s="27">
        <v>1.7190000000000001</v>
      </c>
      <c r="J22" s="28">
        <f t="shared" si="0"/>
        <v>51.57</v>
      </c>
      <c r="K22" s="29" t="s">
        <v>75</v>
      </c>
      <c r="L22" s="30" t="str">
        <f t="shared" si="3"/>
        <v/>
      </c>
      <c r="M22" s="31">
        <f t="shared" si="1"/>
        <v>7.58</v>
      </c>
      <c r="N22" s="23" t="s">
        <v>57</v>
      </c>
      <c r="O22" s="23" t="s">
        <v>76</v>
      </c>
      <c r="P22" s="23" t="s">
        <v>77</v>
      </c>
    </row>
    <row r="23" spans="1:16" ht="16.5" customHeight="1" x14ac:dyDescent="0.25">
      <c r="A23" s="22">
        <v>46122</v>
      </c>
      <c r="B23" s="23" t="s">
        <v>78</v>
      </c>
      <c r="C23" s="23" t="s">
        <v>55</v>
      </c>
      <c r="D23" s="23" t="s">
        <v>56</v>
      </c>
      <c r="E23" s="23" t="s">
        <v>17</v>
      </c>
      <c r="F23" s="24">
        <v>30880</v>
      </c>
      <c r="G23" s="25">
        <f t="shared" si="2"/>
        <v>740</v>
      </c>
      <c r="H23" s="26">
        <v>66.8</v>
      </c>
      <c r="I23" s="27">
        <v>1.7889999999999999</v>
      </c>
      <c r="J23" s="28">
        <f t="shared" si="0"/>
        <v>119.51</v>
      </c>
      <c r="K23" s="29" t="s">
        <v>48</v>
      </c>
      <c r="L23" s="30" t="str">
        <f t="shared" si="3"/>
        <v/>
      </c>
      <c r="M23" s="31">
        <f t="shared" si="1"/>
        <v>16.149999999999999</v>
      </c>
      <c r="N23" s="23" t="s">
        <v>49</v>
      </c>
      <c r="O23" s="23" t="s">
        <v>50</v>
      </c>
      <c r="P23" s="23" t="s">
        <v>79</v>
      </c>
    </row>
    <row r="24" spans="1:16" ht="16.5" customHeight="1" x14ac:dyDescent="0.25">
      <c r="A24" s="22">
        <v>46134</v>
      </c>
      <c r="B24" s="23" t="s">
        <v>80</v>
      </c>
      <c r="C24" s="23" t="s">
        <v>52</v>
      </c>
      <c r="D24" s="23" t="s">
        <v>53</v>
      </c>
      <c r="E24" s="23" t="s">
        <v>17</v>
      </c>
      <c r="F24" s="24">
        <v>31590</v>
      </c>
      <c r="G24" s="25">
        <f t="shared" si="2"/>
        <v>710</v>
      </c>
      <c r="H24" s="26">
        <v>48.6</v>
      </c>
      <c r="I24" s="27">
        <v>1.7789999999999999</v>
      </c>
      <c r="J24" s="28">
        <f t="shared" si="0"/>
        <v>86.46</v>
      </c>
      <c r="K24" s="29" t="s">
        <v>48</v>
      </c>
      <c r="L24" s="30">
        <f t="shared" si="3"/>
        <v>6.85</v>
      </c>
      <c r="M24" s="31">
        <f t="shared" si="1"/>
        <v>12.18</v>
      </c>
      <c r="N24" s="23" t="s">
        <v>49</v>
      </c>
      <c r="O24" s="23" t="s">
        <v>50</v>
      </c>
      <c r="P24" s="23"/>
    </row>
    <row r="25" spans="1:16" ht="16.5" customHeight="1" x14ac:dyDescent="0.25">
      <c r="A25" s="22">
        <v>46147</v>
      </c>
      <c r="B25" s="23" t="s">
        <v>81</v>
      </c>
      <c r="C25" s="23" t="s">
        <v>61</v>
      </c>
      <c r="D25" s="23" t="s">
        <v>47</v>
      </c>
      <c r="E25" s="23" t="s">
        <v>17</v>
      </c>
      <c r="F25" s="24">
        <v>32340</v>
      </c>
      <c r="G25" s="25">
        <f t="shared" si="2"/>
        <v>750</v>
      </c>
      <c r="H25" s="26">
        <v>51.9</v>
      </c>
      <c r="I25" s="27">
        <v>1.8089999999999999</v>
      </c>
      <c r="J25" s="28">
        <f t="shared" si="0"/>
        <v>93.89</v>
      </c>
      <c r="K25" s="29" t="s">
        <v>48</v>
      </c>
      <c r="L25" s="30">
        <f t="shared" si="3"/>
        <v>6.92</v>
      </c>
      <c r="M25" s="31">
        <f t="shared" si="1"/>
        <v>12.52</v>
      </c>
      <c r="N25" s="23" t="s">
        <v>66</v>
      </c>
      <c r="O25" s="23" t="s">
        <v>82</v>
      </c>
      <c r="P25" s="23"/>
    </row>
    <row r="26" spans="1:16" ht="16.5" customHeight="1" x14ac:dyDescent="0.25">
      <c r="A26" s="22">
        <v>46160</v>
      </c>
      <c r="B26" s="23" t="s">
        <v>83</v>
      </c>
      <c r="C26" s="23" t="s">
        <v>46</v>
      </c>
      <c r="D26" s="23" t="s">
        <v>47</v>
      </c>
      <c r="E26" s="23" t="s">
        <v>17</v>
      </c>
      <c r="F26" s="24">
        <v>33010</v>
      </c>
      <c r="G26" s="25">
        <f t="shared" si="2"/>
        <v>670</v>
      </c>
      <c r="H26" s="26">
        <v>45.8</v>
      </c>
      <c r="I26" s="27">
        <v>1.7989999999999999</v>
      </c>
      <c r="J26" s="28">
        <f t="shared" si="0"/>
        <v>82.39</v>
      </c>
      <c r="K26" s="29" t="s">
        <v>48</v>
      </c>
      <c r="L26" s="30">
        <f t="shared" si="3"/>
        <v>6.84</v>
      </c>
      <c r="M26" s="31">
        <f t="shared" si="1"/>
        <v>12.3</v>
      </c>
      <c r="N26" s="23" t="s">
        <v>84</v>
      </c>
      <c r="O26" s="23" t="s">
        <v>50</v>
      </c>
      <c r="P26" s="23" t="s">
        <v>85</v>
      </c>
    </row>
    <row r="27" spans="1:16" ht="16.5" customHeight="1" x14ac:dyDescent="0.25">
      <c r="A27" s="22">
        <v>46171</v>
      </c>
      <c r="B27" s="23" t="s">
        <v>86</v>
      </c>
      <c r="C27" s="23" t="s">
        <v>63</v>
      </c>
      <c r="D27" s="23" t="s">
        <v>64</v>
      </c>
      <c r="E27" s="23" t="s">
        <v>17</v>
      </c>
      <c r="F27" s="24">
        <v>33760</v>
      </c>
      <c r="G27" s="25">
        <f t="shared" si="2"/>
        <v>750</v>
      </c>
      <c r="H27" s="26">
        <v>51.3</v>
      </c>
      <c r="I27" s="27">
        <v>1.7789999999999999</v>
      </c>
      <c r="J27" s="28">
        <f t="shared" si="0"/>
        <v>91.26</v>
      </c>
      <c r="K27" s="29" t="s">
        <v>48</v>
      </c>
      <c r="L27" s="30">
        <f t="shared" si="3"/>
        <v>6.84</v>
      </c>
      <c r="M27" s="31">
        <f t="shared" si="1"/>
        <v>12.17</v>
      </c>
      <c r="N27" s="23" t="s">
        <v>49</v>
      </c>
      <c r="O27" s="23" t="s">
        <v>58</v>
      </c>
      <c r="P27" s="23"/>
    </row>
    <row r="28" spans="1:16" ht="16.5" customHeight="1" x14ac:dyDescent="0.25">
      <c r="A28" s="22">
        <v>46182</v>
      </c>
      <c r="B28" s="23" t="s">
        <v>87</v>
      </c>
      <c r="C28" s="23" t="s">
        <v>69</v>
      </c>
      <c r="D28" s="23" t="s">
        <v>47</v>
      </c>
      <c r="E28" s="23" t="s">
        <v>17</v>
      </c>
      <c r="F28" s="24">
        <v>34420</v>
      </c>
      <c r="G28" s="25">
        <f t="shared" si="2"/>
        <v>660</v>
      </c>
      <c r="H28" s="26">
        <v>45.1</v>
      </c>
      <c r="I28" s="27">
        <v>1.7589999999999999</v>
      </c>
      <c r="J28" s="28">
        <f t="shared" si="0"/>
        <v>79.33</v>
      </c>
      <c r="K28" s="29" t="s">
        <v>48</v>
      </c>
      <c r="L28" s="30">
        <f t="shared" si="3"/>
        <v>6.83</v>
      </c>
      <c r="M28" s="31">
        <f t="shared" si="1"/>
        <v>12.02</v>
      </c>
      <c r="N28" s="23" t="s">
        <v>49</v>
      </c>
      <c r="O28" s="23" t="s">
        <v>70</v>
      </c>
      <c r="P28" s="23"/>
    </row>
    <row r="29" spans="1:16" ht="16.5" customHeight="1" x14ac:dyDescent="0.25">
      <c r="A29" s="22">
        <v>46192</v>
      </c>
      <c r="B29" s="23" t="s">
        <v>88</v>
      </c>
      <c r="C29" s="23" t="s">
        <v>55</v>
      </c>
      <c r="D29" s="23" t="s">
        <v>89</v>
      </c>
      <c r="E29" s="23" t="s">
        <v>17</v>
      </c>
      <c r="F29" s="24">
        <v>35180</v>
      </c>
      <c r="G29" s="25">
        <f t="shared" si="2"/>
        <v>760</v>
      </c>
      <c r="H29" s="26">
        <v>52.4</v>
      </c>
      <c r="I29" s="27">
        <v>1.7689999999999999</v>
      </c>
      <c r="J29" s="28">
        <f t="shared" si="0"/>
        <v>92.7</v>
      </c>
      <c r="K29" s="29" t="s">
        <v>48</v>
      </c>
      <c r="L29" s="30">
        <f t="shared" si="3"/>
        <v>6.89</v>
      </c>
      <c r="M29" s="31">
        <f t="shared" si="1"/>
        <v>12.2</v>
      </c>
      <c r="N29" s="23" t="s">
        <v>57</v>
      </c>
      <c r="O29" s="23" t="s">
        <v>50</v>
      </c>
      <c r="P29" s="23" t="s">
        <v>90</v>
      </c>
    </row>
    <row r="30" spans="1:16" ht="16.5" customHeight="1" x14ac:dyDescent="0.25">
      <c r="A30" s="22">
        <v>46203</v>
      </c>
      <c r="B30" s="23" t="s">
        <v>91</v>
      </c>
      <c r="C30" s="23" t="s">
        <v>52</v>
      </c>
      <c r="D30" s="23" t="s">
        <v>53</v>
      </c>
      <c r="E30" s="23" t="s">
        <v>17</v>
      </c>
      <c r="F30" s="24">
        <v>35880</v>
      </c>
      <c r="G30" s="25">
        <f t="shared" si="2"/>
        <v>700</v>
      </c>
      <c r="H30" s="26">
        <v>47.9</v>
      </c>
      <c r="I30" s="27">
        <v>1.7390000000000001</v>
      </c>
      <c r="J30" s="28">
        <f t="shared" si="0"/>
        <v>83.3</v>
      </c>
      <c r="K30" s="29" t="s">
        <v>48</v>
      </c>
      <c r="L30" s="30">
        <f t="shared" si="3"/>
        <v>6.84</v>
      </c>
      <c r="M30" s="31">
        <f t="shared" si="1"/>
        <v>11.9</v>
      </c>
      <c r="N30" s="23" t="s">
        <v>49</v>
      </c>
      <c r="O30" s="23" t="s">
        <v>50</v>
      </c>
      <c r="P30" s="23"/>
    </row>
    <row r="31" spans="1:16" ht="16.5" customHeight="1" x14ac:dyDescent="0.25">
      <c r="A31" s="22">
        <v>46211</v>
      </c>
      <c r="B31" s="23" t="s">
        <v>92</v>
      </c>
      <c r="C31" s="23" t="s">
        <v>46</v>
      </c>
      <c r="D31" s="23" t="s">
        <v>47</v>
      </c>
      <c r="E31" s="23" t="s">
        <v>17</v>
      </c>
      <c r="F31" s="24">
        <v>36540</v>
      </c>
      <c r="G31" s="25">
        <f t="shared" si="2"/>
        <v>660</v>
      </c>
      <c r="H31" s="26">
        <v>45.6</v>
      </c>
      <c r="I31" s="27">
        <v>1.7490000000000001</v>
      </c>
      <c r="J31" s="28">
        <f t="shared" si="0"/>
        <v>79.75</v>
      </c>
      <c r="K31" s="29" t="s">
        <v>48</v>
      </c>
      <c r="L31" s="30">
        <f t="shared" si="3"/>
        <v>6.91</v>
      </c>
      <c r="M31" s="31">
        <f t="shared" si="1"/>
        <v>12.08</v>
      </c>
      <c r="N31" s="23" t="s">
        <v>66</v>
      </c>
      <c r="O31" s="23" t="s">
        <v>50</v>
      </c>
      <c r="P31" s="23"/>
    </row>
    <row r="32" spans="1:16" ht="16.5" customHeight="1" x14ac:dyDescent="0.25">
      <c r="A32" s="22"/>
      <c r="B32" s="23"/>
      <c r="C32" s="23"/>
      <c r="D32" s="23"/>
      <c r="E32" s="23"/>
      <c r="F32" s="24"/>
      <c r="G32" s="25" t="str">
        <f t="shared" si="2"/>
        <v/>
      </c>
      <c r="H32" s="26"/>
      <c r="I32" s="27"/>
      <c r="J32" s="28" t="str">
        <f t="shared" si="0"/>
        <v/>
      </c>
      <c r="K32" s="29"/>
      <c r="L32" s="30" t="str">
        <f t="shared" si="3"/>
        <v/>
      </c>
      <c r="M32" s="31" t="str">
        <f t="shared" si="1"/>
        <v/>
      </c>
      <c r="N32" s="23"/>
      <c r="O32" s="23"/>
      <c r="P32" s="23"/>
    </row>
    <row r="33" spans="1:16" ht="16.5" customHeight="1" x14ac:dyDescent="0.25">
      <c r="A33" s="22"/>
      <c r="B33" s="23"/>
      <c r="C33" s="23"/>
      <c r="D33" s="23"/>
      <c r="E33" s="23"/>
      <c r="F33" s="24"/>
      <c r="G33" s="25" t="str">
        <f t="shared" si="2"/>
        <v/>
      </c>
      <c r="H33" s="26"/>
      <c r="I33" s="27"/>
      <c r="J33" s="28" t="str">
        <f t="shared" si="0"/>
        <v/>
      </c>
      <c r="K33" s="29"/>
      <c r="L33" s="30" t="str">
        <f t="shared" si="3"/>
        <v/>
      </c>
      <c r="M33" s="31" t="str">
        <f t="shared" si="1"/>
        <v/>
      </c>
      <c r="N33" s="23"/>
      <c r="O33" s="23"/>
      <c r="P33" s="23"/>
    </row>
    <row r="34" spans="1:16" ht="16.5" customHeight="1" x14ac:dyDescent="0.25">
      <c r="A34" s="22"/>
      <c r="B34" s="23"/>
      <c r="C34" s="23"/>
      <c r="D34" s="23"/>
      <c r="E34" s="23"/>
      <c r="F34" s="24"/>
      <c r="G34" s="25" t="str">
        <f t="shared" si="2"/>
        <v/>
      </c>
      <c r="H34" s="26"/>
      <c r="I34" s="27"/>
      <c r="J34" s="28" t="str">
        <f t="shared" si="0"/>
        <v/>
      </c>
      <c r="K34" s="29"/>
      <c r="L34" s="30" t="str">
        <f t="shared" si="3"/>
        <v/>
      </c>
      <c r="M34" s="31" t="str">
        <f t="shared" si="1"/>
        <v/>
      </c>
      <c r="N34" s="23"/>
      <c r="O34" s="23"/>
      <c r="P34" s="23"/>
    </row>
    <row r="35" spans="1:16" ht="16.5" customHeight="1" x14ac:dyDescent="0.25">
      <c r="A35" s="22"/>
      <c r="B35" s="23"/>
      <c r="C35" s="23"/>
      <c r="D35" s="23"/>
      <c r="E35" s="23"/>
      <c r="F35" s="24"/>
      <c r="G35" s="25" t="str">
        <f t="shared" si="2"/>
        <v/>
      </c>
      <c r="H35" s="26"/>
      <c r="I35" s="27"/>
      <c r="J35" s="28" t="str">
        <f t="shared" si="0"/>
        <v/>
      </c>
      <c r="K35" s="29"/>
      <c r="L35" s="30" t="str">
        <f t="shared" si="3"/>
        <v/>
      </c>
      <c r="M35" s="31" t="str">
        <f t="shared" si="1"/>
        <v/>
      </c>
      <c r="N35" s="23"/>
      <c r="O35" s="23"/>
      <c r="P35" s="23"/>
    </row>
    <row r="36" spans="1:16" ht="16.5" customHeight="1" x14ac:dyDescent="0.25">
      <c r="A36" s="22"/>
      <c r="B36" s="23"/>
      <c r="C36" s="23"/>
      <c r="D36" s="23"/>
      <c r="E36" s="23"/>
      <c r="F36" s="24"/>
      <c r="G36" s="25" t="str">
        <f t="shared" si="2"/>
        <v/>
      </c>
      <c r="H36" s="26"/>
      <c r="I36" s="27"/>
      <c r="J36" s="28" t="str">
        <f t="shared" si="0"/>
        <v/>
      </c>
      <c r="K36" s="29"/>
      <c r="L36" s="30" t="str">
        <f t="shared" si="3"/>
        <v/>
      </c>
      <c r="M36" s="31" t="str">
        <f t="shared" si="1"/>
        <v/>
      </c>
      <c r="N36" s="23"/>
      <c r="O36" s="23"/>
      <c r="P36" s="23"/>
    </row>
    <row r="37" spans="1:16" ht="16.5" customHeight="1" x14ac:dyDescent="0.25">
      <c r="A37" s="22"/>
      <c r="B37" s="23"/>
      <c r="C37" s="23"/>
      <c r="D37" s="23"/>
      <c r="E37" s="23"/>
      <c r="F37" s="24"/>
      <c r="G37" s="25" t="str">
        <f t="shared" si="2"/>
        <v/>
      </c>
      <c r="H37" s="26"/>
      <c r="I37" s="27"/>
      <c r="J37" s="28" t="str">
        <f t="shared" si="0"/>
        <v/>
      </c>
      <c r="K37" s="29"/>
      <c r="L37" s="30" t="str">
        <f t="shared" si="3"/>
        <v/>
      </c>
      <c r="M37" s="31" t="str">
        <f t="shared" si="1"/>
        <v/>
      </c>
      <c r="N37" s="23"/>
      <c r="O37" s="23"/>
      <c r="P37" s="23"/>
    </row>
    <row r="38" spans="1:16" ht="16.5" customHeight="1" x14ac:dyDescent="0.25">
      <c r="A38" s="22"/>
      <c r="B38" s="23"/>
      <c r="C38" s="23"/>
      <c r="D38" s="23"/>
      <c r="E38" s="23"/>
      <c r="F38" s="24"/>
      <c r="G38" s="25" t="str">
        <f t="shared" si="2"/>
        <v/>
      </c>
      <c r="H38" s="26"/>
      <c r="I38" s="27"/>
      <c r="J38" s="28" t="str">
        <f t="shared" si="0"/>
        <v/>
      </c>
      <c r="K38" s="29"/>
      <c r="L38" s="30" t="str">
        <f t="shared" si="3"/>
        <v/>
      </c>
      <c r="M38" s="31" t="str">
        <f t="shared" si="1"/>
        <v/>
      </c>
      <c r="N38" s="23"/>
      <c r="O38" s="23"/>
      <c r="P38" s="23"/>
    </row>
    <row r="39" spans="1:16" ht="16.5" customHeight="1" x14ac:dyDescent="0.25">
      <c r="A39" s="22"/>
      <c r="B39" s="23"/>
      <c r="C39" s="23"/>
      <c r="D39" s="23"/>
      <c r="E39" s="23"/>
      <c r="F39" s="24"/>
      <c r="G39" s="25" t="str">
        <f t="shared" si="2"/>
        <v/>
      </c>
      <c r="H39" s="26"/>
      <c r="I39" s="27"/>
      <c r="J39" s="28" t="str">
        <f t="shared" si="0"/>
        <v/>
      </c>
      <c r="K39" s="29"/>
      <c r="L39" s="30" t="str">
        <f t="shared" si="3"/>
        <v/>
      </c>
      <c r="M39" s="31" t="str">
        <f t="shared" si="1"/>
        <v/>
      </c>
      <c r="N39" s="23"/>
      <c r="O39" s="23"/>
      <c r="P39" s="23"/>
    </row>
    <row r="40" spans="1:16" ht="16.5" customHeight="1" x14ac:dyDescent="0.25">
      <c r="A40" s="22"/>
      <c r="B40" s="23"/>
      <c r="C40" s="23"/>
      <c r="D40" s="23"/>
      <c r="E40" s="23"/>
      <c r="F40" s="24"/>
      <c r="G40" s="25" t="str">
        <f t="shared" si="2"/>
        <v/>
      </c>
      <c r="H40" s="26"/>
      <c r="I40" s="27"/>
      <c r="J40" s="28" t="str">
        <f t="shared" si="0"/>
        <v/>
      </c>
      <c r="K40" s="29"/>
      <c r="L40" s="30" t="str">
        <f t="shared" si="3"/>
        <v/>
      </c>
      <c r="M40" s="31" t="str">
        <f t="shared" si="1"/>
        <v/>
      </c>
      <c r="N40" s="23"/>
      <c r="O40" s="23"/>
      <c r="P40" s="23"/>
    </row>
    <row r="41" spans="1:16" ht="16.5" customHeight="1" x14ac:dyDescent="0.25">
      <c r="A41" s="22"/>
      <c r="B41" s="23"/>
      <c r="C41" s="23"/>
      <c r="D41" s="23"/>
      <c r="E41" s="23"/>
      <c r="F41" s="24"/>
      <c r="G41" s="25" t="str">
        <f t="shared" si="2"/>
        <v/>
      </c>
      <c r="H41" s="26"/>
      <c r="I41" s="27"/>
      <c r="J41" s="28" t="str">
        <f t="shared" si="0"/>
        <v/>
      </c>
      <c r="K41" s="29"/>
      <c r="L41" s="30" t="str">
        <f t="shared" si="3"/>
        <v/>
      </c>
      <c r="M41" s="31" t="str">
        <f t="shared" si="1"/>
        <v/>
      </c>
      <c r="N41" s="23"/>
      <c r="O41" s="23"/>
      <c r="P41" s="23"/>
    </row>
    <row r="42" spans="1:16" ht="16.5" customHeight="1" x14ac:dyDescent="0.25">
      <c r="A42" s="22"/>
      <c r="B42" s="23"/>
      <c r="C42" s="23"/>
      <c r="D42" s="23"/>
      <c r="E42" s="23"/>
      <c r="F42" s="24"/>
      <c r="G42" s="25" t="str">
        <f t="shared" si="2"/>
        <v/>
      </c>
      <c r="H42" s="26"/>
      <c r="I42" s="27"/>
      <c r="J42" s="28" t="str">
        <f t="shared" si="0"/>
        <v/>
      </c>
      <c r="K42" s="29"/>
      <c r="L42" s="30" t="str">
        <f t="shared" si="3"/>
        <v/>
      </c>
      <c r="M42" s="31" t="str">
        <f t="shared" si="1"/>
        <v/>
      </c>
      <c r="N42" s="23"/>
      <c r="O42" s="23"/>
      <c r="P42" s="23"/>
    </row>
    <row r="43" spans="1:16" ht="16.5" customHeight="1" x14ac:dyDescent="0.25">
      <c r="A43" s="22"/>
      <c r="B43" s="23"/>
      <c r="C43" s="23"/>
      <c r="D43" s="23"/>
      <c r="E43" s="23"/>
      <c r="F43" s="24"/>
      <c r="G43" s="25" t="str">
        <f t="shared" si="2"/>
        <v/>
      </c>
      <c r="H43" s="26"/>
      <c r="I43" s="27"/>
      <c r="J43" s="28" t="str">
        <f t="shared" si="0"/>
        <v/>
      </c>
      <c r="K43" s="29"/>
      <c r="L43" s="30" t="str">
        <f t="shared" si="3"/>
        <v/>
      </c>
      <c r="M43" s="31" t="str">
        <f t="shared" si="1"/>
        <v/>
      </c>
      <c r="N43" s="23"/>
      <c r="O43" s="23"/>
      <c r="P43" s="23"/>
    </row>
    <row r="44" spans="1:16" ht="16.5" customHeight="1" x14ac:dyDescent="0.25">
      <c r="A44" s="22"/>
      <c r="B44" s="23"/>
      <c r="C44" s="23"/>
      <c r="D44" s="23"/>
      <c r="E44" s="23"/>
      <c r="F44" s="24"/>
      <c r="G44" s="25" t="str">
        <f t="shared" si="2"/>
        <v/>
      </c>
      <c r="H44" s="26"/>
      <c r="I44" s="27"/>
      <c r="J44" s="28" t="str">
        <f t="shared" si="0"/>
        <v/>
      </c>
      <c r="K44" s="29"/>
      <c r="L44" s="30" t="str">
        <f t="shared" si="3"/>
        <v/>
      </c>
      <c r="M44" s="31" t="str">
        <f t="shared" si="1"/>
        <v/>
      </c>
      <c r="N44" s="23"/>
      <c r="O44" s="23"/>
      <c r="P44" s="23"/>
    </row>
    <row r="45" spans="1:16" ht="16.5" customHeight="1" x14ac:dyDescent="0.25">
      <c r="A45" s="22"/>
      <c r="B45" s="23"/>
      <c r="C45" s="23"/>
      <c r="D45" s="23"/>
      <c r="E45" s="23"/>
      <c r="F45" s="24"/>
      <c r="G45" s="25" t="str">
        <f t="shared" si="2"/>
        <v/>
      </c>
      <c r="H45" s="26"/>
      <c r="I45" s="27"/>
      <c r="J45" s="28" t="str">
        <f t="shared" si="0"/>
        <v/>
      </c>
      <c r="K45" s="29"/>
      <c r="L45" s="30" t="str">
        <f t="shared" si="3"/>
        <v/>
      </c>
      <c r="M45" s="31" t="str">
        <f t="shared" si="1"/>
        <v/>
      </c>
      <c r="N45" s="23"/>
      <c r="O45" s="23"/>
      <c r="P45" s="23"/>
    </row>
    <row r="46" spans="1:16" ht="16.5" customHeight="1" x14ac:dyDescent="0.25">
      <c r="A46" s="22"/>
      <c r="B46" s="23"/>
      <c r="C46" s="23"/>
      <c r="D46" s="23"/>
      <c r="E46" s="23"/>
      <c r="F46" s="24"/>
      <c r="G46" s="25" t="str">
        <f t="shared" si="2"/>
        <v/>
      </c>
      <c r="H46" s="26"/>
      <c r="I46" s="27"/>
      <c r="J46" s="28" t="str">
        <f t="shared" si="0"/>
        <v/>
      </c>
      <c r="K46" s="29"/>
      <c r="L46" s="30" t="str">
        <f t="shared" si="3"/>
        <v/>
      </c>
      <c r="M46" s="31" t="str">
        <f t="shared" si="1"/>
        <v/>
      </c>
      <c r="N46" s="23"/>
      <c r="O46" s="23"/>
      <c r="P46" s="23"/>
    </row>
    <row r="47" spans="1:16" ht="16.5" customHeight="1" x14ac:dyDescent="0.25">
      <c r="A47" s="22"/>
      <c r="B47" s="23"/>
      <c r="C47" s="23"/>
      <c r="D47" s="23"/>
      <c r="E47" s="23"/>
      <c r="F47" s="24"/>
      <c r="G47" s="25" t="str">
        <f t="shared" si="2"/>
        <v/>
      </c>
      <c r="H47" s="26"/>
      <c r="I47" s="27"/>
      <c r="J47" s="28" t="str">
        <f t="shared" si="0"/>
        <v/>
      </c>
      <c r="K47" s="29"/>
      <c r="L47" s="30" t="str">
        <f t="shared" si="3"/>
        <v/>
      </c>
      <c r="M47" s="31" t="str">
        <f t="shared" si="1"/>
        <v/>
      </c>
      <c r="N47" s="23"/>
      <c r="O47" s="23"/>
      <c r="P47" s="23"/>
    </row>
    <row r="48" spans="1:16" ht="16.5" customHeight="1" x14ac:dyDescent="0.25">
      <c r="A48" s="22"/>
      <c r="B48" s="23"/>
      <c r="C48" s="23"/>
      <c r="D48" s="23"/>
      <c r="E48" s="23"/>
      <c r="F48" s="24"/>
      <c r="G48" s="25" t="str">
        <f t="shared" si="2"/>
        <v/>
      </c>
      <c r="H48" s="26"/>
      <c r="I48" s="27"/>
      <c r="J48" s="28" t="str">
        <f t="shared" si="0"/>
        <v/>
      </c>
      <c r="K48" s="29"/>
      <c r="L48" s="30" t="str">
        <f t="shared" si="3"/>
        <v/>
      </c>
      <c r="M48" s="31" t="str">
        <f t="shared" si="1"/>
        <v/>
      </c>
      <c r="N48" s="23"/>
      <c r="O48" s="23"/>
      <c r="P48" s="23"/>
    </row>
    <row r="49" spans="1:16" ht="16.5" customHeight="1" x14ac:dyDescent="0.25">
      <c r="A49" s="22"/>
      <c r="B49" s="23"/>
      <c r="C49" s="23"/>
      <c r="D49" s="23"/>
      <c r="E49" s="23"/>
      <c r="F49" s="24"/>
      <c r="G49" s="25" t="str">
        <f t="shared" si="2"/>
        <v/>
      </c>
      <c r="H49" s="26"/>
      <c r="I49" s="27"/>
      <c r="J49" s="28" t="str">
        <f t="shared" si="0"/>
        <v/>
      </c>
      <c r="K49" s="29"/>
      <c r="L49" s="30" t="str">
        <f t="shared" si="3"/>
        <v/>
      </c>
      <c r="M49" s="31" t="str">
        <f t="shared" si="1"/>
        <v/>
      </c>
      <c r="N49" s="23"/>
      <c r="O49" s="23"/>
      <c r="P49" s="23"/>
    </row>
    <row r="50" spans="1:16" ht="16.5" customHeight="1" x14ac:dyDescent="0.25">
      <c r="A50" s="22"/>
      <c r="B50" s="23"/>
      <c r="C50" s="23"/>
      <c r="D50" s="23"/>
      <c r="E50" s="23"/>
      <c r="F50" s="24"/>
      <c r="G50" s="25" t="str">
        <f t="shared" si="2"/>
        <v/>
      </c>
      <c r="H50" s="26"/>
      <c r="I50" s="27"/>
      <c r="J50" s="28" t="str">
        <f t="shared" si="0"/>
        <v/>
      </c>
      <c r="K50" s="29"/>
      <c r="L50" s="30" t="str">
        <f t="shared" si="3"/>
        <v/>
      </c>
      <c r="M50" s="31" t="str">
        <f t="shared" si="1"/>
        <v/>
      </c>
      <c r="N50" s="23"/>
      <c r="O50" s="23"/>
      <c r="P50" s="23"/>
    </row>
    <row r="51" spans="1:16" ht="16.5" customHeight="1" x14ac:dyDescent="0.25">
      <c r="A51" s="22"/>
      <c r="B51" s="23"/>
      <c r="C51" s="23"/>
      <c r="D51" s="23"/>
      <c r="E51" s="23"/>
      <c r="F51" s="24"/>
      <c r="G51" s="25" t="str">
        <f t="shared" si="2"/>
        <v/>
      </c>
      <c r="H51" s="26"/>
      <c r="I51" s="27"/>
      <c r="J51" s="28" t="str">
        <f t="shared" si="0"/>
        <v/>
      </c>
      <c r="K51" s="29"/>
      <c r="L51" s="30" t="str">
        <f t="shared" si="3"/>
        <v/>
      </c>
      <c r="M51" s="31" t="str">
        <f t="shared" si="1"/>
        <v/>
      </c>
      <c r="N51" s="23"/>
      <c r="O51" s="23"/>
      <c r="P51" s="23"/>
    </row>
    <row r="52" spans="1:16" ht="16.5" customHeight="1" x14ac:dyDescent="0.25">
      <c r="A52" s="22"/>
      <c r="B52" s="23"/>
      <c r="C52" s="23"/>
      <c r="D52" s="23"/>
      <c r="E52" s="23"/>
      <c r="F52" s="24"/>
      <c r="G52" s="25" t="str">
        <f t="shared" si="2"/>
        <v/>
      </c>
      <c r="H52" s="26"/>
      <c r="I52" s="27"/>
      <c r="J52" s="28" t="str">
        <f t="shared" si="0"/>
        <v/>
      </c>
      <c r="K52" s="29"/>
      <c r="L52" s="30" t="str">
        <f t="shared" si="3"/>
        <v/>
      </c>
      <c r="M52" s="31" t="str">
        <f t="shared" si="1"/>
        <v/>
      </c>
      <c r="N52" s="23"/>
      <c r="O52" s="23"/>
      <c r="P52" s="23"/>
    </row>
    <row r="53" spans="1:16" ht="16.5" customHeight="1" x14ac:dyDescent="0.25">
      <c r="A53" s="22"/>
      <c r="B53" s="23"/>
      <c r="C53" s="23"/>
      <c r="D53" s="23"/>
      <c r="E53" s="23"/>
      <c r="F53" s="24"/>
      <c r="G53" s="25" t="str">
        <f t="shared" si="2"/>
        <v/>
      </c>
      <c r="H53" s="26"/>
      <c r="I53" s="27"/>
      <c r="J53" s="28" t="str">
        <f t="shared" si="0"/>
        <v/>
      </c>
      <c r="K53" s="29"/>
      <c r="L53" s="30" t="str">
        <f t="shared" si="3"/>
        <v/>
      </c>
      <c r="M53" s="31" t="str">
        <f t="shared" si="1"/>
        <v/>
      </c>
      <c r="N53" s="23"/>
      <c r="O53" s="23"/>
      <c r="P53" s="23"/>
    </row>
    <row r="54" spans="1:16" ht="16.5" customHeight="1" x14ac:dyDescent="0.25">
      <c r="A54" s="22"/>
      <c r="B54" s="23"/>
      <c r="C54" s="23"/>
      <c r="D54" s="23"/>
      <c r="E54" s="23"/>
      <c r="F54" s="24"/>
      <c r="G54" s="25" t="str">
        <f t="shared" si="2"/>
        <v/>
      </c>
      <c r="H54" s="26"/>
      <c r="I54" s="27"/>
      <c r="J54" s="28" t="str">
        <f t="shared" si="0"/>
        <v/>
      </c>
      <c r="K54" s="29"/>
      <c r="L54" s="30" t="str">
        <f t="shared" si="3"/>
        <v/>
      </c>
      <c r="M54" s="31" t="str">
        <f t="shared" si="1"/>
        <v/>
      </c>
      <c r="N54" s="23"/>
      <c r="O54" s="23"/>
      <c r="P54" s="23"/>
    </row>
    <row r="55" spans="1:16" ht="21.75" customHeight="1" x14ac:dyDescent="0.25">
      <c r="A55" s="54" t="s">
        <v>93</v>
      </c>
      <c r="B55" s="54"/>
      <c r="C55" s="54"/>
      <c r="D55" s="54"/>
      <c r="E55" s="54"/>
      <c r="F55" s="54"/>
      <c r="G55" s="32">
        <f>SUM($G$15:$G$54)</f>
        <v>12040</v>
      </c>
      <c r="H55" s="33">
        <f>ROUND(SUM($H$15:$H$54),2)</f>
        <v>824.4</v>
      </c>
      <c r="I55" s="34">
        <f>IF($H$55=0,"",ROUND($J$55/$H$55,3))</f>
        <v>1.778</v>
      </c>
      <c r="J55" s="35">
        <f>ROUND(SUM($J$15:$J$54),2)</f>
        <v>1466.18</v>
      </c>
      <c r="K55" s="36"/>
      <c r="L55" s="37">
        <f>IF($G$55=0,"",ROUND($H$55/$G$55*100,2))</f>
        <v>6.85</v>
      </c>
      <c r="M55" s="35">
        <f>IF($G$55=0,"",ROUND($J$55/$G$55*100,2))</f>
        <v>12.18</v>
      </c>
      <c r="N55" s="38" t="str">
        <f>COUNT($A$15:$A$54)&amp;" Belege"</f>
        <v>17 Belege</v>
      </c>
      <c r="O55" s="36"/>
      <c r="P55" s="36"/>
    </row>
    <row r="58" spans="1:16" ht="19.5" customHeight="1" x14ac:dyDescent="0.25">
      <c r="A58" s="55" t="s">
        <v>94</v>
      </c>
      <c r="B58" s="55"/>
      <c r="C58" s="55"/>
      <c r="D58" s="55"/>
      <c r="E58" s="55"/>
      <c r="F58" s="55"/>
      <c r="G58" s="55"/>
    </row>
    <row r="59" spans="1:16" ht="25.5" customHeight="1" x14ac:dyDescent="0.25">
      <c r="A59" s="21" t="s">
        <v>95</v>
      </c>
      <c r="B59" s="21" t="s">
        <v>96</v>
      </c>
      <c r="C59" s="21" t="s">
        <v>36</v>
      </c>
      <c r="D59" s="21" t="s">
        <v>35</v>
      </c>
      <c r="E59" s="21" t="s">
        <v>97</v>
      </c>
      <c r="F59" s="21" t="s">
        <v>98</v>
      </c>
      <c r="G59" s="21" t="s">
        <v>99</v>
      </c>
    </row>
    <row r="60" spans="1:16" ht="16.5" customHeight="1" x14ac:dyDescent="0.25">
      <c r="A60" s="23" t="s">
        <v>100</v>
      </c>
      <c r="B60" s="39">
        <f>COUNTIFS($A$15:$A$54,"&gt;="&amp;DATE($G$6,1,1),$A$15:$A$54,"&lt;="&amp;DATE($G$6,1+1,0))</f>
        <v>2</v>
      </c>
      <c r="C60" s="40">
        <f>ROUND(SUMIFS($H$15:$H$54,$A$15:$A$54,"&gt;="&amp;DATE($G$6,1,1),$A$15:$A$54,"&lt;="&amp;DATE($G$6,1+1,0)),2)</f>
        <v>96.9</v>
      </c>
      <c r="D60" s="41">
        <f>SUMIFS($G$15:$G$54,$A$15:$A$54,"&gt;="&amp;DATE($G$6,1,1),$A$15:$A$54,"&lt;="&amp;DATE($G$6,1+1,0))</f>
        <v>1410</v>
      </c>
      <c r="E60" s="42">
        <f>ROUND(SUMIFS($J$15:$J$54,$A$15:$A$54,"&gt;="&amp;DATE($G$6,1,1),$A$15:$A$54,"&lt;="&amp;DATE($G$6,1+1,0)),2)</f>
        <v>170.48</v>
      </c>
      <c r="F60" s="43">
        <f t="shared" ref="F60:F72" si="4">IF($D60=0,"",ROUND($C60/$D60*100,2))</f>
        <v>6.87</v>
      </c>
      <c r="G60" s="44">
        <f t="shared" ref="G60:G72" si="5">IF($D60=0,"",ROUND($E60/$D60*100,2))</f>
        <v>12.09</v>
      </c>
    </row>
    <row r="61" spans="1:16" ht="16.5" customHeight="1" x14ac:dyDescent="0.25">
      <c r="A61" s="23" t="s">
        <v>101</v>
      </c>
      <c r="B61" s="39">
        <f>COUNTIFS($A$15:$A$54,"&gt;="&amp;DATE($G$6,2,1),$A$15:$A$54,"&lt;="&amp;DATE($G$6,2+1,0))</f>
        <v>3</v>
      </c>
      <c r="C61" s="40">
        <f>ROUND(SUMIFS($H$15:$H$54,$A$15:$A$54,"&gt;="&amp;DATE($G$6,2,1),$A$15:$A$54,"&lt;="&amp;DATE($G$6,2+1,0)),2)</f>
        <v>146.69999999999999</v>
      </c>
      <c r="D61" s="41">
        <f>SUMIFS($G$15:$G$54,$A$15:$A$54,"&gt;="&amp;DATE($G$6,2,1),$A$15:$A$54,"&lt;="&amp;DATE($G$6,2+1,0))</f>
        <v>2140</v>
      </c>
      <c r="E61" s="42">
        <f>ROUND(SUMIFS($J$15:$J$54,$A$15:$A$54,"&gt;="&amp;DATE($G$6,2,1),$A$15:$A$54,"&lt;="&amp;DATE($G$6,2+1,0)),2)</f>
        <v>270.10000000000002</v>
      </c>
      <c r="F61" s="43">
        <f t="shared" si="4"/>
        <v>6.86</v>
      </c>
      <c r="G61" s="44">
        <f t="shared" si="5"/>
        <v>12.62</v>
      </c>
    </row>
    <row r="62" spans="1:16" ht="16.5" customHeight="1" x14ac:dyDescent="0.25">
      <c r="A62" s="23" t="s">
        <v>102</v>
      </c>
      <c r="B62" s="39">
        <f>COUNTIFS($A$15:$A$54,"&gt;="&amp;DATE($G$6,3,1),$A$15:$A$54,"&lt;="&amp;DATE($G$6,3+1,0))</f>
        <v>3</v>
      </c>
      <c r="C62" s="40">
        <f>ROUND(SUMIFS($H$15:$H$54,$A$15:$A$54,"&gt;="&amp;DATE($G$6,3,1),$A$15:$A$54,"&lt;="&amp;DATE($G$6,3+1,0)),2)</f>
        <v>125.4</v>
      </c>
      <c r="D62" s="41">
        <f>SUMIFS($G$15:$G$54,$A$15:$A$54,"&gt;="&amp;DATE($G$6,3,1),$A$15:$A$54,"&lt;="&amp;DATE($G$6,3+1,0))</f>
        <v>2090</v>
      </c>
      <c r="E62" s="42">
        <f>ROUND(SUMIFS($J$15:$J$54,$A$15:$A$54,"&gt;="&amp;DATE($G$6,3,1),$A$15:$A$54,"&lt;="&amp;DATE($G$6,3+1,0)),2)</f>
        <v>217.01</v>
      </c>
      <c r="F62" s="43">
        <f t="shared" si="4"/>
        <v>6</v>
      </c>
      <c r="G62" s="44">
        <f t="shared" si="5"/>
        <v>10.38</v>
      </c>
    </row>
    <row r="63" spans="1:16" ht="16.5" customHeight="1" x14ac:dyDescent="0.25">
      <c r="A63" s="23" t="s">
        <v>103</v>
      </c>
      <c r="B63" s="39">
        <f>COUNTIFS($A$15:$A$54,"&gt;="&amp;DATE($G$6,4,1),$A$15:$A$54,"&lt;="&amp;DATE($G$6,4+1,0))</f>
        <v>2</v>
      </c>
      <c r="C63" s="40">
        <f>ROUND(SUMIFS($H$15:$H$54,$A$15:$A$54,"&gt;="&amp;DATE($G$6,4,1),$A$15:$A$54,"&lt;="&amp;DATE($G$6,4+1,0)),2)</f>
        <v>115.4</v>
      </c>
      <c r="D63" s="41">
        <f>SUMIFS($G$15:$G$54,$A$15:$A$54,"&gt;="&amp;DATE($G$6,4,1),$A$15:$A$54,"&lt;="&amp;DATE($G$6,4+1,0))</f>
        <v>1450</v>
      </c>
      <c r="E63" s="42">
        <f>ROUND(SUMIFS($J$15:$J$54,$A$15:$A$54,"&gt;="&amp;DATE($G$6,4,1),$A$15:$A$54,"&lt;="&amp;DATE($G$6,4+1,0)),2)</f>
        <v>205.97</v>
      </c>
      <c r="F63" s="43">
        <f t="shared" si="4"/>
        <v>7.96</v>
      </c>
      <c r="G63" s="44">
        <f t="shared" si="5"/>
        <v>14.2</v>
      </c>
    </row>
    <row r="64" spans="1:16" ht="16.5" customHeight="1" x14ac:dyDescent="0.25">
      <c r="A64" s="23" t="s">
        <v>104</v>
      </c>
      <c r="B64" s="39">
        <f>COUNTIFS($A$15:$A$54,"&gt;="&amp;DATE($G$6,5,1),$A$15:$A$54,"&lt;="&amp;DATE($G$6,5+1,0))</f>
        <v>3</v>
      </c>
      <c r="C64" s="40">
        <f>ROUND(SUMIFS($H$15:$H$54,$A$15:$A$54,"&gt;="&amp;DATE($G$6,5,1),$A$15:$A$54,"&lt;="&amp;DATE($G$6,5+1,0)),2)</f>
        <v>149</v>
      </c>
      <c r="D64" s="41">
        <f>SUMIFS($G$15:$G$54,$A$15:$A$54,"&gt;="&amp;DATE($G$6,5,1),$A$15:$A$54,"&lt;="&amp;DATE($G$6,5+1,0))</f>
        <v>2170</v>
      </c>
      <c r="E64" s="42">
        <f>ROUND(SUMIFS($J$15:$J$54,$A$15:$A$54,"&gt;="&amp;DATE($G$6,5,1),$A$15:$A$54,"&lt;="&amp;DATE($G$6,5+1,0)),2)</f>
        <v>267.54000000000002</v>
      </c>
      <c r="F64" s="43">
        <f t="shared" si="4"/>
        <v>6.87</v>
      </c>
      <c r="G64" s="44">
        <f t="shared" si="5"/>
        <v>12.33</v>
      </c>
    </row>
    <row r="65" spans="1:16" ht="16.5" customHeight="1" x14ac:dyDescent="0.25">
      <c r="A65" s="23" t="s">
        <v>105</v>
      </c>
      <c r="B65" s="39">
        <f>COUNTIFS($A$15:$A$54,"&gt;="&amp;DATE($G$6,6,1),$A$15:$A$54,"&lt;="&amp;DATE($G$6,6+1,0))</f>
        <v>3</v>
      </c>
      <c r="C65" s="40">
        <f>ROUND(SUMIFS($H$15:$H$54,$A$15:$A$54,"&gt;="&amp;DATE($G$6,6,1),$A$15:$A$54,"&lt;="&amp;DATE($G$6,6+1,0)),2)</f>
        <v>145.4</v>
      </c>
      <c r="D65" s="41">
        <f>SUMIFS($G$15:$G$54,$A$15:$A$54,"&gt;="&amp;DATE($G$6,6,1),$A$15:$A$54,"&lt;="&amp;DATE($G$6,6+1,0))</f>
        <v>2120</v>
      </c>
      <c r="E65" s="42">
        <f>ROUND(SUMIFS($J$15:$J$54,$A$15:$A$54,"&gt;="&amp;DATE($G$6,6,1),$A$15:$A$54,"&lt;="&amp;DATE($G$6,6+1,0)),2)</f>
        <v>255.33</v>
      </c>
      <c r="F65" s="43">
        <f t="shared" si="4"/>
        <v>6.86</v>
      </c>
      <c r="G65" s="44">
        <f t="shared" si="5"/>
        <v>12.04</v>
      </c>
    </row>
    <row r="66" spans="1:16" ht="16.5" customHeight="1" x14ac:dyDescent="0.25">
      <c r="A66" s="23" t="s">
        <v>106</v>
      </c>
      <c r="B66" s="39">
        <f>COUNTIFS($A$15:$A$54,"&gt;="&amp;DATE($G$6,7,1),$A$15:$A$54,"&lt;="&amp;DATE($G$6,7+1,0))</f>
        <v>1</v>
      </c>
      <c r="C66" s="40">
        <f>ROUND(SUMIFS($H$15:$H$54,$A$15:$A$54,"&gt;="&amp;DATE($G$6,7,1),$A$15:$A$54,"&lt;="&amp;DATE($G$6,7+1,0)),2)</f>
        <v>45.6</v>
      </c>
      <c r="D66" s="41">
        <f>SUMIFS($G$15:$G$54,$A$15:$A$54,"&gt;="&amp;DATE($G$6,7,1),$A$15:$A$54,"&lt;="&amp;DATE($G$6,7+1,0))</f>
        <v>660</v>
      </c>
      <c r="E66" s="42">
        <f>ROUND(SUMIFS($J$15:$J$54,$A$15:$A$54,"&gt;="&amp;DATE($G$6,7,1),$A$15:$A$54,"&lt;="&amp;DATE($G$6,7+1,0)),2)</f>
        <v>79.75</v>
      </c>
      <c r="F66" s="43">
        <f t="shared" si="4"/>
        <v>6.91</v>
      </c>
      <c r="G66" s="44">
        <f t="shared" si="5"/>
        <v>12.08</v>
      </c>
    </row>
    <row r="67" spans="1:16" ht="16.5" customHeight="1" x14ac:dyDescent="0.25">
      <c r="A67" s="23" t="s">
        <v>107</v>
      </c>
      <c r="B67" s="39">
        <f>COUNTIFS($A$15:$A$54,"&gt;="&amp;DATE($G$6,8,1),$A$15:$A$54,"&lt;="&amp;DATE($G$6,8+1,0))</f>
        <v>0</v>
      </c>
      <c r="C67" s="40">
        <f>ROUND(SUMIFS($H$15:$H$54,$A$15:$A$54,"&gt;="&amp;DATE($G$6,8,1),$A$15:$A$54,"&lt;="&amp;DATE($G$6,8+1,0)),2)</f>
        <v>0</v>
      </c>
      <c r="D67" s="41">
        <f>SUMIFS($G$15:$G$54,$A$15:$A$54,"&gt;="&amp;DATE($G$6,8,1),$A$15:$A$54,"&lt;="&amp;DATE($G$6,8+1,0))</f>
        <v>0</v>
      </c>
      <c r="E67" s="42">
        <f>ROUND(SUMIFS($J$15:$J$54,$A$15:$A$54,"&gt;="&amp;DATE($G$6,8,1),$A$15:$A$54,"&lt;="&amp;DATE($G$6,8+1,0)),2)</f>
        <v>0</v>
      </c>
      <c r="F67" s="43" t="str">
        <f t="shared" si="4"/>
        <v/>
      </c>
      <c r="G67" s="44" t="str">
        <f t="shared" si="5"/>
        <v/>
      </c>
    </row>
    <row r="68" spans="1:16" ht="16.5" customHeight="1" x14ac:dyDescent="0.25">
      <c r="A68" s="23" t="s">
        <v>108</v>
      </c>
      <c r="B68" s="39">
        <f>COUNTIFS($A$15:$A$54,"&gt;="&amp;DATE($G$6,9,1),$A$15:$A$54,"&lt;="&amp;DATE($G$6,9+1,0))</f>
        <v>0</v>
      </c>
      <c r="C68" s="40">
        <f>ROUND(SUMIFS($H$15:$H$54,$A$15:$A$54,"&gt;="&amp;DATE($G$6,9,1),$A$15:$A$54,"&lt;="&amp;DATE($G$6,9+1,0)),2)</f>
        <v>0</v>
      </c>
      <c r="D68" s="41">
        <f>SUMIFS($G$15:$G$54,$A$15:$A$54,"&gt;="&amp;DATE($G$6,9,1),$A$15:$A$54,"&lt;="&amp;DATE($G$6,9+1,0))</f>
        <v>0</v>
      </c>
      <c r="E68" s="42">
        <f>ROUND(SUMIFS($J$15:$J$54,$A$15:$A$54,"&gt;="&amp;DATE($G$6,9,1),$A$15:$A$54,"&lt;="&amp;DATE($G$6,9+1,0)),2)</f>
        <v>0</v>
      </c>
      <c r="F68" s="43" t="str">
        <f t="shared" si="4"/>
        <v/>
      </c>
      <c r="G68" s="44" t="str">
        <f t="shared" si="5"/>
        <v/>
      </c>
    </row>
    <row r="69" spans="1:16" ht="16.5" customHeight="1" x14ac:dyDescent="0.25">
      <c r="A69" s="23" t="s">
        <v>109</v>
      </c>
      <c r="B69" s="39">
        <f>COUNTIFS($A$15:$A$54,"&gt;="&amp;DATE($G$6,10,1),$A$15:$A$54,"&lt;="&amp;DATE($G$6,10+1,0))</f>
        <v>0</v>
      </c>
      <c r="C69" s="40">
        <f>ROUND(SUMIFS($H$15:$H$54,$A$15:$A$54,"&gt;="&amp;DATE($G$6,10,1),$A$15:$A$54,"&lt;="&amp;DATE($G$6,10+1,0)),2)</f>
        <v>0</v>
      </c>
      <c r="D69" s="41">
        <f>SUMIFS($G$15:$G$54,$A$15:$A$54,"&gt;="&amp;DATE($G$6,10,1),$A$15:$A$54,"&lt;="&amp;DATE($G$6,10+1,0))</f>
        <v>0</v>
      </c>
      <c r="E69" s="42">
        <f>ROUND(SUMIFS($J$15:$J$54,$A$15:$A$54,"&gt;="&amp;DATE($G$6,10,1),$A$15:$A$54,"&lt;="&amp;DATE($G$6,10+1,0)),2)</f>
        <v>0</v>
      </c>
      <c r="F69" s="43" t="str">
        <f t="shared" si="4"/>
        <v/>
      </c>
      <c r="G69" s="44" t="str">
        <f t="shared" si="5"/>
        <v/>
      </c>
    </row>
    <row r="70" spans="1:16" ht="16.5" customHeight="1" x14ac:dyDescent="0.25">
      <c r="A70" s="23" t="s">
        <v>110</v>
      </c>
      <c r="B70" s="39">
        <f>COUNTIFS($A$15:$A$54,"&gt;="&amp;DATE($G$6,11,1),$A$15:$A$54,"&lt;="&amp;DATE($G$6,11+1,0))</f>
        <v>0</v>
      </c>
      <c r="C70" s="40">
        <f>ROUND(SUMIFS($H$15:$H$54,$A$15:$A$54,"&gt;="&amp;DATE($G$6,11,1),$A$15:$A$54,"&lt;="&amp;DATE($G$6,11+1,0)),2)</f>
        <v>0</v>
      </c>
      <c r="D70" s="41">
        <f>SUMIFS($G$15:$G$54,$A$15:$A$54,"&gt;="&amp;DATE($G$6,11,1),$A$15:$A$54,"&lt;="&amp;DATE($G$6,11+1,0))</f>
        <v>0</v>
      </c>
      <c r="E70" s="42">
        <f>ROUND(SUMIFS($J$15:$J$54,$A$15:$A$54,"&gt;="&amp;DATE($G$6,11,1),$A$15:$A$54,"&lt;="&amp;DATE($G$6,11+1,0)),2)</f>
        <v>0</v>
      </c>
      <c r="F70" s="43" t="str">
        <f t="shared" si="4"/>
        <v/>
      </c>
      <c r="G70" s="44" t="str">
        <f t="shared" si="5"/>
        <v/>
      </c>
    </row>
    <row r="71" spans="1:16" ht="16.5" customHeight="1" x14ac:dyDescent="0.25">
      <c r="A71" s="23" t="s">
        <v>111</v>
      </c>
      <c r="B71" s="39">
        <f>COUNTIFS($A$15:$A$54,"&gt;="&amp;DATE($G$6,12,1),$A$15:$A$54,"&lt;="&amp;DATE($G$6,12+1,0))</f>
        <v>0</v>
      </c>
      <c r="C71" s="40">
        <f>ROUND(SUMIFS($H$15:$H$54,$A$15:$A$54,"&gt;="&amp;DATE($G$6,12,1),$A$15:$A$54,"&lt;="&amp;DATE($G$6,12+1,0)),2)</f>
        <v>0</v>
      </c>
      <c r="D71" s="41">
        <f>SUMIFS($G$15:$G$54,$A$15:$A$54,"&gt;="&amp;DATE($G$6,12,1),$A$15:$A$54,"&lt;="&amp;DATE($G$6,12+1,0))</f>
        <v>0</v>
      </c>
      <c r="E71" s="42">
        <f>ROUND(SUMIFS($J$15:$J$54,$A$15:$A$54,"&gt;="&amp;DATE($G$6,12,1),$A$15:$A$54,"&lt;="&amp;DATE($G$6,12+1,0)),2)</f>
        <v>0</v>
      </c>
      <c r="F71" s="43" t="str">
        <f t="shared" si="4"/>
        <v/>
      </c>
      <c r="G71" s="44" t="str">
        <f t="shared" si="5"/>
        <v/>
      </c>
    </row>
    <row r="72" spans="1:16" ht="19.5" customHeight="1" x14ac:dyDescent="0.25">
      <c r="A72" s="45" t="s">
        <v>112</v>
      </c>
      <c r="B72" s="46">
        <f>SUM($B$60:$B$71)</f>
        <v>17</v>
      </c>
      <c r="C72" s="33">
        <f>ROUND(SUM($C$60:$C$71),2)</f>
        <v>824.4</v>
      </c>
      <c r="D72" s="32">
        <f>SUM($D$60:$D$71)</f>
        <v>12040</v>
      </c>
      <c r="E72" s="35">
        <f>ROUND(SUM($E$60:$E$71),2)</f>
        <v>1466.18</v>
      </c>
      <c r="F72" s="37">
        <f t="shared" si="4"/>
        <v>6.85</v>
      </c>
      <c r="G72" s="35">
        <f t="shared" si="5"/>
        <v>12.18</v>
      </c>
    </row>
    <row r="74" spans="1:16" x14ac:dyDescent="0.25">
      <c r="A74" s="53" t="s">
        <v>113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</row>
  </sheetData>
  <mergeCells count="35">
    <mergeCell ref="A58:G58"/>
    <mergeCell ref="A74:P74"/>
    <mergeCell ref="O10:P10"/>
    <mergeCell ref="C11:D11"/>
    <mergeCell ref="E11:F11"/>
    <mergeCell ref="A13:P13"/>
    <mergeCell ref="A55:F55"/>
    <mergeCell ref="C10:D10"/>
    <mergeCell ref="E10:F10"/>
    <mergeCell ref="I10:J10"/>
    <mergeCell ref="K10:L10"/>
    <mergeCell ref="M10:N10"/>
    <mergeCell ref="O7:P7"/>
    <mergeCell ref="C8:D8"/>
    <mergeCell ref="E8:F8"/>
    <mergeCell ref="C9:D9"/>
    <mergeCell ref="E9:F9"/>
    <mergeCell ref="I9:J9"/>
    <mergeCell ref="K9:L9"/>
    <mergeCell ref="M9:N9"/>
    <mergeCell ref="O9:P9"/>
    <mergeCell ref="C7:D7"/>
    <mergeCell ref="E7:F7"/>
    <mergeCell ref="I7:J7"/>
    <mergeCell ref="K7:L7"/>
    <mergeCell ref="M7:N7"/>
    <mergeCell ref="A2:H2"/>
    <mergeCell ref="K2:P3"/>
    <mergeCell ref="A3:H3"/>
    <mergeCell ref="C6:D6"/>
    <mergeCell ref="E6:F6"/>
    <mergeCell ref="I6:J6"/>
    <mergeCell ref="K6:L6"/>
    <mergeCell ref="M6:N6"/>
    <mergeCell ref="O6:P6"/>
  </mergeCells>
  <conditionalFormatting sqref="A15:P54">
    <cfRule type="expression" dxfId="3" priority="5">
      <formula>$K15="Nein"</formula>
    </cfRule>
  </conditionalFormatting>
  <conditionalFormatting sqref="L15:L54">
    <cfRule type="expression" dxfId="2" priority="3">
      <formula>AND($L15&lt;&gt;"",$L15&gt;$G$8*1.05)</formula>
    </cfRule>
    <cfRule type="expression" dxfId="1" priority="4">
      <formula>AND($L15&lt;&gt;"",$L15&lt;=$G$8)</formula>
    </cfRule>
  </conditionalFormatting>
  <conditionalFormatting sqref="O9:P9">
    <cfRule type="expression" dxfId="0" priority="2">
      <formula>$O$9&lt;=0</formula>
    </cfRule>
  </conditionalFormatting>
  <dataValidations count="1">
    <dataValidation type="decimal" operator="greaterThan" allowBlank="1" errorTitle="Ungültiger km-Stand" error="Bitte einen positiven Kilometerstand erfassen." sqref="F15:F54" xr:uid="{00000000-0002-0000-0000-000005000000}">
      <formula1>0</formula1>
      <formula2>0</formula2>
    </dataValidation>
  </dataValidations>
  <pageMargins left="0.35" right="0.35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0000000}">
          <x14:formula1>
            <xm:f>Stammdaten!$B$7:$B$15</xm:f>
          </x14:formula1>
          <x14:formula2>
            <xm:f>0</xm:f>
          </x14:formula2>
          <xm:sqref>E15:E54</xm:sqref>
        </x14:dataValidation>
        <x14:dataValidation type="list" allowBlank="1" xr:uid="{00000000-0002-0000-0000-000001000000}">
          <x14:formula1>
            <xm:f>Stammdaten!$D$7:$D$13</xm:f>
          </x14:formula1>
          <x14:formula2>
            <xm:f>0</xm:f>
          </x14:formula2>
          <xm:sqref>C15:C54</xm:sqref>
        </x14:dataValidation>
        <x14:dataValidation type="list" allowBlank="1" xr:uid="{00000000-0002-0000-0000-000002000000}">
          <x14:formula1>
            <xm:f>Stammdaten!$F$7:$F$11</xm:f>
          </x14:formula1>
          <x14:formula2>
            <xm:f>0</xm:f>
          </x14:formula2>
          <xm:sqref>O15:O54</xm:sqref>
        </x14:dataValidation>
        <x14:dataValidation type="list" allowBlank="1" xr:uid="{00000000-0002-0000-0000-000003000000}">
          <x14:formula1>
            <xm:f>Stammdaten!$H$7:$H$10</xm:f>
          </x14:formula1>
          <x14:formula2>
            <xm:f>0</xm:f>
          </x14:formula2>
          <xm:sqref>N15:N54</xm:sqref>
        </x14:dataValidation>
        <x14:dataValidation type="list" allowBlank="1" xr:uid="{00000000-0002-0000-0000-000004000000}">
          <x14:formula1>
            <xm:f>Stammdaten!$J$7:$J$8</xm:f>
          </x14:formula1>
          <x14:formula2>
            <xm:f>0</xm:f>
          </x14:formula2>
          <xm:sqref>K15:K54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9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0" customWidth="1"/>
    <col min="3" max="3" width="2" customWidth="1"/>
    <col min="4" max="4" width="30" customWidth="1"/>
    <col min="5" max="5" width="2" customWidth="1"/>
    <col min="6" max="6" width="22" customWidth="1"/>
    <col min="7" max="7" width="2" customWidth="1"/>
    <col min="8" max="8" width="20" customWidth="1"/>
    <col min="9" max="9" width="2" customWidth="1"/>
    <col min="10" max="10" width="14" customWidth="1"/>
  </cols>
  <sheetData>
    <row r="2" spans="2:10" ht="18.75" x14ac:dyDescent="0.3">
      <c r="B2" s="47" t="s">
        <v>114</v>
      </c>
    </row>
    <row r="3" spans="2:10" x14ac:dyDescent="0.25">
      <c r="B3" s="48" t="s">
        <v>115</v>
      </c>
    </row>
    <row r="4" spans="2:10" x14ac:dyDescent="0.25">
      <c r="B4" s="49"/>
      <c r="C4" s="49"/>
      <c r="D4" s="49"/>
      <c r="E4" s="49"/>
      <c r="F4" s="49"/>
      <c r="G4" s="49"/>
      <c r="H4" s="49"/>
      <c r="I4" s="49"/>
      <c r="J4" s="49"/>
    </row>
    <row r="6" spans="2:10" ht="19.5" customHeight="1" x14ac:dyDescent="0.25">
      <c r="B6" s="50" t="s">
        <v>16</v>
      </c>
      <c r="D6" s="50" t="s">
        <v>116</v>
      </c>
      <c r="F6" s="50" t="s">
        <v>117</v>
      </c>
      <c r="H6" s="50" t="s">
        <v>118</v>
      </c>
      <c r="J6" s="50" t="s">
        <v>119</v>
      </c>
    </row>
    <row r="7" spans="2:10" x14ac:dyDescent="0.25">
      <c r="B7" s="23" t="s">
        <v>17</v>
      </c>
      <c r="D7" s="23" t="s">
        <v>46</v>
      </c>
      <c r="F7" s="23" t="s">
        <v>50</v>
      </c>
      <c r="H7" s="23" t="s">
        <v>49</v>
      </c>
      <c r="J7" s="23" t="s">
        <v>48</v>
      </c>
    </row>
    <row r="8" spans="2:10" x14ac:dyDescent="0.25">
      <c r="B8" s="23" t="s">
        <v>65</v>
      </c>
      <c r="D8" s="23" t="s">
        <v>55</v>
      </c>
      <c r="F8" s="23" t="s">
        <v>58</v>
      </c>
      <c r="H8" s="23" t="s">
        <v>57</v>
      </c>
      <c r="J8" s="23" t="s">
        <v>75</v>
      </c>
    </row>
    <row r="9" spans="2:10" x14ac:dyDescent="0.25">
      <c r="B9" s="23" t="s">
        <v>120</v>
      </c>
      <c r="D9" s="23" t="s">
        <v>52</v>
      </c>
      <c r="F9" s="23" t="s">
        <v>82</v>
      </c>
      <c r="H9" s="23" t="s">
        <v>66</v>
      </c>
    </row>
    <row r="10" spans="2:10" x14ac:dyDescent="0.25">
      <c r="B10" s="23" t="s">
        <v>121</v>
      </c>
      <c r="D10" s="23" t="s">
        <v>61</v>
      </c>
      <c r="F10" s="23" t="s">
        <v>76</v>
      </c>
      <c r="H10" s="23" t="s">
        <v>84</v>
      </c>
    </row>
    <row r="11" spans="2:10" x14ac:dyDescent="0.25">
      <c r="B11" s="23" t="s">
        <v>122</v>
      </c>
      <c r="D11" s="23" t="s">
        <v>63</v>
      </c>
      <c r="F11" s="23" t="s">
        <v>70</v>
      </c>
    </row>
    <row r="12" spans="2:10" x14ac:dyDescent="0.25">
      <c r="B12" s="23" t="s">
        <v>123</v>
      </c>
      <c r="D12" s="23" t="s">
        <v>73</v>
      </c>
    </row>
    <row r="13" spans="2:10" x14ac:dyDescent="0.25">
      <c r="B13" s="23" t="s">
        <v>124</v>
      </c>
      <c r="D13" s="23" t="s">
        <v>69</v>
      </c>
    </row>
    <row r="14" spans="2:10" x14ac:dyDescent="0.25">
      <c r="B14" s="23" t="s">
        <v>125</v>
      </c>
    </row>
    <row r="15" spans="2:10" x14ac:dyDescent="0.25">
      <c r="B15" s="23" t="s">
        <v>126</v>
      </c>
    </row>
    <row r="22" spans="2:2" x14ac:dyDescent="0.25">
      <c r="B22" s="51" t="s">
        <v>127</v>
      </c>
    </row>
    <row r="23" spans="2:2" x14ac:dyDescent="0.25">
      <c r="B23" s="52" t="s">
        <v>128</v>
      </c>
    </row>
    <row r="24" spans="2:2" x14ac:dyDescent="0.25">
      <c r="B24" s="52" t="s">
        <v>129</v>
      </c>
    </row>
    <row r="25" spans="2:2" x14ac:dyDescent="0.25">
      <c r="B25" s="52" t="s">
        <v>130</v>
      </c>
    </row>
    <row r="26" spans="2:2" x14ac:dyDescent="0.25">
      <c r="B26" s="52" t="s">
        <v>131</v>
      </c>
    </row>
    <row r="27" spans="2:2" x14ac:dyDescent="0.25">
      <c r="B27" s="52" t="s">
        <v>132</v>
      </c>
    </row>
    <row r="28" spans="2:2" x14ac:dyDescent="0.25">
      <c r="B28" s="52" t="s">
        <v>133</v>
      </c>
    </row>
    <row r="29" spans="2:2" x14ac:dyDescent="0.25">
      <c r="B29" s="52" t="s">
        <v>134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Tankbuch</vt:lpstr>
      <vt:lpstr>Stammdaten</vt:lpstr>
      <vt:lpstr>Tankbuch!Druckbereich</vt:lpstr>
      <vt:lpstr>Tankbuch!Drucktitel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2026-07-13T06:24:17Z</dcterms:created>
  <dcterms:modified xsi:type="dcterms:W3CDTF">2026-07-13T09:15:05Z</dcterms:modified>
  <dc:language>en-US</dc:language>
</cp:coreProperties>
</file>