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Tankvorgänge" sheetId="2" state="visible" r:id="rId4"/>
    <sheet name="Monatsauswer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<sst xmlns="http://schemas.openxmlformats.org/spreadsheetml/2006/main" count="176" uniqueCount="94">
  <si>
    <t xml:space="preserve">TANKBUCH</t>
  </si>
  <si>
    <t xml:space="preserve">Fahrzeugstammdaten &amp; Auswertung · Geschäftsjahr 2026</t>
  </si>
  <si>
    <t xml:space="preserve">FAHRZEUGSTAMMDATEN</t>
  </si>
  <si>
    <t xml:space="preserve">Kennzeichen</t>
  </si>
  <si>
    <t xml:space="preserve">OL-MR 428</t>
  </si>
  <si>
    <t xml:space="preserve">Kraftstoffart</t>
  </si>
  <si>
    <t xml:space="preserve">Diesel</t>
  </si>
  <si>
    <t xml:space="preserve">Fahrzeugmarke</t>
  </si>
  <si>
    <t xml:space="preserve">Volkswagen</t>
  </si>
  <si>
    <t xml:space="preserve">Tankvolumen (L)</t>
  </si>
  <si>
    <t xml:space="preserve">Modell</t>
  </si>
  <si>
    <t xml:space="preserve">Passat Variant</t>
  </si>
  <si>
    <t xml:space="preserve">Herstellerangabe (L/100 km)</t>
  </si>
  <si>
    <t xml:space="preserve">Baujahr</t>
  </si>
  <si>
    <t xml:space="preserve">Motorleistung (kW)</t>
  </si>
  <si>
    <t xml:space="preserve">Erstzulassung</t>
  </si>
  <si>
    <t xml:space="preserve">Hubraum (cm³)</t>
  </si>
  <si>
    <t xml:space="preserve">Halter</t>
  </si>
  <si>
    <t xml:space="preserve">Michael Reinhardt</t>
  </si>
  <si>
    <t xml:space="preserve">Kilometerstand Start</t>
  </si>
  <si>
    <t xml:space="preserve">Kostenstelle</t>
  </si>
  <si>
    <t xml:space="preserve">KST-4210</t>
  </si>
  <si>
    <t xml:space="preserve">Nutzungsart</t>
  </si>
  <si>
    <t xml:space="preserve">Betrieblich</t>
  </si>
  <si>
    <t xml:space="preserve">KENNZAHLEN 2026</t>
  </si>
  <si>
    <t xml:space="preserve">Gesamt gefahrene km</t>
  </si>
  <si>
    <t xml:space="preserve">Gesamtkosten</t>
  </si>
  <si>
    <t xml:space="preserve">Getankte Menge</t>
  </si>
  <si>
    <t xml:space="preserve">Ø Preis pro Liter</t>
  </si>
  <si>
    <t xml:space="preserve">Ø Verbrauch (L/100 km)</t>
  </si>
  <si>
    <t xml:space="preserve">Kosten pro 100 km</t>
  </si>
  <si>
    <t xml:space="preserve">Anzahl Tankvorgänge</t>
  </si>
  <si>
    <t xml:space="preserve">Mehrverbrauch ggü. Herstellerangabe</t>
  </si>
  <si>
    <t xml:space="preserve">Hinweis: Alle Kennzahlen aktualisieren sich automatisch aus der Tabelle „Tankvorgänge“. Blau hinterlegte Zellen dienen der manuellen Eingabe.</t>
  </si>
  <si>
    <t xml:space="preserve">TANKVORGÄNGE</t>
  </si>
  <si>
    <t xml:space="preserve">Chronologische Erfassung aller Betankungen — Geschäftsjahr 2026</t>
  </si>
  <si>
    <t xml:space="preserve">Legende:</t>
  </si>
  <si>
    <t xml:space="preserve">Eingabefeld</t>
  </si>
  <si>
    <t xml:space="preserve">Automatische Berechnung</t>
  </si>
  <si>
    <t xml:space="preserve">Nr.</t>
  </si>
  <si>
    <t xml:space="preserve">Datum</t>
  </si>
  <si>
    <t xml:space="preserve">KM-Stand</t>
  </si>
  <si>
    <t xml:space="preserve">Gefahrene km</t>
  </si>
  <si>
    <t xml:space="preserve">Getankt (L)</t>
  </si>
  <si>
    <t xml:space="preserve">Preis / L (€)</t>
  </si>
  <si>
    <t xml:space="preserve">Gesamt (€)</t>
  </si>
  <si>
    <t xml:space="preserve">Volltankung</t>
  </si>
  <si>
    <t xml:space="preserve">Verbrauch (L/100 km)</t>
  </si>
  <si>
    <t xml:space="preserve">Tankstelle</t>
  </si>
  <si>
    <t xml:space="preserve">Ort</t>
  </si>
  <si>
    <t xml:space="preserve">Kraftstoff</t>
  </si>
  <si>
    <t xml:space="preserve">Notizen</t>
  </si>
  <si>
    <t xml:space="preserve">Ja</t>
  </si>
  <si>
    <t xml:space="preserve">Aral</t>
  </si>
  <si>
    <t xml:space="preserve">Bremen</t>
  </si>
  <si>
    <t xml:space="preserve">Nein</t>
  </si>
  <si>
    <t xml:space="preserve">Shell</t>
  </si>
  <si>
    <t xml:space="preserve">Oldenburg</t>
  </si>
  <si>
    <t xml:space="preserve">Zwischentankung Autobahn</t>
  </si>
  <si>
    <t xml:space="preserve">TotalEnergies</t>
  </si>
  <si>
    <t xml:space="preserve">Delmenhorst</t>
  </si>
  <si>
    <t xml:space="preserve">Hannover</t>
  </si>
  <si>
    <t xml:space="preserve">Dienstreise</t>
  </si>
  <si>
    <t xml:space="preserve">Esso</t>
  </si>
  <si>
    <t xml:space="preserve">Winterbetrieb</t>
  </si>
  <si>
    <t xml:space="preserve">Osnabrück</t>
  </si>
  <si>
    <t xml:space="preserve">Star</t>
  </si>
  <si>
    <t xml:space="preserve">Kundentermin</t>
  </si>
  <si>
    <t xml:space="preserve">HEM</t>
  </si>
  <si>
    <t xml:space="preserve">Sonderangebot</t>
  </si>
  <si>
    <t xml:space="preserve">Wilhelmshaven</t>
  </si>
  <si>
    <t xml:space="preserve">Teilbetankung</t>
  </si>
  <si>
    <t xml:space="preserve">Wartungsfahrt</t>
  </si>
  <si>
    <t xml:space="preserve">GESAMT</t>
  </si>
  <si>
    <t xml:space="preserve">Ø</t>
  </si>
  <si>
    <t xml:space="preserve">MONATSAUSWERTUNG</t>
  </si>
  <si>
    <t xml:space="preserve">Aggregierte Kennzahlen pro Kalendermonat — automatisch berechnet</t>
  </si>
  <si>
    <t xml:space="preserve">Monat</t>
  </si>
  <si>
    <t xml:space="preserve">Tankvorgänge</t>
  </si>
  <si>
    <t xml:space="preserve">Kosten (€)</t>
  </si>
  <si>
    <t xml:space="preserve">Ø Preis / L (€)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</si>
  <si>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</si>
  <si>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</si>
  <si>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</si>
  <si>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</si>
  <si>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</si>
  <si>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</si>
  <si>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</si>
  <si>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</si>
  <si>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</si>
  <si>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</si>
  <si>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</si>
  <si>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</si>
  <si>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GESAMTJAHR 2026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</si>
</sst>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&quot; L&quot;"/>
    <numFmt numFmtId="166" formatCode="0.0"/>
    <numFmt numFmtId="167" formatCode="#,##0&quot; kW&quot;"/>
    <numFmt numFmtId="168" formatCode="dd\.mm\.yyyy"/>
    <numFmt numFmtId="169" formatCode="#,##0&quot; cm³&quot;"/>
    <numFmt numFmtId="170" formatCode="#,##0&quot; km&quot;"/>
    <numFmt numFmtId="171" formatCode="#,##0.00&quot; €&quot;"/>
    <numFmt numFmtId="172" formatCode="#,##0.00&quot; L&quot;"/>
    <numFmt numFmtId="173" formatCode="#,##0.000&quot; €&quot;"/>
    <numFmt numFmtId="174" formatCode="0.00"/>
    <numFmt numFmtId="175" formatCode="#,##0"/>
    <numFmt numFmtId="176" formatCode="0.0%"/>
    <numFmt numFmtId="177" formatCode="#,##0.0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FFFF"/>
      <name val="Calibri"/>
      <family val="0"/>
      <charset val="1"/>
    </font>
    <font>
      <i val="true"/>
      <sz val="11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2C2F33"/>
      <name val="Calibri"/>
      <family val="0"/>
      <charset val="1"/>
    </font>
    <font>
      <b val="true"/>
      <sz val="11"/>
      <color rgb="FF1F3864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2C2F33"/>
      <name val="Calibri"/>
      <family val="0"/>
      <charset val="1"/>
    </font>
    <font>
      <b val="true"/>
      <sz val="18"/>
      <color rgb="FFB87333"/>
      <name val="Calibri"/>
      <family val="0"/>
      <charset val="1"/>
    </font>
    <font>
      <b val="true"/>
      <sz val="18"/>
      <color rgb="FF5B7355"/>
      <name val="Calibri"/>
      <family val="0"/>
      <charset val="1"/>
    </font>
    <font>
      <i val="true"/>
      <sz val="9"/>
      <color rgb="FF6B6B6B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i val="true"/>
      <sz val="10"/>
      <color rgb="FF6B6B6B"/>
      <name val="Calibri"/>
      <family val="0"/>
      <charset val="1"/>
    </font>
    <font>
      <b val="true"/>
      <sz val="9"/>
      <color rgb="FF2C2F33"/>
      <name val="Calibri"/>
      <family val="0"/>
      <charset val="1"/>
    </font>
    <font>
      <b val="true"/>
      <sz val="9"/>
      <color rgb="FF1F386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B87333"/>
      <name val="Calibri"/>
      <family val="0"/>
      <charset val="1"/>
    </font>
    <font>
      <sz val="11"/>
      <color rgb="FF1F3864"/>
      <name val="Calibri"/>
      <family val="0"/>
      <charset val="1"/>
    </font>
    <font>
      <sz val="11"/>
      <color rgb="FF2C2F33"/>
      <name val="Calibri"/>
      <family val="0"/>
      <charset val="1"/>
    </font>
    <font>
      <b val="true"/>
      <sz val="11"/>
      <color rgb="FF2C2F33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2C2F33"/>
        <bgColor rgb="FF333300"/>
      </patternFill>
    </fill>
    <fill>
      <patternFill patternType="solid">
        <fgColor rgb="FF5B7355"/>
        <bgColor rgb="FF6B6B6B"/>
      </patternFill>
    </fill>
    <fill>
      <patternFill patternType="solid">
        <fgColor rgb="FFF5F2ED"/>
        <bgColor rgb="FFFAF8F4"/>
      </patternFill>
    </fill>
    <fill>
      <patternFill patternType="solid">
        <fgColor rgb="FFE7EEF6"/>
        <bgColor rgb="FFEDEAE4"/>
      </patternFill>
    </fill>
    <fill>
      <patternFill patternType="solid">
        <fgColor rgb="FFB87333"/>
        <bgColor rgb="FFFF6600"/>
      </patternFill>
    </fill>
    <fill>
      <patternFill patternType="solid">
        <fgColor rgb="FFEDEAE4"/>
        <bgColor rgb="FFE7EEF6"/>
      </patternFill>
    </fill>
    <fill>
      <patternFill patternType="solid">
        <fgColor rgb="FFFFFFFF"/>
        <bgColor rgb="FFFAF8F4"/>
      </patternFill>
    </fill>
    <fill>
      <patternFill patternType="solid">
        <fgColor rgb="FFFAF8F4"/>
        <bgColor rgb="FFF5F2E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9C3B8"/>
      </left>
      <right style="thin">
        <color rgb="FFC9C3B8"/>
      </right>
      <top style="thin">
        <color rgb="FFC9C3B8"/>
      </top>
      <bottom style="thin">
        <color rgb="FFC9C3B8"/>
      </bottom>
      <diagonal/>
    </border>
    <border diagonalUp="false" diagonalDown="false">
      <left style="thin">
        <color rgb="FF2C2F33"/>
      </left>
      <right style="thin">
        <color rgb="FF2C2F33"/>
      </right>
      <top style="thin">
        <color rgb="FF2C2F33"/>
      </top>
      <bottom style="thin">
        <color rgb="FF2C2F33"/>
      </bottom>
      <diagonal/>
    </border>
    <border diagonalUp="false" diagonalDown="false">
      <left style="thin">
        <color rgb="FF2C2F33"/>
      </left>
      <right/>
      <top style="thin">
        <color rgb="FF2C2F33"/>
      </top>
      <bottom style="thin">
        <color rgb="FF2C2F3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0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1" fontId="11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2" fontId="10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3" fontId="11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4" fontId="12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1" fontId="12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5" fontId="10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6" fontId="11" fillId="4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5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5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7333"/>
      <rgbColor rgb="FF800080"/>
      <rgbColor rgb="FF008080"/>
      <rgbColor rgb="FFC9C3B8"/>
      <rgbColor rgb="FF5B7355"/>
      <rgbColor rgb="FF9999FF"/>
      <rgbColor rgb="FF993366"/>
      <rgbColor rgb="FFFAF8F4"/>
      <rgbColor rgb="FFE7EE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2ED"/>
      <rgbColor rgb="FFEDEA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2C2F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22"/>
    <col collapsed="false" customWidth="true" hidden="false" outlineLevel="0" max="4" min="4" style="0" width="3"/>
    <col collapsed="false" customWidth="true" hidden="false" outlineLevel="0" max="6" min="5" style="0" width="22"/>
    <col collapsed="false" customWidth="true" hidden="false" outlineLevel="0" max="7" min="7" style="0" width="3"/>
  </cols>
  <sheetData>
    <row r="1" customFormat="false" ht="43.5" hidden="false" customHeight="true" outlineLevel="0" collapsed="false">
      <c r="B1" s="1" t="s">
        <v>0</v>
      </c>
      <c r="C1" s="1"/>
      <c r="D1" s="1"/>
      <c r="E1" s="1"/>
      <c r="F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</row>
    <row r="4" customFormat="false" ht="27.75" hidden="false" customHeight="true" outlineLevel="0" collapsed="false">
      <c r="B4" s="3" t="s">
        <v>2</v>
      </c>
      <c r="C4" s="3"/>
      <c r="D4" s="3"/>
      <c r="E4" s="3"/>
      <c r="F4" s="3"/>
    </row>
    <row r="5" customFormat="false" ht="21.75" hidden="false" customHeight="true" outlineLevel="0" collapsed="false">
      <c r="B5" s="4" t="s">
        <v>3</v>
      </c>
      <c r="C5" s="5" t="s">
        <v>4</v>
      </c>
      <c r="E5" s="4" t="s">
        <v>5</v>
      </c>
      <c r="F5" s="5" t="s">
        <v>6</v>
      </c>
    </row>
    <row r="6" customFormat="false" ht="21.75" hidden="false" customHeight="true" outlineLevel="0" collapsed="false">
      <c r="B6" s="4" t="s">
        <v>7</v>
      </c>
      <c r="C6" s="5" t="s">
        <v>8</v>
      </c>
      <c r="E6" s="4" t="s">
        <v>9</v>
      </c>
      <c r="F6" s="6" t="n">
        <v>66</v>
      </c>
    </row>
    <row r="7" customFormat="false" ht="21.75" hidden="false" customHeight="true" outlineLevel="0" collapsed="false">
      <c r="B7" s="4" t="s">
        <v>10</v>
      </c>
      <c r="C7" s="5" t="s">
        <v>11</v>
      </c>
      <c r="E7" s="4" t="s">
        <v>12</v>
      </c>
      <c r="F7" s="7" t="n">
        <v>5.4</v>
      </c>
    </row>
    <row r="8" customFormat="false" ht="21.75" hidden="false" customHeight="true" outlineLevel="0" collapsed="false">
      <c r="B8" s="4" t="s">
        <v>13</v>
      </c>
      <c r="C8" s="5" t="n">
        <v>2022</v>
      </c>
      <c r="E8" s="4" t="s">
        <v>14</v>
      </c>
      <c r="F8" s="8" t="n">
        <v>110</v>
      </c>
    </row>
    <row r="9" customFormat="false" ht="21.75" hidden="false" customHeight="true" outlineLevel="0" collapsed="false">
      <c r="B9" s="4" t="s">
        <v>15</v>
      </c>
      <c r="C9" s="9" t="n">
        <v>44635</v>
      </c>
      <c r="E9" s="4" t="s">
        <v>16</v>
      </c>
      <c r="F9" s="10" t="n">
        <v>1968</v>
      </c>
    </row>
    <row r="10" customFormat="false" ht="21.75" hidden="false" customHeight="true" outlineLevel="0" collapsed="false">
      <c r="B10" s="4" t="s">
        <v>17</v>
      </c>
      <c r="C10" s="5" t="s">
        <v>18</v>
      </c>
      <c r="E10" s="4" t="s">
        <v>19</v>
      </c>
      <c r="F10" s="11" t="n">
        <v>25487</v>
      </c>
    </row>
    <row r="11" customFormat="false" ht="21.75" hidden="false" customHeight="true" outlineLevel="0" collapsed="false">
      <c r="B11" s="4" t="s">
        <v>20</v>
      </c>
      <c r="C11" s="5" t="s">
        <v>21</v>
      </c>
      <c r="E11" s="4" t="s">
        <v>22</v>
      </c>
      <c r="F11" s="5" t="s">
        <v>23</v>
      </c>
    </row>
    <row r="14" customFormat="false" ht="27.75" hidden="false" customHeight="true" outlineLevel="0" collapsed="false">
      <c r="B14" s="3" t="s">
        <v>24</v>
      </c>
      <c r="C14" s="3"/>
      <c r="D14" s="3"/>
      <c r="E14" s="3"/>
      <c r="F14" s="3"/>
    </row>
    <row r="16" customFormat="false" ht="19.5" hidden="false" customHeight="true" outlineLevel="0" collapsed="false">
      <c r="B16" s="12" t="s">
        <v>25</v>
      </c>
      <c r="C16" s="12"/>
      <c r="E16" s="13" t="s">
        <v>26</v>
      </c>
      <c r="F16" s="13"/>
    </row>
    <row r="17" customFormat="false" ht="33.75" hidden="false" customHeight="true" outlineLevel="0" collapsed="false">
      <c r="B17" s="14" t="n">
        <f aca="false">Tankvorgänge!E52</f>
        <v>15891</v>
      </c>
      <c r="C17" s="14"/>
      <c r="E17" s="15" t="n">
        <f aca="false">Tankvorgänge!H52</f>
        <v>1930.52658</v>
      </c>
      <c r="F17" s="15"/>
    </row>
    <row r="19" customFormat="false" ht="19.5" hidden="false" customHeight="true" outlineLevel="0" collapsed="false">
      <c r="B19" s="12" t="s">
        <v>27</v>
      </c>
      <c r="C19" s="12"/>
      <c r="E19" s="13" t="s">
        <v>28</v>
      </c>
      <c r="F19" s="13"/>
    </row>
    <row r="20" customFormat="false" ht="33.75" hidden="false" customHeight="true" outlineLevel="0" collapsed="false">
      <c r="B20" s="16" t="n">
        <f aca="false">Tankvorgänge!F52</f>
        <v>1136.76</v>
      </c>
      <c r="C20" s="16"/>
      <c r="E20" s="17" t="n">
        <f aca="false">Tankvorgänge!G52</f>
        <v>1.69827103346353</v>
      </c>
      <c r="F20" s="17"/>
    </row>
    <row r="22" customFormat="false" ht="19.5" hidden="false" customHeight="true" outlineLevel="0" collapsed="false">
      <c r="B22" s="18" t="s">
        <v>29</v>
      </c>
      <c r="C22" s="18"/>
      <c r="E22" s="18" t="s">
        <v>30</v>
      </c>
      <c r="F22" s="18"/>
    </row>
    <row r="23" customFormat="false" ht="33.75" hidden="false" customHeight="true" outlineLevel="0" collapsed="false">
      <c r="B23" s="19" t="n">
        <f aca="false">Tankvorgänge!J52</f>
        <v>7.15348310364357</v>
      </c>
      <c r="C23" s="19"/>
      <c r="E23" s="20" t="n">
        <f aca="false">IFERROR(Tankvorgänge!H52/Tankvorgänge!E52*100,"")</f>
        <v>12.1485531432887</v>
      </c>
      <c r="F23" s="20"/>
    </row>
    <row r="25" customFormat="false" ht="19.5" hidden="false" customHeight="true" outlineLevel="0" collapsed="false">
      <c r="B25" s="12" t="s">
        <v>31</v>
      </c>
      <c r="C25" s="12"/>
      <c r="E25" s="13" t="s">
        <v>32</v>
      </c>
      <c r="F25" s="13"/>
    </row>
    <row r="26" customFormat="false" ht="33.75" hidden="false" customHeight="true" outlineLevel="0" collapsed="false">
      <c r="B26" s="21" t="n">
        <f aca="false">COUNTA(Tankvorgänge!C6:C50)</f>
        <v>23</v>
      </c>
      <c r="C26" s="21"/>
      <c r="E26" s="22" t="n">
        <f aca="false">IFERROR(Tankvorgänge!J52/F7-1,"")</f>
        <v>0.324719093267328</v>
      </c>
      <c r="F26" s="22"/>
    </row>
    <row r="29" customFormat="false" ht="30" hidden="false" customHeight="true" outlineLevel="0" collapsed="false">
      <c r="B29" s="23" t="s">
        <v>33</v>
      </c>
      <c r="C29" s="23"/>
      <c r="D29" s="23"/>
      <c r="E29" s="23"/>
      <c r="F29" s="23"/>
    </row>
  </sheetData>
  <mergeCells count="21">
    <mergeCell ref="B1:F1"/>
    <mergeCell ref="B2:F2"/>
    <mergeCell ref="B4:F4"/>
    <mergeCell ref="B14:F14"/>
    <mergeCell ref="B16:C16"/>
    <mergeCell ref="E16:F16"/>
    <mergeCell ref="B17:C17"/>
    <mergeCell ref="E17:F17"/>
    <mergeCell ref="B19:C19"/>
    <mergeCell ref="E19:F19"/>
    <mergeCell ref="B20:C20"/>
    <mergeCell ref="E20:F20"/>
    <mergeCell ref="B22:C22"/>
    <mergeCell ref="E22:F22"/>
    <mergeCell ref="B23:C23"/>
    <mergeCell ref="E23:F23"/>
    <mergeCell ref="B25:C25"/>
    <mergeCell ref="E25:F25"/>
    <mergeCell ref="B26:C26"/>
    <mergeCell ref="E26:F26"/>
    <mergeCell ref="B29:F29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4" min="3" style="0" width="13"/>
    <col collapsed="false" customWidth="true" hidden="false" outlineLevel="0" max="7" min="5" style="0" width="12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20"/>
    <col collapsed="false" customWidth="true" hidden="false" outlineLevel="0" max="12" min="12" style="0" width="16"/>
    <col collapsed="false" customWidth="true" hidden="false" outlineLevel="0" max="13" min="13" style="0" width="13"/>
    <col collapsed="false" customWidth="true" hidden="false" outlineLevel="0" max="14" min="14" style="0" width="26"/>
  </cols>
  <sheetData>
    <row r="1" customFormat="false" ht="33.75" hidden="false" customHeight="true" outlineLevel="0" collapsed="false">
      <c r="B1" s="24" t="s">
        <v>34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customFormat="false" ht="21.75" hidden="false" customHeight="true" outlineLevel="0" collapsed="false">
      <c r="B2" s="25" t="s">
        <v>35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customFormat="false" ht="19.5" hidden="false" customHeight="true" outlineLevel="0" collapsed="false">
      <c r="B3" s="26" t="s">
        <v>36</v>
      </c>
      <c r="C3" s="27" t="s">
        <v>37</v>
      </c>
      <c r="D3" s="27"/>
      <c r="E3" s="27"/>
      <c r="F3" s="28" t="s">
        <v>38</v>
      </c>
      <c r="G3" s="28"/>
      <c r="H3" s="28"/>
    </row>
    <row r="5" customFormat="false" ht="37.5" hidden="false" customHeight="true" outlineLevel="0" collapsed="false">
      <c r="B5" s="29" t="s">
        <v>39</v>
      </c>
      <c r="C5" s="29" t="s">
        <v>40</v>
      </c>
      <c r="D5" s="29" t="s">
        <v>41</v>
      </c>
      <c r="E5" s="29" t="s">
        <v>42</v>
      </c>
      <c r="F5" s="29" t="s">
        <v>43</v>
      </c>
      <c r="G5" s="29" t="s">
        <v>44</v>
      </c>
      <c r="H5" s="29" t="s">
        <v>45</v>
      </c>
      <c r="I5" s="29" t="s">
        <v>46</v>
      </c>
      <c r="J5" s="29" t="s">
        <v>47</v>
      </c>
      <c r="K5" s="29" t="s">
        <v>48</v>
      </c>
      <c r="L5" s="29" t="s">
        <v>49</v>
      </c>
      <c r="M5" s="29" t="s">
        <v>50</v>
      </c>
      <c r="N5" s="29" t="s">
        <v>51</v>
      </c>
    </row>
    <row r="6" customFormat="false" ht="19.5" hidden="false" customHeight="true" outlineLevel="0" collapsed="false">
      <c r="B6" s="30" t="n">
        <v>1</v>
      </c>
      <c r="C6" s="31" t="n">
        <v>46025</v>
      </c>
      <c r="D6" s="32" t="n">
        <v>25487</v>
      </c>
      <c r="E6" s="33"/>
      <c r="F6" s="34" t="n">
        <v>58.32</v>
      </c>
      <c r="G6" s="35" t="n">
        <v>1.679</v>
      </c>
      <c r="H6" s="36" t="n">
        <f aca="false">IF(OR(F6="",G6=""),"",F6*G6)</f>
        <v>97.91928</v>
      </c>
      <c r="I6" s="37" t="s">
        <v>52</v>
      </c>
      <c r="J6" s="38"/>
      <c r="K6" s="39" t="s">
        <v>53</v>
      </c>
      <c r="L6" s="39" t="s">
        <v>54</v>
      </c>
      <c r="M6" s="39" t="s">
        <v>6</v>
      </c>
      <c r="N6" s="39"/>
    </row>
    <row r="7" customFormat="false" ht="19.5" hidden="false" customHeight="true" outlineLevel="0" collapsed="false">
      <c r="B7" s="30" t="n">
        <v>2</v>
      </c>
      <c r="C7" s="31" t="n">
        <v>46034</v>
      </c>
      <c r="D7" s="32" t="n">
        <v>26203</v>
      </c>
      <c r="E7" s="33" t="n">
        <f aca="false">IF(D7="","",IF(D6="","",D7-D6))</f>
        <v>716</v>
      </c>
      <c r="F7" s="34" t="n">
        <v>42.15</v>
      </c>
      <c r="G7" s="35" t="n">
        <v>1.689</v>
      </c>
      <c r="H7" s="36" t="n">
        <f aca="false">IF(OR(F7="",G7=""),"",F7*G7)</f>
        <v>71.19135</v>
      </c>
      <c r="I7" s="37" t="s">
        <v>55</v>
      </c>
      <c r="J7" s="38" t="str">
        <f aca="false">IF(AND(I7="Ja",ISNUMBER(E7),E7&gt;0),F7/E7*100,"")</f>
        <v/>
      </c>
      <c r="K7" s="39" t="s">
        <v>56</v>
      </c>
      <c r="L7" s="39" t="s">
        <v>57</v>
      </c>
      <c r="M7" s="39" t="s">
        <v>6</v>
      </c>
      <c r="N7" s="39" t="s">
        <v>58</v>
      </c>
    </row>
    <row r="8" customFormat="false" ht="19.5" hidden="false" customHeight="true" outlineLevel="0" collapsed="false">
      <c r="B8" s="30" t="n">
        <v>3</v>
      </c>
      <c r="C8" s="31" t="n">
        <v>46042</v>
      </c>
      <c r="D8" s="32" t="n">
        <v>26891</v>
      </c>
      <c r="E8" s="33" t="n">
        <f aca="false">IF(D8="","",IF(D7="","",D8-D7))</f>
        <v>688</v>
      </c>
      <c r="F8" s="34" t="n">
        <v>45.8</v>
      </c>
      <c r="G8" s="35" t="n">
        <v>1.712</v>
      </c>
      <c r="H8" s="36" t="n">
        <f aca="false">IF(OR(F8="",G8=""),"",F8*G8)</f>
        <v>78.4096</v>
      </c>
      <c r="I8" s="37" t="s">
        <v>52</v>
      </c>
      <c r="J8" s="38" t="n">
        <f aca="false">IF(AND(I8="Ja",ISNUMBER(E8),E8&gt;0),F8/E8*100,"")</f>
        <v>6.65697674418605</v>
      </c>
      <c r="K8" s="39" t="s">
        <v>59</v>
      </c>
      <c r="L8" s="39" t="s">
        <v>60</v>
      </c>
      <c r="M8" s="39" t="s">
        <v>6</v>
      </c>
      <c r="N8" s="39"/>
    </row>
    <row r="9" customFormat="false" ht="19.5" hidden="false" customHeight="true" outlineLevel="0" collapsed="false">
      <c r="B9" s="30" t="n">
        <v>4</v>
      </c>
      <c r="C9" s="31" t="n">
        <v>46050</v>
      </c>
      <c r="D9" s="32" t="n">
        <v>27598</v>
      </c>
      <c r="E9" s="33" t="n">
        <f aca="false">IF(D9="","",IF(D8="","",D9-D8))</f>
        <v>707</v>
      </c>
      <c r="F9" s="34" t="n">
        <v>51.24</v>
      </c>
      <c r="G9" s="35" t="n">
        <v>1.695</v>
      </c>
      <c r="H9" s="36" t="n">
        <f aca="false">IF(OR(F9="",G9=""),"",F9*G9)</f>
        <v>86.8518</v>
      </c>
      <c r="I9" s="37" t="s">
        <v>52</v>
      </c>
      <c r="J9" s="38" t="n">
        <f aca="false">IF(AND(I9="Ja",ISNUMBER(E9),E9&gt;0),F9/E9*100,"")</f>
        <v>7.24752475247525</v>
      </c>
      <c r="K9" s="39" t="s">
        <v>53</v>
      </c>
      <c r="L9" s="39" t="s">
        <v>61</v>
      </c>
      <c r="M9" s="39" t="s">
        <v>6</v>
      </c>
      <c r="N9" s="39" t="s">
        <v>62</v>
      </c>
    </row>
    <row r="10" customFormat="false" ht="19.5" hidden="false" customHeight="true" outlineLevel="0" collapsed="false">
      <c r="B10" s="30" t="n">
        <v>5</v>
      </c>
      <c r="C10" s="31" t="n">
        <v>46058</v>
      </c>
      <c r="D10" s="32" t="n">
        <v>28312</v>
      </c>
      <c r="E10" s="33" t="n">
        <f aca="false">IF(D10="","",IF(D9="","",D10-D9))</f>
        <v>714</v>
      </c>
      <c r="F10" s="34" t="n">
        <v>48.9</v>
      </c>
      <c r="G10" s="35" t="n">
        <v>1.721</v>
      </c>
      <c r="H10" s="36" t="n">
        <f aca="false">IF(OR(F10="",G10=""),"",F10*G10)</f>
        <v>84.1569</v>
      </c>
      <c r="I10" s="37" t="s">
        <v>52</v>
      </c>
      <c r="J10" s="38" t="n">
        <f aca="false">IF(AND(I10="Ja",ISNUMBER(E10),E10&gt;0),F10/E10*100,"")</f>
        <v>6.84873949579832</v>
      </c>
      <c r="K10" s="39" t="s">
        <v>63</v>
      </c>
      <c r="L10" s="39" t="s">
        <v>57</v>
      </c>
      <c r="M10" s="39" t="s">
        <v>6</v>
      </c>
      <c r="N10" s="39"/>
    </row>
    <row r="11" customFormat="false" ht="19.5" hidden="false" customHeight="true" outlineLevel="0" collapsed="false">
      <c r="B11" s="30" t="n">
        <v>6</v>
      </c>
      <c r="C11" s="31" t="n">
        <v>46067</v>
      </c>
      <c r="D11" s="32" t="n">
        <v>29050</v>
      </c>
      <c r="E11" s="33" t="n">
        <f aca="false">IF(D11="","",IF(D10="","",D11-D10))</f>
        <v>738</v>
      </c>
      <c r="F11" s="34" t="n">
        <v>52.1</v>
      </c>
      <c r="G11" s="35" t="n">
        <v>1.749</v>
      </c>
      <c r="H11" s="36" t="n">
        <f aca="false">IF(OR(F11="",G11=""),"",F11*G11)</f>
        <v>91.1229</v>
      </c>
      <c r="I11" s="37" t="s">
        <v>52</v>
      </c>
      <c r="J11" s="38" t="n">
        <f aca="false">IF(AND(I11="Ja",ISNUMBER(E11),E11&gt;0),F11/E11*100,"")</f>
        <v>7.05962059620596</v>
      </c>
      <c r="K11" s="39" t="s">
        <v>56</v>
      </c>
      <c r="L11" s="39" t="s">
        <v>54</v>
      </c>
      <c r="M11" s="39" t="s">
        <v>6</v>
      </c>
      <c r="N11" s="39" t="s">
        <v>64</v>
      </c>
    </row>
    <row r="12" customFormat="false" ht="19.5" hidden="false" customHeight="true" outlineLevel="0" collapsed="false">
      <c r="B12" s="30" t="n">
        <v>7</v>
      </c>
      <c r="C12" s="31" t="n">
        <v>46076</v>
      </c>
      <c r="D12" s="32" t="n">
        <v>29784</v>
      </c>
      <c r="E12" s="33" t="n">
        <f aca="false">IF(D12="","",IF(D11="","",D12-D11))</f>
        <v>734</v>
      </c>
      <c r="F12" s="34" t="n">
        <v>49.75</v>
      </c>
      <c r="G12" s="35" t="n">
        <v>1.738</v>
      </c>
      <c r="H12" s="36" t="n">
        <f aca="false">IF(OR(F12="",G12=""),"",F12*G12)</f>
        <v>86.4655</v>
      </c>
      <c r="I12" s="37" t="s">
        <v>52</v>
      </c>
      <c r="J12" s="38" t="n">
        <f aca="false">IF(AND(I12="Ja",ISNUMBER(E12),E12&gt;0),F12/E12*100,"")</f>
        <v>6.77792915531335</v>
      </c>
      <c r="K12" s="39" t="s">
        <v>53</v>
      </c>
      <c r="L12" s="39" t="s">
        <v>65</v>
      </c>
      <c r="M12" s="39" t="s">
        <v>6</v>
      </c>
      <c r="N12" s="39"/>
    </row>
    <row r="13" customFormat="false" ht="19.5" hidden="false" customHeight="true" outlineLevel="0" collapsed="false">
      <c r="B13" s="30" t="n">
        <v>8</v>
      </c>
      <c r="C13" s="31" t="n">
        <v>46085</v>
      </c>
      <c r="D13" s="32" t="n">
        <v>30512</v>
      </c>
      <c r="E13" s="33" t="n">
        <f aca="false">IF(D13="","",IF(D12="","",D13-D12))</f>
        <v>728</v>
      </c>
      <c r="F13" s="34" t="n">
        <v>50.6</v>
      </c>
      <c r="G13" s="35" t="n">
        <v>1.702</v>
      </c>
      <c r="H13" s="36" t="n">
        <f aca="false">IF(OR(F13="",G13=""),"",F13*G13)</f>
        <v>86.1212</v>
      </c>
      <c r="I13" s="37" t="s">
        <v>52</v>
      </c>
      <c r="J13" s="38" t="n">
        <f aca="false">IF(AND(I13="Ja",ISNUMBER(E13),E13&gt;0),F13/E13*100,"")</f>
        <v>6.95054945054945</v>
      </c>
      <c r="K13" s="39" t="s">
        <v>66</v>
      </c>
      <c r="L13" s="39" t="s">
        <v>57</v>
      </c>
      <c r="M13" s="39" t="s">
        <v>6</v>
      </c>
      <c r="N13" s="39"/>
    </row>
    <row r="14" customFormat="false" ht="19.5" hidden="false" customHeight="true" outlineLevel="0" collapsed="false">
      <c r="B14" s="30" t="n">
        <v>9</v>
      </c>
      <c r="C14" s="31" t="n">
        <v>46094</v>
      </c>
      <c r="D14" s="32" t="n">
        <v>31247</v>
      </c>
      <c r="E14" s="33" t="n">
        <f aca="false">IF(D14="","",IF(D13="","",D14-D13))</f>
        <v>735</v>
      </c>
      <c r="F14" s="34" t="n">
        <v>47.85</v>
      </c>
      <c r="G14" s="35" t="n">
        <v>1.689</v>
      </c>
      <c r="H14" s="36" t="n">
        <f aca="false">IF(OR(F14="",G14=""),"",F14*G14)</f>
        <v>80.81865</v>
      </c>
      <c r="I14" s="37" t="s">
        <v>52</v>
      </c>
      <c r="J14" s="38" t="n">
        <f aca="false">IF(AND(I14="Ja",ISNUMBER(E14),E14&gt;0),F14/E14*100,"")</f>
        <v>6.51020408163265</v>
      </c>
      <c r="K14" s="39" t="s">
        <v>59</v>
      </c>
      <c r="L14" s="39" t="s">
        <v>54</v>
      </c>
      <c r="M14" s="39" t="s">
        <v>6</v>
      </c>
      <c r="N14" s="39"/>
    </row>
    <row r="15" customFormat="false" ht="19.5" hidden="false" customHeight="true" outlineLevel="0" collapsed="false">
      <c r="B15" s="30" t="n">
        <v>10</v>
      </c>
      <c r="C15" s="31" t="n">
        <v>46103</v>
      </c>
      <c r="D15" s="32" t="n">
        <v>32005</v>
      </c>
      <c r="E15" s="33" t="n">
        <f aca="false">IF(D15="","",IF(D14="","",D15-D14))</f>
        <v>758</v>
      </c>
      <c r="F15" s="34" t="n">
        <v>53.4</v>
      </c>
      <c r="G15" s="35" t="n">
        <v>1.675</v>
      </c>
      <c r="H15" s="36" t="n">
        <f aca="false">IF(OR(F15="",G15=""),"",F15*G15)</f>
        <v>89.445</v>
      </c>
      <c r="I15" s="37" t="s">
        <v>52</v>
      </c>
      <c r="J15" s="38" t="n">
        <f aca="false">IF(AND(I15="Ja",ISNUMBER(E15),E15&gt;0),F15/E15*100,"")</f>
        <v>7.04485488126649</v>
      </c>
      <c r="K15" s="39" t="s">
        <v>53</v>
      </c>
      <c r="L15" s="39" t="s">
        <v>61</v>
      </c>
      <c r="M15" s="39" t="s">
        <v>6</v>
      </c>
      <c r="N15" s="39" t="s">
        <v>67</v>
      </c>
    </row>
    <row r="16" customFormat="false" ht="19.5" hidden="false" customHeight="true" outlineLevel="0" collapsed="false">
      <c r="B16" s="30" t="n">
        <v>11</v>
      </c>
      <c r="C16" s="31" t="n">
        <v>46111</v>
      </c>
      <c r="D16" s="32" t="n">
        <v>32724</v>
      </c>
      <c r="E16" s="33" t="n">
        <f aca="false">IF(D16="","",IF(D15="","",D16-D15))</f>
        <v>719</v>
      </c>
      <c r="F16" s="34" t="n">
        <v>48.2</v>
      </c>
      <c r="G16" s="35" t="n">
        <v>1.662</v>
      </c>
      <c r="H16" s="36" t="n">
        <f aca="false">IF(OR(F16="",G16=""),"",F16*G16)</f>
        <v>80.1084</v>
      </c>
      <c r="I16" s="37" t="s">
        <v>52</v>
      </c>
      <c r="J16" s="38" t="n">
        <f aca="false">IF(AND(I16="Ja",ISNUMBER(E16),E16&gt;0),F16/E16*100,"")</f>
        <v>6.70375521557719</v>
      </c>
      <c r="K16" s="39" t="s">
        <v>56</v>
      </c>
      <c r="L16" s="39" t="s">
        <v>57</v>
      </c>
      <c r="M16" s="39" t="s">
        <v>6</v>
      </c>
      <c r="N16" s="39"/>
    </row>
    <row r="17" customFormat="false" ht="19.5" hidden="false" customHeight="true" outlineLevel="0" collapsed="false">
      <c r="B17" s="30" t="n">
        <v>12</v>
      </c>
      <c r="C17" s="31" t="n">
        <v>46120</v>
      </c>
      <c r="D17" s="32" t="n">
        <v>33468</v>
      </c>
      <c r="E17" s="33" t="n">
        <f aca="false">IF(D17="","",IF(D16="","",D17-D16))</f>
        <v>744</v>
      </c>
      <c r="F17" s="34" t="n">
        <v>51.75</v>
      </c>
      <c r="G17" s="35" t="n">
        <v>1.649</v>
      </c>
      <c r="H17" s="36" t="n">
        <f aca="false">IF(OR(F17="",G17=""),"",F17*G17)</f>
        <v>85.33575</v>
      </c>
      <c r="I17" s="37" t="s">
        <v>52</v>
      </c>
      <c r="J17" s="38" t="n">
        <f aca="false">IF(AND(I17="Ja",ISNUMBER(E17),E17&gt;0),F17/E17*100,"")</f>
        <v>6.95564516129032</v>
      </c>
      <c r="K17" s="39" t="s">
        <v>63</v>
      </c>
      <c r="L17" s="39" t="s">
        <v>60</v>
      </c>
      <c r="M17" s="39" t="s">
        <v>6</v>
      </c>
      <c r="N17" s="39"/>
    </row>
    <row r="18" customFormat="false" ht="19.5" hidden="false" customHeight="true" outlineLevel="0" collapsed="false">
      <c r="B18" s="30" t="n">
        <v>13</v>
      </c>
      <c r="C18" s="31" t="n">
        <v>46129</v>
      </c>
      <c r="D18" s="32" t="n">
        <v>34215</v>
      </c>
      <c r="E18" s="33" t="n">
        <f aca="false">IF(D18="","",IF(D17="","",D18-D17))</f>
        <v>747</v>
      </c>
      <c r="F18" s="34" t="n">
        <v>49.1</v>
      </c>
      <c r="G18" s="35" t="n">
        <v>1.638</v>
      </c>
      <c r="H18" s="36" t="n">
        <f aca="false">IF(OR(F18="",G18=""),"",F18*G18)</f>
        <v>80.4258</v>
      </c>
      <c r="I18" s="37" t="s">
        <v>52</v>
      </c>
      <c r="J18" s="38" t="n">
        <f aca="false">IF(AND(I18="Ja",ISNUMBER(E18),E18&gt;0),F18/E18*100,"")</f>
        <v>6.57295850066934</v>
      </c>
      <c r="K18" s="39" t="s">
        <v>68</v>
      </c>
      <c r="L18" s="39" t="s">
        <v>57</v>
      </c>
      <c r="M18" s="39" t="s">
        <v>6</v>
      </c>
      <c r="N18" s="39" t="s">
        <v>69</v>
      </c>
    </row>
    <row r="19" customFormat="false" ht="19.5" hidden="false" customHeight="true" outlineLevel="0" collapsed="false">
      <c r="B19" s="30" t="n">
        <v>14</v>
      </c>
      <c r="C19" s="31" t="n">
        <v>46138</v>
      </c>
      <c r="D19" s="32" t="n">
        <v>34958</v>
      </c>
      <c r="E19" s="33" t="n">
        <f aca="false">IF(D19="","",IF(D18="","",D19-D18))</f>
        <v>743</v>
      </c>
      <c r="F19" s="34" t="n">
        <v>50.35</v>
      </c>
      <c r="G19" s="35" t="n">
        <v>1.652</v>
      </c>
      <c r="H19" s="36" t="n">
        <f aca="false">IF(OR(F19="",G19=""),"",F19*G19)</f>
        <v>83.1782</v>
      </c>
      <c r="I19" s="37" t="s">
        <v>52</v>
      </c>
      <c r="J19" s="38" t="n">
        <f aca="false">IF(AND(I19="Ja",ISNUMBER(E19),E19&gt;0),F19/E19*100,"")</f>
        <v>6.77658142664872</v>
      </c>
      <c r="K19" s="39" t="s">
        <v>53</v>
      </c>
      <c r="L19" s="39" t="s">
        <v>70</v>
      </c>
      <c r="M19" s="39" t="s">
        <v>6</v>
      </c>
      <c r="N19" s="39"/>
    </row>
    <row r="20" customFormat="false" ht="19.5" hidden="false" customHeight="true" outlineLevel="0" collapsed="false">
      <c r="B20" s="30" t="n">
        <v>15</v>
      </c>
      <c r="C20" s="31" t="n">
        <v>46147</v>
      </c>
      <c r="D20" s="32" t="n">
        <v>35712</v>
      </c>
      <c r="E20" s="33" t="n">
        <f aca="false">IF(D20="","",IF(D19="","",D20-D19))</f>
        <v>754</v>
      </c>
      <c r="F20" s="34" t="n">
        <v>52.8</v>
      </c>
      <c r="G20" s="35" t="n">
        <v>1.671</v>
      </c>
      <c r="H20" s="36" t="n">
        <f aca="false">IF(OR(F20="",G20=""),"",F20*G20)</f>
        <v>88.2288</v>
      </c>
      <c r="I20" s="37" t="s">
        <v>52</v>
      </c>
      <c r="J20" s="38" t="n">
        <f aca="false">IF(AND(I20="Ja",ISNUMBER(E20),E20&gt;0),F20/E20*100,"")</f>
        <v>7.0026525198939</v>
      </c>
      <c r="K20" s="39" t="s">
        <v>56</v>
      </c>
      <c r="L20" s="39" t="s">
        <v>54</v>
      </c>
      <c r="M20" s="39" t="s">
        <v>6</v>
      </c>
      <c r="N20" s="39"/>
    </row>
    <row r="21" customFormat="false" ht="19.5" hidden="false" customHeight="true" outlineLevel="0" collapsed="false">
      <c r="B21" s="30" t="n">
        <v>16</v>
      </c>
      <c r="C21" s="31" t="n">
        <v>46155</v>
      </c>
      <c r="D21" s="32" t="n">
        <v>36240</v>
      </c>
      <c r="E21" s="33" t="n">
        <f aca="false">IF(D21="","",IF(D20="","",D21-D20))</f>
        <v>528</v>
      </c>
      <c r="F21" s="34" t="n">
        <v>36.9</v>
      </c>
      <c r="G21" s="35" t="n">
        <v>1.679</v>
      </c>
      <c r="H21" s="36" t="n">
        <f aca="false">IF(OR(F21="",G21=""),"",F21*G21)</f>
        <v>61.9551</v>
      </c>
      <c r="I21" s="37" t="s">
        <v>55</v>
      </c>
      <c r="J21" s="38" t="str">
        <f aca="false">IF(AND(I21="Ja",ISNUMBER(E21),E21&gt;0),F21/E21*100,"")</f>
        <v/>
      </c>
      <c r="K21" s="39" t="s">
        <v>59</v>
      </c>
      <c r="L21" s="39" t="s">
        <v>57</v>
      </c>
      <c r="M21" s="39" t="s">
        <v>6</v>
      </c>
      <c r="N21" s="39" t="s">
        <v>71</v>
      </c>
    </row>
    <row r="22" customFormat="false" ht="19.5" hidden="false" customHeight="true" outlineLevel="0" collapsed="false">
      <c r="B22" s="30" t="n">
        <v>17</v>
      </c>
      <c r="C22" s="31" t="n">
        <v>46162</v>
      </c>
      <c r="D22" s="32" t="n">
        <v>36945</v>
      </c>
      <c r="E22" s="33" t="n">
        <f aca="false">IF(D22="","",IF(D21="","",D22-D21))</f>
        <v>705</v>
      </c>
      <c r="F22" s="34" t="n">
        <v>45.2</v>
      </c>
      <c r="G22" s="35" t="n">
        <v>1.685</v>
      </c>
      <c r="H22" s="36" t="n">
        <f aca="false">IF(OR(F22="",G22=""),"",F22*G22)</f>
        <v>76.162</v>
      </c>
      <c r="I22" s="37" t="s">
        <v>52</v>
      </c>
      <c r="J22" s="38" t="n">
        <f aca="false">IF(AND(I22="Ja",ISNUMBER(E22),E22&gt;0),F22/E22*100,"")</f>
        <v>6.4113475177305</v>
      </c>
      <c r="K22" s="39" t="s">
        <v>53</v>
      </c>
      <c r="L22" s="39" t="s">
        <v>65</v>
      </c>
      <c r="M22" s="39" t="s">
        <v>6</v>
      </c>
      <c r="N22" s="39"/>
    </row>
    <row r="23" customFormat="false" ht="19.5" hidden="false" customHeight="true" outlineLevel="0" collapsed="false">
      <c r="B23" s="30" t="n">
        <v>18</v>
      </c>
      <c r="C23" s="31" t="n">
        <v>46170</v>
      </c>
      <c r="D23" s="32" t="n">
        <v>37691</v>
      </c>
      <c r="E23" s="33" t="n">
        <f aca="false">IF(D23="","",IF(D22="","",D23-D22))</f>
        <v>746</v>
      </c>
      <c r="F23" s="34" t="n">
        <v>51.6</v>
      </c>
      <c r="G23" s="35" t="n">
        <v>1.698</v>
      </c>
      <c r="H23" s="36" t="n">
        <f aca="false">IF(OR(F23="",G23=""),"",F23*G23)</f>
        <v>87.6168</v>
      </c>
      <c r="I23" s="37" t="s">
        <v>52</v>
      </c>
      <c r="J23" s="38" t="n">
        <f aca="false">IF(AND(I23="Ja",ISNUMBER(E23),E23&gt;0),F23/E23*100,"")</f>
        <v>6.91689008042896</v>
      </c>
      <c r="K23" s="39" t="s">
        <v>66</v>
      </c>
      <c r="L23" s="39" t="s">
        <v>57</v>
      </c>
      <c r="M23" s="39" t="s">
        <v>6</v>
      </c>
      <c r="N23" s="39"/>
    </row>
    <row r="24" customFormat="false" ht="19.5" hidden="false" customHeight="true" outlineLevel="0" collapsed="false">
      <c r="B24" s="30" t="n">
        <v>19</v>
      </c>
      <c r="C24" s="31" t="n">
        <v>46179</v>
      </c>
      <c r="D24" s="32" t="n">
        <v>38432</v>
      </c>
      <c r="E24" s="33" t="n">
        <f aca="false">IF(D24="","",IF(D23="","",D24-D23))</f>
        <v>741</v>
      </c>
      <c r="F24" s="34" t="n">
        <v>49.85</v>
      </c>
      <c r="G24" s="35" t="n">
        <v>1.712</v>
      </c>
      <c r="H24" s="36" t="n">
        <f aca="false">IF(OR(F24="",G24=""),"",F24*G24)</f>
        <v>85.3432</v>
      </c>
      <c r="I24" s="37" t="s">
        <v>52</v>
      </c>
      <c r="J24" s="38" t="n">
        <f aca="false">IF(AND(I24="Ja",ISNUMBER(E24),E24&gt;0),F24/E24*100,"")</f>
        <v>6.72739541160594</v>
      </c>
      <c r="K24" s="39" t="s">
        <v>56</v>
      </c>
      <c r="L24" s="39" t="s">
        <v>61</v>
      </c>
      <c r="M24" s="39" t="s">
        <v>6</v>
      </c>
      <c r="N24" s="39" t="s">
        <v>62</v>
      </c>
    </row>
    <row r="25" customFormat="false" ht="19.5" hidden="false" customHeight="true" outlineLevel="0" collapsed="false">
      <c r="B25" s="30" t="n">
        <v>20</v>
      </c>
      <c r="C25" s="31" t="n">
        <v>46188</v>
      </c>
      <c r="D25" s="32" t="n">
        <v>39178</v>
      </c>
      <c r="E25" s="33" t="n">
        <f aca="false">IF(D25="","",IF(D24="","",D25-D24))</f>
        <v>746</v>
      </c>
      <c r="F25" s="34" t="n">
        <v>50.9</v>
      </c>
      <c r="G25" s="35" t="n">
        <v>1.725</v>
      </c>
      <c r="H25" s="36" t="n">
        <f aca="false">IF(OR(F25="",G25=""),"",F25*G25)</f>
        <v>87.8025</v>
      </c>
      <c r="I25" s="37" t="s">
        <v>52</v>
      </c>
      <c r="J25" s="38" t="n">
        <f aca="false">IF(AND(I25="Ja",ISNUMBER(E25),E25&gt;0),F25/E25*100,"")</f>
        <v>6.8230563002681</v>
      </c>
      <c r="K25" s="39" t="s">
        <v>63</v>
      </c>
      <c r="L25" s="39" t="s">
        <v>60</v>
      </c>
      <c r="M25" s="39" t="s">
        <v>6</v>
      </c>
      <c r="N25" s="39"/>
    </row>
    <row r="26" customFormat="false" ht="19.5" hidden="false" customHeight="true" outlineLevel="0" collapsed="false">
      <c r="B26" s="30" t="n">
        <v>21</v>
      </c>
      <c r="C26" s="31" t="n">
        <v>46196</v>
      </c>
      <c r="D26" s="32" t="n">
        <v>39902</v>
      </c>
      <c r="E26" s="33" t="n">
        <f aca="false">IF(D26="","",IF(D25="","",D26-D25))</f>
        <v>724</v>
      </c>
      <c r="F26" s="34" t="n">
        <v>48.75</v>
      </c>
      <c r="G26" s="35" t="n">
        <v>1.734</v>
      </c>
      <c r="H26" s="36" t="n">
        <f aca="false">IF(OR(F26="",G26=""),"",F26*G26)</f>
        <v>84.5325</v>
      </c>
      <c r="I26" s="37" t="s">
        <v>52</v>
      </c>
      <c r="J26" s="38" t="n">
        <f aca="false">IF(AND(I26="Ja",ISNUMBER(E26),E26&gt;0),F26/E26*100,"")</f>
        <v>6.73342541436464</v>
      </c>
      <c r="K26" s="39" t="s">
        <v>53</v>
      </c>
      <c r="L26" s="39" t="s">
        <v>54</v>
      </c>
      <c r="M26" s="39" t="s">
        <v>6</v>
      </c>
      <c r="N26" s="39"/>
    </row>
    <row r="27" customFormat="false" ht="19.5" hidden="false" customHeight="true" outlineLevel="0" collapsed="false">
      <c r="B27" s="30" t="n">
        <v>22</v>
      </c>
      <c r="C27" s="31" t="n">
        <v>46204</v>
      </c>
      <c r="D27" s="32" t="n">
        <v>40635</v>
      </c>
      <c r="E27" s="33" t="n">
        <f aca="false">IF(D27="","",IF(D26="","",D27-D26))</f>
        <v>733</v>
      </c>
      <c r="F27" s="34" t="n">
        <v>51.2</v>
      </c>
      <c r="G27" s="35" t="n">
        <v>1.748</v>
      </c>
      <c r="H27" s="36" t="n">
        <f aca="false">IF(OR(F27="",G27=""),"",F27*G27)</f>
        <v>89.4976</v>
      </c>
      <c r="I27" s="37" t="s">
        <v>52</v>
      </c>
      <c r="J27" s="38" t="n">
        <f aca="false">IF(AND(I27="Ja",ISNUMBER(E27),E27&gt;0),F27/E27*100,"")</f>
        <v>6.9849931787176</v>
      </c>
      <c r="K27" s="39" t="s">
        <v>59</v>
      </c>
      <c r="L27" s="39" t="s">
        <v>57</v>
      </c>
      <c r="M27" s="39" t="s">
        <v>6</v>
      </c>
      <c r="N27" s="39"/>
    </row>
    <row r="28" customFormat="false" ht="19.5" hidden="false" customHeight="true" outlineLevel="0" collapsed="false">
      <c r="B28" s="30" t="n">
        <v>23</v>
      </c>
      <c r="C28" s="31" t="n">
        <v>46211</v>
      </c>
      <c r="D28" s="32" t="n">
        <v>41378</v>
      </c>
      <c r="E28" s="33" t="n">
        <f aca="false">IF(D28="","",IF(D27="","",D28-D27))</f>
        <v>743</v>
      </c>
      <c r="F28" s="34" t="n">
        <v>50.05</v>
      </c>
      <c r="G28" s="35" t="n">
        <v>1.755</v>
      </c>
      <c r="H28" s="36" t="n">
        <f aca="false">IF(OR(F28="",G28=""),"",F28*G28)</f>
        <v>87.83775</v>
      </c>
      <c r="I28" s="37" t="s">
        <v>52</v>
      </c>
      <c r="J28" s="38" t="n">
        <f aca="false">IF(AND(I28="Ja",ISNUMBER(E28),E28&gt;0),F28/E28*100,"")</f>
        <v>6.73620457604307</v>
      </c>
      <c r="K28" s="39" t="s">
        <v>56</v>
      </c>
      <c r="L28" s="39" t="s">
        <v>65</v>
      </c>
      <c r="M28" s="39" t="s">
        <v>6</v>
      </c>
      <c r="N28" s="39" t="s">
        <v>72</v>
      </c>
    </row>
    <row r="29" customFormat="false" ht="19.5" hidden="false" customHeight="true" outlineLevel="0" collapsed="false">
      <c r="B29" s="30" t="str">
        <f aca="false">IF(C29="","",MAX($B$6:B28)+1)</f>
        <v/>
      </c>
      <c r="C29" s="31"/>
      <c r="D29" s="32"/>
      <c r="E29" s="33" t="str">
        <f aca="false">IF(D29="","",IF(D28="","",D29-D28))</f>
        <v/>
      </c>
      <c r="F29" s="34"/>
      <c r="G29" s="35"/>
      <c r="H29" s="36" t="str">
        <f aca="false">IF(OR(F29="",G29=""),"",F29*G29)</f>
        <v/>
      </c>
      <c r="I29" s="37"/>
      <c r="J29" s="38" t="str">
        <f aca="false">IF(AND(I29="Ja",ISNUMBER(E29),E29&gt;0),F29/E29*100,"")</f>
        <v/>
      </c>
      <c r="K29" s="39"/>
      <c r="L29" s="39"/>
      <c r="M29" s="39"/>
      <c r="N29" s="39"/>
    </row>
    <row r="30" customFormat="false" ht="19.5" hidden="false" customHeight="true" outlineLevel="0" collapsed="false">
      <c r="B30" s="30" t="str">
        <f aca="false">IF(C30="","",MAX($B$6:B29)+1)</f>
        <v/>
      </c>
      <c r="C30" s="31"/>
      <c r="D30" s="32"/>
      <c r="E30" s="33" t="str">
        <f aca="false">IF(D30="","",IF(D29="","",D30-D29))</f>
        <v/>
      </c>
      <c r="F30" s="34"/>
      <c r="G30" s="35"/>
      <c r="H30" s="36" t="str">
        <f aca="false">IF(OR(F30="",G30=""),"",F30*G30)</f>
        <v/>
      </c>
      <c r="I30" s="37"/>
      <c r="J30" s="38" t="str">
        <f aca="false">IF(AND(I30="Ja",ISNUMBER(E30),E30&gt;0),F30/E30*100,"")</f>
        <v/>
      </c>
      <c r="K30" s="39"/>
      <c r="L30" s="39"/>
      <c r="M30" s="39"/>
      <c r="N30" s="39"/>
    </row>
    <row r="31" customFormat="false" ht="19.5" hidden="false" customHeight="true" outlineLevel="0" collapsed="false">
      <c r="B31" s="30" t="str">
        <f aca="false">IF(C31="","",MAX($B$6:B30)+1)</f>
        <v/>
      </c>
      <c r="C31" s="31"/>
      <c r="D31" s="32"/>
      <c r="E31" s="33" t="str">
        <f aca="false">IF(D31="","",IF(D30="","",D31-D30))</f>
        <v/>
      </c>
      <c r="F31" s="34"/>
      <c r="G31" s="35"/>
      <c r="H31" s="36" t="str">
        <f aca="false">IF(OR(F31="",G31=""),"",F31*G31)</f>
        <v/>
      </c>
      <c r="I31" s="37"/>
      <c r="J31" s="38" t="str">
        <f aca="false">IF(AND(I31="Ja",ISNUMBER(E31),E31&gt;0),F31/E31*100,"")</f>
        <v/>
      </c>
      <c r="K31" s="39"/>
      <c r="L31" s="39"/>
      <c r="M31" s="39"/>
      <c r="N31" s="39"/>
    </row>
    <row r="32" customFormat="false" ht="19.5" hidden="false" customHeight="true" outlineLevel="0" collapsed="false">
      <c r="B32" s="30" t="str">
        <f aca="false">IF(C32="","",MAX($B$6:B31)+1)</f>
        <v/>
      </c>
      <c r="C32" s="31"/>
      <c r="D32" s="32"/>
      <c r="E32" s="33" t="str">
        <f aca="false">IF(D32="","",IF(D31="","",D32-D31))</f>
        <v/>
      </c>
      <c r="F32" s="34"/>
      <c r="G32" s="35"/>
      <c r="H32" s="36" t="str">
        <f aca="false">IF(OR(F32="",G32=""),"",F32*G32)</f>
        <v/>
      </c>
      <c r="I32" s="37"/>
      <c r="J32" s="38" t="str">
        <f aca="false">IF(AND(I32="Ja",ISNUMBER(E32),E32&gt;0),F32/E32*100,"")</f>
        <v/>
      </c>
      <c r="K32" s="39"/>
      <c r="L32" s="39"/>
      <c r="M32" s="39"/>
      <c r="N32" s="39"/>
    </row>
    <row r="33" customFormat="false" ht="19.5" hidden="false" customHeight="true" outlineLevel="0" collapsed="false">
      <c r="B33" s="30" t="str">
        <f aca="false">IF(C33="","",MAX($B$6:B32)+1)</f>
        <v/>
      </c>
      <c r="C33" s="31"/>
      <c r="D33" s="32"/>
      <c r="E33" s="33" t="str">
        <f aca="false">IF(D33="","",IF(D32="","",D33-D32))</f>
        <v/>
      </c>
      <c r="F33" s="34"/>
      <c r="G33" s="35"/>
      <c r="H33" s="36" t="str">
        <f aca="false">IF(OR(F33="",G33=""),"",F33*G33)</f>
        <v/>
      </c>
      <c r="I33" s="37"/>
      <c r="J33" s="38" t="str">
        <f aca="false">IF(AND(I33="Ja",ISNUMBER(E33),E33&gt;0),F33/E33*100,"")</f>
        <v/>
      </c>
      <c r="K33" s="39"/>
      <c r="L33" s="39"/>
      <c r="M33" s="39"/>
      <c r="N33" s="39"/>
    </row>
    <row r="34" customFormat="false" ht="19.5" hidden="false" customHeight="true" outlineLevel="0" collapsed="false">
      <c r="B34" s="30" t="str">
        <f aca="false">IF(C34="","",MAX($B$6:B33)+1)</f>
        <v/>
      </c>
      <c r="C34" s="31"/>
      <c r="D34" s="32"/>
      <c r="E34" s="33" t="str">
        <f aca="false">IF(D34="","",IF(D33="","",D34-D33))</f>
        <v/>
      </c>
      <c r="F34" s="34"/>
      <c r="G34" s="35"/>
      <c r="H34" s="36" t="str">
        <f aca="false">IF(OR(F34="",G34=""),"",F34*G34)</f>
        <v/>
      </c>
      <c r="I34" s="37"/>
      <c r="J34" s="38" t="str">
        <f aca="false">IF(AND(I34="Ja",ISNUMBER(E34),E34&gt;0),F34/E34*100,"")</f>
        <v/>
      </c>
      <c r="K34" s="39"/>
      <c r="L34" s="39"/>
      <c r="M34" s="39"/>
      <c r="N34" s="39"/>
    </row>
    <row r="35" customFormat="false" ht="19.5" hidden="false" customHeight="true" outlineLevel="0" collapsed="false">
      <c r="B35" s="30" t="str">
        <f aca="false">IF(C35="","",MAX($B$6:B34)+1)</f>
        <v/>
      </c>
      <c r="C35" s="31"/>
      <c r="D35" s="32"/>
      <c r="E35" s="33" t="str">
        <f aca="false">IF(D35="","",IF(D34="","",D35-D34))</f>
        <v/>
      </c>
      <c r="F35" s="34"/>
      <c r="G35" s="35"/>
      <c r="H35" s="36" t="str">
        <f aca="false">IF(OR(F35="",G35=""),"",F35*G35)</f>
        <v/>
      </c>
      <c r="I35" s="37"/>
      <c r="J35" s="38" t="str">
        <f aca="false">IF(AND(I35="Ja",ISNUMBER(E35),E35&gt;0),F35/E35*100,"")</f>
        <v/>
      </c>
      <c r="K35" s="39"/>
      <c r="L35" s="39"/>
      <c r="M35" s="39"/>
      <c r="N35" s="39"/>
    </row>
    <row r="36" customFormat="false" ht="19.5" hidden="false" customHeight="true" outlineLevel="0" collapsed="false">
      <c r="B36" s="30" t="str">
        <f aca="false">IF(C36="","",MAX($B$6:B35)+1)</f>
        <v/>
      </c>
      <c r="C36" s="31"/>
      <c r="D36" s="32"/>
      <c r="E36" s="33" t="str">
        <f aca="false">IF(D36="","",IF(D35="","",D36-D35))</f>
        <v/>
      </c>
      <c r="F36" s="34"/>
      <c r="G36" s="35"/>
      <c r="H36" s="36" t="str">
        <f aca="false">IF(OR(F36="",G36=""),"",F36*G36)</f>
        <v/>
      </c>
      <c r="I36" s="37"/>
      <c r="J36" s="38" t="str">
        <f aca="false">IF(AND(I36="Ja",ISNUMBER(E36),E36&gt;0),F36/E36*100,"")</f>
        <v/>
      </c>
      <c r="K36" s="39"/>
      <c r="L36" s="39"/>
      <c r="M36" s="39"/>
      <c r="N36" s="39"/>
    </row>
    <row r="37" customFormat="false" ht="19.5" hidden="false" customHeight="true" outlineLevel="0" collapsed="false">
      <c r="B37" s="30" t="str">
        <f aca="false">IF(C37="","",MAX($B$6:B36)+1)</f>
        <v/>
      </c>
      <c r="C37" s="31"/>
      <c r="D37" s="32"/>
      <c r="E37" s="33" t="str">
        <f aca="false">IF(D37="","",IF(D36="","",D37-D36))</f>
        <v/>
      </c>
      <c r="F37" s="34"/>
      <c r="G37" s="35"/>
      <c r="H37" s="36" t="str">
        <f aca="false">IF(OR(F37="",G37=""),"",F37*G37)</f>
        <v/>
      </c>
      <c r="I37" s="37"/>
      <c r="J37" s="38" t="str">
        <f aca="false">IF(AND(I37="Ja",ISNUMBER(E37),E37&gt;0),F37/E37*100,"")</f>
        <v/>
      </c>
      <c r="K37" s="39"/>
      <c r="L37" s="39"/>
      <c r="M37" s="39"/>
      <c r="N37" s="39"/>
    </row>
    <row r="38" customFormat="false" ht="19.5" hidden="false" customHeight="true" outlineLevel="0" collapsed="false">
      <c r="B38" s="30" t="str">
        <f aca="false">IF(C38="","",MAX($B$6:B37)+1)</f>
        <v/>
      </c>
      <c r="C38" s="31"/>
      <c r="D38" s="32"/>
      <c r="E38" s="33" t="str">
        <f aca="false">IF(D38="","",IF(D37="","",D38-D37))</f>
        <v/>
      </c>
      <c r="F38" s="34"/>
      <c r="G38" s="35"/>
      <c r="H38" s="36" t="str">
        <f aca="false">IF(OR(F38="",G38=""),"",F38*G38)</f>
        <v/>
      </c>
      <c r="I38" s="37"/>
      <c r="J38" s="38" t="str">
        <f aca="false">IF(AND(I38="Ja",ISNUMBER(E38),E38&gt;0),F38/E38*100,"")</f>
        <v/>
      </c>
      <c r="K38" s="39"/>
      <c r="L38" s="39"/>
      <c r="M38" s="39"/>
      <c r="N38" s="39"/>
    </row>
    <row r="39" customFormat="false" ht="19.5" hidden="false" customHeight="true" outlineLevel="0" collapsed="false">
      <c r="B39" s="30" t="str">
        <f aca="false">IF(C39="","",MAX($B$6:B38)+1)</f>
        <v/>
      </c>
      <c r="C39" s="31"/>
      <c r="D39" s="32"/>
      <c r="E39" s="33" t="str">
        <f aca="false">IF(D39="","",IF(D38="","",D39-D38))</f>
        <v/>
      </c>
      <c r="F39" s="34"/>
      <c r="G39" s="35"/>
      <c r="H39" s="36" t="str">
        <f aca="false">IF(OR(F39="",G39=""),"",F39*G39)</f>
        <v/>
      </c>
      <c r="I39" s="37"/>
      <c r="J39" s="38" t="str">
        <f aca="false">IF(AND(I39="Ja",ISNUMBER(E39),E39&gt;0),F39/E39*100,"")</f>
        <v/>
      </c>
      <c r="K39" s="39"/>
      <c r="L39" s="39"/>
      <c r="M39" s="39"/>
      <c r="N39" s="39"/>
    </row>
    <row r="40" customFormat="false" ht="19.5" hidden="false" customHeight="true" outlineLevel="0" collapsed="false">
      <c r="B40" s="30" t="str">
        <f aca="false">IF(C40="","",MAX($B$6:B39)+1)</f>
        <v/>
      </c>
      <c r="C40" s="31"/>
      <c r="D40" s="32"/>
      <c r="E40" s="33" t="str">
        <f aca="false">IF(D40="","",IF(D39="","",D40-D39))</f>
        <v/>
      </c>
      <c r="F40" s="34"/>
      <c r="G40" s="35"/>
      <c r="H40" s="36" t="str">
        <f aca="false">IF(OR(F40="",G40=""),"",F40*G40)</f>
        <v/>
      </c>
      <c r="I40" s="37"/>
      <c r="J40" s="38" t="str">
        <f aca="false">IF(AND(I40="Ja",ISNUMBER(E40),E40&gt;0),F40/E40*100,"")</f>
        <v/>
      </c>
      <c r="K40" s="39"/>
      <c r="L40" s="39"/>
      <c r="M40" s="39"/>
      <c r="N40" s="39"/>
    </row>
    <row r="41" customFormat="false" ht="19.5" hidden="false" customHeight="true" outlineLevel="0" collapsed="false">
      <c r="B41" s="30" t="str">
        <f aca="false">IF(C41="","",MAX($B$6:B40)+1)</f>
        <v/>
      </c>
      <c r="C41" s="31"/>
      <c r="D41" s="32"/>
      <c r="E41" s="33" t="str">
        <f aca="false">IF(D41="","",IF(D40="","",D41-D40))</f>
        <v/>
      </c>
      <c r="F41" s="34"/>
      <c r="G41" s="35"/>
      <c r="H41" s="36" t="str">
        <f aca="false">IF(OR(F41="",G41=""),"",F41*G41)</f>
        <v/>
      </c>
      <c r="I41" s="37"/>
      <c r="J41" s="38" t="str">
        <f aca="false">IF(AND(I41="Ja",ISNUMBER(E41),E41&gt;0),F41/E41*100,"")</f>
        <v/>
      </c>
      <c r="K41" s="39"/>
      <c r="L41" s="39"/>
      <c r="M41" s="39"/>
      <c r="N41" s="39"/>
    </row>
    <row r="42" customFormat="false" ht="19.5" hidden="false" customHeight="true" outlineLevel="0" collapsed="false">
      <c r="B42" s="30" t="str">
        <f aca="false">IF(C42="","",MAX($B$6:B41)+1)</f>
        <v/>
      </c>
      <c r="C42" s="31"/>
      <c r="D42" s="32"/>
      <c r="E42" s="33" t="str">
        <f aca="false">IF(D42="","",IF(D41="","",D42-D41))</f>
        <v/>
      </c>
      <c r="F42" s="34"/>
      <c r="G42" s="35"/>
      <c r="H42" s="36" t="str">
        <f aca="false">IF(OR(F42="",G42=""),"",F42*G42)</f>
        <v/>
      </c>
      <c r="I42" s="37"/>
      <c r="J42" s="38" t="str">
        <f aca="false">IF(AND(I42="Ja",ISNUMBER(E42),E42&gt;0),F42/E42*100,"")</f>
        <v/>
      </c>
      <c r="K42" s="39"/>
      <c r="L42" s="39"/>
      <c r="M42" s="39"/>
      <c r="N42" s="39"/>
    </row>
    <row r="43" customFormat="false" ht="19.5" hidden="false" customHeight="true" outlineLevel="0" collapsed="false">
      <c r="B43" s="30" t="str">
        <f aca="false">IF(C43="","",MAX($B$6:B42)+1)</f>
        <v/>
      </c>
      <c r="C43" s="31"/>
      <c r="D43" s="32"/>
      <c r="E43" s="33" t="str">
        <f aca="false">IF(D43="","",IF(D42="","",D43-D42))</f>
        <v/>
      </c>
      <c r="F43" s="34"/>
      <c r="G43" s="35"/>
      <c r="H43" s="36" t="str">
        <f aca="false">IF(OR(F43="",G43=""),"",F43*G43)</f>
        <v/>
      </c>
      <c r="I43" s="37"/>
      <c r="J43" s="38" t="str">
        <f aca="false">IF(AND(I43="Ja",ISNUMBER(E43),E43&gt;0),F43/E43*100,"")</f>
        <v/>
      </c>
      <c r="K43" s="39"/>
      <c r="L43" s="39"/>
      <c r="M43" s="39"/>
      <c r="N43" s="39"/>
    </row>
    <row r="44" customFormat="false" ht="19.5" hidden="false" customHeight="true" outlineLevel="0" collapsed="false">
      <c r="B44" s="30" t="str">
        <f aca="false">IF(C44="","",MAX($B$6:B43)+1)</f>
        <v/>
      </c>
      <c r="C44" s="31"/>
      <c r="D44" s="32"/>
      <c r="E44" s="33" t="str">
        <f aca="false">IF(D44="","",IF(D43="","",D44-D43))</f>
        <v/>
      </c>
      <c r="F44" s="34"/>
      <c r="G44" s="35"/>
      <c r="H44" s="36" t="str">
        <f aca="false">IF(OR(F44="",G44=""),"",F44*G44)</f>
        <v/>
      </c>
      <c r="I44" s="37"/>
      <c r="J44" s="38" t="str">
        <f aca="false">IF(AND(I44="Ja",ISNUMBER(E44),E44&gt;0),F44/E44*100,"")</f>
        <v/>
      </c>
      <c r="K44" s="39"/>
      <c r="L44" s="39"/>
      <c r="M44" s="39"/>
      <c r="N44" s="39"/>
    </row>
    <row r="45" customFormat="false" ht="19.5" hidden="false" customHeight="true" outlineLevel="0" collapsed="false">
      <c r="B45" s="30" t="str">
        <f aca="false">IF(C45="","",MAX($B$6:B44)+1)</f>
        <v/>
      </c>
      <c r="C45" s="31"/>
      <c r="D45" s="32"/>
      <c r="E45" s="33" t="str">
        <f aca="false">IF(D45="","",IF(D44="","",D45-D44))</f>
        <v/>
      </c>
      <c r="F45" s="34"/>
      <c r="G45" s="35"/>
      <c r="H45" s="36" t="str">
        <f aca="false">IF(OR(F45="",G45=""),"",F45*G45)</f>
        <v/>
      </c>
      <c r="I45" s="37"/>
      <c r="J45" s="38" t="str">
        <f aca="false">IF(AND(I45="Ja",ISNUMBER(E45),E45&gt;0),F45/E45*100,"")</f>
        <v/>
      </c>
      <c r="K45" s="39"/>
      <c r="L45" s="39"/>
      <c r="M45" s="39"/>
      <c r="N45" s="39"/>
    </row>
    <row r="46" customFormat="false" ht="19.5" hidden="false" customHeight="true" outlineLevel="0" collapsed="false">
      <c r="B46" s="30" t="str">
        <f aca="false">IF(C46="","",MAX($B$6:B45)+1)</f>
        <v/>
      </c>
      <c r="C46" s="31"/>
      <c r="D46" s="32"/>
      <c r="E46" s="33" t="str">
        <f aca="false">IF(D46="","",IF(D45="","",D46-D45))</f>
        <v/>
      </c>
      <c r="F46" s="34"/>
      <c r="G46" s="35"/>
      <c r="H46" s="36" t="str">
        <f aca="false">IF(OR(F46="",G46=""),"",F46*G46)</f>
        <v/>
      </c>
      <c r="I46" s="37"/>
      <c r="J46" s="38" t="str">
        <f aca="false">IF(AND(I46="Ja",ISNUMBER(E46),E46&gt;0),F46/E46*100,"")</f>
        <v/>
      </c>
      <c r="K46" s="39"/>
      <c r="L46" s="39"/>
      <c r="M46" s="39"/>
      <c r="N46" s="39"/>
    </row>
    <row r="47" customFormat="false" ht="19.5" hidden="false" customHeight="true" outlineLevel="0" collapsed="false">
      <c r="B47" s="30" t="str">
        <f aca="false">IF(C47="","",MAX($B$6:B46)+1)</f>
        <v/>
      </c>
      <c r="C47" s="31"/>
      <c r="D47" s="32"/>
      <c r="E47" s="33" t="str">
        <f aca="false">IF(D47="","",IF(D46="","",D47-D46))</f>
        <v/>
      </c>
      <c r="F47" s="34"/>
      <c r="G47" s="35"/>
      <c r="H47" s="36" t="str">
        <f aca="false">IF(OR(F47="",G47=""),"",F47*G47)</f>
        <v/>
      </c>
      <c r="I47" s="37"/>
      <c r="J47" s="38" t="str">
        <f aca="false">IF(AND(I47="Ja",ISNUMBER(E47),E47&gt;0),F47/E47*100,"")</f>
        <v/>
      </c>
      <c r="K47" s="39"/>
      <c r="L47" s="39"/>
      <c r="M47" s="39"/>
      <c r="N47" s="39"/>
    </row>
    <row r="48" customFormat="false" ht="19.5" hidden="false" customHeight="true" outlineLevel="0" collapsed="false">
      <c r="B48" s="30" t="str">
        <f aca="false">IF(C48="","",MAX($B$6:B47)+1)</f>
        <v/>
      </c>
      <c r="C48" s="31"/>
      <c r="D48" s="32"/>
      <c r="E48" s="33" t="str">
        <f aca="false">IF(D48="","",IF(D47="","",D48-D47))</f>
        <v/>
      </c>
      <c r="F48" s="34"/>
      <c r="G48" s="35"/>
      <c r="H48" s="36" t="str">
        <f aca="false">IF(OR(F48="",G48=""),"",F48*G48)</f>
        <v/>
      </c>
      <c r="I48" s="37"/>
      <c r="J48" s="38" t="str">
        <f aca="false">IF(AND(I48="Ja",ISNUMBER(E48),E48&gt;0),F48/E48*100,"")</f>
        <v/>
      </c>
      <c r="K48" s="39"/>
      <c r="L48" s="39"/>
      <c r="M48" s="39"/>
      <c r="N48" s="39"/>
    </row>
    <row r="49" customFormat="false" ht="19.5" hidden="false" customHeight="true" outlineLevel="0" collapsed="false">
      <c r="B49" s="30" t="str">
        <f aca="false">IF(C49="","",MAX($B$6:B48)+1)</f>
        <v/>
      </c>
      <c r="C49" s="31"/>
      <c r="D49" s="32"/>
      <c r="E49" s="33" t="str">
        <f aca="false">IF(D49="","",IF(D48="","",D49-D48))</f>
        <v/>
      </c>
      <c r="F49" s="34"/>
      <c r="G49" s="35"/>
      <c r="H49" s="36" t="str">
        <f aca="false">IF(OR(F49="",G49=""),"",F49*G49)</f>
        <v/>
      </c>
      <c r="I49" s="37"/>
      <c r="J49" s="38" t="str">
        <f aca="false">IF(AND(I49="Ja",ISNUMBER(E49),E49&gt;0),F49/E49*100,"")</f>
        <v/>
      </c>
      <c r="K49" s="39"/>
      <c r="L49" s="39"/>
      <c r="M49" s="39"/>
      <c r="N49" s="39"/>
    </row>
    <row r="50" customFormat="false" ht="19.5" hidden="false" customHeight="true" outlineLevel="0" collapsed="false">
      <c r="B50" s="30" t="str">
        <f aca="false">IF(C50="","",MAX($B$6:B49)+1)</f>
        <v/>
      </c>
      <c r="C50" s="31"/>
      <c r="D50" s="32"/>
      <c r="E50" s="33" t="str">
        <f aca="false">IF(D50="","",IF(D49="","",D50-D49))</f>
        <v/>
      </c>
      <c r="F50" s="34"/>
      <c r="G50" s="35"/>
      <c r="H50" s="36" t="str">
        <f aca="false">IF(OR(F50="",G50=""),"",F50*G50)</f>
        <v/>
      </c>
      <c r="I50" s="37"/>
      <c r="J50" s="38" t="str">
        <f aca="false">IF(AND(I50="Ja",ISNUMBER(E50),E50&gt;0),F50/E50*100,"")</f>
        <v/>
      </c>
      <c r="K50" s="39"/>
      <c r="L50" s="39"/>
      <c r="M50" s="39"/>
      <c r="N50" s="39"/>
    </row>
    <row r="52" customFormat="false" ht="30" hidden="false" customHeight="true" outlineLevel="0" collapsed="false">
      <c r="B52" s="40" t="s">
        <v>73</v>
      </c>
      <c r="C52" s="40"/>
      <c r="D52" s="40"/>
      <c r="E52" s="41" t="n">
        <f aca="false">SUM(E7:E50)</f>
        <v>15891</v>
      </c>
      <c r="F52" s="42" t="n">
        <f aca="false">SUM(F6:F50)</f>
        <v>1136.76</v>
      </c>
      <c r="G52" s="43" t="n">
        <f aca="false">IFERROR(H52/F52,"")</f>
        <v>1.69827103346353</v>
      </c>
      <c r="H52" s="44" t="n">
        <f aca="false">SUM(H6:H50)</f>
        <v>1930.52658</v>
      </c>
      <c r="I52" s="45" t="s">
        <v>74</v>
      </c>
      <c r="J52" s="46" t="n">
        <f aca="false">IFERROR(F52/E52*100,"")</f>
        <v>7.15348310364357</v>
      </c>
      <c r="K52" s="47"/>
      <c r="L52" s="47"/>
      <c r="M52" s="47"/>
      <c r="N52" s="47"/>
    </row>
  </sheetData>
  <mergeCells count="5">
    <mergeCell ref="B1:N1"/>
    <mergeCell ref="B2:N2"/>
    <mergeCell ref="C3:E3"/>
    <mergeCell ref="F3:H3"/>
    <mergeCell ref="B52:D52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4" min="3" style="0" width="15"/>
    <col collapsed="false" customWidth="true" hidden="false" outlineLevel="0" max="8" min="5" style="0" width="18"/>
    <col collapsed="false" customWidth="true" hidden="false" outlineLevel="0" max="9" min="9" style="0" width="3"/>
  </cols>
  <sheetData>
    <row r="1" customFormat="false" ht="33.75" hidden="false" customHeight="true" outlineLevel="0" collapsed="false">
      <c r="B1" s="24" t="s">
        <v>75</v>
      </c>
      <c r="C1" s="24"/>
      <c r="D1" s="24"/>
      <c r="E1" s="24"/>
      <c r="F1" s="24"/>
      <c r="G1" s="24"/>
      <c r="H1" s="24"/>
    </row>
    <row r="2" customFormat="false" ht="21.75" hidden="false" customHeight="true" outlineLevel="0" collapsed="false">
      <c r="B2" s="25" t="s">
        <v>76</v>
      </c>
      <c r="C2" s="25"/>
      <c r="D2" s="25"/>
      <c r="E2" s="25"/>
      <c r="F2" s="25"/>
      <c r="G2" s="25"/>
      <c r="H2" s="25"/>
    </row>
    <row r="4" customFormat="false" ht="37.5" hidden="false" customHeight="true" outlineLevel="0" collapsed="false">
      <c r="B4" s="29" t="s">
        <v>77</v>
      </c>
      <c r="C4" s="29" t="s">
        <v>78</v>
      </c>
      <c r="D4" s="29" t="s">
        <v>43</v>
      </c>
      <c r="E4" s="29" t="s">
        <v>42</v>
      </c>
      <c r="F4" s="29" t="s">
        <v>79</v>
      </c>
      <c r="G4" s="29" t="s">
        <v>80</v>
      </c>
      <c r="H4" s="29" t="s">
        <v>29</v>
      </c>
    </row>
    <row r="5" customFormat="false" ht="21.75" hidden="false" customHeight="true" outlineLevel="0" collapsed="false">
      <c r="B5" s="48" t="s">
        <v>81</v>
      </c>
      <c r="C5" s="49" t="n">
        <f aca="false">COUNTIFS(Tankvorgänge!$C$6:$C$50,"&gt;="&amp;DATE(2026,1,1),Tankvorgänge!$C$6:$C$50,"&lt;="&amp;DATE(2026,2,1)-1)</f>
        <v>4</v>
      </c>
      <c r="D5" s="50" t="n">
        <f aca="false">SUMIFS(Tankvorgänge!$F$6:$F$50,Tankvorgänge!$C$6:$C$50,"&gt;="&amp;DATE(2026,1,1),Tankvorgänge!$C$6:$C$50,"&lt;="&amp;DATE(2026,2,1)-1)</f>
        <v>197.51</v>
      </c>
      <c r="E5" s="49" t="n">
        <f aca="false">SUMIFS(Tankvorgänge!$E$6:$E$50,Tankvorgänge!$C$6:$C$50,"&gt;="&amp;DATE(2026,1,1),Tankvorgänge!$C$6:$C$50,"&lt;="&amp;DATE(2026,2,1)-1)</f>
        <v>2111</v>
      </c>
      <c r="F5" s="51" t="n">
        <f aca="false">SUMIFS(Tankvorgänge!$H$6:$H$50,Tankvorgänge!$C$6:$C$50,"&gt;="&amp;DATE(2026,1,1),Tankvorgänge!$C$6:$C$50,"&lt;="&amp;DATE(2026,2,1)-1)</f>
        <v>334.37203</v>
      </c>
      <c r="G5" s="52" t="n">
        <f aca="false">IFERROR(F5/D5,"")</f>
        <v>1.69293721836869</v>
      </c>
      <c r="H5" s="53" t="n">
        <f aca="false">IFERROR(D5/E5*100,"")</f>
        <v>9.35622927522501</v>
      </c>
    </row>
    <row r="6" customFormat="false" ht="21.75" hidden="false" customHeight="true" outlineLevel="0" collapsed="false">
      <c r="B6" s="48" t="s">
        <v>82</v>
      </c>
      <c r="C6" s="54" t="n">
        <f aca="false">COUNTIFS(Tankvorgänge!$C$6:$C$50,"&gt;="&amp;DATE(2026,2,1),Tankvorgänge!$C$6:$C$50,"&lt;="&amp;DATE(2026,3,1)-1)</f>
        <v>3</v>
      </c>
      <c r="D6" s="55" t="n">
        <f aca="false">SUMIFS(Tankvorgänge!$F$6:$F$50,Tankvorgänge!$C$6:$C$50,"&gt;="&amp;DATE(2026,2,1),Tankvorgänge!$C$6:$C$50,"&lt;="&amp;DATE(2026,3,1)-1)</f>
        <v>150.75</v>
      </c>
      <c r="E6" s="54" t="n">
        <f aca="false">SUMIFS(Tankvorgänge!$E$6:$E$50,Tankvorgänge!$C$6:$C$50,"&gt;="&amp;DATE(2026,2,1),Tankvorgänge!$C$6:$C$50,"&lt;="&amp;DATE(2026,3,1)-1)</f>
        <v>2186</v>
      </c>
      <c r="F6" s="56" t="n">
        <f aca="false">SUMIFS(Tankvorgänge!$H$6:$H$50,Tankvorgänge!$C$6:$C$50,"&gt;="&amp;DATE(2026,2,1),Tankvorgänge!$C$6:$C$50,"&lt;="&amp;DATE(2026,3,1)-1)</f>
        <v>261.7453</v>
      </c>
      <c r="G6" s="57" t="n">
        <f aca="false">IFERROR(F6/D6,"")</f>
        <v>1.7362872305141</v>
      </c>
      <c r="H6" s="58" t="n">
        <f aca="false">IFERROR(D6/E6*100,"")</f>
        <v>6.89615736505032</v>
      </c>
    </row>
    <row r="7" customFormat="false" ht="21.75" hidden="false" customHeight="true" outlineLevel="0" collapsed="false">
      <c r="B7" s="48" t="s">
        <v>83</v>
      </c>
      <c r="C7" s="49" t="n">
        <f aca="false">COUNTIFS(Tankvorgänge!$C$6:$C$50,"&gt;="&amp;DATE(2026,3,1),Tankvorgänge!$C$6:$C$50,"&lt;="&amp;DATE(2026,4,1)-1)</f>
        <v>4</v>
      </c>
      <c r="D7" s="50" t="n">
        <f aca="false">SUMIFS(Tankvorgänge!$F$6:$F$50,Tankvorgänge!$C$6:$C$50,"&gt;="&amp;DATE(2026,3,1),Tankvorgänge!$C$6:$C$50,"&lt;="&amp;DATE(2026,4,1)-1)</f>
        <v>200.05</v>
      </c>
      <c r="E7" s="49" t="n">
        <f aca="false">SUMIFS(Tankvorgänge!$E$6:$E$50,Tankvorgänge!$C$6:$C$50,"&gt;="&amp;DATE(2026,3,1),Tankvorgänge!$C$6:$C$50,"&lt;="&amp;DATE(2026,4,1)-1)</f>
        <v>2940</v>
      </c>
      <c r="F7" s="51" t="n">
        <f aca="false">SUMIFS(Tankvorgänge!$H$6:$H$50,Tankvorgänge!$C$6:$C$50,"&gt;="&amp;DATE(2026,3,1),Tankvorgänge!$C$6:$C$50,"&lt;="&amp;DATE(2026,4,1)-1)</f>
        <v>336.49325</v>
      </c>
      <c r="G7" s="52" t="n">
        <f aca="false">IFERROR(F7/D7,"")</f>
        <v>1.68204573856536</v>
      </c>
      <c r="H7" s="53" t="n">
        <f aca="false">IFERROR(D7/E7*100,"")</f>
        <v>6.80442176870748</v>
      </c>
    </row>
    <row r="8" customFormat="false" ht="21.75" hidden="false" customHeight="true" outlineLevel="0" collapsed="false">
      <c r="B8" s="48" t="s">
        <v>84</v>
      </c>
      <c r="C8" s="54" t="n">
        <f aca="false">COUNTIFS(Tankvorgänge!$C$6:$C$50,"&gt;="&amp;DATE(2026,4,1),Tankvorgänge!$C$6:$C$50,"&lt;="&amp;DATE(2026,5,1)-1)</f>
        <v>3</v>
      </c>
      <c r="D8" s="55" t="n">
        <f aca="false">SUMIFS(Tankvorgänge!$F$6:$F$50,Tankvorgänge!$C$6:$C$50,"&gt;="&amp;DATE(2026,4,1),Tankvorgänge!$C$6:$C$50,"&lt;="&amp;DATE(2026,5,1)-1)</f>
        <v>151.2</v>
      </c>
      <c r="E8" s="54" t="n">
        <f aca="false">SUMIFS(Tankvorgänge!$E$6:$E$50,Tankvorgänge!$C$6:$C$50,"&gt;="&amp;DATE(2026,4,1),Tankvorgänge!$C$6:$C$50,"&lt;="&amp;DATE(2026,5,1)-1)</f>
        <v>2234</v>
      </c>
      <c r="F8" s="56" t="n">
        <f aca="false">SUMIFS(Tankvorgänge!$H$6:$H$50,Tankvorgänge!$C$6:$C$50,"&gt;="&amp;DATE(2026,4,1),Tankvorgänge!$C$6:$C$50,"&lt;="&amp;DATE(2026,5,1)-1)</f>
        <v>248.93975</v>
      </c>
      <c r="G8" s="57" t="n">
        <f aca="false">IFERROR(F8/D8,"")</f>
        <v>1.64642691798942</v>
      </c>
      <c r="H8" s="58" t="n">
        <f aca="false">IFERROR(D8/E8*100,"")</f>
        <v>6.76812891674127</v>
      </c>
    </row>
    <row r="9" customFormat="false" ht="21.75" hidden="false" customHeight="true" outlineLevel="0" collapsed="false">
      <c r="B9" s="48" t="s">
        <v>85</v>
      </c>
      <c r="C9" s="49" t="n">
        <f aca="false">COUNTIFS(Tankvorgänge!$C$6:$C$50,"&gt;="&amp;DATE(2026,5,1),Tankvorgänge!$C$6:$C$50,"&lt;="&amp;DATE(2026,6,1)-1)</f>
        <v>4</v>
      </c>
      <c r="D9" s="50" t="n">
        <f aca="false">SUMIFS(Tankvorgänge!$F$6:$F$50,Tankvorgänge!$C$6:$C$50,"&gt;="&amp;DATE(2026,5,1),Tankvorgänge!$C$6:$C$50,"&lt;="&amp;DATE(2026,6,1)-1)</f>
        <v>186.5</v>
      </c>
      <c r="E9" s="49" t="n">
        <f aca="false">SUMIFS(Tankvorgänge!$E$6:$E$50,Tankvorgänge!$C$6:$C$50,"&gt;="&amp;DATE(2026,5,1),Tankvorgänge!$C$6:$C$50,"&lt;="&amp;DATE(2026,6,1)-1)</f>
        <v>2733</v>
      </c>
      <c r="F9" s="51" t="n">
        <f aca="false">SUMIFS(Tankvorgänge!$H$6:$H$50,Tankvorgänge!$C$6:$C$50,"&gt;="&amp;DATE(2026,5,1),Tankvorgänge!$C$6:$C$50,"&lt;="&amp;DATE(2026,6,1)-1)</f>
        <v>313.9627</v>
      </c>
      <c r="G9" s="52" t="n">
        <f aca="false">IFERROR(F9/D9,"")</f>
        <v>1.68344611260054</v>
      </c>
      <c r="H9" s="53" t="n">
        <f aca="false">IFERROR(D9/E9*100,"")</f>
        <v>6.82400292718624</v>
      </c>
    </row>
    <row r="10" customFormat="false" ht="21.75" hidden="false" customHeight="true" outlineLevel="0" collapsed="false">
      <c r="B10" s="48" t="s">
        <v>86</v>
      </c>
      <c r="C10" s="54" t="n">
        <f aca="false">COUNTIFS(Tankvorgänge!$C$6:$C$50,"&gt;="&amp;DATE(2026,6,1),Tankvorgänge!$C$6:$C$50,"&lt;="&amp;DATE(2026,7,1)-1)</f>
        <v>3</v>
      </c>
      <c r="D10" s="55" t="n">
        <f aca="false">SUMIFS(Tankvorgänge!$F$6:$F$50,Tankvorgänge!$C$6:$C$50,"&gt;="&amp;DATE(2026,6,1),Tankvorgänge!$C$6:$C$50,"&lt;="&amp;DATE(2026,7,1)-1)</f>
        <v>149.5</v>
      </c>
      <c r="E10" s="54" t="n">
        <f aca="false">SUMIFS(Tankvorgänge!$E$6:$E$50,Tankvorgänge!$C$6:$C$50,"&gt;="&amp;DATE(2026,6,1),Tankvorgänge!$C$6:$C$50,"&lt;="&amp;DATE(2026,7,1)-1)</f>
        <v>2211</v>
      </c>
      <c r="F10" s="56" t="n">
        <f aca="false">SUMIFS(Tankvorgänge!$H$6:$H$50,Tankvorgänge!$C$6:$C$50,"&gt;="&amp;DATE(2026,6,1),Tankvorgänge!$C$6:$C$50,"&lt;="&amp;DATE(2026,7,1)-1)</f>
        <v>257.6782</v>
      </c>
      <c r="G10" s="57" t="n">
        <f aca="false">IFERROR(F10/D10,"")</f>
        <v>1.7236</v>
      </c>
      <c r="H10" s="58" t="n">
        <f aca="false">IFERROR(D10/E10*100,"")</f>
        <v>6.76164631388512</v>
      </c>
    </row>
    <row r="11" customFormat="false" ht="21.75" hidden="false" customHeight="true" outlineLevel="0" collapsed="false">
      <c r="B11" s="48" t="s">
        <v>87</v>
      </c>
      <c r="C11" s="49" t="n">
        <f aca="false">COUNTIFS(Tankvorgänge!$C$6:$C$50,"&gt;="&amp;DATE(2026,7,1),Tankvorgänge!$C$6:$C$50,"&lt;="&amp;DATE(2026,8,1)-1)</f>
        <v>2</v>
      </c>
      <c r="D11" s="50" t="n">
        <f aca="false">SUMIFS(Tankvorgänge!$F$6:$F$50,Tankvorgänge!$C$6:$C$50,"&gt;="&amp;DATE(2026,7,1),Tankvorgänge!$C$6:$C$50,"&lt;="&amp;DATE(2026,8,1)-1)</f>
        <v>101.25</v>
      </c>
      <c r="E11" s="49" t="n">
        <f aca="false">SUMIFS(Tankvorgänge!$E$6:$E$50,Tankvorgänge!$C$6:$C$50,"&gt;="&amp;DATE(2026,7,1),Tankvorgänge!$C$6:$C$50,"&lt;="&amp;DATE(2026,8,1)-1)</f>
        <v>1476</v>
      </c>
      <c r="F11" s="51" t="n">
        <f aca="false">SUMIFS(Tankvorgänge!$H$6:$H$50,Tankvorgänge!$C$6:$C$50,"&gt;="&amp;DATE(2026,7,1),Tankvorgänge!$C$6:$C$50,"&lt;="&amp;DATE(2026,8,1)-1)</f>
        <v>177.33535</v>
      </c>
      <c r="G11" s="52" t="n">
        <f aca="false">IFERROR(F11/D11,"")</f>
        <v>1.75146024691358</v>
      </c>
      <c r="H11" s="53" t="n">
        <f aca="false">IFERROR(D11/E11*100,"")</f>
        <v>6.85975609756098</v>
      </c>
    </row>
    <row r="12" customFormat="false" ht="21.75" hidden="false" customHeight="true" outlineLevel="0" collapsed="false">
      <c r="B12" s="48" t="s">
        <v>88</v>
      </c>
      <c r="C12" s="54" t="n">
        <f aca="false">COUNTIFS(Tankvorgänge!$C$6:$C$50,"&gt;="&amp;DATE(2026,8,1),Tankvorgänge!$C$6:$C$50,"&lt;="&amp;DATE(2026,9,1)-1)</f>
        <v>0</v>
      </c>
      <c r="D12" s="55" t="n">
        <f aca="false">SUMIFS(Tankvorgänge!$F$6:$F$50,Tankvorgänge!$C$6:$C$50,"&gt;="&amp;DATE(2026,8,1),Tankvorgänge!$C$6:$C$50,"&lt;="&amp;DATE(2026,9,1)-1)</f>
        <v>0</v>
      </c>
      <c r="E12" s="54" t="n">
        <f aca="false">SUMIFS(Tankvorgänge!$E$6:$E$50,Tankvorgänge!$C$6:$C$50,"&gt;="&amp;DATE(2026,8,1),Tankvorgänge!$C$6:$C$50,"&lt;="&amp;DATE(2026,9,1)-1)</f>
        <v>0</v>
      </c>
      <c r="F12" s="56" t="n">
        <f aca="false">SUMIFS(Tankvorgänge!$H$6:$H$50,Tankvorgänge!$C$6:$C$50,"&gt;="&amp;DATE(2026,8,1),Tankvorgänge!$C$6:$C$50,"&lt;="&amp;DATE(2026,9,1)-1)</f>
        <v>0</v>
      </c>
      <c r="G12" s="57" t="str">
        <f aca="false">IFERROR(F12/D12,"")</f>
        <v/>
      </c>
      <c r="H12" s="58" t="str">
        <f aca="false">IFERROR(D12/E12*100,"")</f>
        <v/>
      </c>
    </row>
    <row r="13" customFormat="false" ht="21.75" hidden="false" customHeight="true" outlineLevel="0" collapsed="false">
      <c r="B13" s="48" t="s">
        <v>89</v>
      </c>
      <c r="C13" s="49" t="n">
        <f aca="false">COUNTIFS(Tankvorgänge!$C$6:$C$50,"&gt;="&amp;DATE(2026,9,1),Tankvorgänge!$C$6:$C$50,"&lt;="&amp;DATE(2026,10,1)-1)</f>
        <v>0</v>
      </c>
      <c r="D13" s="50" t="n">
        <f aca="false">SUMIFS(Tankvorgänge!$F$6:$F$50,Tankvorgänge!$C$6:$C$50,"&gt;="&amp;DATE(2026,9,1),Tankvorgänge!$C$6:$C$50,"&lt;="&amp;DATE(2026,10,1)-1)</f>
        <v>0</v>
      </c>
      <c r="E13" s="49" t="n">
        <f aca="false">SUMIFS(Tankvorgänge!$E$6:$E$50,Tankvorgänge!$C$6:$C$50,"&gt;="&amp;DATE(2026,9,1),Tankvorgänge!$C$6:$C$50,"&lt;="&amp;DATE(2026,10,1)-1)</f>
        <v>0</v>
      </c>
      <c r="F13" s="51" t="n">
        <f aca="false">SUMIFS(Tankvorgänge!$H$6:$H$50,Tankvorgänge!$C$6:$C$50,"&gt;="&amp;DATE(2026,9,1),Tankvorgänge!$C$6:$C$50,"&lt;="&amp;DATE(2026,10,1)-1)</f>
        <v>0</v>
      </c>
      <c r="G13" s="52" t="str">
        <f aca="false">IFERROR(F13/D13,"")</f>
        <v/>
      </c>
      <c r="H13" s="53" t="str">
        <f aca="false">IFERROR(D13/E13*100,"")</f>
        <v/>
      </c>
    </row>
    <row r="14" customFormat="false" ht="21.75" hidden="false" customHeight="true" outlineLevel="0" collapsed="false">
      <c r="B14" s="48" t="s">
        <v>90</v>
      </c>
      <c r="C14" s="54" t="n">
        <f aca="false">COUNTIFS(Tankvorgänge!$C$6:$C$50,"&gt;="&amp;DATE(2026,10,1),Tankvorgänge!$C$6:$C$50,"&lt;="&amp;DATE(2026,11,1)-1)</f>
        <v>0</v>
      </c>
      <c r="D14" s="55" t="n">
        <f aca="false">SUMIFS(Tankvorgänge!$F$6:$F$50,Tankvorgänge!$C$6:$C$50,"&gt;="&amp;DATE(2026,10,1),Tankvorgänge!$C$6:$C$50,"&lt;="&amp;DATE(2026,11,1)-1)</f>
        <v>0</v>
      </c>
      <c r="E14" s="54" t="n">
        <f aca="false">SUMIFS(Tankvorgänge!$E$6:$E$50,Tankvorgänge!$C$6:$C$50,"&gt;="&amp;DATE(2026,10,1),Tankvorgänge!$C$6:$C$50,"&lt;="&amp;DATE(2026,11,1)-1)</f>
        <v>0</v>
      </c>
      <c r="F14" s="56" t="n">
        <f aca="false">SUMIFS(Tankvorgänge!$H$6:$H$50,Tankvorgänge!$C$6:$C$50,"&gt;="&amp;DATE(2026,10,1),Tankvorgänge!$C$6:$C$50,"&lt;="&amp;DATE(2026,11,1)-1)</f>
        <v>0</v>
      </c>
      <c r="G14" s="57" t="str">
        <f aca="false">IFERROR(F14/D14,"")</f>
        <v/>
      </c>
      <c r="H14" s="58" t="str">
        <f aca="false">IFERROR(D14/E14*100,"")</f>
        <v/>
      </c>
    </row>
    <row r="15" customFormat="false" ht="21.75" hidden="false" customHeight="true" outlineLevel="0" collapsed="false">
      <c r="B15" s="48" t="s">
        <v>91</v>
      </c>
      <c r="C15" s="49" t="n">
        <f aca="false">COUNTIFS(Tankvorgänge!$C$6:$C$50,"&gt;="&amp;DATE(2026,11,1),Tankvorgänge!$C$6:$C$50,"&lt;="&amp;DATE(2026,12,1)-1)</f>
        <v>0</v>
      </c>
      <c r="D15" s="50" t="n">
        <f aca="false">SUMIFS(Tankvorgänge!$F$6:$F$50,Tankvorgänge!$C$6:$C$50,"&gt;="&amp;DATE(2026,11,1),Tankvorgänge!$C$6:$C$50,"&lt;="&amp;DATE(2026,12,1)-1)</f>
        <v>0</v>
      </c>
      <c r="E15" s="49" t="n">
        <f aca="false">SUMIFS(Tankvorgänge!$E$6:$E$50,Tankvorgänge!$C$6:$C$50,"&gt;="&amp;DATE(2026,11,1),Tankvorgänge!$C$6:$C$50,"&lt;="&amp;DATE(2026,12,1)-1)</f>
        <v>0</v>
      </c>
      <c r="F15" s="51" t="n">
        <f aca="false">SUMIFS(Tankvorgänge!$H$6:$H$50,Tankvorgänge!$C$6:$C$50,"&gt;="&amp;DATE(2026,11,1),Tankvorgänge!$C$6:$C$50,"&lt;="&amp;DATE(2026,12,1)-1)</f>
        <v>0</v>
      </c>
      <c r="G15" s="52" t="str">
        <f aca="false">IFERROR(F15/D15,"")</f>
        <v/>
      </c>
      <c r="H15" s="53" t="str">
        <f aca="false">IFERROR(D15/E15*100,"")</f>
        <v/>
      </c>
    </row>
    <row r="16" customFormat="false" ht="21.75" hidden="false" customHeight="true" outlineLevel="0" collapsed="false">
      <c r="B16" s="48" t="s">
        <v>92</v>
      </c>
      <c r="C16" s="54" t="n">
        <f aca="false">COUNTIFS(Tankvorgänge!$C$6:$C$50,"&gt;="&amp;DATE(2026,12,1),Tankvorgänge!$C$6:$C$50,"&lt;="&amp;DATE(2026,12,31))</f>
        <v>0</v>
      </c>
      <c r="D16" s="55" t="n">
        <f aca="false">SUMIFS(Tankvorgänge!$F$6:$F$50,Tankvorgänge!$C$6:$C$50,"&gt;="&amp;DATE(2026,12,1),Tankvorgänge!$C$6:$C$50,"&lt;="&amp;DATE(2026,12,31))</f>
        <v>0</v>
      </c>
      <c r="E16" s="54" t="n">
        <f aca="false">SUMIFS(Tankvorgänge!$E$6:$E$50,Tankvorgänge!$C$6:$C$50,"&gt;="&amp;DATE(2026,12,1),Tankvorgänge!$C$6:$C$50,"&lt;="&amp;DATE(2026,12,31))</f>
        <v>0</v>
      </c>
      <c r="F16" s="56" t="n">
        <f aca="false">SUMIFS(Tankvorgänge!$H$6:$H$50,Tankvorgänge!$C$6:$C$50,"&gt;="&amp;DATE(2026,12,1),Tankvorgänge!$C$6:$C$50,"&lt;="&amp;DATE(2026,12,31))</f>
        <v>0</v>
      </c>
      <c r="G16" s="57" t="str">
        <f aca="false">IFERROR(F16/D16,"")</f>
        <v/>
      </c>
      <c r="H16" s="58" t="str">
        <f aca="false">IFERROR(D16/E16*100,"")</f>
        <v/>
      </c>
    </row>
    <row r="17" customFormat="false" ht="30" hidden="false" customHeight="true" outlineLevel="0" collapsed="false">
      <c r="B17" s="59" t="s">
        <v>93</v>
      </c>
      <c r="C17" s="41" t="n">
        <f aca="false">SUM(C5:C16)</f>
        <v>23</v>
      </c>
      <c r="D17" s="42" t="n">
        <f aca="false">SUM(D5:D16)</f>
        <v>1136.76</v>
      </c>
      <c r="E17" s="41" t="n">
        <f aca="false">SUM(E5:E16)</f>
        <v>15891</v>
      </c>
      <c r="F17" s="44" t="n">
        <f aca="false">SUM(F5:F16)</f>
        <v>1930.52658</v>
      </c>
      <c r="G17" s="43" t="n">
        <f aca="false">IFERROR(F17/D17,"")</f>
        <v>1.69827103346353</v>
      </c>
      <c r="H17" s="46" t="n">
        <f aca="false">IFERROR(D17/E17*100,"")</f>
        <v>7.15348310364357</v>
      </c>
    </row>
  </sheetData>
  <mergeCells count="2">
    <mergeCell ref="B1:H1"/>
    <mergeCell ref="B2:H2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2026-07-13T06:11:24Z</dcterms:created>
  <dc:creator>openpyxl</dc:creator>
  <dc:description/>
  <dc:language>en-US</dc:language>
  <cp:lastModifiedBy/>
  <dcterms:modified xsi:type="dcterms:W3CDTF">2026-07-13T06:11:24Z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