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ndenerfassung" sheetId="1" state="visible" r:id="rId3"/>
    <sheet name="Auswertung" sheetId="2" state="visible" r:id="rId4"/>
    <sheet name="Stammdaten" sheetId="3" state="visible" r:id="rId5"/>
  </sheets>
  <definedNames>
    <definedName function="false" hidden="false" localSheetId="0" name="_xlnm.Print_Area" vbProcedure="false">Stundenerfassung!$A$1:$Q$71</definedName>
    <definedName function="false" hidden="true" localSheetId="0" name="_xlnm._FilterDatabase" vbProcedure="false">Stundenerfassung!$A$8:$Q$68</definedName>
    <definedName function="false" hidden="false" name="Kategorien" vbProcedure="false">Stammdaten!$B$28:$B$35</definedName>
    <definedName function="false" hidden="false" name="Personen" vbProcedure="false">Stammdaten!$B$42:$B$47</definedName>
    <definedName function="false" hidden="false" name="Satz_Tabelle" vbProcedure="false">Stammdaten!$B$28:$C$35</definedName>
    <definedName function="false" hidden="false" name="Soll_Stunden" vbProcedure="false">Stammdaten!$C$17</definedName>
    <definedName function="false" hidden="false" name="Soll_Tabelle" vbProcedure="false">Stammdaten!$B$42:$C$47</definedName>
    <definedName function="false" hidden="false" name="Standardsatz" vbProcedure="false">Stammdaten!$C$18</definedName>
    <definedName function="false" hidden="false" name="Std_pro_Tag" vbProcedure="false">Stammdaten!$C$16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L69" authorId="0">
      <text>
        <r>
          <rPr>
            <sz val="10"/>
            <rFont val="Arial"/>
            <family val="2"/>
          </rPr>
          <t xml:space="preserve">Das Zahlenformat [h]:mm summiert Stunden über 24 hinaus. Mit dem Format hh:mm würde Excel bei jeder vollen 24-Stunden-Grenze wieder bei 0:00 beginnen.</t>
        </r>
      </text>
    </comment>
  </commentList>
</comments>
</file>

<file path=xl/sharedStrings.xml><?xml version="1.0" encoding="utf-8"?>
<sst xmlns="http://schemas.openxmlformats.org/spreadsheetml/2006/main" count="348" uniqueCount="194">
  <si>
    <t xml:space="preserve">Zeitraum von</t>
  </si>
  <si>
    <t xml:space="preserve">Stunden erfassen und addieren</t>
  </si>
  <si>
    <t xml:space="preserve">bis</t>
  </si>
  <si>
    <t xml:space="preserve">Zeiten eintragen – die Vorlage summiert korrekt über 24 Stunden hinaus und rechnet in Dezimalstunden um.</t>
  </si>
  <si>
    <t xml:space="preserve">Summe [h]:mm</t>
  </si>
  <si>
    <t xml:space="preserve">Summe dezimal</t>
  </si>
  <si>
    <t xml:space="preserve">Erfasste Einträge</t>
  </si>
  <si>
    <t xml:space="preserve">Ø je Eintrag</t>
  </si>
  <si>
    <t xml:space="preserve">Abrechenbar</t>
  </si>
  <si>
    <t xml:space="preserve">Betrag gesamt</t>
  </si>
  <si>
    <t xml:space="preserve">Nr.</t>
  </si>
  <si>
    <t xml:space="preserve">Datum</t>
  </si>
  <si>
    <t xml:space="preserve">Tag</t>
  </si>
  <si>
    <t xml:space="preserve">KW</t>
  </si>
  <si>
    <t xml:space="preserve">Mitarbeiter/in</t>
  </si>
  <si>
    <t xml:space="preserve">Kategorie</t>
  </si>
  <si>
    <t xml:space="preserve">Tätigkeit / Vorgang</t>
  </si>
  <si>
    <t xml:space="preserve">Beginn</t>
  </si>
  <si>
    <t xml:space="preserve">Ende</t>
  </si>
  <si>
    <t xml:space="preserve">Pause
(Min.)</t>
  </si>
  <si>
    <t xml:space="preserve">Dauer
manuell</t>
  </si>
  <si>
    <t xml:space="preserve">Dauer
[h]:mm</t>
  </si>
  <si>
    <t xml:space="preserve">Dauer
dezimal</t>
  </si>
  <si>
    <t xml:space="preserve">Abrechen-
bar</t>
  </si>
  <si>
    <t xml:space="preserve">Satz
€/h</t>
  </si>
  <si>
    <t xml:space="preserve">Betrag</t>
  </si>
  <si>
    <t xml:space="preserve">Bemerkung</t>
  </si>
  <si>
    <t xml:space="preserve">M. Behrens</t>
  </si>
  <si>
    <t xml:space="preserve">Projektarbeit</t>
  </si>
  <si>
    <t xml:space="preserve">Konzept Angebotsunterlagen</t>
  </si>
  <si>
    <t xml:space="preserve">Ja</t>
  </si>
  <si>
    <t xml:space="preserve">S. Kowalski</t>
  </si>
  <si>
    <t xml:space="preserve">Kundenbetreuung</t>
  </si>
  <si>
    <t xml:space="preserve">Anfragen bearbeiten</t>
  </si>
  <si>
    <t xml:space="preserve">T. Ferreira</t>
  </si>
  <si>
    <t xml:space="preserve">Montage / Service</t>
  </si>
  <si>
    <t xml:space="preserve">Aufbau vor Ort</t>
  </si>
  <si>
    <t xml:space="preserve">Anfahrt separat</t>
  </si>
  <si>
    <t xml:space="preserve">Fahrzeit</t>
  </si>
  <si>
    <t xml:space="preserve">Rückfahrt Standort Nord</t>
  </si>
  <si>
    <t xml:space="preserve">Nein</t>
  </si>
  <si>
    <t xml:space="preserve">Dauer direkt erfasst</t>
  </si>
  <si>
    <t xml:space="preserve">Abstimmung Leistungsumfang</t>
  </si>
  <si>
    <t xml:space="preserve">A. Lindqvist</t>
  </si>
  <si>
    <t xml:space="preserve">Verwaltung</t>
  </si>
  <si>
    <t xml:space="preserve">Belege erfassen</t>
  </si>
  <si>
    <t xml:space="preserve">Beratung</t>
  </si>
  <si>
    <t xml:space="preserve">Beratungstermin extern</t>
  </si>
  <si>
    <t xml:space="preserve">Inbetriebnahme</t>
  </si>
  <si>
    <t xml:space="preserve">Dokumentation</t>
  </si>
  <si>
    <t xml:space="preserve">Monatsabschluss vorbereiten</t>
  </si>
  <si>
    <t xml:space="preserve">R. Okonkwo</t>
  </si>
  <si>
    <t xml:space="preserve">Wartung</t>
  </si>
  <si>
    <t xml:space="preserve">Turnusprüfung Anlagen</t>
  </si>
  <si>
    <t xml:space="preserve">Reklamation prüfen</t>
  </si>
  <si>
    <t xml:space="preserve">Schulung</t>
  </si>
  <si>
    <t xml:space="preserve">Interne Weiterbildung</t>
  </si>
  <si>
    <t xml:space="preserve">Ganztagsmodul, Teil 1</t>
  </si>
  <si>
    <t xml:space="preserve">Umbau Kundenanlage</t>
  </si>
  <si>
    <t xml:space="preserve">Störungsbehebung</t>
  </si>
  <si>
    <t xml:space="preserve">Nachteinsatz über Mitternacht</t>
  </si>
  <si>
    <t xml:space="preserve">Rechnungsläufe</t>
  </si>
  <si>
    <t xml:space="preserve">Konzeptgespräch</t>
  </si>
  <si>
    <t xml:space="preserve">Kalkulation überarbeiten</t>
  </si>
  <si>
    <t xml:space="preserve">Anfahrt Einsatzort Süd</t>
  </si>
  <si>
    <t xml:space="preserve">Endmontage</t>
  </si>
  <si>
    <t xml:space="preserve">L. Petrova</t>
  </si>
  <si>
    <t xml:space="preserve">Terminplanung</t>
  </si>
  <si>
    <t xml:space="preserve">Workshop Kundenprozesse</t>
  </si>
  <si>
    <t xml:space="preserve">Ersatzteiltausch</t>
  </si>
  <si>
    <t xml:space="preserve">Ablage und Archivierung</t>
  </si>
  <si>
    <t xml:space="preserve">Nachfassaktion</t>
  </si>
  <si>
    <t xml:space="preserve">Einarbeitung neue Kollegin</t>
  </si>
  <si>
    <t xml:space="preserve">Zwischenpräsentation</t>
  </si>
  <si>
    <t xml:space="preserve">Serviceeinsatz Bestandskunde</t>
  </si>
  <si>
    <t xml:space="preserve">Wartungsprotokoll erstellen</t>
  </si>
  <si>
    <t xml:space="preserve">Angebotsbesprechung</t>
  </si>
  <si>
    <t xml:space="preserve">Stammdatenpflege</t>
  </si>
  <si>
    <t xml:space="preserve">Auswertungen aufbereiten</t>
  </si>
  <si>
    <t xml:space="preserve">Abnahme vorbereiten</t>
  </si>
  <si>
    <t xml:space="preserve">Langer Tag – bitte prüfen</t>
  </si>
  <si>
    <t xml:space="preserve">Rücktransport Material</t>
  </si>
  <si>
    <t xml:space="preserve">Sichtprüfung Standort West</t>
  </si>
  <si>
    <t xml:space="preserve">Kundengespräch Vertragsverlängerung</t>
  </si>
  <si>
    <t xml:space="preserve">Protokoll und Nachbereitung</t>
  </si>
  <si>
    <t xml:space="preserve">Abschlussbesprechung</t>
  </si>
  <si>
    <t xml:space="preserve">Restarbeiten und Übergabe</t>
  </si>
  <si>
    <t xml:space="preserve">Stundenübersicht abstimmen</t>
  </si>
  <si>
    <t xml:space="preserve">Summe aller erfassten Zeiten</t>
  </si>
  <si>
    <t xml:space="preserve">Cremefarbene Felder ausfüllen · Grüne Felder sind Formeln · Entweder Beginn/Ende + Pause eintragen oder die Dauer direkt in der Spalte „Dauer manuell“ (Format 7:30 = 7 Std. 30 Min.) · Nachtschichten über Mitternacht werden automatisch richtig berechnet.</t>
  </si>
  <si>
    <t xml:space="preserve">Zeitraum</t>
  </si>
  <si>
    <t xml:space="preserve">Auswertung der Stunden</t>
  </si>
  <si>
    <t xml:space="preserve">Alle Werte werden automatisch aus dem Blatt „Stundenerfassung“ berechnet.</t>
  </si>
  <si>
    <t xml:space="preserve">1 · Gesamtsumme – vier Darstellungen derselben Zeit</t>
  </si>
  <si>
    <t xml:space="preserve">3 · Stunden nach Kategorie</t>
  </si>
  <si>
    <t xml:space="preserve">[h]:mm</t>
  </si>
  <si>
    <t xml:space="preserve">Dezimal</t>
  </si>
  <si>
    <t xml:space="preserve">Anteil</t>
  </si>
  <si>
    <t xml:space="preserve">Summe als Zeitwert [h]:mm</t>
  </si>
  <si>
    <t xml:space="preserve">Benutzerdefiniertes Format [h]:mm – zählt über 24 Std. hinaus</t>
  </si>
  <si>
    <t xml:space="preserve">Summe in Dezimalstunden</t>
  </si>
  <si>
    <t xml:space="preserve">Zeitwert × 24 – Grundlage für jede Multiplikation mit einem Stundensatz</t>
  </si>
  <si>
    <t xml:space="preserve">Summe in Minuten</t>
  </si>
  <si>
    <t xml:space="preserve">Dezimalstunden × 60</t>
  </si>
  <si>
    <t xml:space="preserve">Summe in Arbeitstagen</t>
  </si>
  <si>
    <t xml:space="preserve">Dezimalstunden ÷ Stunden pro Arbeitstag (Blatt Stammdaten)</t>
  </si>
  <si>
    <t xml:space="preserve">2 · Kennzahlen</t>
  </si>
  <si>
    <t xml:space="preserve">Kalendertage</t>
  </si>
  <si>
    <t xml:space="preserve">Ø Stunden je Eintrag</t>
  </si>
  <si>
    <t xml:space="preserve">Ø Std. je Kalendertag</t>
  </si>
  <si>
    <t xml:space="preserve">Summe</t>
  </si>
  <si>
    <t xml:space="preserve">Längster Einzeleintrag</t>
  </si>
  <si>
    <t xml:space="preserve">Pausen gesamt</t>
  </si>
  <si>
    <t xml:space="preserve">Abrechenbare Stunden</t>
  </si>
  <si>
    <t xml:space="preserve">Nicht abrechenbar</t>
  </si>
  <si>
    <t xml:space="preserve">Abrechenbarer Anteil</t>
  </si>
  <si>
    <t xml:space="preserve">4 · Stunden je Mitarbeiter/in</t>
  </si>
  <si>
    <t xml:space="preserve">Sollstunden im Zeitraum</t>
  </si>
  <si>
    <t xml:space="preserve">Saldo gegenüber Soll</t>
  </si>
  <si>
    <t xml:space="preserve">Soll</t>
  </si>
  <si>
    <t xml:space="preserve">Saldo</t>
  </si>
  <si>
    <t xml:space="preserve">5 · Stunden je Kalenderwoche</t>
  </si>
  <si>
    <t xml:space="preserve">Kalenderwoche</t>
  </si>
  <si>
    <t xml:space="preserve">Einträge</t>
  </si>
  <si>
    <t xml:space="preserve">6 · Prüfhinweise</t>
  </si>
  <si>
    <t xml:space="preserve">Kontrolle</t>
  </si>
  <si>
    <t xml:space="preserve">Betroffene Einträge</t>
  </si>
  <si>
    <t xml:space="preserve">Ergebnis</t>
  </si>
  <si>
    <t xml:space="preserve">Alle Einträge mit Datum haben eine Dauer</t>
  </si>
  <si>
    <t xml:space="preserve">Keine Tagesdauer über 10 Stunden</t>
  </si>
  <si>
    <t xml:space="preserve">Pause ab 6 Std. mindestens 30 Minuten</t>
  </si>
  <si>
    <t xml:space="preserve">Pause ab 9 Std. mindestens 45 Minuten</t>
  </si>
  <si>
    <t xml:space="preserve">Jede Zeile mit Dauer hat eine Kategorie</t>
  </si>
  <si>
    <t xml:space="preserve">Abrechenbare Zeilen haben einen Stundensatz</t>
  </si>
  <si>
    <t xml:space="preserve">Hinweis: Diese Auswertung greift ausschließlich auf das Blatt „Stundenerfassung“ zu. Neue Zeilen einfach in den vorhandenen Bereich eintragen – alle Summen aktualisieren sich automatisch.</t>
  </si>
  <si>
    <t xml:space="preserve">Vorlage 2026</t>
  </si>
  <si>
    <t xml:space="preserve">Stammdaten und Einstellungen</t>
  </si>
  <si>
    <t xml:space="preserve">Zentrale Steuerdatei – die anderen Blätter greifen auf diese Werte zu.</t>
  </si>
  <si>
    <t xml:space="preserve">1 · Organisation und Zeitraum</t>
  </si>
  <si>
    <t xml:space="preserve">Organisation / Betrieb</t>
  </si>
  <si>
    <t xml:space="preserve">Muster Dienstleistungen GmbH</t>
  </si>
  <si>
    <t xml:space="preserve">Erscheint in der Kopfzeile aller Blätter.</t>
  </si>
  <si>
    <t xml:space="preserve">Abteilung / Bereich</t>
  </si>
  <si>
    <t xml:space="preserve">Technik und Service</t>
  </si>
  <si>
    <t xml:space="preserve">Startdatum der Auswertung.</t>
  </si>
  <si>
    <t xml:space="preserve">Zeitraum bis</t>
  </si>
  <si>
    <t xml:space="preserve">Enddatum der Auswertung.</t>
  </si>
  <si>
    <t xml:space="preserve">Erstellt von</t>
  </si>
  <si>
    <t xml:space="preserve">K. Sandmann</t>
  </si>
  <si>
    <t xml:space="preserve">Stand</t>
  </si>
  <si>
    <t xml:space="preserve">2 · Rechenparameter</t>
  </si>
  <si>
    <t xml:space="preserve">Stunden je Arbeitstag</t>
  </si>
  <si>
    <t xml:space="preserve">Grundlage für die Umrechnung in Arbeitstage.</t>
  </si>
  <si>
    <t xml:space="preserve">Summe der Sollstunden aus Abschnitt 5 – Basis für den Saldo.</t>
  </si>
  <si>
    <t xml:space="preserve">Standard-Stundensatz</t>
  </si>
  <si>
    <t xml:space="preserve">Wird verwendet, wenn eine Kategorie ohne eigenen Satz gepflegt ist.</t>
  </si>
  <si>
    <t xml:space="preserve">Rundung Dezimalstunden</t>
  </si>
  <si>
    <t xml:space="preserve">Nur informativ – die Beträge werden auf 2 Stellen gerundet.</t>
  </si>
  <si>
    <t xml:space="preserve">3 · Zeitformate verstehen</t>
  </si>
  <si>
    <t xml:space="preserve">Format hh:mm</t>
  </si>
  <si>
    <t xml:space="preserve">Zeigt Zeiten innerhalb eines Tages. Ab 24:00 beginnt die Anzeige wieder bei 0:00 – Summen werden dadurch falsch dargestellt.</t>
  </si>
  <si>
    <t xml:space="preserve">Format [h]:mm</t>
  </si>
  <si>
    <t xml:space="preserve">Die eckigen Klammern lösen die 24-Stunden-Grenze auf. Nur dieses Format eignet sich für Stundensummen.</t>
  </si>
  <si>
    <t xml:space="preserve">Dezimalstunden</t>
  </si>
  <si>
    <t xml:space="preserve">Zeitwert × 24. 7:30 entspricht 7,50 Stunden. Nur damit lässt sich sinnvoll multiplizieren (z. B. mit einem Stundensatz).</t>
  </si>
  <si>
    <t xml:space="preserve">Nachtschichten</t>
  </si>
  <si>
    <t xml:space="preserve">Endet die Arbeit nach Mitternacht, ergibt Ende minus Beginn einen negativen Wert. Die Vorlage nutzt deshalb MOD(Ende−Beginn;1).</t>
  </si>
  <si>
    <t xml:space="preserve">4 · Kategorien und Stundensätze</t>
  </si>
  <si>
    <t xml:space="preserve">Satz €/h</t>
  </si>
  <si>
    <t xml:space="preserve">Hinweis</t>
  </si>
  <si>
    <t xml:space="preserve">Planung, Konzeption, Umsetzung</t>
  </si>
  <si>
    <t xml:space="preserve">Anfragen, Rückfragen, Betreuung</t>
  </si>
  <si>
    <t xml:space="preserve">Beratungs- und Konzeptgespräche</t>
  </si>
  <si>
    <t xml:space="preserve">Arbeiten beim Kunden vor Ort</t>
  </si>
  <si>
    <t xml:space="preserve">Turnus- und Instandhaltungsarbeiten</t>
  </si>
  <si>
    <t xml:space="preserve">Interne Aus- und Weiterbildung</t>
  </si>
  <si>
    <t xml:space="preserve">Interne Organisation und Abrechnung</t>
  </si>
  <si>
    <t xml:space="preserve">An- und Abfahrten</t>
  </si>
  <si>
    <t xml:space="preserve">5 · Mitarbeiter/innen und Sollstunden</t>
  </si>
  <si>
    <t xml:space="preserve">Soll im Zeitraum</t>
  </si>
  <si>
    <t xml:space="preserve">Namen und Sollstunden frei anpassen – die Dropdowns folgen automatisch.</t>
  </si>
  <si>
    <t xml:space="preserve">6 · Anleitung in sechs Schritten</t>
  </si>
  <si>
    <t xml:space="preserve">1. Organisation, Zeitraum und Rechenparameter in den cremefarbenen Feldern dieses Blattes eintragen.</t>
  </si>
  <si>
    <t xml:space="preserve">2. Kategorien mit Stundensätzen sowie Mitarbeiter/innen mit Sollstunden pflegen.</t>
  </si>
  <si>
    <t xml:space="preserve">3. Im Blatt „Stundenerfassung“ je Zeile Datum, Person, Kategorie und Tätigkeit eintragen.</t>
  </si>
  <si>
    <t xml:space="preserve">4. Entweder Beginn, Ende und Pause erfassen – oder die fertige Dauer direkt in der Spalte „Dauer manuell“.</t>
  </si>
  <si>
    <t xml:space="preserve">5. Wochentag, Kalenderwoche, Dauer, Dezimalstunden und Betrag berechnet die Vorlage automatisch.</t>
  </si>
  <si>
    <t xml:space="preserve">6. Im Blatt „Auswertung“ Summen, Kennzahlen und Prüfhinweise kontrollieren.</t>
  </si>
  <si>
    <t xml:space="preserve">7 · Farblegende</t>
  </si>
  <si>
    <t xml:space="preserve">Eingabefeld – hier tragen Sie eigene Werte ein.</t>
  </si>
  <si>
    <t xml:space="preserve">Berechnetes Feld – Formel, bitte nicht überschreiben.</t>
  </si>
  <si>
    <t xml:space="preserve">Summen- und Überschriftenzeile.</t>
  </si>
  <si>
    <t xml:space="preserve">Wochenende – wird in der Erfassung automatisch hinterlegt.</t>
  </si>
  <si>
    <t xml:space="preserve">Hinweis: Diese Vorlage ist eine Arbeitshilfe zur Erfassung und Summierung von Stunden. Für die gesetzliche Arbeitszeitdokumentation sind die jeweils geltenden Regelungen des Arbeitszeitgesetzes und betriebliche oder tarifliche Vereinbarungen maßgeblich.</t>
  </si>
</sst>
</file>

<file path=xl/styles.xml><?xml version="1.0" encoding="utf-8"?>
<styleSheet xmlns="http://schemas.openxmlformats.org/spreadsheetml/2006/main">
  <numFmts count="19">
    <numFmt numFmtId="164" formatCode="General"/>
    <numFmt numFmtId="165" formatCode="dd\.mm\.yyyy"/>
    <numFmt numFmtId="166" formatCode="[h]:mm"/>
    <numFmt numFmtId="167" formatCode="#,##0.00&quot; h&quot;"/>
    <numFmt numFmtId="168" formatCode="#,##0"/>
    <numFmt numFmtId="169" formatCode="#,##0.00&quot; €&quot;"/>
    <numFmt numFmtId="170" formatCode="General"/>
    <numFmt numFmtId="171" formatCode="hh:mm"/>
    <numFmt numFmtId="172" formatCode="0"/>
    <numFmt numFmtId="173" formatCode="#,##0.00"/>
    <numFmt numFmtId="174" formatCode="0.0%"/>
    <numFmt numFmtId="175" formatCode="#,##0&quot; Min.&quot;"/>
    <numFmt numFmtId="176" formatCode="#,##0.00&quot; AT&quot;"/>
    <numFmt numFmtId="177" formatCode="\+#,##0.00&quot; h&quot;;\-#,##0.00&quot; h&quot;;0.00&quot; h&quot;"/>
    <numFmt numFmtId="178" formatCode="\+#,##0.00;\-#,##0.00;0.00"/>
    <numFmt numFmtId="179" formatCode="[h]:mm;;&quot;&quot;"/>
    <numFmt numFmtId="180" formatCode="#,##0.00;\-#,##0.00;&quot;&quot;"/>
    <numFmt numFmtId="181" formatCode="#,##0;;&quot;&quot;"/>
    <numFmt numFmtId="182" formatCode="#,##0.00&quot; €&quot;;;&quot;&quot;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2F5B49"/>
      <name val="Calibri"/>
      <family val="0"/>
      <charset val="1"/>
    </font>
    <font>
      <b val="true"/>
      <sz val="9"/>
      <color rgb="FF6B7A73"/>
      <name val="Calibri"/>
      <family val="0"/>
      <charset val="1"/>
    </font>
    <font>
      <b val="true"/>
      <sz val="11"/>
      <color rgb="FFC85A2B"/>
      <name val="Calibri"/>
      <family val="0"/>
      <charset val="1"/>
    </font>
    <font>
      <b val="true"/>
      <sz val="18"/>
      <color rgb="FF1E3A2F"/>
      <name val="Calibri"/>
      <family val="0"/>
      <charset val="1"/>
    </font>
    <font>
      <i val="true"/>
      <sz val="9.5"/>
      <color rgb="FF6B7A73"/>
      <name val="Calibri"/>
      <family val="0"/>
      <charset val="1"/>
    </font>
    <font>
      <b val="true"/>
      <sz val="13"/>
      <color rgb="FF1E3A2F"/>
      <name val="Calibri"/>
      <family val="0"/>
      <charset val="1"/>
    </font>
    <font>
      <sz val="8.5"/>
      <color rgb="FF6B7A73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0"/>
      <color rgb="FF1E3A2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1"/>
      <color rgb="FF1A1A1A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9"/>
      <color rgb="FFF6E2D6"/>
      <name val="Calibri"/>
      <family val="0"/>
      <charset val="1"/>
    </font>
    <font>
      <i val="true"/>
      <sz val="9"/>
      <color rgb="FF6B7A73"/>
      <name val="Calibri"/>
      <family val="0"/>
      <charset val="1"/>
    </font>
    <font>
      <sz val="10"/>
      <name val="Arial"/>
      <family val="2"/>
    </font>
    <font>
      <b val="true"/>
      <sz val="10.5"/>
      <color rgb="FF1E3A2F"/>
      <name val="Calibri"/>
      <family val="0"/>
      <charset val="1"/>
    </font>
    <font>
      <b val="true"/>
      <sz val="14"/>
      <color rgb="FFC85A2B"/>
      <name val="Calibri"/>
      <family val="0"/>
      <charset val="1"/>
    </font>
    <font>
      <i val="true"/>
      <sz val="8.5"/>
      <color rgb="FF6B7A73"/>
      <name val="Calibri"/>
      <family val="0"/>
      <charset val="1"/>
    </font>
    <font>
      <sz val="10"/>
      <color rgb="FF1A1A1A"/>
      <name val="Calibri"/>
      <family val="0"/>
      <charset val="1"/>
    </font>
    <font>
      <sz val="10.5"/>
      <color rgb="FF1E3A2F"/>
      <name val="Calibri"/>
      <family val="0"/>
      <charset val="1"/>
    </font>
    <font>
      <b val="true"/>
      <sz val="12"/>
      <color rgb="FF1E3A2F"/>
      <name val="Calibri"/>
      <family val="0"/>
      <charset val="1"/>
    </font>
    <font>
      <sz val="10"/>
      <color rgb="FF1E3A2F"/>
      <name val="Calibri"/>
      <family val="0"/>
      <charset val="1"/>
    </font>
    <font>
      <b val="true"/>
      <sz val="10.5"/>
      <color rgb="FF2F5B49"/>
      <name val="Calibri"/>
      <family val="0"/>
      <charset val="1"/>
    </font>
    <font>
      <b val="true"/>
      <sz val="10"/>
      <color rgb="FF1A1A1A"/>
      <name val="Calibri"/>
      <family val="0"/>
      <charset val="1"/>
    </font>
    <font>
      <sz val="9"/>
      <color rgb="FF6B7A73"/>
      <name val="Calibri"/>
      <family val="0"/>
      <charset val="1"/>
    </font>
    <font>
      <sz val="9.5"/>
      <color rgb="FF1A1A1A"/>
      <name val="Calibri"/>
      <family val="0"/>
      <charset val="1"/>
    </font>
    <font>
      <b val="true"/>
      <sz val="9.5"/>
      <color rgb="FF1A1A1A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85A2B"/>
        <bgColor rgb="FF8A5A00"/>
      </patternFill>
    </fill>
    <fill>
      <patternFill patternType="solid">
        <fgColor rgb="FFECF2EE"/>
        <bgColor rgb="FFE7EDE9"/>
      </patternFill>
    </fill>
    <fill>
      <patternFill patternType="solid">
        <fgColor rgb="FF2F5B49"/>
        <bgColor rgb="FF1E3A2F"/>
      </patternFill>
    </fill>
    <fill>
      <patternFill patternType="solid">
        <fgColor rgb="FFFDF2E6"/>
        <bgColor rgb="FFF4F6F5"/>
      </patternFill>
    </fill>
    <fill>
      <patternFill patternType="solid">
        <fgColor rgb="FF1E3A2F"/>
        <bgColor rgb="FF003300"/>
      </patternFill>
    </fill>
    <fill>
      <patternFill patternType="solid">
        <fgColor rgb="FFFFFFFF"/>
        <bgColor rgb="FFF4F6F5"/>
      </patternFill>
    </fill>
    <fill>
      <patternFill patternType="solid">
        <fgColor rgb="FFE7EDE9"/>
        <bgColor rgb="FFECF2EE"/>
      </patternFill>
    </fill>
    <fill>
      <patternFill patternType="solid">
        <fgColor rgb="FFF4F6F5"/>
        <bgColor rgb="FFECF2EE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85A2B"/>
      </bottom>
      <diagonal/>
    </border>
    <border diagonalUp="false" diagonalDown="false">
      <left style="thin">
        <color rgb="FFB9C9C0"/>
      </left>
      <right style="thin">
        <color rgb="FFB9C9C0"/>
      </right>
      <top style="thin">
        <color rgb="FFB9C9C0"/>
      </top>
      <bottom style="thin">
        <color rgb="FFB9C9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2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7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7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4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3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4" fontId="2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2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2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2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8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7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28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4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4" fontId="28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28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7" fontId="28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2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8" fontId="29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8" fontId="15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9" fontId="2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0" fontId="13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1" fontId="2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2" fontId="24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3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1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4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4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8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7">
    <dxf>
      <fill>
        <patternFill patternType="solid">
          <fgColor rgb="FF2F5B49"/>
          <bgColor rgb="FF000000"/>
        </patternFill>
      </fill>
    </dxf>
    <dxf>
      <fill>
        <patternFill patternType="solid">
          <fgColor rgb="FFECF2E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DF2E6"/>
          <bgColor rgb="FF000000"/>
        </patternFill>
      </fill>
    </dxf>
    <dxf>
      <fill>
        <patternFill patternType="solid">
          <fgColor rgb="FF1E3A2F"/>
          <bgColor rgb="FF000000"/>
        </patternFill>
      </fill>
    </dxf>
    <dxf>
      <fill>
        <patternFill patternType="solid">
          <fgColor rgb="FF6B7A73"/>
          <bgColor rgb="FF000000"/>
        </patternFill>
      </fill>
    </dxf>
    <dxf>
      <font>
        <name val="Calibri"/>
        <charset val="1"/>
        <family val="0"/>
        <b val="1"/>
        <color rgb="FF9C3216"/>
        <sz val="10"/>
      </font>
      <fill>
        <patternFill>
          <bgColor rgb="FFFBD9CE"/>
        </patternFill>
      </fill>
    </dxf>
    <dxf>
      <font>
        <name val="Calibri"/>
        <charset val="1"/>
        <family val="0"/>
        <color rgb="FF8A5A00"/>
        <sz val="10"/>
      </font>
      <fill>
        <patternFill>
          <bgColor rgb="FFFDECC8"/>
        </patternFill>
      </fill>
    </dxf>
    <dxf>
      <font>
        <name val="Calibri"/>
        <charset val="1"/>
        <family val="0"/>
        <b val="1"/>
        <color rgb="FF2F5B49"/>
        <sz val="10"/>
      </font>
    </dxf>
    <dxf>
      <font>
        <name val="Calibri"/>
        <charset val="1"/>
        <family val="0"/>
        <color rgb="FF6B7A73"/>
        <sz val="10"/>
      </font>
    </dxf>
    <dxf>
      <fill>
        <patternFill>
          <bgColor rgb="FFE7EDE9"/>
        </patternFill>
      </fill>
    </dxf>
    <dxf>
      <font>
        <name val="Calibri"/>
        <charset val="1"/>
        <family val="0"/>
        <b val="1"/>
        <color rgb="FF9C3216"/>
        <sz val="10"/>
      </font>
    </dxf>
    <dxf>
      <font>
        <name val="Calibri"/>
        <charset val="1"/>
        <family val="0"/>
        <b val="1"/>
        <color rgb="FF2F5B49"/>
        <sz val="10"/>
      </font>
    </dxf>
    <dxf>
      <font>
        <name val="Calibri"/>
        <charset val="1"/>
        <family val="0"/>
        <b val="1"/>
        <color rgb="FF9C3216"/>
        <sz val="10"/>
      </font>
    </dxf>
    <dxf>
      <font>
        <name val="Calibri"/>
        <charset val="1"/>
        <family val="0"/>
        <b val="1"/>
        <color rgb="FF2F5B49"/>
        <sz val="9"/>
      </font>
      <fill>
        <patternFill>
          <bgColor rgb="FFDCEBE1"/>
        </patternFill>
      </fill>
    </dxf>
    <dxf>
      <font>
        <name val="Calibri"/>
        <charset val="1"/>
        <family val="0"/>
        <b val="1"/>
        <color rgb="FF9C3216"/>
        <sz val="9"/>
      </font>
      <fill>
        <patternFill>
          <bgColor rgb="FFFBD9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B9C9C0"/>
      <rgbColor rgb="FF878787"/>
      <rgbColor rgb="FF9999FF"/>
      <rgbColor rgb="FF993366"/>
      <rgbColor rgb="FFFDF2E6"/>
      <rgbColor rgb="FFECF2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DE9"/>
      <rgbColor rgb="FFDCEBE1"/>
      <rgbColor rgb="FFFDECC8"/>
      <rgbColor rgb="FFF6E2D6"/>
      <rgbColor rgb="FFF4F6F5"/>
      <rgbColor rgb="FFCC99FF"/>
      <rgbColor rgb="FFFBD9CE"/>
      <rgbColor rgb="FF3366FF"/>
      <rgbColor rgb="FF33CCCC"/>
      <rgbColor rgb="FF99CC00"/>
      <rgbColor rgb="FFFFCC00"/>
      <rgbColor rgb="FFFF9900"/>
      <rgbColor rgb="FFC85A2B"/>
      <rgbColor rgb="FF6B7A73"/>
      <rgbColor rgb="FF969696"/>
      <rgbColor rgb="FF003366"/>
      <rgbColor rgb="FF339966"/>
      <rgbColor rgb="FF003300"/>
      <rgbColor rgb="FF1A1A1A"/>
      <rgbColor rgb="FF9C3216"/>
      <rgbColor rgb="FF993366"/>
      <rgbColor rgb="FF2F5B49"/>
      <rgbColor rgb="FF1E3A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Stunden je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Auswertung!J8</c:f>
              <c:strCache>
                <c:ptCount val="1"/>
                <c:pt idx="0">
                  <c:v>Dezimal</c:v>
                </c:pt>
              </c:strCache>
            </c:strRef>
          </c:tx>
          <c:spPr>
            <a:solidFill>
              <a:srgbClr val="2f5b49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Auswertung!$H$9:$H$16</c:f>
              <c:strCache>
                <c:ptCount val="8"/>
                <c:pt idx="0">
                  <c:v>Projektarbeit</c:v>
                </c:pt>
                <c:pt idx="1">
                  <c:v>Kundenbetreuung</c:v>
                </c:pt>
                <c:pt idx="2">
                  <c:v>Beratung</c:v>
                </c:pt>
                <c:pt idx="3">
                  <c:v>Montage / Service</c:v>
                </c:pt>
                <c:pt idx="4">
                  <c:v>Wartung</c:v>
                </c:pt>
                <c:pt idx="5">
                  <c:v>Schulung</c:v>
                </c:pt>
                <c:pt idx="6">
                  <c:v>Verwaltung</c:v>
                </c:pt>
                <c:pt idx="7">
                  <c:v>Fahrzeit</c:v>
                </c:pt>
              </c:strCache>
            </c:strRef>
          </c:cat>
          <c:val>
            <c:numRef>
              <c:f>Auswertung!$J$9:$J$16</c:f>
              <c:numCache>
                <c:formatCode>#,##0.00</c:formatCode>
                <c:ptCount val="8"/>
                <c:pt idx="0">
                  <c:v>44.25</c:v>
                </c:pt>
                <c:pt idx="1">
                  <c:v>38.5</c:v>
                </c:pt>
                <c:pt idx="2">
                  <c:v>27</c:v>
                </c:pt>
                <c:pt idx="3">
                  <c:v>47.75</c:v>
                </c:pt>
                <c:pt idx="4">
                  <c:v>28.75</c:v>
                </c:pt>
                <c:pt idx="5">
                  <c:v>7.5</c:v>
                </c:pt>
                <c:pt idx="6">
                  <c:v>40.75</c:v>
                </c:pt>
                <c:pt idx="7">
                  <c:v>4.75</c:v>
                </c:pt>
              </c:numCache>
            </c:numRef>
          </c:val>
        </c:ser>
        <c:gapWidth val="150"/>
        <c:overlap val="0"/>
        <c:axId val="64747350"/>
        <c:axId val="6703310"/>
      </c:barChart>
      <c:catAx>
        <c:axId val="6474735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03310"/>
        <c:crosses val="autoZero"/>
        <c:auto val="1"/>
        <c:lblAlgn val="ctr"/>
        <c:lblOffset val="100"/>
        <c:noMultiLvlLbl val="0"/>
      </c:catAx>
      <c:valAx>
        <c:axId val="6703310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74735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Stunden je Kalenderwoche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Auswertung!D31</c:f>
              <c:strCache>
                <c:ptCount val="1"/>
                <c:pt idx="0">
                  <c:v>Dezimal</c:v>
                </c:pt>
              </c:strCache>
            </c:strRef>
          </c:tx>
          <c:spPr>
            <a:solidFill>
              <a:srgbClr val="c85a2b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Auswertung!$B$32:$B$37</c:f>
              <c:strCache>
                <c:ptCount val="6"/>
                <c:pt idx="0">
                  <c:v>KW 27</c:v>
                </c:pt>
                <c:pt idx="1">
                  <c:v>KW 28</c:v>
                </c:pt>
                <c:pt idx="2">
                  <c:v>KW 29</c:v>
                </c:pt>
                <c:pt idx="3">
                  <c:v>KW 30</c:v>
                </c:pt>
                <c:pt idx="4">
                  <c:v>KW 31</c:v>
                </c:pt>
                <c:pt idx="5">
                  <c:v>KW 32</c:v>
                </c:pt>
              </c:strCache>
            </c:strRef>
          </c:cat>
          <c:val>
            <c:numRef>
              <c:f>Auswertung!$D$32:$D$37</c:f>
              <c:numCache>
                <c:formatCode>#,##0.00;\-#,##0.00;""</c:formatCode>
                <c:ptCount val="6"/>
                <c:pt idx="0">
                  <c:v>69.75</c:v>
                </c:pt>
                <c:pt idx="1">
                  <c:v>89</c:v>
                </c:pt>
                <c:pt idx="2">
                  <c:v>80.5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gapWidth val="150"/>
        <c:overlap val="0"/>
        <c:axId val="9574860"/>
        <c:axId val="44095357"/>
      </c:barChart>
      <c:catAx>
        <c:axId val="95748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095357"/>
        <c:crosses val="autoZero"/>
        <c:auto val="1"/>
        <c:lblAlgn val="ctr"/>
        <c:lblOffset val="100"/>
        <c:noMultiLvlLbl val="0"/>
      </c:catAx>
      <c:valAx>
        <c:axId val="44095357"/>
        <c:scaling>
          <c:orientation val="minMax"/>
        </c:scaling>
        <c:delete val="0"/>
        <c:axPos val="l"/>
        <c:numFmt formatCode="#,##0.00;\-#,##0.00;&quot;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7486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29</xdr:row>
      <xdr:rowOff>0</xdr:rowOff>
    </xdr:from>
    <xdr:to>
      <xdr:col>11</xdr:col>
      <xdr:colOff>623160</xdr:colOff>
      <xdr:row>44</xdr:row>
      <xdr:rowOff>13680</xdr:rowOff>
    </xdr:to>
    <xdr:graphicFrame>
      <xdr:nvGraphicFramePr>
        <xdr:cNvPr id="0" name="Chart 1"/>
        <xdr:cNvGraphicFramePr/>
      </xdr:nvGraphicFramePr>
      <xdr:xfrm>
        <a:off x="5815440" y="6067440"/>
        <a:ext cx="4499640" cy="302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47</xdr:row>
      <xdr:rowOff>0</xdr:rowOff>
    </xdr:from>
    <xdr:to>
      <xdr:col>4</xdr:col>
      <xdr:colOff>1038240</xdr:colOff>
      <xdr:row>59</xdr:row>
      <xdr:rowOff>67320</xdr:rowOff>
    </xdr:to>
    <xdr:graphicFrame>
      <xdr:nvGraphicFramePr>
        <xdr:cNvPr id="1" name="Chart 2"/>
        <xdr:cNvGraphicFramePr/>
      </xdr:nvGraphicFramePr>
      <xdr:xfrm>
        <a:off x="176400" y="9667800"/>
        <a:ext cx="413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3A2F"/>
    <pageSetUpPr fitToPage="true"/>
  </sheetPr>
  <dimension ref="A1:Q7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7" ySplit="8" topLeftCell="H9" activePane="bottomRight" state="frozen"/>
      <selection pane="topLeft" activeCell="A1" activeCellId="0" sqref="A1"/>
      <selection pane="topRight" activeCell="H1" activeCellId="0" sqref="H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1.5"/>
    <col collapsed="false" customWidth="true" hidden="false" outlineLevel="0" max="3" min="3" style="0" width="5.51"/>
    <col collapsed="false" customWidth="true" hidden="false" outlineLevel="0" max="4" min="4" style="0" width="5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30"/>
    <col collapsed="false" customWidth="true" hidden="false" outlineLevel="0" max="9" min="8" style="0" width="8.5"/>
    <col collapsed="false" customWidth="true" hidden="false" outlineLevel="0" max="10" min="10" style="0" width="8"/>
    <col collapsed="false" customWidth="true" hidden="false" outlineLevel="0" max="11" min="11" style="0" width="9.51"/>
    <col collapsed="false" customWidth="true" hidden="false" outlineLevel="0" max="14" min="12" style="0" width="10"/>
    <col collapsed="false" customWidth="true" hidden="false" outlineLevel="0" max="15" min="15" style="0" width="9"/>
    <col collapsed="false" customWidth="true" hidden="false" outlineLevel="0" max="16" min="16" style="0" width="12"/>
    <col collapsed="false" customWidth="true" hidden="false" outlineLevel="0" max="17" min="17" style="0" width="24"/>
  </cols>
  <sheetData>
    <row r="1" customFormat="false" ht="6" hidden="false" customHeight="true" outlineLevel="0" collapsed="false"/>
    <row r="2" customFormat="false" ht="15" hidden="false" customHeight="false" outlineLevel="0" collapsed="false">
      <c r="A2" s="1" t="str">
        <f aca="false">Stammdaten!C8</f>
        <v>Muster Dienstleistungen GmbH</v>
      </c>
      <c r="P2" s="2" t="s">
        <v>0</v>
      </c>
      <c r="Q2" s="3" t="n">
        <f aca="false">Stammdaten!C10</f>
        <v>46204</v>
      </c>
    </row>
    <row r="3" customFormat="false" ht="24.75" hidden="false" customHeight="true" outlineLevel="0" collapsed="false">
      <c r="A3" s="4" t="s">
        <v>1</v>
      </c>
      <c r="P3" s="2" t="s">
        <v>2</v>
      </c>
      <c r="Q3" s="3" t="n">
        <f aca="false">Stammdaten!C11</f>
        <v>46234</v>
      </c>
    </row>
    <row r="4" customFormat="false" ht="15" hidden="false" customHeight="false" outlineLevel="0" collapsed="false">
      <c r="A4" s="5" t="s">
        <v>3</v>
      </c>
    </row>
    <row r="5" customFormat="false" ht="3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customFormat="false" ht="21.75" hidden="false" customHeight="true" outlineLevel="0" collapsed="false">
      <c r="A6" s="7" t="n">
        <f aca="false">SUM(L9:L68)</f>
        <v>9.96875</v>
      </c>
      <c r="B6" s="7"/>
      <c r="C6" s="7"/>
      <c r="D6" s="8" t="n">
        <f aca="false">SUM(M9:M68)</f>
        <v>239.25</v>
      </c>
      <c r="E6" s="8"/>
      <c r="F6" s="8"/>
      <c r="G6" s="9" t="n">
        <f aca="false">COUNT(L9:L68)</f>
        <v>40</v>
      </c>
      <c r="H6" s="9"/>
      <c r="I6" s="9"/>
      <c r="J6" s="8" t="n">
        <f aca="false">IFERROR(SUM(M9:M68)/COUNT(M9:M68),0)</f>
        <v>5.98125</v>
      </c>
      <c r="K6" s="8"/>
      <c r="L6" s="8"/>
      <c r="M6" s="8" t="n">
        <f aca="false">SUMIF(N9:N68,"Ja",M9:M68)</f>
        <v>175.25</v>
      </c>
      <c r="N6" s="8"/>
      <c r="O6" s="10" t="n">
        <f aca="false">SUM(P9:P68)</f>
        <v>13157</v>
      </c>
      <c r="P6" s="10"/>
      <c r="Q6" s="10"/>
    </row>
    <row r="7" customFormat="false" ht="13.5" hidden="false" customHeight="true" outlineLevel="0" collapsed="false">
      <c r="A7" s="11" t="s">
        <v>4</v>
      </c>
      <c r="B7" s="11"/>
      <c r="C7" s="11"/>
      <c r="D7" s="11" t="s">
        <v>5</v>
      </c>
      <c r="E7" s="11"/>
      <c r="F7" s="11"/>
      <c r="G7" s="11" t="s">
        <v>6</v>
      </c>
      <c r="H7" s="11"/>
      <c r="I7" s="11"/>
      <c r="J7" s="11" t="s">
        <v>7</v>
      </c>
      <c r="K7" s="11"/>
      <c r="L7" s="11"/>
      <c r="M7" s="11" t="s">
        <v>8</v>
      </c>
      <c r="N7" s="11"/>
      <c r="O7" s="11" t="s">
        <v>9</v>
      </c>
      <c r="P7" s="11"/>
      <c r="Q7" s="11"/>
    </row>
    <row r="8" customFormat="false" ht="30" hidden="false" customHeight="true" outlineLevel="0" collapsed="false">
      <c r="A8" s="12" t="s">
        <v>10</v>
      </c>
      <c r="B8" s="12" t="s">
        <v>11</v>
      </c>
      <c r="C8" s="12" t="s">
        <v>12</v>
      </c>
      <c r="D8" s="12" t="s">
        <v>13</v>
      </c>
      <c r="E8" s="12" t="s">
        <v>14</v>
      </c>
      <c r="F8" s="12" t="s">
        <v>15</v>
      </c>
      <c r="G8" s="12" t="s">
        <v>16</v>
      </c>
      <c r="H8" s="12" t="s">
        <v>17</v>
      </c>
      <c r="I8" s="12" t="s">
        <v>18</v>
      </c>
      <c r="J8" s="12" t="s">
        <v>19</v>
      </c>
      <c r="K8" s="12" t="s">
        <v>20</v>
      </c>
      <c r="L8" s="12" t="s">
        <v>21</v>
      </c>
      <c r="M8" s="12" t="s">
        <v>22</v>
      </c>
      <c r="N8" s="12" t="s">
        <v>23</v>
      </c>
      <c r="O8" s="12" t="s">
        <v>24</v>
      </c>
      <c r="P8" s="12" t="s">
        <v>25</v>
      </c>
      <c r="Q8" s="12" t="s">
        <v>26</v>
      </c>
    </row>
    <row r="9" customFormat="false" ht="15" hidden="false" customHeight="true" outlineLevel="0" collapsed="false">
      <c r="A9" s="13" t="n">
        <f aca="false">IF($B9="","",COUNT($B$9:$B9))</f>
        <v>1</v>
      </c>
      <c r="B9" s="14" t="n">
        <v>46204</v>
      </c>
      <c r="C9" s="13" t="str">
        <f aca="false">IF($B9="","",INDEX({"Mo","Di","Mi","Do","Fr","Sa","So"},WEEKDAY($B9,2)))</f>
        <v>Mi</v>
      </c>
      <c r="D9" s="13" t="n">
        <f aca="false">IF($B9="","",INT(($B9-WEEKDAY($B9,2)+4-DATE(YEAR($B9-WEEKDAY($B9,2)+4),1,1))/7)+1)</f>
        <v>27</v>
      </c>
      <c r="E9" s="15" t="s">
        <v>27</v>
      </c>
      <c r="F9" s="15" t="s">
        <v>28</v>
      </c>
      <c r="G9" s="15" t="s">
        <v>29</v>
      </c>
      <c r="H9" s="16" t="n">
        <v>0.333333333333333</v>
      </c>
      <c r="I9" s="16" t="n">
        <v>0.6875</v>
      </c>
      <c r="J9" s="17" t="n">
        <v>30</v>
      </c>
      <c r="K9" s="18"/>
      <c r="L9" s="19" t="n">
        <f aca="false">IF($B9="","",IF($K9&lt;&gt;"",$K9,IF($H9="","",IF($I9="","",MAX(0,MOD($I9-$H9,1)-$J9/1440)))))</f>
        <v>0.333333333333333</v>
      </c>
      <c r="M9" s="20" t="n">
        <f aca="false">IF($L9="","",$L9*24)</f>
        <v>8</v>
      </c>
      <c r="N9" s="21" t="s">
        <v>30</v>
      </c>
      <c r="O9" s="22" t="n">
        <f aca="false">IF($F9="","",IFERROR(VLOOKUP($F9,Satz_Tabelle,2,0),0))</f>
        <v>78</v>
      </c>
      <c r="P9" s="22" t="n">
        <f aca="false">IF($M9="","",IF($N9="Ja",ROUND($M9*$O9,2),0))</f>
        <v>624</v>
      </c>
      <c r="Q9" s="15"/>
    </row>
    <row r="10" customFormat="false" ht="15" hidden="false" customHeight="true" outlineLevel="0" collapsed="false">
      <c r="A10" s="13" t="n">
        <f aca="false">IF($B10="","",COUNT($B$9:$B10))</f>
        <v>2</v>
      </c>
      <c r="B10" s="14" t="n">
        <v>46204</v>
      </c>
      <c r="C10" s="13" t="str">
        <f aca="false">IF($B10="","",INDEX({"Mo","Di","Mi","Do","Fr","Sa","So"},WEEKDAY($B10,2)))</f>
        <v>Mi</v>
      </c>
      <c r="D10" s="13" t="n">
        <f aca="false">IF($B10="","",INT(($B10-WEEKDAY($B10,2)+4-DATE(YEAR($B10-WEEKDAY($B10,2)+4),1,1))/7)+1)</f>
        <v>27</v>
      </c>
      <c r="E10" s="15" t="s">
        <v>31</v>
      </c>
      <c r="F10" s="15" t="s">
        <v>32</v>
      </c>
      <c r="G10" s="15" t="s">
        <v>33</v>
      </c>
      <c r="H10" s="16" t="n">
        <v>0.375</v>
      </c>
      <c r="I10" s="16" t="n">
        <v>0.71875</v>
      </c>
      <c r="J10" s="17" t="n">
        <v>45</v>
      </c>
      <c r="K10" s="18"/>
      <c r="L10" s="19" t="n">
        <f aca="false">IF($B10="","",IF($K10&lt;&gt;"",$K10,IF($H10="","",IF($I10="","",MAX(0,MOD($I10-$H10,1)-$J10/1440)))))</f>
        <v>0.3125</v>
      </c>
      <c r="M10" s="20" t="n">
        <f aca="false">IF($L10="","",$L10*24)</f>
        <v>7.5</v>
      </c>
      <c r="N10" s="21" t="s">
        <v>30</v>
      </c>
      <c r="O10" s="22" t="n">
        <f aca="false">IF($F10="","",IFERROR(VLOOKUP($F10,Satz_Tabelle,2,0),0))</f>
        <v>65</v>
      </c>
      <c r="P10" s="22" t="n">
        <f aca="false">IF($M10="","",IF($N10="Ja",ROUND($M10*$O10,2),0))</f>
        <v>487.5</v>
      </c>
      <c r="Q10" s="15"/>
    </row>
    <row r="11" customFormat="false" ht="15" hidden="false" customHeight="true" outlineLevel="0" collapsed="false">
      <c r="A11" s="13" t="n">
        <f aca="false">IF($B11="","",COUNT($B$9:$B11))</f>
        <v>3</v>
      </c>
      <c r="B11" s="14" t="n">
        <v>46204</v>
      </c>
      <c r="C11" s="13" t="str">
        <f aca="false">IF($B11="","",INDEX({"Mo","Di","Mi","Do","Fr","Sa","So"},WEEKDAY($B11,2)))</f>
        <v>Mi</v>
      </c>
      <c r="D11" s="13" t="n">
        <f aca="false">IF($B11="","",INT(($B11-WEEKDAY($B11,2)+4-DATE(YEAR($B11-WEEKDAY($B11,2)+4),1,1))/7)+1)</f>
        <v>27</v>
      </c>
      <c r="E11" s="15" t="s">
        <v>34</v>
      </c>
      <c r="F11" s="15" t="s">
        <v>35</v>
      </c>
      <c r="G11" s="15" t="s">
        <v>36</v>
      </c>
      <c r="H11" s="16" t="n">
        <v>0.3125</v>
      </c>
      <c r="I11" s="16" t="n">
        <v>0.666666666666667</v>
      </c>
      <c r="J11" s="17" t="n">
        <v>45</v>
      </c>
      <c r="K11" s="18"/>
      <c r="L11" s="19" t="n">
        <f aca="false">IF($B11="","",IF($K11&lt;&gt;"",$K11,IF($H11="","",IF($I11="","",MAX(0,MOD($I11-$H11,1)-$J11/1440)))))</f>
        <v>0.322916666666667</v>
      </c>
      <c r="M11" s="20" t="n">
        <f aca="false">IF($L11="","",$L11*24)</f>
        <v>7.75</v>
      </c>
      <c r="N11" s="21" t="s">
        <v>30</v>
      </c>
      <c r="O11" s="22" t="n">
        <f aca="false">IF($F11="","",IFERROR(VLOOKUP($F11,Satz_Tabelle,2,0),0))</f>
        <v>72</v>
      </c>
      <c r="P11" s="22" t="n">
        <f aca="false">IF($M11="","",IF($N11="Ja",ROUND($M11*$O11,2),0))</f>
        <v>558</v>
      </c>
      <c r="Q11" s="15" t="s">
        <v>37</v>
      </c>
    </row>
    <row r="12" customFormat="false" ht="15" hidden="false" customHeight="true" outlineLevel="0" collapsed="false">
      <c r="A12" s="13" t="n">
        <f aca="false">IF($B12="","",COUNT($B$9:$B12))</f>
        <v>4</v>
      </c>
      <c r="B12" s="14" t="n">
        <v>46204</v>
      </c>
      <c r="C12" s="13" t="str">
        <f aca="false">IF($B12="","",INDEX({"Mo","Di","Mi","Do","Fr","Sa","So"},WEEKDAY($B12,2)))</f>
        <v>Mi</v>
      </c>
      <c r="D12" s="13" t="n">
        <f aca="false">IF($B12="","",INT(($B12-WEEKDAY($B12,2)+4-DATE(YEAR($B12-WEEKDAY($B12,2)+4),1,1))/7)+1)</f>
        <v>27</v>
      </c>
      <c r="E12" s="15" t="s">
        <v>27</v>
      </c>
      <c r="F12" s="15" t="s">
        <v>38</v>
      </c>
      <c r="G12" s="15" t="s">
        <v>39</v>
      </c>
      <c r="H12" s="16"/>
      <c r="I12" s="16"/>
      <c r="J12" s="17" t="n">
        <v>0</v>
      </c>
      <c r="K12" s="18" t="n">
        <v>0.0520833333333333</v>
      </c>
      <c r="L12" s="19" t="n">
        <f aca="false">IF($B12="","",IF($K12&lt;&gt;"",$K12,IF($H12="","",IF($I12="","",MAX(0,MOD($I12-$H12,1)-$J12/1440)))))</f>
        <v>0.0520833333333333</v>
      </c>
      <c r="M12" s="20" t="n">
        <f aca="false">IF($L12="","",$L12*24)</f>
        <v>1.25</v>
      </c>
      <c r="N12" s="21" t="s">
        <v>40</v>
      </c>
      <c r="O12" s="22" t="n">
        <f aca="false">IF($F12="","",IFERROR(VLOOKUP($F12,Satz_Tabelle,2,0),0))</f>
        <v>45</v>
      </c>
      <c r="P12" s="22" t="n">
        <f aca="false">IF($M12="","",IF($N12="Ja",ROUND($M12*$O12,2),0))</f>
        <v>0</v>
      </c>
      <c r="Q12" s="15" t="s">
        <v>41</v>
      </c>
    </row>
    <row r="13" customFormat="false" ht="15" hidden="false" customHeight="true" outlineLevel="0" collapsed="false">
      <c r="A13" s="13" t="n">
        <f aca="false">IF($B13="","",COUNT($B$9:$B13))</f>
        <v>5</v>
      </c>
      <c r="B13" s="14" t="n">
        <v>46205</v>
      </c>
      <c r="C13" s="13" t="str">
        <f aca="false">IF($B13="","",INDEX({"Mo","Di","Mi","Do","Fr","Sa","So"},WEEKDAY($B13,2)))</f>
        <v>Do</v>
      </c>
      <c r="D13" s="13" t="n">
        <f aca="false">IF($B13="","",INT(($B13-WEEKDAY($B13,2)+4-DATE(YEAR($B13-WEEKDAY($B13,2)+4),1,1))/7)+1)</f>
        <v>27</v>
      </c>
      <c r="E13" s="15" t="s">
        <v>27</v>
      </c>
      <c r="F13" s="15" t="s">
        <v>28</v>
      </c>
      <c r="G13" s="15" t="s">
        <v>42</v>
      </c>
      <c r="H13" s="16" t="n">
        <v>0.34375</v>
      </c>
      <c r="I13" s="16" t="n">
        <v>0.53125</v>
      </c>
      <c r="J13" s="17" t="n">
        <v>0</v>
      </c>
      <c r="K13" s="18"/>
      <c r="L13" s="19" t="n">
        <f aca="false">IF($B13="","",IF($K13&lt;&gt;"",$K13,IF($H13="","",IF($I13="","",MAX(0,MOD($I13-$H13,1)-$J13/1440)))))</f>
        <v>0.1875</v>
      </c>
      <c r="M13" s="20" t="n">
        <f aca="false">IF($L13="","",$L13*24)</f>
        <v>4.5</v>
      </c>
      <c r="N13" s="21" t="s">
        <v>30</v>
      </c>
      <c r="O13" s="22" t="n">
        <f aca="false">IF($F13="","",IFERROR(VLOOKUP($F13,Satz_Tabelle,2,0),0))</f>
        <v>78</v>
      </c>
      <c r="P13" s="22" t="n">
        <f aca="false">IF($M13="","",IF($N13="Ja",ROUND($M13*$O13,2),0))</f>
        <v>351</v>
      </c>
      <c r="Q13" s="15"/>
    </row>
    <row r="14" customFormat="false" ht="15" hidden="false" customHeight="true" outlineLevel="0" collapsed="false">
      <c r="A14" s="13" t="n">
        <f aca="false">IF($B14="","",COUNT($B$9:$B14))</f>
        <v>6</v>
      </c>
      <c r="B14" s="14" t="n">
        <v>46205</v>
      </c>
      <c r="C14" s="13" t="str">
        <f aca="false">IF($B14="","",INDEX({"Mo","Di","Mi","Do","Fr","Sa","So"},WEEKDAY($B14,2)))</f>
        <v>Do</v>
      </c>
      <c r="D14" s="13" t="n">
        <f aca="false">IF($B14="","",INT(($B14-WEEKDAY($B14,2)+4-DATE(YEAR($B14-WEEKDAY($B14,2)+4),1,1))/7)+1)</f>
        <v>27</v>
      </c>
      <c r="E14" s="15" t="s">
        <v>43</v>
      </c>
      <c r="F14" s="15" t="s">
        <v>44</v>
      </c>
      <c r="G14" s="15" t="s">
        <v>45</v>
      </c>
      <c r="H14" s="16" t="n">
        <v>0.333333333333333</v>
      </c>
      <c r="I14" s="16" t="n">
        <v>0.583333333333333</v>
      </c>
      <c r="J14" s="17" t="n">
        <v>30</v>
      </c>
      <c r="K14" s="18"/>
      <c r="L14" s="19" t="n">
        <f aca="false">IF($B14="","",IF($K14&lt;&gt;"",$K14,IF($H14="","",IF($I14="","",MAX(0,MOD($I14-$H14,1)-$J14/1440)))))</f>
        <v>0.229166666666667</v>
      </c>
      <c r="M14" s="20" t="n">
        <f aca="false">IF($L14="","",$L14*24)</f>
        <v>5.5</v>
      </c>
      <c r="N14" s="21" t="s">
        <v>40</v>
      </c>
      <c r="O14" s="22" t="n">
        <f aca="false">IF($F14="","",IFERROR(VLOOKUP($F14,Satz_Tabelle,2,0),0))</f>
        <v>0</v>
      </c>
      <c r="P14" s="22" t="n">
        <f aca="false">IF($M14="","",IF($N14="Ja",ROUND($M14*$O14,2),0))</f>
        <v>0</v>
      </c>
      <c r="Q14" s="15"/>
    </row>
    <row r="15" customFormat="false" ht="15" hidden="false" customHeight="true" outlineLevel="0" collapsed="false">
      <c r="A15" s="13" t="n">
        <f aca="false">IF($B15="","",COUNT($B$9:$B15))</f>
        <v>7</v>
      </c>
      <c r="B15" s="14" t="n">
        <v>46205</v>
      </c>
      <c r="C15" s="13" t="str">
        <f aca="false">IF($B15="","",INDEX({"Mo","Di","Mi","Do","Fr","Sa","So"},WEEKDAY($B15,2)))</f>
        <v>Do</v>
      </c>
      <c r="D15" s="13" t="n">
        <f aca="false">IF($B15="","",INT(($B15-WEEKDAY($B15,2)+4-DATE(YEAR($B15-WEEKDAY($B15,2)+4),1,1))/7)+1)</f>
        <v>27</v>
      </c>
      <c r="E15" s="15" t="s">
        <v>31</v>
      </c>
      <c r="F15" s="15" t="s">
        <v>46</v>
      </c>
      <c r="G15" s="15" t="s">
        <v>47</v>
      </c>
      <c r="H15" s="16" t="n">
        <v>0.541666666666667</v>
      </c>
      <c r="I15" s="16" t="n">
        <v>0.729166666666667</v>
      </c>
      <c r="J15" s="17" t="n">
        <v>0</v>
      </c>
      <c r="K15" s="18"/>
      <c r="L15" s="19" t="n">
        <f aca="false">IF($B15="","",IF($K15&lt;&gt;"",$K15,IF($H15="","",IF($I15="","",MAX(0,MOD($I15-$H15,1)-$J15/1440)))))</f>
        <v>0.1875</v>
      </c>
      <c r="M15" s="20" t="n">
        <f aca="false">IF($L15="","",$L15*24)</f>
        <v>4.5</v>
      </c>
      <c r="N15" s="21" t="s">
        <v>30</v>
      </c>
      <c r="O15" s="22" t="n">
        <f aca="false">IF($F15="","",IFERROR(VLOOKUP($F15,Satz_Tabelle,2,0),0))</f>
        <v>95</v>
      </c>
      <c r="P15" s="22" t="n">
        <f aca="false">IF($M15="","",IF($N15="Ja",ROUND($M15*$O15,2),0))</f>
        <v>427.5</v>
      </c>
      <c r="Q15" s="15"/>
    </row>
    <row r="16" customFormat="false" ht="15" hidden="false" customHeight="true" outlineLevel="0" collapsed="false">
      <c r="A16" s="13" t="n">
        <f aca="false">IF($B16="","",COUNT($B$9:$B16))</f>
        <v>8</v>
      </c>
      <c r="B16" s="14" t="n">
        <v>46205</v>
      </c>
      <c r="C16" s="13" t="str">
        <f aca="false">IF($B16="","",INDEX({"Mo","Di","Mi","Do","Fr","Sa","So"},WEEKDAY($B16,2)))</f>
        <v>Do</v>
      </c>
      <c r="D16" s="13" t="n">
        <f aca="false">IF($B16="","",INT(($B16-WEEKDAY($B16,2)+4-DATE(YEAR($B16-WEEKDAY($B16,2)+4),1,1))/7)+1)</f>
        <v>27</v>
      </c>
      <c r="E16" s="15" t="s">
        <v>34</v>
      </c>
      <c r="F16" s="15" t="s">
        <v>35</v>
      </c>
      <c r="G16" s="15" t="s">
        <v>48</v>
      </c>
      <c r="H16" s="16" t="n">
        <v>0.3125</v>
      </c>
      <c r="I16" s="16" t="n">
        <v>0.708333333333333</v>
      </c>
      <c r="J16" s="17" t="n">
        <v>45</v>
      </c>
      <c r="K16" s="18"/>
      <c r="L16" s="19" t="n">
        <f aca="false">IF($B16="","",IF($K16&lt;&gt;"",$K16,IF($H16="","",IF($I16="","",MAX(0,MOD($I16-$H16,1)-$J16/1440)))))</f>
        <v>0.364583333333333</v>
      </c>
      <c r="M16" s="20" t="n">
        <f aca="false">IF($L16="","",$L16*24)</f>
        <v>8.75</v>
      </c>
      <c r="N16" s="21" t="s">
        <v>30</v>
      </c>
      <c r="O16" s="22" t="n">
        <f aca="false">IF($F16="","",IFERROR(VLOOKUP($F16,Satz_Tabelle,2,0),0))</f>
        <v>72</v>
      </c>
      <c r="P16" s="22" t="n">
        <f aca="false">IF($M16="","",IF($N16="Ja",ROUND($M16*$O16,2),0))</f>
        <v>630</v>
      </c>
      <c r="Q16" s="15"/>
    </row>
    <row r="17" customFormat="false" ht="15" hidden="false" customHeight="true" outlineLevel="0" collapsed="false">
      <c r="A17" s="13" t="n">
        <f aca="false">IF($B17="","",COUNT($B$9:$B17))</f>
        <v>9</v>
      </c>
      <c r="B17" s="14" t="n">
        <v>46206</v>
      </c>
      <c r="C17" s="13" t="str">
        <f aca="false">IF($B17="","",INDEX({"Mo","Di","Mi","Do","Fr","Sa","So"},WEEKDAY($B17,2)))</f>
        <v>Fr</v>
      </c>
      <c r="D17" s="13" t="n">
        <f aca="false">IF($B17="","",INT(($B17-WEEKDAY($B17,2)+4-DATE(YEAR($B17-WEEKDAY($B17,2)+4),1,1))/7)+1)</f>
        <v>27</v>
      </c>
      <c r="E17" s="15" t="s">
        <v>27</v>
      </c>
      <c r="F17" s="15" t="s">
        <v>28</v>
      </c>
      <c r="G17" s="15" t="s">
        <v>49</v>
      </c>
      <c r="H17" s="16" t="n">
        <v>0.333333333333333</v>
      </c>
      <c r="I17" s="16" t="n">
        <v>0.625</v>
      </c>
      <c r="J17" s="17" t="n">
        <v>30</v>
      </c>
      <c r="K17" s="18"/>
      <c r="L17" s="19" t="n">
        <f aca="false">IF($B17="","",IF($K17&lt;&gt;"",$K17,IF($H17="","",IF($I17="","",MAX(0,MOD($I17-$H17,1)-$J17/1440)))))</f>
        <v>0.270833333333333</v>
      </c>
      <c r="M17" s="20" t="n">
        <f aca="false">IF($L17="","",$L17*24)</f>
        <v>6.5</v>
      </c>
      <c r="N17" s="21" t="s">
        <v>30</v>
      </c>
      <c r="O17" s="22" t="n">
        <f aca="false">IF($F17="","",IFERROR(VLOOKUP($F17,Satz_Tabelle,2,0),0))</f>
        <v>78</v>
      </c>
      <c r="P17" s="22" t="n">
        <f aca="false">IF($M17="","",IF($N17="Ja",ROUND($M17*$O17,2),0))</f>
        <v>507</v>
      </c>
      <c r="Q17" s="15"/>
    </row>
    <row r="18" customFormat="false" ht="15" hidden="false" customHeight="true" outlineLevel="0" collapsed="false">
      <c r="A18" s="13" t="n">
        <f aca="false">IF($B18="","",COUNT($B$9:$B18))</f>
        <v>10</v>
      </c>
      <c r="B18" s="14" t="n">
        <v>46206</v>
      </c>
      <c r="C18" s="13" t="str">
        <f aca="false">IF($B18="","",INDEX({"Mo","Di","Mi","Do","Fr","Sa","So"},WEEKDAY($B18,2)))</f>
        <v>Fr</v>
      </c>
      <c r="D18" s="13" t="n">
        <f aca="false">IF($B18="","",INT(($B18-WEEKDAY($B18,2)+4-DATE(YEAR($B18-WEEKDAY($B18,2)+4),1,1))/7)+1)</f>
        <v>27</v>
      </c>
      <c r="E18" s="15" t="s">
        <v>43</v>
      </c>
      <c r="F18" s="15" t="s">
        <v>44</v>
      </c>
      <c r="G18" s="15" t="s">
        <v>50</v>
      </c>
      <c r="H18" s="16" t="n">
        <v>0.354166666666667</v>
      </c>
      <c r="I18" s="16" t="n">
        <v>0.6875</v>
      </c>
      <c r="J18" s="17" t="n">
        <v>30</v>
      </c>
      <c r="K18" s="18"/>
      <c r="L18" s="19" t="n">
        <f aca="false">IF($B18="","",IF($K18&lt;&gt;"",$K18,IF($H18="","",IF($I18="","",MAX(0,MOD($I18-$H18,1)-$J18/1440)))))</f>
        <v>0.3125</v>
      </c>
      <c r="M18" s="20" t="n">
        <f aca="false">IF($L18="","",$L18*24)</f>
        <v>7.5</v>
      </c>
      <c r="N18" s="21" t="s">
        <v>40</v>
      </c>
      <c r="O18" s="22" t="n">
        <f aca="false">IF($F18="","",IFERROR(VLOOKUP($F18,Satz_Tabelle,2,0),0))</f>
        <v>0</v>
      </c>
      <c r="P18" s="22" t="n">
        <f aca="false">IF($M18="","",IF($N18="Ja",ROUND($M18*$O18,2),0))</f>
        <v>0</v>
      </c>
      <c r="Q18" s="15"/>
    </row>
    <row r="19" customFormat="false" ht="15" hidden="false" customHeight="true" outlineLevel="0" collapsed="false">
      <c r="A19" s="13" t="n">
        <f aca="false">IF($B19="","",COUNT($B$9:$B19))</f>
        <v>11</v>
      </c>
      <c r="B19" s="14" t="n">
        <v>46206</v>
      </c>
      <c r="C19" s="13" t="str">
        <f aca="false">IF($B19="","",INDEX({"Mo","Di","Mi","Do","Fr","Sa","So"},WEEKDAY($B19,2)))</f>
        <v>Fr</v>
      </c>
      <c r="D19" s="13" t="n">
        <f aca="false">IF($B19="","",INT(($B19-WEEKDAY($B19,2)+4-DATE(YEAR($B19-WEEKDAY($B19,2)+4),1,1))/7)+1)</f>
        <v>27</v>
      </c>
      <c r="E19" s="15" t="s">
        <v>51</v>
      </c>
      <c r="F19" s="15" t="s">
        <v>52</v>
      </c>
      <c r="G19" s="15" t="s">
        <v>53</v>
      </c>
      <c r="H19" s="16" t="n">
        <v>0.25</v>
      </c>
      <c r="I19" s="16" t="n">
        <v>0.604166666666667</v>
      </c>
      <c r="J19" s="17" t="n">
        <v>30</v>
      </c>
      <c r="K19" s="18"/>
      <c r="L19" s="19" t="n">
        <f aca="false">IF($B19="","",IF($K19&lt;&gt;"",$K19,IF($H19="","",IF($I19="","",MAX(0,MOD($I19-$H19,1)-$J19/1440)))))</f>
        <v>0.333333333333333</v>
      </c>
      <c r="M19" s="20" t="n">
        <f aca="false">IF($L19="","",$L19*24)</f>
        <v>8</v>
      </c>
      <c r="N19" s="21" t="s">
        <v>30</v>
      </c>
      <c r="O19" s="22" t="n">
        <f aca="false">IF($F19="","",IFERROR(VLOOKUP($F19,Satz_Tabelle,2,0),0))</f>
        <v>68</v>
      </c>
      <c r="P19" s="22" t="n">
        <f aca="false">IF($M19="","",IF($N19="Ja",ROUND($M19*$O19,2),0))</f>
        <v>544</v>
      </c>
      <c r="Q19" s="15"/>
    </row>
    <row r="20" customFormat="false" ht="15" hidden="false" customHeight="true" outlineLevel="0" collapsed="false">
      <c r="A20" s="13" t="n">
        <f aca="false">IF($B20="","",COUNT($B$9:$B20))</f>
        <v>12</v>
      </c>
      <c r="B20" s="14" t="n">
        <v>46209</v>
      </c>
      <c r="C20" s="13" t="str">
        <f aca="false">IF($B20="","",INDEX({"Mo","Di","Mi","Do","Fr","Sa","So"},WEEKDAY($B20,2)))</f>
        <v>Mo</v>
      </c>
      <c r="D20" s="13" t="n">
        <f aca="false">IF($B20="","",INT(($B20-WEEKDAY($B20,2)+4-DATE(YEAR($B20-WEEKDAY($B20,2)+4),1,1))/7)+1)</f>
        <v>28</v>
      </c>
      <c r="E20" s="15" t="s">
        <v>31</v>
      </c>
      <c r="F20" s="15" t="s">
        <v>32</v>
      </c>
      <c r="G20" s="15" t="s">
        <v>54</v>
      </c>
      <c r="H20" s="16" t="n">
        <v>0.375</v>
      </c>
      <c r="I20" s="16" t="n">
        <v>0.697916666666667</v>
      </c>
      <c r="J20" s="17" t="n">
        <v>45</v>
      </c>
      <c r="K20" s="18"/>
      <c r="L20" s="19" t="n">
        <f aca="false">IF($B20="","",IF($K20&lt;&gt;"",$K20,IF($H20="","",IF($I20="","",MAX(0,MOD($I20-$H20,1)-$J20/1440)))))</f>
        <v>0.291666666666667</v>
      </c>
      <c r="M20" s="20" t="n">
        <f aca="false">IF($L20="","",$L20*24)</f>
        <v>7</v>
      </c>
      <c r="N20" s="21" t="s">
        <v>30</v>
      </c>
      <c r="O20" s="22" t="n">
        <f aca="false">IF($F20="","",IFERROR(VLOOKUP($F20,Satz_Tabelle,2,0),0))</f>
        <v>65</v>
      </c>
      <c r="P20" s="22" t="n">
        <f aca="false">IF($M20="","",IF($N20="Ja",ROUND($M20*$O20,2),0))</f>
        <v>455</v>
      </c>
      <c r="Q20" s="15"/>
    </row>
    <row r="21" customFormat="false" ht="15" hidden="false" customHeight="true" outlineLevel="0" collapsed="false">
      <c r="A21" s="13" t="n">
        <f aca="false">IF($B21="","",COUNT($B$9:$B21))</f>
        <v>13</v>
      </c>
      <c r="B21" s="14" t="n">
        <v>46209</v>
      </c>
      <c r="C21" s="13" t="str">
        <f aca="false">IF($B21="","",INDEX({"Mo","Di","Mi","Do","Fr","Sa","So"},WEEKDAY($B21,2)))</f>
        <v>Mo</v>
      </c>
      <c r="D21" s="13" t="n">
        <f aca="false">IF($B21="","",INT(($B21-WEEKDAY($B21,2)+4-DATE(YEAR($B21-WEEKDAY($B21,2)+4),1,1))/7)+1)</f>
        <v>28</v>
      </c>
      <c r="E21" s="15" t="s">
        <v>27</v>
      </c>
      <c r="F21" s="15" t="s">
        <v>55</v>
      </c>
      <c r="G21" s="15" t="s">
        <v>56</v>
      </c>
      <c r="H21" s="16"/>
      <c r="I21" s="16"/>
      <c r="J21" s="17" t="n">
        <v>0</v>
      </c>
      <c r="K21" s="18" t="n">
        <v>0.145833333333333</v>
      </c>
      <c r="L21" s="19" t="n">
        <f aca="false">IF($B21="","",IF($K21&lt;&gt;"",$K21,IF($H21="","",IF($I21="","",MAX(0,MOD($I21-$H21,1)-$J21/1440)))))</f>
        <v>0.145833333333333</v>
      </c>
      <c r="M21" s="20" t="n">
        <f aca="false">IF($L21="","",$L21*24)</f>
        <v>3.5</v>
      </c>
      <c r="N21" s="21" t="s">
        <v>40</v>
      </c>
      <c r="O21" s="22" t="n">
        <f aca="false">IF($F21="","",IFERROR(VLOOKUP($F21,Satz_Tabelle,2,0),0))</f>
        <v>0</v>
      </c>
      <c r="P21" s="22" t="n">
        <f aca="false">IF($M21="","",IF($N21="Ja",ROUND($M21*$O21,2),0))</f>
        <v>0</v>
      </c>
      <c r="Q21" s="15" t="s">
        <v>57</v>
      </c>
    </row>
    <row r="22" customFormat="false" ht="15" hidden="false" customHeight="true" outlineLevel="0" collapsed="false">
      <c r="A22" s="13" t="n">
        <f aca="false">IF($B22="","",COUNT($B$9:$B22))</f>
        <v>14</v>
      </c>
      <c r="B22" s="14" t="n">
        <v>46209</v>
      </c>
      <c r="C22" s="13" t="str">
        <f aca="false">IF($B22="","",INDEX({"Mo","Di","Mi","Do","Fr","Sa","So"},WEEKDAY($B22,2)))</f>
        <v>Mo</v>
      </c>
      <c r="D22" s="13" t="n">
        <f aca="false">IF($B22="","",INT(($B22-WEEKDAY($B22,2)+4-DATE(YEAR($B22-WEEKDAY($B22,2)+4),1,1))/7)+1)</f>
        <v>28</v>
      </c>
      <c r="E22" s="15" t="s">
        <v>34</v>
      </c>
      <c r="F22" s="15" t="s">
        <v>35</v>
      </c>
      <c r="G22" s="15" t="s">
        <v>58</v>
      </c>
      <c r="H22" s="16" t="n">
        <v>0.291666666666667</v>
      </c>
      <c r="I22" s="16" t="n">
        <v>0.6875</v>
      </c>
      <c r="J22" s="17" t="n">
        <v>45</v>
      </c>
      <c r="K22" s="18"/>
      <c r="L22" s="19" t="n">
        <f aca="false">IF($B22="","",IF($K22&lt;&gt;"",$K22,IF($H22="","",IF($I22="","",MAX(0,MOD($I22-$H22,1)-$J22/1440)))))</f>
        <v>0.364583333333333</v>
      </c>
      <c r="M22" s="20" t="n">
        <f aca="false">IF($L22="","",$L22*24)</f>
        <v>8.75</v>
      </c>
      <c r="N22" s="21" t="s">
        <v>30</v>
      </c>
      <c r="O22" s="22" t="n">
        <f aca="false">IF($F22="","",IFERROR(VLOOKUP($F22,Satz_Tabelle,2,0),0))</f>
        <v>72</v>
      </c>
      <c r="P22" s="22" t="n">
        <f aca="false">IF($M22="","",IF($N22="Ja",ROUND($M22*$O22,2),0))</f>
        <v>630</v>
      </c>
      <c r="Q22" s="15"/>
    </row>
    <row r="23" customFormat="false" ht="15" hidden="false" customHeight="true" outlineLevel="0" collapsed="false">
      <c r="A23" s="13" t="n">
        <f aca="false">IF($B23="","",COUNT($B$9:$B23))</f>
        <v>15</v>
      </c>
      <c r="B23" s="14" t="n">
        <v>46210</v>
      </c>
      <c r="C23" s="13" t="str">
        <f aca="false">IF($B23="","",INDEX({"Mo","Di","Mi","Do","Fr","Sa","So"},WEEKDAY($B23,2)))</f>
        <v>Di</v>
      </c>
      <c r="D23" s="13" t="n">
        <f aca="false">IF($B23="","",INT(($B23-WEEKDAY($B23,2)+4-DATE(YEAR($B23-WEEKDAY($B23,2)+4),1,1))/7)+1)</f>
        <v>28</v>
      </c>
      <c r="E23" s="15" t="s">
        <v>51</v>
      </c>
      <c r="F23" s="15" t="s">
        <v>52</v>
      </c>
      <c r="G23" s="15" t="s">
        <v>59</v>
      </c>
      <c r="H23" s="16" t="n">
        <v>0.916666666666667</v>
      </c>
      <c r="I23" s="16" t="n">
        <v>0.270833333333333</v>
      </c>
      <c r="J23" s="17" t="n">
        <v>30</v>
      </c>
      <c r="K23" s="18"/>
      <c r="L23" s="19" t="n">
        <f aca="false">IF($B23="","",IF($K23&lt;&gt;"",$K23,IF($H23="","",IF($I23="","",MAX(0,MOD($I23-$H23,1)-$J23/1440)))))</f>
        <v>0.333333333333333</v>
      </c>
      <c r="M23" s="20" t="n">
        <f aca="false">IF($L23="","",$L23*24)</f>
        <v>8</v>
      </c>
      <c r="N23" s="21" t="s">
        <v>30</v>
      </c>
      <c r="O23" s="22" t="n">
        <f aca="false">IF($F23="","",IFERROR(VLOOKUP($F23,Satz_Tabelle,2,0),0))</f>
        <v>68</v>
      </c>
      <c r="P23" s="22" t="n">
        <f aca="false">IF($M23="","",IF($N23="Ja",ROUND($M23*$O23,2),0))</f>
        <v>544</v>
      </c>
      <c r="Q23" s="15" t="s">
        <v>60</v>
      </c>
    </row>
    <row r="24" customFormat="false" ht="15" hidden="false" customHeight="true" outlineLevel="0" collapsed="false">
      <c r="A24" s="13" t="n">
        <f aca="false">IF($B24="","",COUNT($B$9:$B24))</f>
        <v>16</v>
      </c>
      <c r="B24" s="14" t="n">
        <v>46210</v>
      </c>
      <c r="C24" s="13" t="str">
        <f aca="false">IF($B24="","",INDEX({"Mo","Di","Mi","Do","Fr","Sa","So"},WEEKDAY($B24,2)))</f>
        <v>Di</v>
      </c>
      <c r="D24" s="13" t="n">
        <f aca="false">IF($B24="","",INT(($B24-WEEKDAY($B24,2)+4-DATE(YEAR($B24-WEEKDAY($B24,2)+4),1,1))/7)+1)</f>
        <v>28</v>
      </c>
      <c r="E24" s="15" t="s">
        <v>43</v>
      </c>
      <c r="F24" s="15" t="s">
        <v>44</v>
      </c>
      <c r="G24" s="15" t="s">
        <v>61</v>
      </c>
      <c r="H24" s="16" t="n">
        <v>0.333333333333333</v>
      </c>
      <c r="I24" s="16" t="n">
        <v>0.645833333333333</v>
      </c>
      <c r="J24" s="17" t="n">
        <v>30</v>
      </c>
      <c r="K24" s="18"/>
      <c r="L24" s="19" t="n">
        <f aca="false">IF($B24="","",IF($K24&lt;&gt;"",$K24,IF($H24="","",IF($I24="","",MAX(0,MOD($I24-$H24,1)-$J24/1440)))))</f>
        <v>0.291666666666667</v>
      </c>
      <c r="M24" s="20" t="n">
        <f aca="false">IF($L24="","",$L24*24)</f>
        <v>7</v>
      </c>
      <c r="N24" s="21" t="s">
        <v>40</v>
      </c>
      <c r="O24" s="22" t="n">
        <f aca="false">IF($F24="","",IFERROR(VLOOKUP($F24,Satz_Tabelle,2,0),0))</f>
        <v>0</v>
      </c>
      <c r="P24" s="22" t="n">
        <f aca="false">IF($M24="","",IF($N24="Ja",ROUND($M24*$O24,2),0))</f>
        <v>0</v>
      </c>
      <c r="Q24" s="15"/>
    </row>
    <row r="25" customFormat="false" ht="15" hidden="false" customHeight="true" outlineLevel="0" collapsed="false">
      <c r="A25" s="13" t="n">
        <f aca="false">IF($B25="","",COUNT($B$9:$B25))</f>
        <v>17</v>
      </c>
      <c r="B25" s="14" t="n">
        <v>46210</v>
      </c>
      <c r="C25" s="13" t="str">
        <f aca="false">IF($B25="","",INDEX({"Mo","Di","Mi","Do","Fr","Sa","So"},WEEKDAY($B25,2)))</f>
        <v>Di</v>
      </c>
      <c r="D25" s="13" t="n">
        <f aca="false">IF($B25="","",INT(($B25-WEEKDAY($B25,2)+4-DATE(YEAR($B25-WEEKDAY($B25,2)+4),1,1))/7)+1)</f>
        <v>28</v>
      </c>
      <c r="E25" s="15" t="s">
        <v>31</v>
      </c>
      <c r="F25" s="15" t="s">
        <v>46</v>
      </c>
      <c r="G25" s="15" t="s">
        <v>62</v>
      </c>
      <c r="H25" s="16" t="n">
        <v>0.416666666666667</v>
      </c>
      <c r="I25" s="16" t="n">
        <v>0.583333333333333</v>
      </c>
      <c r="J25" s="17" t="n">
        <v>0</v>
      </c>
      <c r="K25" s="18"/>
      <c r="L25" s="19" t="n">
        <f aca="false">IF($B25="","",IF($K25&lt;&gt;"",$K25,IF($H25="","",IF($I25="","",MAX(0,MOD($I25-$H25,1)-$J25/1440)))))</f>
        <v>0.166666666666667</v>
      </c>
      <c r="M25" s="20" t="n">
        <f aca="false">IF($L25="","",$L25*24)</f>
        <v>4</v>
      </c>
      <c r="N25" s="21" t="s">
        <v>30</v>
      </c>
      <c r="O25" s="22" t="n">
        <f aca="false">IF($F25="","",IFERROR(VLOOKUP($F25,Satz_Tabelle,2,0),0))</f>
        <v>95</v>
      </c>
      <c r="P25" s="22" t="n">
        <f aca="false">IF($M25="","",IF($N25="Ja",ROUND($M25*$O25,2),0))</f>
        <v>380</v>
      </c>
      <c r="Q25" s="15"/>
    </row>
    <row r="26" customFormat="false" ht="15" hidden="false" customHeight="true" outlineLevel="0" collapsed="false">
      <c r="A26" s="13" t="n">
        <f aca="false">IF($B26="","",COUNT($B$9:$B26))</f>
        <v>18</v>
      </c>
      <c r="B26" s="14" t="n">
        <v>46211</v>
      </c>
      <c r="C26" s="13" t="str">
        <f aca="false">IF($B26="","",INDEX({"Mo","Di","Mi","Do","Fr","Sa","So"},WEEKDAY($B26,2)))</f>
        <v>Mi</v>
      </c>
      <c r="D26" s="13" t="n">
        <f aca="false">IF($B26="","",INT(($B26-WEEKDAY($B26,2)+4-DATE(YEAR($B26-WEEKDAY($B26,2)+4),1,1))/7)+1)</f>
        <v>28</v>
      </c>
      <c r="E26" s="15" t="s">
        <v>27</v>
      </c>
      <c r="F26" s="15" t="s">
        <v>28</v>
      </c>
      <c r="G26" s="15" t="s">
        <v>63</v>
      </c>
      <c r="H26" s="16" t="n">
        <v>0.333333333333333</v>
      </c>
      <c r="I26" s="16" t="n">
        <v>0.708333333333333</v>
      </c>
      <c r="J26" s="17" t="n">
        <v>45</v>
      </c>
      <c r="K26" s="18"/>
      <c r="L26" s="19" t="n">
        <f aca="false">IF($B26="","",IF($K26&lt;&gt;"",$K26,IF($H26="","",IF($I26="","",MAX(0,MOD($I26-$H26,1)-$J26/1440)))))</f>
        <v>0.34375</v>
      </c>
      <c r="M26" s="20" t="n">
        <f aca="false">IF($L26="","",$L26*24)</f>
        <v>8.25</v>
      </c>
      <c r="N26" s="21" t="s">
        <v>30</v>
      </c>
      <c r="O26" s="22" t="n">
        <f aca="false">IF($F26="","",IFERROR(VLOOKUP($F26,Satz_Tabelle,2,0),0))</f>
        <v>78</v>
      </c>
      <c r="P26" s="22" t="n">
        <f aca="false">IF($M26="","",IF($N26="Ja",ROUND($M26*$O26,2),0))</f>
        <v>643.5</v>
      </c>
      <c r="Q26" s="15"/>
    </row>
    <row r="27" customFormat="false" ht="15" hidden="false" customHeight="true" outlineLevel="0" collapsed="false">
      <c r="A27" s="13" t="n">
        <f aca="false">IF($B27="","",COUNT($B$9:$B27))</f>
        <v>19</v>
      </c>
      <c r="B27" s="14" t="n">
        <v>46211</v>
      </c>
      <c r="C27" s="13" t="str">
        <f aca="false">IF($B27="","",INDEX({"Mo","Di","Mi","Do","Fr","Sa","So"},WEEKDAY($B27,2)))</f>
        <v>Mi</v>
      </c>
      <c r="D27" s="13" t="n">
        <f aca="false">IF($B27="","",INT(($B27-WEEKDAY($B27,2)+4-DATE(YEAR($B27-WEEKDAY($B27,2)+4),1,1))/7)+1)</f>
        <v>28</v>
      </c>
      <c r="E27" s="15" t="s">
        <v>34</v>
      </c>
      <c r="F27" s="15" t="s">
        <v>38</v>
      </c>
      <c r="G27" s="15" t="s">
        <v>64</v>
      </c>
      <c r="H27" s="16"/>
      <c r="I27" s="16"/>
      <c r="J27" s="17" t="n">
        <v>0</v>
      </c>
      <c r="K27" s="18" t="n">
        <v>0.0833333333333333</v>
      </c>
      <c r="L27" s="19" t="n">
        <f aca="false">IF($B27="","",IF($K27&lt;&gt;"",$K27,IF($H27="","",IF($I27="","",MAX(0,MOD($I27-$H27,1)-$J27/1440)))))</f>
        <v>0.0833333333333333</v>
      </c>
      <c r="M27" s="20" t="n">
        <f aca="false">IF($L27="","",$L27*24)</f>
        <v>2</v>
      </c>
      <c r="N27" s="21" t="s">
        <v>30</v>
      </c>
      <c r="O27" s="22" t="n">
        <f aca="false">IF($F27="","",IFERROR(VLOOKUP($F27,Satz_Tabelle,2,0),0))</f>
        <v>45</v>
      </c>
      <c r="P27" s="22" t="n">
        <f aca="false">IF($M27="","",IF($N27="Ja",ROUND($M27*$O27,2),0))</f>
        <v>90</v>
      </c>
      <c r="Q27" s="15"/>
    </row>
    <row r="28" customFormat="false" ht="15" hidden="false" customHeight="true" outlineLevel="0" collapsed="false">
      <c r="A28" s="13" t="n">
        <f aca="false">IF($B28="","",COUNT($B$9:$B28))</f>
        <v>20</v>
      </c>
      <c r="B28" s="14" t="n">
        <v>46211</v>
      </c>
      <c r="C28" s="13" t="str">
        <f aca="false">IF($B28="","",INDEX({"Mo","Di","Mi","Do","Fr","Sa","So"},WEEKDAY($B28,2)))</f>
        <v>Mi</v>
      </c>
      <c r="D28" s="13" t="n">
        <f aca="false">IF($B28="","",INT(($B28-WEEKDAY($B28,2)+4-DATE(YEAR($B28-WEEKDAY($B28,2)+4),1,1))/7)+1)</f>
        <v>28</v>
      </c>
      <c r="E28" s="15" t="s">
        <v>34</v>
      </c>
      <c r="F28" s="15" t="s">
        <v>35</v>
      </c>
      <c r="G28" s="15" t="s">
        <v>65</v>
      </c>
      <c r="H28" s="16" t="n">
        <v>0.458333333333333</v>
      </c>
      <c r="I28" s="16" t="n">
        <v>0.75</v>
      </c>
      <c r="J28" s="17" t="n">
        <v>30</v>
      </c>
      <c r="K28" s="18"/>
      <c r="L28" s="19" t="n">
        <f aca="false">IF($B28="","",IF($K28&lt;&gt;"",$K28,IF($H28="","",IF($I28="","",MAX(0,MOD($I28-$H28,1)-$J28/1440)))))</f>
        <v>0.270833333333333</v>
      </c>
      <c r="M28" s="20" t="n">
        <f aca="false">IF($L28="","",$L28*24)</f>
        <v>6.5</v>
      </c>
      <c r="N28" s="21" t="s">
        <v>30</v>
      </c>
      <c r="O28" s="22" t="n">
        <f aca="false">IF($F28="","",IFERROR(VLOOKUP($F28,Satz_Tabelle,2,0),0))</f>
        <v>72</v>
      </c>
      <c r="P28" s="22" t="n">
        <f aca="false">IF($M28="","",IF($N28="Ja",ROUND($M28*$O28,2),0))</f>
        <v>468</v>
      </c>
      <c r="Q28" s="15"/>
    </row>
    <row r="29" customFormat="false" ht="15" hidden="false" customHeight="true" outlineLevel="0" collapsed="false">
      <c r="A29" s="13" t="n">
        <f aca="false">IF($B29="","",COUNT($B$9:$B29))</f>
        <v>21</v>
      </c>
      <c r="B29" s="14" t="n">
        <v>46212</v>
      </c>
      <c r="C29" s="13" t="str">
        <f aca="false">IF($B29="","",INDEX({"Mo","Di","Mi","Do","Fr","Sa","So"},WEEKDAY($B29,2)))</f>
        <v>Do</v>
      </c>
      <c r="D29" s="13" t="n">
        <f aca="false">IF($B29="","",INT(($B29-WEEKDAY($B29,2)+4-DATE(YEAR($B29-WEEKDAY($B29,2)+4),1,1))/7)+1)</f>
        <v>28</v>
      </c>
      <c r="E29" s="15" t="s">
        <v>66</v>
      </c>
      <c r="F29" s="15" t="s">
        <v>32</v>
      </c>
      <c r="G29" s="15" t="s">
        <v>67</v>
      </c>
      <c r="H29" s="16" t="n">
        <v>0.354166666666667</v>
      </c>
      <c r="I29" s="16" t="n">
        <v>0.666666666666667</v>
      </c>
      <c r="J29" s="17" t="n">
        <v>30</v>
      </c>
      <c r="K29" s="18"/>
      <c r="L29" s="19" t="n">
        <f aca="false">IF($B29="","",IF($K29&lt;&gt;"",$K29,IF($H29="","",IF($I29="","",MAX(0,MOD($I29-$H29,1)-$J29/1440)))))</f>
        <v>0.291666666666667</v>
      </c>
      <c r="M29" s="20" t="n">
        <f aca="false">IF($L29="","",$L29*24)</f>
        <v>7</v>
      </c>
      <c r="N29" s="21" t="s">
        <v>40</v>
      </c>
      <c r="O29" s="22" t="n">
        <f aca="false">IF($F29="","",IFERROR(VLOOKUP($F29,Satz_Tabelle,2,0),0))</f>
        <v>65</v>
      </c>
      <c r="P29" s="22" t="n">
        <f aca="false">IF($M29="","",IF($N29="Ja",ROUND($M29*$O29,2),0))</f>
        <v>0</v>
      </c>
      <c r="Q29" s="15"/>
    </row>
    <row r="30" customFormat="false" ht="15" hidden="false" customHeight="true" outlineLevel="0" collapsed="false">
      <c r="A30" s="13" t="n">
        <f aca="false">IF($B30="","",COUNT($B$9:$B30))</f>
        <v>22</v>
      </c>
      <c r="B30" s="14" t="n">
        <v>46212</v>
      </c>
      <c r="C30" s="13" t="str">
        <f aca="false">IF($B30="","",INDEX({"Mo","Di","Mi","Do","Fr","Sa","So"},WEEKDAY($B30,2)))</f>
        <v>Do</v>
      </c>
      <c r="D30" s="13" t="n">
        <f aca="false">IF($B30="","",INT(($B30-WEEKDAY($B30,2)+4-DATE(YEAR($B30-WEEKDAY($B30,2)+4),1,1))/7)+1)</f>
        <v>28</v>
      </c>
      <c r="E30" s="15" t="s">
        <v>27</v>
      </c>
      <c r="F30" s="15" t="s">
        <v>46</v>
      </c>
      <c r="G30" s="15" t="s">
        <v>68</v>
      </c>
      <c r="H30" s="16" t="n">
        <v>0.375</v>
      </c>
      <c r="I30" s="16" t="n">
        <v>0.729166666666667</v>
      </c>
      <c r="J30" s="17" t="n">
        <v>60</v>
      </c>
      <c r="K30" s="18"/>
      <c r="L30" s="19" t="n">
        <f aca="false">IF($B30="","",IF($K30&lt;&gt;"",$K30,IF($H30="","",IF($I30="","",MAX(0,MOD($I30-$H30,1)-$J30/1440)))))</f>
        <v>0.3125</v>
      </c>
      <c r="M30" s="20" t="n">
        <f aca="false">IF($L30="","",$L30*24)</f>
        <v>7.5</v>
      </c>
      <c r="N30" s="21" t="s">
        <v>30</v>
      </c>
      <c r="O30" s="22" t="n">
        <f aca="false">IF($F30="","",IFERROR(VLOOKUP($F30,Satz_Tabelle,2,0),0))</f>
        <v>95</v>
      </c>
      <c r="P30" s="22" t="n">
        <f aca="false">IF($M30="","",IF($N30="Ja",ROUND($M30*$O30,2),0))</f>
        <v>712.5</v>
      </c>
      <c r="Q30" s="15"/>
    </row>
    <row r="31" customFormat="false" ht="15" hidden="false" customHeight="true" outlineLevel="0" collapsed="false">
      <c r="A31" s="13" t="n">
        <f aca="false">IF($B31="","",COUNT($B$9:$B31))</f>
        <v>23</v>
      </c>
      <c r="B31" s="14" t="n">
        <v>46212</v>
      </c>
      <c r="C31" s="13" t="str">
        <f aca="false">IF($B31="","",INDEX({"Mo","Di","Mi","Do","Fr","Sa","So"},WEEKDAY($B31,2)))</f>
        <v>Do</v>
      </c>
      <c r="D31" s="13" t="n">
        <f aca="false">IF($B31="","",INT(($B31-WEEKDAY($B31,2)+4-DATE(YEAR($B31-WEEKDAY($B31,2)+4),1,1))/7)+1)</f>
        <v>28</v>
      </c>
      <c r="E31" s="15" t="s">
        <v>51</v>
      </c>
      <c r="F31" s="15" t="s">
        <v>52</v>
      </c>
      <c r="G31" s="15" t="s">
        <v>69</v>
      </c>
      <c r="H31" s="16" t="n">
        <v>0.291666666666667</v>
      </c>
      <c r="I31" s="16" t="n">
        <v>0.541666666666667</v>
      </c>
      <c r="J31" s="17" t="n">
        <v>30</v>
      </c>
      <c r="K31" s="18"/>
      <c r="L31" s="19" t="n">
        <f aca="false">IF($B31="","",IF($K31&lt;&gt;"",$K31,IF($H31="","",IF($I31="","",MAX(0,MOD($I31-$H31,1)-$J31/1440)))))</f>
        <v>0.229166666666667</v>
      </c>
      <c r="M31" s="20" t="n">
        <f aca="false">IF($L31="","",$L31*24)</f>
        <v>5.5</v>
      </c>
      <c r="N31" s="21" t="s">
        <v>30</v>
      </c>
      <c r="O31" s="22" t="n">
        <f aca="false">IF($F31="","",IFERROR(VLOOKUP($F31,Satz_Tabelle,2,0),0))</f>
        <v>68</v>
      </c>
      <c r="P31" s="22" t="n">
        <f aca="false">IF($M31="","",IF($N31="Ja",ROUND($M31*$O31,2),0))</f>
        <v>374</v>
      </c>
      <c r="Q31" s="15"/>
    </row>
    <row r="32" customFormat="false" ht="15" hidden="false" customHeight="true" outlineLevel="0" collapsed="false">
      <c r="A32" s="13" t="n">
        <f aca="false">IF($B32="","",COUNT($B$9:$B32))</f>
        <v>24</v>
      </c>
      <c r="B32" s="14" t="n">
        <v>46213</v>
      </c>
      <c r="C32" s="13" t="str">
        <f aca="false">IF($B32="","",INDEX({"Mo","Di","Mi","Do","Fr","Sa","So"},WEEKDAY($B32,2)))</f>
        <v>Fr</v>
      </c>
      <c r="D32" s="13" t="n">
        <f aca="false">IF($B32="","",INT(($B32-WEEKDAY($B32,2)+4-DATE(YEAR($B32-WEEKDAY($B32,2)+4),1,1))/7)+1)</f>
        <v>28</v>
      </c>
      <c r="E32" s="15" t="s">
        <v>43</v>
      </c>
      <c r="F32" s="15" t="s">
        <v>44</v>
      </c>
      <c r="G32" s="15" t="s">
        <v>70</v>
      </c>
      <c r="H32" s="16" t="n">
        <v>0.333333333333333</v>
      </c>
      <c r="I32" s="16" t="n">
        <v>0.5</v>
      </c>
      <c r="J32" s="17" t="n">
        <v>0</v>
      </c>
      <c r="K32" s="18"/>
      <c r="L32" s="19" t="n">
        <f aca="false">IF($B32="","",IF($K32&lt;&gt;"",$K32,IF($H32="","",IF($I32="","",MAX(0,MOD($I32-$H32,1)-$J32/1440)))))</f>
        <v>0.166666666666667</v>
      </c>
      <c r="M32" s="20" t="n">
        <f aca="false">IF($L32="","",$L32*24)</f>
        <v>4</v>
      </c>
      <c r="N32" s="21" t="s">
        <v>40</v>
      </c>
      <c r="O32" s="22" t="n">
        <f aca="false">IF($F32="","",IFERROR(VLOOKUP($F32,Satz_Tabelle,2,0),0))</f>
        <v>0</v>
      </c>
      <c r="P32" s="22" t="n">
        <f aca="false">IF($M32="","",IF($N32="Ja",ROUND($M32*$O32,2),0))</f>
        <v>0</v>
      </c>
      <c r="Q32" s="15"/>
    </row>
    <row r="33" customFormat="false" ht="15" hidden="false" customHeight="true" outlineLevel="0" collapsed="false">
      <c r="A33" s="13" t="n">
        <f aca="false">IF($B33="","",COUNT($B$9:$B33))</f>
        <v>25</v>
      </c>
      <c r="B33" s="14" t="n">
        <v>46213</v>
      </c>
      <c r="C33" s="13" t="str">
        <f aca="false">IF($B33="","",INDEX({"Mo","Di","Mi","Do","Fr","Sa","So"},WEEKDAY($B33,2)))</f>
        <v>Fr</v>
      </c>
      <c r="D33" s="13" t="n">
        <f aca="false">IF($B33="","",INT(($B33-WEEKDAY($B33,2)+4-DATE(YEAR($B33-WEEKDAY($B33,2)+4),1,1))/7)+1)</f>
        <v>28</v>
      </c>
      <c r="E33" s="15" t="s">
        <v>31</v>
      </c>
      <c r="F33" s="15" t="s">
        <v>32</v>
      </c>
      <c r="G33" s="15" t="s">
        <v>71</v>
      </c>
      <c r="H33" s="16" t="n">
        <v>0.375</v>
      </c>
      <c r="I33" s="16" t="n">
        <v>0.645833333333333</v>
      </c>
      <c r="J33" s="17" t="n">
        <v>30</v>
      </c>
      <c r="K33" s="18"/>
      <c r="L33" s="19" t="n">
        <f aca="false">IF($B33="","",IF($K33&lt;&gt;"",$K33,IF($H33="","",IF($I33="","",MAX(0,MOD($I33-$H33,1)-$J33/1440)))))</f>
        <v>0.25</v>
      </c>
      <c r="M33" s="20" t="n">
        <f aca="false">IF($L33="","",$L33*24)</f>
        <v>6</v>
      </c>
      <c r="N33" s="21" t="s">
        <v>30</v>
      </c>
      <c r="O33" s="22" t="n">
        <f aca="false">IF($F33="","",IFERROR(VLOOKUP($F33,Satz_Tabelle,2,0),0))</f>
        <v>65</v>
      </c>
      <c r="P33" s="22" t="n">
        <f aca="false">IF($M33="","",IF($N33="Ja",ROUND($M33*$O33,2),0))</f>
        <v>390</v>
      </c>
      <c r="Q33" s="15"/>
    </row>
    <row r="34" customFormat="false" ht="15" hidden="false" customHeight="true" outlineLevel="0" collapsed="false">
      <c r="A34" s="13" t="n">
        <f aca="false">IF($B34="","",COUNT($B$9:$B34))</f>
        <v>26</v>
      </c>
      <c r="B34" s="14" t="n">
        <v>46213</v>
      </c>
      <c r="C34" s="13" t="str">
        <f aca="false">IF($B34="","",INDEX({"Mo","Di","Mi","Do","Fr","Sa","So"},WEEKDAY($B34,2)))</f>
        <v>Fr</v>
      </c>
      <c r="D34" s="13" t="n">
        <f aca="false">IF($B34="","",INT(($B34-WEEKDAY($B34,2)+4-DATE(YEAR($B34-WEEKDAY($B34,2)+4),1,1))/7)+1)</f>
        <v>28</v>
      </c>
      <c r="E34" s="15" t="s">
        <v>66</v>
      </c>
      <c r="F34" s="15" t="s">
        <v>55</v>
      </c>
      <c r="G34" s="15" t="s">
        <v>72</v>
      </c>
      <c r="H34" s="16" t="n">
        <v>0.541666666666667</v>
      </c>
      <c r="I34" s="16" t="n">
        <v>0.708333333333333</v>
      </c>
      <c r="J34" s="17" t="n">
        <v>0</v>
      </c>
      <c r="K34" s="18"/>
      <c r="L34" s="19" t="n">
        <f aca="false">IF($B34="","",IF($K34&lt;&gt;"",$K34,IF($H34="","",IF($I34="","",MAX(0,MOD($I34-$H34,1)-$J34/1440)))))</f>
        <v>0.166666666666667</v>
      </c>
      <c r="M34" s="20" t="n">
        <f aca="false">IF($L34="","",$L34*24)</f>
        <v>4</v>
      </c>
      <c r="N34" s="21" t="s">
        <v>40</v>
      </c>
      <c r="O34" s="22" t="n">
        <f aca="false">IF($F34="","",IFERROR(VLOOKUP($F34,Satz_Tabelle,2,0),0))</f>
        <v>0</v>
      </c>
      <c r="P34" s="22" t="n">
        <f aca="false">IF($M34="","",IF($N34="Ja",ROUND($M34*$O34,2),0))</f>
        <v>0</v>
      </c>
      <c r="Q34" s="15"/>
    </row>
    <row r="35" customFormat="false" ht="15" hidden="false" customHeight="true" outlineLevel="0" collapsed="false">
      <c r="A35" s="13" t="n">
        <f aca="false">IF($B35="","",COUNT($B$9:$B35))</f>
        <v>27</v>
      </c>
      <c r="B35" s="14" t="n">
        <v>46216</v>
      </c>
      <c r="C35" s="13" t="str">
        <f aca="false">IF($B35="","",INDEX({"Mo","Di","Mi","Do","Fr","Sa","So"},WEEKDAY($B35,2)))</f>
        <v>Mo</v>
      </c>
      <c r="D35" s="13" t="n">
        <f aca="false">IF($B35="","",INT(($B35-WEEKDAY($B35,2)+4-DATE(YEAR($B35-WEEKDAY($B35,2)+4),1,1))/7)+1)</f>
        <v>29</v>
      </c>
      <c r="E35" s="15" t="s">
        <v>27</v>
      </c>
      <c r="F35" s="15" t="s">
        <v>28</v>
      </c>
      <c r="G35" s="15" t="s">
        <v>73</v>
      </c>
      <c r="H35" s="16" t="n">
        <v>0.333333333333333</v>
      </c>
      <c r="I35" s="16" t="n">
        <v>0.666666666666667</v>
      </c>
      <c r="J35" s="17" t="n">
        <v>30</v>
      </c>
      <c r="K35" s="18"/>
      <c r="L35" s="19" t="n">
        <f aca="false">IF($B35="","",IF($K35&lt;&gt;"",$K35,IF($H35="","",IF($I35="","",MAX(0,MOD($I35-$H35,1)-$J35/1440)))))</f>
        <v>0.3125</v>
      </c>
      <c r="M35" s="20" t="n">
        <f aca="false">IF($L35="","",$L35*24)</f>
        <v>7.5</v>
      </c>
      <c r="N35" s="21" t="s">
        <v>30</v>
      </c>
      <c r="O35" s="22" t="n">
        <f aca="false">IF($F35="","",IFERROR(VLOOKUP($F35,Satz_Tabelle,2,0),0))</f>
        <v>78</v>
      </c>
      <c r="P35" s="22" t="n">
        <f aca="false">IF($M35="","",IF($N35="Ja",ROUND($M35*$O35,2),0))</f>
        <v>585</v>
      </c>
      <c r="Q35" s="15"/>
    </row>
    <row r="36" customFormat="false" ht="15" hidden="false" customHeight="true" outlineLevel="0" collapsed="false">
      <c r="A36" s="13" t="n">
        <f aca="false">IF($B36="","",COUNT($B$9:$B36))</f>
        <v>28</v>
      </c>
      <c r="B36" s="14" t="n">
        <v>46216</v>
      </c>
      <c r="C36" s="13" t="str">
        <f aca="false">IF($B36="","",INDEX({"Mo","Di","Mi","Do","Fr","Sa","So"},WEEKDAY($B36,2)))</f>
        <v>Mo</v>
      </c>
      <c r="D36" s="13" t="n">
        <f aca="false">IF($B36="","",INT(($B36-WEEKDAY($B36,2)+4-DATE(YEAR($B36-WEEKDAY($B36,2)+4),1,1))/7)+1)</f>
        <v>29</v>
      </c>
      <c r="E36" s="15" t="s">
        <v>34</v>
      </c>
      <c r="F36" s="15" t="s">
        <v>35</v>
      </c>
      <c r="G36" s="15" t="s">
        <v>74</v>
      </c>
      <c r="H36" s="16" t="n">
        <v>0.3125</v>
      </c>
      <c r="I36" s="16" t="n">
        <v>0.645833333333333</v>
      </c>
      <c r="J36" s="17" t="n">
        <v>30</v>
      </c>
      <c r="K36" s="18"/>
      <c r="L36" s="19" t="n">
        <f aca="false">IF($B36="","",IF($K36&lt;&gt;"",$K36,IF($H36="","",IF($I36="","",MAX(0,MOD($I36-$H36,1)-$J36/1440)))))</f>
        <v>0.3125</v>
      </c>
      <c r="M36" s="20" t="n">
        <f aca="false">IF($L36="","",$L36*24)</f>
        <v>7.5</v>
      </c>
      <c r="N36" s="21" t="s">
        <v>30</v>
      </c>
      <c r="O36" s="22" t="n">
        <f aca="false">IF($F36="","",IFERROR(VLOOKUP($F36,Satz_Tabelle,2,0),0))</f>
        <v>72</v>
      </c>
      <c r="P36" s="22" t="n">
        <f aca="false">IF($M36="","",IF($N36="Ja",ROUND($M36*$O36,2),0))</f>
        <v>540</v>
      </c>
      <c r="Q36" s="15"/>
    </row>
    <row r="37" customFormat="false" ht="15" hidden="false" customHeight="true" outlineLevel="0" collapsed="false">
      <c r="A37" s="13" t="n">
        <f aca="false">IF($B37="","",COUNT($B$9:$B37))</f>
        <v>29</v>
      </c>
      <c r="B37" s="14" t="n">
        <v>46216</v>
      </c>
      <c r="C37" s="13" t="str">
        <f aca="false">IF($B37="","",INDEX({"Mo","Di","Mi","Do","Fr","Sa","So"},WEEKDAY($B37,2)))</f>
        <v>Mo</v>
      </c>
      <c r="D37" s="13" t="n">
        <f aca="false">IF($B37="","",INT(($B37-WEEKDAY($B37,2)+4-DATE(YEAR($B37-WEEKDAY($B37,2)+4),1,1))/7)+1)</f>
        <v>29</v>
      </c>
      <c r="E37" s="15" t="s">
        <v>51</v>
      </c>
      <c r="F37" s="15" t="s">
        <v>52</v>
      </c>
      <c r="G37" s="15" t="s">
        <v>75</v>
      </c>
      <c r="H37" s="16"/>
      <c r="I37" s="16"/>
      <c r="J37" s="17" t="n">
        <v>0</v>
      </c>
      <c r="K37" s="18" t="n">
        <v>0.0729166666666667</v>
      </c>
      <c r="L37" s="19" t="n">
        <f aca="false">IF($B37="","",IF($K37&lt;&gt;"",$K37,IF($H37="","",IF($I37="","",MAX(0,MOD($I37-$H37,1)-$J37/1440)))))</f>
        <v>0.0729166666666667</v>
      </c>
      <c r="M37" s="20" t="n">
        <f aca="false">IF($L37="","",$L37*24)</f>
        <v>1.75</v>
      </c>
      <c r="N37" s="21" t="s">
        <v>30</v>
      </c>
      <c r="O37" s="22" t="n">
        <f aca="false">IF($F37="","",IFERROR(VLOOKUP($F37,Satz_Tabelle,2,0),0))</f>
        <v>68</v>
      </c>
      <c r="P37" s="22" t="n">
        <f aca="false">IF($M37="","",IF($N37="Ja",ROUND($M37*$O37,2),0))</f>
        <v>119</v>
      </c>
      <c r="Q37" s="15"/>
    </row>
    <row r="38" customFormat="false" ht="15" hidden="false" customHeight="true" outlineLevel="0" collapsed="false">
      <c r="A38" s="13" t="n">
        <f aca="false">IF($B38="","",COUNT($B$9:$B38))</f>
        <v>30</v>
      </c>
      <c r="B38" s="14" t="n">
        <v>46217</v>
      </c>
      <c r="C38" s="13" t="str">
        <f aca="false">IF($B38="","",INDEX({"Mo","Di","Mi","Do","Fr","Sa","So"},WEEKDAY($B38,2)))</f>
        <v>Di</v>
      </c>
      <c r="D38" s="13" t="n">
        <f aca="false">IF($B38="","",INT(($B38-WEEKDAY($B38,2)+4-DATE(YEAR($B38-WEEKDAY($B38,2)+4),1,1))/7)+1)</f>
        <v>29</v>
      </c>
      <c r="E38" s="15" t="s">
        <v>31</v>
      </c>
      <c r="F38" s="15" t="s">
        <v>46</v>
      </c>
      <c r="G38" s="15" t="s">
        <v>76</v>
      </c>
      <c r="H38" s="16" t="n">
        <v>0.416666666666667</v>
      </c>
      <c r="I38" s="16" t="n">
        <v>0.6875</v>
      </c>
      <c r="J38" s="17" t="n">
        <v>30</v>
      </c>
      <c r="K38" s="18"/>
      <c r="L38" s="19" t="n">
        <f aca="false">IF($B38="","",IF($K38&lt;&gt;"",$K38,IF($H38="","",IF($I38="","",MAX(0,MOD($I38-$H38,1)-$J38/1440)))))</f>
        <v>0.25</v>
      </c>
      <c r="M38" s="20" t="n">
        <f aca="false">IF($L38="","",$L38*24)</f>
        <v>6</v>
      </c>
      <c r="N38" s="21" t="s">
        <v>30</v>
      </c>
      <c r="O38" s="22" t="n">
        <f aca="false">IF($F38="","",IFERROR(VLOOKUP($F38,Satz_Tabelle,2,0),0))</f>
        <v>95</v>
      </c>
      <c r="P38" s="22" t="n">
        <f aca="false">IF($M38="","",IF($N38="Ja",ROUND($M38*$O38,2),0))</f>
        <v>570</v>
      </c>
      <c r="Q38" s="15"/>
    </row>
    <row r="39" customFormat="false" ht="15" hidden="false" customHeight="true" outlineLevel="0" collapsed="false">
      <c r="A39" s="13" t="n">
        <f aca="false">IF($B39="","",COUNT($B$9:$B39))</f>
        <v>31</v>
      </c>
      <c r="B39" s="14" t="n">
        <v>46217</v>
      </c>
      <c r="C39" s="13" t="str">
        <f aca="false">IF($B39="","",INDEX({"Mo","Di","Mi","Do","Fr","Sa","So"},WEEKDAY($B39,2)))</f>
        <v>Di</v>
      </c>
      <c r="D39" s="13" t="n">
        <f aca="false">IF($B39="","",INT(($B39-WEEKDAY($B39,2)+4-DATE(YEAR($B39-WEEKDAY($B39,2)+4),1,1))/7)+1)</f>
        <v>29</v>
      </c>
      <c r="E39" s="15" t="s">
        <v>66</v>
      </c>
      <c r="F39" s="15" t="s">
        <v>32</v>
      </c>
      <c r="G39" s="15" t="s">
        <v>77</v>
      </c>
      <c r="H39" s="16" t="n">
        <v>0.333333333333333</v>
      </c>
      <c r="I39" s="16" t="n">
        <v>0.604166666666667</v>
      </c>
      <c r="J39" s="17" t="n">
        <v>30</v>
      </c>
      <c r="K39" s="18"/>
      <c r="L39" s="19" t="n">
        <f aca="false">IF($B39="","",IF($K39&lt;&gt;"",$K39,IF($H39="","",IF($I39="","",MAX(0,MOD($I39-$H39,1)-$J39/1440)))))</f>
        <v>0.25</v>
      </c>
      <c r="M39" s="20" t="n">
        <f aca="false">IF($L39="","",$L39*24)</f>
        <v>6</v>
      </c>
      <c r="N39" s="21" t="s">
        <v>40</v>
      </c>
      <c r="O39" s="22" t="n">
        <f aca="false">IF($F39="","",IFERROR(VLOOKUP($F39,Satz_Tabelle,2,0),0))</f>
        <v>65</v>
      </c>
      <c r="P39" s="22" t="n">
        <f aca="false">IF($M39="","",IF($N39="Ja",ROUND($M39*$O39,2),0))</f>
        <v>0</v>
      </c>
      <c r="Q39" s="15"/>
    </row>
    <row r="40" customFormat="false" ht="15" hidden="false" customHeight="true" outlineLevel="0" collapsed="false">
      <c r="A40" s="13" t="n">
        <f aca="false">IF($B40="","",COUNT($B$9:$B40))</f>
        <v>32</v>
      </c>
      <c r="B40" s="14" t="n">
        <v>46217</v>
      </c>
      <c r="C40" s="13" t="str">
        <f aca="false">IF($B40="","",INDEX({"Mo","Di","Mi","Do","Fr","Sa","So"},WEEKDAY($B40,2)))</f>
        <v>Di</v>
      </c>
      <c r="D40" s="13" t="n">
        <f aca="false">IF($B40="","",INT(($B40-WEEKDAY($B40,2)+4-DATE(YEAR($B40-WEEKDAY($B40,2)+4),1,1))/7)+1)</f>
        <v>29</v>
      </c>
      <c r="E40" s="15" t="s">
        <v>43</v>
      </c>
      <c r="F40" s="15" t="s">
        <v>44</v>
      </c>
      <c r="G40" s="15" t="s">
        <v>78</v>
      </c>
      <c r="H40" s="16" t="n">
        <v>0.375</v>
      </c>
      <c r="I40" s="16" t="n">
        <v>0.708333333333333</v>
      </c>
      <c r="J40" s="17" t="n">
        <v>45</v>
      </c>
      <c r="K40" s="18"/>
      <c r="L40" s="19" t="n">
        <f aca="false">IF($B40="","",IF($K40&lt;&gt;"",$K40,IF($H40="","",IF($I40="","",MAX(0,MOD($I40-$H40,1)-$J40/1440)))))</f>
        <v>0.302083333333333</v>
      </c>
      <c r="M40" s="20" t="n">
        <f aca="false">IF($L40="","",$L40*24)</f>
        <v>7.25</v>
      </c>
      <c r="N40" s="21" t="s">
        <v>40</v>
      </c>
      <c r="O40" s="22" t="n">
        <f aca="false">IF($F40="","",IFERROR(VLOOKUP($F40,Satz_Tabelle,2,0),0))</f>
        <v>0</v>
      </c>
      <c r="P40" s="22" t="n">
        <f aca="false">IF($M40="","",IF($N40="Ja",ROUND($M40*$O40,2),0))</f>
        <v>0</v>
      </c>
      <c r="Q40" s="15"/>
    </row>
    <row r="41" customFormat="false" ht="15" hidden="false" customHeight="true" outlineLevel="0" collapsed="false">
      <c r="A41" s="13" t="n">
        <f aca="false">IF($B41="","",COUNT($B$9:$B41))</f>
        <v>33</v>
      </c>
      <c r="B41" s="14" t="n">
        <v>46218</v>
      </c>
      <c r="C41" s="13" t="str">
        <f aca="false">IF($B41="","",INDEX({"Mo","Di","Mi","Do","Fr","Sa","So"},WEEKDAY($B41,2)))</f>
        <v>Mi</v>
      </c>
      <c r="D41" s="13" t="n">
        <f aca="false">IF($B41="","",INT(($B41-WEEKDAY($B41,2)+4-DATE(YEAR($B41-WEEKDAY($B41,2)+4),1,1))/7)+1)</f>
        <v>29</v>
      </c>
      <c r="E41" s="15" t="s">
        <v>27</v>
      </c>
      <c r="F41" s="15" t="s">
        <v>28</v>
      </c>
      <c r="G41" s="15" t="s">
        <v>79</v>
      </c>
      <c r="H41" s="16" t="n">
        <v>0.333333333333333</v>
      </c>
      <c r="I41" s="16" t="n">
        <v>0.760416666666667</v>
      </c>
      <c r="J41" s="17" t="n">
        <v>45</v>
      </c>
      <c r="K41" s="18"/>
      <c r="L41" s="19" t="n">
        <f aca="false">IF($B41="","",IF($K41&lt;&gt;"",$K41,IF($H41="","",IF($I41="","",MAX(0,MOD($I41-$H41,1)-$J41/1440)))))</f>
        <v>0.395833333333333</v>
      </c>
      <c r="M41" s="20" t="n">
        <f aca="false">IF($L41="","",$L41*24)</f>
        <v>9.5</v>
      </c>
      <c r="N41" s="21" t="s">
        <v>30</v>
      </c>
      <c r="O41" s="22" t="n">
        <f aca="false">IF($F41="","",IFERROR(VLOOKUP($F41,Satz_Tabelle,2,0),0))</f>
        <v>78</v>
      </c>
      <c r="P41" s="22" t="n">
        <f aca="false">IF($M41="","",IF($N41="Ja",ROUND($M41*$O41,2),0))</f>
        <v>741</v>
      </c>
      <c r="Q41" s="15" t="s">
        <v>80</v>
      </c>
    </row>
    <row r="42" customFormat="false" ht="15" hidden="false" customHeight="true" outlineLevel="0" collapsed="false">
      <c r="A42" s="13" t="n">
        <f aca="false">IF($B42="","",COUNT($B$9:$B42))</f>
        <v>34</v>
      </c>
      <c r="B42" s="14" t="n">
        <v>46218</v>
      </c>
      <c r="C42" s="13" t="str">
        <f aca="false">IF($B42="","",INDEX({"Mo","Di","Mi","Do","Fr","Sa","So"},WEEKDAY($B42,2)))</f>
        <v>Mi</v>
      </c>
      <c r="D42" s="13" t="n">
        <f aca="false">IF($B42="","",INT(($B42-WEEKDAY($B42,2)+4-DATE(YEAR($B42-WEEKDAY($B42,2)+4),1,1))/7)+1)</f>
        <v>29</v>
      </c>
      <c r="E42" s="15" t="s">
        <v>34</v>
      </c>
      <c r="F42" s="15" t="s">
        <v>38</v>
      </c>
      <c r="G42" s="15" t="s">
        <v>81</v>
      </c>
      <c r="H42" s="16"/>
      <c r="I42" s="16"/>
      <c r="J42" s="17" t="n">
        <v>0</v>
      </c>
      <c r="K42" s="18" t="n">
        <v>0.0625</v>
      </c>
      <c r="L42" s="19" t="n">
        <f aca="false">IF($B42="","",IF($K42&lt;&gt;"",$K42,IF($H42="","",IF($I42="","",MAX(0,MOD($I42-$H42,1)-$J42/1440)))))</f>
        <v>0.0625</v>
      </c>
      <c r="M42" s="20" t="n">
        <f aca="false">IF($L42="","",$L42*24)</f>
        <v>1.5</v>
      </c>
      <c r="N42" s="21" t="s">
        <v>40</v>
      </c>
      <c r="O42" s="22" t="n">
        <f aca="false">IF($F42="","",IFERROR(VLOOKUP($F42,Satz_Tabelle,2,0),0))</f>
        <v>45</v>
      </c>
      <c r="P42" s="22" t="n">
        <f aca="false">IF($M42="","",IF($N42="Ja",ROUND($M42*$O42,2),0))</f>
        <v>0</v>
      </c>
      <c r="Q42" s="15"/>
    </row>
    <row r="43" customFormat="false" ht="15" hidden="false" customHeight="true" outlineLevel="0" collapsed="false">
      <c r="A43" s="13" t="n">
        <f aca="false">IF($B43="","",COUNT($B$9:$B43))</f>
        <v>35</v>
      </c>
      <c r="B43" s="14" t="n">
        <v>46218</v>
      </c>
      <c r="C43" s="13" t="str">
        <f aca="false">IF($B43="","",INDEX({"Mo","Di","Mi","Do","Fr","Sa","So"},WEEKDAY($B43,2)))</f>
        <v>Mi</v>
      </c>
      <c r="D43" s="13" t="n">
        <f aca="false">IF($B43="","",INT(($B43-WEEKDAY($B43,2)+4-DATE(YEAR($B43-WEEKDAY($B43,2)+4),1,1))/7)+1)</f>
        <v>29</v>
      </c>
      <c r="E43" s="15" t="s">
        <v>51</v>
      </c>
      <c r="F43" s="15" t="s">
        <v>52</v>
      </c>
      <c r="G43" s="15" t="s">
        <v>82</v>
      </c>
      <c r="H43" s="16" t="n">
        <v>0.270833333333333</v>
      </c>
      <c r="I43" s="16" t="n">
        <v>0.520833333333333</v>
      </c>
      <c r="J43" s="17" t="n">
        <v>30</v>
      </c>
      <c r="K43" s="18"/>
      <c r="L43" s="19" t="n">
        <f aca="false">IF($B43="","",IF($K43&lt;&gt;"",$K43,IF($H43="","",IF($I43="","",MAX(0,MOD($I43-$H43,1)-$J43/1440)))))</f>
        <v>0.229166666666667</v>
      </c>
      <c r="M43" s="20" t="n">
        <f aca="false">IF($L43="","",$L43*24)</f>
        <v>5.5</v>
      </c>
      <c r="N43" s="21" t="s">
        <v>30</v>
      </c>
      <c r="O43" s="22" t="n">
        <f aca="false">IF($F43="","",IFERROR(VLOOKUP($F43,Satz_Tabelle,2,0),0))</f>
        <v>68</v>
      </c>
      <c r="P43" s="22" t="n">
        <f aca="false">IF($M43="","",IF($N43="Ja",ROUND($M43*$O43,2),0))</f>
        <v>374</v>
      </c>
      <c r="Q43" s="15"/>
    </row>
    <row r="44" customFormat="false" ht="15" hidden="false" customHeight="true" outlineLevel="0" collapsed="false">
      <c r="A44" s="13" t="n">
        <f aca="false">IF($B44="","",COUNT($B$9:$B44))</f>
        <v>36</v>
      </c>
      <c r="B44" s="14" t="n">
        <v>46219</v>
      </c>
      <c r="C44" s="13" t="str">
        <f aca="false">IF($B44="","",INDEX({"Mo","Di","Mi","Do","Fr","Sa","So"},WEEKDAY($B44,2)))</f>
        <v>Do</v>
      </c>
      <c r="D44" s="13" t="n">
        <f aca="false">IF($B44="","",INT(($B44-WEEKDAY($B44,2)+4-DATE(YEAR($B44-WEEKDAY($B44,2)+4),1,1))/7)+1)</f>
        <v>29</v>
      </c>
      <c r="E44" s="15" t="s">
        <v>31</v>
      </c>
      <c r="F44" s="15" t="s">
        <v>32</v>
      </c>
      <c r="G44" s="15" t="s">
        <v>83</v>
      </c>
      <c r="H44" s="16" t="n">
        <v>0.395833333333333</v>
      </c>
      <c r="I44" s="16" t="n">
        <v>0.625</v>
      </c>
      <c r="J44" s="17" t="n">
        <v>30</v>
      </c>
      <c r="K44" s="18"/>
      <c r="L44" s="19" t="n">
        <f aca="false">IF($B44="","",IF($K44&lt;&gt;"",$K44,IF($H44="","",IF($I44="","",MAX(0,MOD($I44-$H44,1)-$J44/1440)))))</f>
        <v>0.208333333333333</v>
      </c>
      <c r="M44" s="20" t="n">
        <f aca="false">IF($L44="","",$L44*24)</f>
        <v>5</v>
      </c>
      <c r="N44" s="21" t="s">
        <v>30</v>
      </c>
      <c r="O44" s="22" t="n">
        <f aca="false">IF($F44="","",IFERROR(VLOOKUP($F44,Satz_Tabelle,2,0),0))</f>
        <v>65</v>
      </c>
      <c r="P44" s="22" t="n">
        <f aca="false">IF($M44="","",IF($N44="Ja",ROUND($M44*$O44,2),0))</f>
        <v>325</v>
      </c>
      <c r="Q44" s="15"/>
    </row>
    <row r="45" customFormat="false" ht="15" hidden="false" customHeight="true" outlineLevel="0" collapsed="false">
      <c r="A45" s="13" t="n">
        <f aca="false">IF($B45="","",COUNT($B$9:$B45))</f>
        <v>37</v>
      </c>
      <c r="B45" s="14" t="n">
        <v>46219</v>
      </c>
      <c r="C45" s="13" t="str">
        <f aca="false">IF($B45="","",INDEX({"Mo","Di","Mi","Do","Fr","Sa","So"},WEEKDAY($B45,2)))</f>
        <v>Do</v>
      </c>
      <c r="D45" s="13" t="n">
        <f aca="false">IF($B45="","",INT(($B45-WEEKDAY($B45,2)+4-DATE(YEAR($B45-WEEKDAY($B45,2)+4),1,1))/7)+1)</f>
        <v>29</v>
      </c>
      <c r="E45" s="15" t="s">
        <v>66</v>
      </c>
      <c r="F45" s="15" t="s">
        <v>44</v>
      </c>
      <c r="G45" s="15" t="s">
        <v>84</v>
      </c>
      <c r="H45" s="16" t="n">
        <v>0.333333333333333</v>
      </c>
      <c r="I45" s="16" t="n">
        <v>0.541666666666667</v>
      </c>
      <c r="J45" s="17" t="n">
        <v>0</v>
      </c>
      <c r="K45" s="18"/>
      <c r="L45" s="19" t="n">
        <f aca="false">IF($B45="","",IF($K45&lt;&gt;"",$K45,IF($H45="","",IF($I45="","",MAX(0,MOD($I45-$H45,1)-$J45/1440)))))</f>
        <v>0.208333333333333</v>
      </c>
      <c r="M45" s="20" t="n">
        <f aca="false">IF($L45="","",$L45*24)</f>
        <v>5</v>
      </c>
      <c r="N45" s="21" t="s">
        <v>40</v>
      </c>
      <c r="O45" s="22" t="n">
        <f aca="false">IF($F45="","",IFERROR(VLOOKUP($F45,Satz_Tabelle,2,0),0))</f>
        <v>0</v>
      </c>
      <c r="P45" s="22" t="n">
        <f aca="false">IF($M45="","",IF($N45="Ja",ROUND($M45*$O45,2),0))</f>
        <v>0</v>
      </c>
      <c r="Q45" s="15"/>
    </row>
    <row r="46" customFormat="false" ht="15" hidden="false" customHeight="true" outlineLevel="0" collapsed="false">
      <c r="A46" s="13" t="n">
        <f aca="false">IF($B46="","",COUNT($B$9:$B46))</f>
        <v>38</v>
      </c>
      <c r="B46" s="14" t="n">
        <v>46220</v>
      </c>
      <c r="C46" s="13" t="str">
        <f aca="false">IF($B46="","",INDEX({"Mo","Di","Mi","Do","Fr","Sa","So"},WEEKDAY($B46,2)))</f>
        <v>Fr</v>
      </c>
      <c r="D46" s="13" t="n">
        <f aca="false">IF($B46="","",INT(($B46-WEEKDAY($B46,2)+4-DATE(YEAR($B46-WEEKDAY($B46,2)+4),1,1))/7)+1)</f>
        <v>29</v>
      </c>
      <c r="E46" s="15" t="s">
        <v>27</v>
      </c>
      <c r="F46" s="15" t="s">
        <v>46</v>
      </c>
      <c r="G46" s="15" t="s">
        <v>85</v>
      </c>
      <c r="H46" s="16" t="n">
        <v>0.375</v>
      </c>
      <c r="I46" s="16" t="n">
        <v>0.604166666666667</v>
      </c>
      <c r="J46" s="17" t="n">
        <v>30</v>
      </c>
      <c r="K46" s="18"/>
      <c r="L46" s="19" t="n">
        <f aca="false">IF($B46="","",IF($K46&lt;&gt;"",$K46,IF($H46="","",IF($I46="","",MAX(0,MOD($I46-$H46,1)-$J46/1440)))))</f>
        <v>0.208333333333333</v>
      </c>
      <c r="M46" s="20" t="n">
        <f aca="false">IF($L46="","",$L46*24)</f>
        <v>5</v>
      </c>
      <c r="N46" s="21" t="s">
        <v>30</v>
      </c>
      <c r="O46" s="22" t="n">
        <f aca="false">IF($F46="","",IFERROR(VLOOKUP($F46,Satz_Tabelle,2,0),0))</f>
        <v>95</v>
      </c>
      <c r="P46" s="22" t="n">
        <f aca="false">IF($M46="","",IF($N46="Ja",ROUND($M46*$O46,2),0))</f>
        <v>475</v>
      </c>
      <c r="Q46" s="15"/>
    </row>
    <row r="47" customFormat="false" ht="15" hidden="false" customHeight="true" outlineLevel="0" collapsed="false">
      <c r="A47" s="13" t="n">
        <f aca="false">IF($B47="","",COUNT($B$9:$B47))</f>
        <v>39</v>
      </c>
      <c r="B47" s="14" t="n">
        <v>46220</v>
      </c>
      <c r="C47" s="13" t="str">
        <f aca="false">IF($B47="","",INDEX({"Mo","Di","Mi","Do","Fr","Sa","So"},WEEKDAY($B47,2)))</f>
        <v>Fr</v>
      </c>
      <c r="D47" s="13" t="n">
        <f aca="false">IF($B47="","",INT(($B47-WEEKDAY($B47,2)+4-DATE(YEAR($B47-WEEKDAY($B47,2)+4),1,1))/7)+1)</f>
        <v>29</v>
      </c>
      <c r="E47" s="15" t="s">
        <v>34</v>
      </c>
      <c r="F47" s="15" t="s">
        <v>35</v>
      </c>
      <c r="G47" s="15" t="s">
        <v>86</v>
      </c>
      <c r="H47" s="16" t="n">
        <v>0.3125</v>
      </c>
      <c r="I47" s="16" t="n">
        <v>0.697916666666667</v>
      </c>
      <c r="J47" s="17" t="n">
        <v>45</v>
      </c>
      <c r="K47" s="18"/>
      <c r="L47" s="19" t="n">
        <f aca="false">IF($B47="","",IF($K47&lt;&gt;"",$K47,IF($H47="","",IF($I47="","",MAX(0,MOD($I47-$H47,1)-$J47/1440)))))</f>
        <v>0.354166666666667</v>
      </c>
      <c r="M47" s="20" t="n">
        <f aca="false">IF($L47="","",$L47*24)</f>
        <v>8.5</v>
      </c>
      <c r="N47" s="21" t="s">
        <v>30</v>
      </c>
      <c r="O47" s="22" t="n">
        <f aca="false">IF($F47="","",IFERROR(VLOOKUP($F47,Satz_Tabelle,2,0),0))</f>
        <v>72</v>
      </c>
      <c r="P47" s="22" t="n">
        <f aca="false">IF($M47="","",IF($N47="Ja",ROUND($M47*$O47,2),0))</f>
        <v>612</v>
      </c>
      <c r="Q47" s="15"/>
    </row>
    <row r="48" customFormat="false" ht="15" hidden="false" customHeight="true" outlineLevel="0" collapsed="false">
      <c r="A48" s="13" t="n">
        <f aca="false">IF($B48="","",COUNT($B$9:$B48))</f>
        <v>40</v>
      </c>
      <c r="B48" s="14" t="n">
        <v>46220</v>
      </c>
      <c r="C48" s="13" t="str">
        <f aca="false">IF($B48="","",INDEX({"Mo","Di","Mi","Do","Fr","Sa","So"},WEEKDAY($B48,2)))</f>
        <v>Fr</v>
      </c>
      <c r="D48" s="13" t="n">
        <f aca="false">IF($B48="","",INT(($B48-WEEKDAY($B48,2)+4-DATE(YEAR($B48-WEEKDAY($B48,2)+4),1,1))/7)+1)</f>
        <v>29</v>
      </c>
      <c r="E48" s="15" t="s">
        <v>43</v>
      </c>
      <c r="F48" s="15" t="s">
        <v>44</v>
      </c>
      <c r="G48" s="15" t="s">
        <v>87</v>
      </c>
      <c r="H48" s="16" t="n">
        <v>0.333333333333333</v>
      </c>
      <c r="I48" s="16" t="n">
        <v>0.520833333333333</v>
      </c>
      <c r="J48" s="17" t="n">
        <v>0</v>
      </c>
      <c r="K48" s="18"/>
      <c r="L48" s="19" t="n">
        <f aca="false">IF($B48="","",IF($K48&lt;&gt;"",$K48,IF($H48="","",IF($I48="","",MAX(0,MOD($I48-$H48,1)-$J48/1440)))))</f>
        <v>0.1875</v>
      </c>
      <c r="M48" s="20" t="n">
        <f aca="false">IF($L48="","",$L48*24)</f>
        <v>4.5</v>
      </c>
      <c r="N48" s="21" t="s">
        <v>40</v>
      </c>
      <c r="O48" s="22" t="n">
        <f aca="false">IF($F48="","",IFERROR(VLOOKUP($F48,Satz_Tabelle,2,0),0))</f>
        <v>0</v>
      </c>
      <c r="P48" s="22" t="n">
        <f aca="false">IF($M48="","",IF($N48="Ja",ROUND($M48*$O48,2),0))</f>
        <v>0</v>
      </c>
      <c r="Q48" s="15"/>
    </row>
    <row r="49" customFormat="false" ht="15" hidden="false" customHeight="true" outlineLevel="0" collapsed="false">
      <c r="A49" s="13" t="str">
        <f aca="false">IF($B49="","",COUNT($B$9:$B49))</f>
        <v/>
      </c>
      <c r="B49" s="14"/>
      <c r="C49" s="13" t="str">
        <f aca="false">IF($B49="","",INDEX({"Mo","Di","Mi","Do","Fr","Sa","So"},WEEKDAY($B49,2)))</f>
        <v/>
      </c>
      <c r="D49" s="13" t="str">
        <f aca="false">IF($B49="","",INT(($B49-WEEKDAY($B49,2)+4-DATE(YEAR($B49-WEEKDAY($B49,2)+4),1,1))/7)+1)</f>
        <v/>
      </c>
      <c r="E49" s="15"/>
      <c r="F49" s="15"/>
      <c r="G49" s="15"/>
      <c r="H49" s="16"/>
      <c r="I49" s="16"/>
      <c r="J49" s="17"/>
      <c r="K49" s="18"/>
      <c r="L49" s="19" t="str">
        <f aca="false">IF($B49="","",IF($K49&lt;&gt;"",$K49,IF($H49="","",IF($I49="","",MAX(0,MOD($I49-$H49,1)-$J49/1440)))))</f>
        <v/>
      </c>
      <c r="M49" s="20" t="str">
        <f aca="false">IF($L49="","",$L49*24)</f>
        <v/>
      </c>
      <c r="N49" s="21" t="s">
        <v>30</v>
      </c>
      <c r="O49" s="22" t="str">
        <f aca="false">IF($F49="","",IFERROR(VLOOKUP($F49,Satz_Tabelle,2,0),0))</f>
        <v/>
      </c>
      <c r="P49" s="22" t="str">
        <f aca="false">IF($M49="","",IF($N49="Ja",ROUND($M49*$O49,2),0))</f>
        <v/>
      </c>
      <c r="Q49" s="15"/>
    </row>
    <row r="50" customFormat="false" ht="15" hidden="false" customHeight="true" outlineLevel="0" collapsed="false">
      <c r="A50" s="13" t="str">
        <f aca="false">IF($B50="","",COUNT($B$9:$B50))</f>
        <v/>
      </c>
      <c r="B50" s="14"/>
      <c r="C50" s="13" t="str">
        <f aca="false">IF($B50="","",INDEX({"Mo","Di","Mi","Do","Fr","Sa","So"},WEEKDAY($B50,2)))</f>
        <v/>
      </c>
      <c r="D50" s="13" t="str">
        <f aca="false">IF($B50="","",INT(($B50-WEEKDAY($B50,2)+4-DATE(YEAR($B50-WEEKDAY($B50,2)+4),1,1))/7)+1)</f>
        <v/>
      </c>
      <c r="E50" s="15"/>
      <c r="F50" s="15"/>
      <c r="G50" s="15"/>
      <c r="H50" s="16"/>
      <c r="I50" s="16"/>
      <c r="J50" s="17"/>
      <c r="K50" s="18"/>
      <c r="L50" s="19" t="str">
        <f aca="false">IF($B50="","",IF($K50&lt;&gt;"",$K50,IF($H50="","",IF($I50="","",MAX(0,MOD($I50-$H50,1)-$J50/1440)))))</f>
        <v/>
      </c>
      <c r="M50" s="20" t="str">
        <f aca="false">IF($L50="","",$L50*24)</f>
        <v/>
      </c>
      <c r="N50" s="21" t="s">
        <v>30</v>
      </c>
      <c r="O50" s="22" t="str">
        <f aca="false">IF($F50="","",IFERROR(VLOOKUP($F50,Satz_Tabelle,2,0),0))</f>
        <v/>
      </c>
      <c r="P50" s="22" t="str">
        <f aca="false">IF($M50="","",IF($N50="Ja",ROUND($M50*$O50,2),0))</f>
        <v/>
      </c>
      <c r="Q50" s="15"/>
    </row>
    <row r="51" customFormat="false" ht="15" hidden="false" customHeight="true" outlineLevel="0" collapsed="false">
      <c r="A51" s="13" t="str">
        <f aca="false">IF($B51="","",COUNT($B$9:$B51))</f>
        <v/>
      </c>
      <c r="B51" s="14"/>
      <c r="C51" s="13" t="str">
        <f aca="false">IF($B51="","",INDEX({"Mo","Di","Mi","Do","Fr","Sa","So"},WEEKDAY($B51,2)))</f>
        <v/>
      </c>
      <c r="D51" s="13" t="str">
        <f aca="false">IF($B51="","",INT(($B51-WEEKDAY($B51,2)+4-DATE(YEAR($B51-WEEKDAY($B51,2)+4),1,1))/7)+1)</f>
        <v/>
      </c>
      <c r="E51" s="15"/>
      <c r="F51" s="15"/>
      <c r="G51" s="15"/>
      <c r="H51" s="16"/>
      <c r="I51" s="16"/>
      <c r="J51" s="17"/>
      <c r="K51" s="18"/>
      <c r="L51" s="19" t="str">
        <f aca="false">IF($B51="","",IF($K51&lt;&gt;"",$K51,IF($H51="","",IF($I51="","",MAX(0,MOD($I51-$H51,1)-$J51/1440)))))</f>
        <v/>
      </c>
      <c r="M51" s="20" t="str">
        <f aca="false">IF($L51="","",$L51*24)</f>
        <v/>
      </c>
      <c r="N51" s="21" t="s">
        <v>30</v>
      </c>
      <c r="O51" s="22" t="str">
        <f aca="false">IF($F51="","",IFERROR(VLOOKUP($F51,Satz_Tabelle,2,0),0))</f>
        <v/>
      </c>
      <c r="P51" s="22" t="str">
        <f aca="false">IF($M51="","",IF($N51="Ja",ROUND($M51*$O51,2),0))</f>
        <v/>
      </c>
      <c r="Q51" s="15"/>
    </row>
    <row r="52" customFormat="false" ht="15" hidden="false" customHeight="true" outlineLevel="0" collapsed="false">
      <c r="A52" s="13" t="str">
        <f aca="false">IF($B52="","",COUNT($B$9:$B52))</f>
        <v/>
      </c>
      <c r="B52" s="14"/>
      <c r="C52" s="13" t="str">
        <f aca="false">IF($B52="","",INDEX({"Mo","Di","Mi","Do","Fr","Sa","So"},WEEKDAY($B52,2)))</f>
        <v/>
      </c>
      <c r="D52" s="13" t="str">
        <f aca="false">IF($B52="","",INT(($B52-WEEKDAY($B52,2)+4-DATE(YEAR($B52-WEEKDAY($B52,2)+4),1,1))/7)+1)</f>
        <v/>
      </c>
      <c r="E52" s="15"/>
      <c r="F52" s="15"/>
      <c r="G52" s="15"/>
      <c r="H52" s="16"/>
      <c r="I52" s="16"/>
      <c r="J52" s="17"/>
      <c r="K52" s="18"/>
      <c r="L52" s="19" t="str">
        <f aca="false">IF($B52="","",IF($K52&lt;&gt;"",$K52,IF($H52="","",IF($I52="","",MAX(0,MOD($I52-$H52,1)-$J52/1440)))))</f>
        <v/>
      </c>
      <c r="M52" s="20" t="str">
        <f aca="false">IF($L52="","",$L52*24)</f>
        <v/>
      </c>
      <c r="N52" s="21" t="s">
        <v>30</v>
      </c>
      <c r="O52" s="22" t="str">
        <f aca="false">IF($F52="","",IFERROR(VLOOKUP($F52,Satz_Tabelle,2,0),0))</f>
        <v/>
      </c>
      <c r="P52" s="22" t="str">
        <f aca="false">IF($M52="","",IF($N52="Ja",ROUND($M52*$O52,2),0))</f>
        <v/>
      </c>
      <c r="Q52" s="15"/>
    </row>
    <row r="53" customFormat="false" ht="15" hidden="false" customHeight="true" outlineLevel="0" collapsed="false">
      <c r="A53" s="13" t="str">
        <f aca="false">IF($B53="","",COUNT($B$9:$B53))</f>
        <v/>
      </c>
      <c r="B53" s="14"/>
      <c r="C53" s="13" t="str">
        <f aca="false">IF($B53="","",INDEX({"Mo","Di","Mi","Do","Fr","Sa","So"},WEEKDAY($B53,2)))</f>
        <v/>
      </c>
      <c r="D53" s="13" t="str">
        <f aca="false">IF($B53="","",INT(($B53-WEEKDAY($B53,2)+4-DATE(YEAR($B53-WEEKDAY($B53,2)+4),1,1))/7)+1)</f>
        <v/>
      </c>
      <c r="E53" s="15"/>
      <c r="F53" s="15"/>
      <c r="G53" s="15"/>
      <c r="H53" s="16"/>
      <c r="I53" s="16"/>
      <c r="J53" s="17"/>
      <c r="K53" s="18"/>
      <c r="L53" s="19" t="str">
        <f aca="false">IF($B53="","",IF($K53&lt;&gt;"",$K53,IF($H53="","",IF($I53="","",MAX(0,MOD($I53-$H53,1)-$J53/1440)))))</f>
        <v/>
      </c>
      <c r="M53" s="20" t="str">
        <f aca="false">IF($L53="","",$L53*24)</f>
        <v/>
      </c>
      <c r="N53" s="21" t="s">
        <v>30</v>
      </c>
      <c r="O53" s="22" t="str">
        <f aca="false">IF($F53="","",IFERROR(VLOOKUP($F53,Satz_Tabelle,2,0),0))</f>
        <v/>
      </c>
      <c r="P53" s="22" t="str">
        <f aca="false">IF($M53="","",IF($N53="Ja",ROUND($M53*$O53,2),0))</f>
        <v/>
      </c>
      <c r="Q53" s="15"/>
    </row>
    <row r="54" customFormat="false" ht="15" hidden="false" customHeight="true" outlineLevel="0" collapsed="false">
      <c r="A54" s="13" t="str">
        <f aca="false">IF($B54="","",COUNT($B$9:$B54))</f>
        <v/>
      </c>
      <c r="B54" s="14"/>
      <c r="C54" s="13" t="str">
        <f aca="false">IF($B54="","",INDEX({"Mo","Di","Mi","Do","Fr","Sa","So"},WEEKDAY($B54,2)))</f>
        <v/>
      </c>
      <c r="D54" s="13" t="str">
        <f aca="false">IF($B54="","",INT(($B54-WEEKDAY($B54,2)+4-DATE(YEAR($B54-WEEKDAY($B54,2)+4),1,1))/7)+1)</f>
        <v/>
      </c>
      <c r="E54" s="15"/>
      <c r="F54" s="15"/>
      <c r="G54" s="15"/>
      <c r="H54" s="16"/>
      <c r="I54" s="16"/>
      <c r="J54" s="17"/>
      <c r="K54" s="18"/>
      <c r="L54" s="19" t="str">
        <f aca="false">IF($B54="","",IF($K54&lt;&gt;"",$K54,IF($H54="","",IF($I54="","",MAX(0,MOD($I54-$H54,1)-$J54/1440)))))</f>
        <v/>
      </c>
      <c r="M54" s="20" t="str">
        <f aca="false">IF($L54="","",$L54*24)</f>
        <v/>
      </c>
      <c r="N54" s="21" t="s">
        <v>30</v>
      </c>
      <c r="O54" s="22" t="str">
        <f aca="false">IF($F54="","",IFERROR(VLOOKUP($F54,Satz_Tabelle,2,0),0))</f>
        <v/>
      </c>
      <c r="P54" s="22" t="str">
        <f aca="false">IF($M54="","",IF($N54="Ja",ROUND($M54*$O54,2),0))</f>
        <v/>
      </c>
      <c r="Q54" s="15"/>
    </row>
    <row r="55" customFormat="false" ht="15" hidden="false" customHeight="true" outlineLevel="0" collapsed="false">
      <c r="A55" s="13" t="str">
        <f aca="false">IF($B55="","",COUNT($B$9:$B55))</f>
        <v/>
      </c>
      <c r="B55" s="14"/>
      <c r="C55" s="13" t="str">
        <f aca="false">IF($B55="","",INDEX({"Mo","Di","Mi","Do","Fr","Sa","So"},WEEKDAY($B55,2)))</f>
        <v/>
      </c>
      <c r="D55" s="13" t="str">
        <f aca="false">IF($B55="","",INT(($B55-WEEKDAY($B55,2)+4-DATE(YEAR($B55-WEEKDAY($B55,2)+4),1,1))/7)+1)</f>
        <v/>
      </c>
      <c r="E55" s="15"/>
      <c r="F55" s="15"/>
      <c r="G55" s="15"/>
      <c r="H55" s="16"/>
      <c r="I55" s="16"/>
      <c r="J55" s="17"/>
      <c r="K55" s="18"/>
      <c r="L55" s="19" t="str">
        <f aca="false">IF($B55="","",IF($K55&lt;&gt;"",$K55,IF($H55="","",IF($I55="","",MAX(0,MOD($I55-$H55,1)-$J55/1440)))))</f>
        <v/>
      </c>
      <c r="M55" s="20" t="str">
        <f aca="false">IF($L55="","",$L55*24)</f>
        <v/>
      </c>
      <c r="N55" s="21" t="s">
        <v>30</v>
      </c>
      <c r="O55" s="22" t="str">
        <f aca="false">IF($F55="","",IFERROR(VLOOKUP($F55,Satz_Tabelle,2,0),0))</f>
        <v/>
      </c>
      <c r="P55" s="22" t="str">
        <f aca="false">IF($M55="","",IF($N55="Ja",ROUND($M55*$O55,2),0))</f>
        <v/>
      </c>
      <c r="Q55" s="15"/>
    </row>
    <row r="56" customFormat="false" ht="15" hidden="false" customHeight="true" outlineLevel="0" collapsed="false">
      <c r="A56" s="13" t="str">
        <f aca="false">IF($B56="","",COUNT($B$9:$B56))</f>
        <v/>
      </c>
      <c r="B56" s="14"/>
      <c r="C56" s="13" t="str">
        <f aca="false">IF($B56="","",INDEX({"Mo","Di","Mi","Do","Fr","Sa","So"},WEEKDAY($B56,2)))</f>
        <v/>
      </c>
      <c r="D56" s="13" t="str">
        <f aca="false">IF($B56="","",INT(($B56-WEEKDAY($B56,2)+4-DATE(YEAR($B56-WEEKDAY($B56,2)+4),1,1))/7)+1)</f>
        <v/>
      </c>
      <c r="E56" s="15"/>
      <c r="F56" s="15"/>
      <c r="G56" s="15"/>
      <c r="H56" s="16"/>
      <c r="I56" s="16"/>
      <c r="J56" s="17"/>
      <c r="K56" s="18"/>
      <c r="L56" s="19" t="str">
        <f aca="false">IF($B56="","",IF($K56&lt;&gt;"",$K56,IF($H56="","",IF($I56="","",MAX(0,MOD($I56-$H56,1)-$J56/1440)))))</f>
        <v/>
      </c>
      <c r="M56" s="20" t="str">
        <f aca="false">IF($L56="","",$L56*24)</f>
        <v/>
      </c>
      <c r="N56" s="21" t="s">
        <v>30</v>
      </c>
      <c r="O56" s="22" t="str">
        <f aca="false">IF($F56="","",IFERROR(VLOOKUP($F56,Satz_Tabelle,2,0),0))</f>
        <v/>
      </c>
      <c r="P56" s="22" t="str">
        <f aca="false">IF($M56="","",IF($N56="Ja",ROUND($M56*$O56,2),0))</f>
        <v/>
      </c>
      <c r="Q56" s="15"/>
    </row>
    <row r="57" customFormat="false" ht="15" hidden="false" customHeight="true" outlineLevel="0" collapsed="false">
      <c r="A57" s="13" t="str">
        <f aca="false">IF($B57="","",COUNT($B$9:$B57))</f>
        <v/>
      </c>
      <c r="B57" s="14"/>
      <c r="C57" s="13" t="str">
        <f aca="false">IF($B57="","",INDEX({"Mo","Di","Mi","Do","Fr","Sa","So"},WEEKDAY($B57,2)))</f>
        <v/>
      </c>
      <c r="D57" s="13" t="str">
        <f aca="false">IF($B57="","",INT(($B57-WEEKDAY($B57,2)+4-DATE(YEAR($B57-WEEKDAY($B57,2)+4),1,1))/7)+1)</f>
        <v/>
      </c>
      <c r="E57" s="15"/>
      <c r="F57" s="15"/>
      <c r="G57" s="15"/>
      <c r="H57" s="16"/>
      <c r="I57" s="16"/>
      <c r="J57" s="17"/>
      <c r="K57" s="18"/>
      <c r="L57" s="19" t="str">
        <f aca="false">IF($B57="","",IF($K57&lt;&gt;"",$K57,IF($H57="","",IF($I57="","",MAX(0,MOD($I57-$H57,1)-$J57/1440)))))</f>
        <v/>
      </c>
      <c r="M57" s="20" t="str">
        <f aca="false">IF($L57="","",$L57*24)</f>
        <v/>
      </c>
      <c r="N57" s="21" t="s">
        <v>30</v>
      </c>
      <c r="O57" s="22" t="str">
        <f aca="false">IF($F57="","",IFERROR(VLOOKUP($F57,Satz_Tabelle,2,0),0))</f>
        <v/>
      </c>
      <c r="P57" s="22" t="str">
        <f aca="false">IF($M57="","",IF($N57="Ja",ROUND($M57*$O57,2),0))</f>
        <v/>
      </c>
      <c r="Q57" s="15"/>
    </row>
    <row r="58" customFormat="false" ht="15" hidden="false" customHeight="true" outlineLevel="0" collapsed="false">
      <c r="A58" s="13" t="str">
        <f aca="false">IF($B58="","",COUNT($B$9:$B58))</f>
        <v/>
      </c>
      <c r="B58" s="14"/>
      <c r="C58" s="13" t="str">
        <f aca="false">IF($B58="","",INDEX({"Mo","Di","Mi","Do","Fr","Sa","So"},WEEKDAY($B58,2)))</f>
        <v/>
      </c>
      <c r="D58" s="13" t="str">
        <f aca="false">IF($B58="","",INT(($B58-WEEKDAY($B58,2)+4-DATE(YEAR($B58-WEEKDAY($B58,2)+4),1,1))/7)+1)</f>
        <v/>
      </c>
      <c r="E58" s="15"/>
      <c r="F58" s="15"/>
      <c r="G58" s="15"/>
      <c r="H58" s="16"/>
      <c r="I58" s="16"/>
      <c r="J58" s="17"/>
      <c r="K58" s="18"/>
      <c r="L58" s="19" t="str">
        <f aca="false">IF($B58="","",IF($K58&lt;&gt;"",$K58,IF($H58="","",IF($I58="","",MAX(0,MOD($I58-$H58,1)-$J58/1440)))))</f>
        <v/>
      </c>
      <c r="M58" s="20" t="str">
        <f aca="false">IF($L58="","",$L58*24)</f>
        <v/>
      </c>
      <c r="N58" s="21" t="s">
        <v>30</v>
      </c>
      <c r="O58" s="22" t="str">
        <f aca="false">IF($F58="","",IFERROR(VLOOKUP($F58,Satz_Tabelle,2,0),0))</f>
        <v/>
      </c>
      <c r="P58" s="22" t="str">
        <f aca="false">IF($M58="","",IF($N58="Ja",ROUND($M58*$O58,2),0))</f>
        <v/>
      </c>
      <c r="Q58" s="15"/>
    </row>
    <row r="59" customFormat="false" ht="15" hidden="false" customHeight="true" outlineLevel="0" collapsed="false">
      <c r="A59" s="13" t="str">
        <f aca="false">IF($B59="","",COUNT($B$9:$B59))</f>
        <v/>
      </c>
      <c r="B59" s="14"/>
      <c r="C59" s="13" t="str">
        <f aca="false">IF($B59="","",INDEX({"Mo","Di","Mi","Do","Fr","Sa","So"},WEEKDAY($B59,2)))</f>
        <v/>
      </c>
      <c r="D59" s="13" t="str">
        <f aca="false">IF($B59="","",INT(($B59-WEEKDAY($B59,2)+4-DATE(YEAR($B59-WEEKDAY($B59,2)+4),1,1))/7)+1)</f>
        <v/>
      </c>
      <c r="E59" s="15"/>
      <c r="F59" s="15"/>
      <c r="G59" s="15"/>
      <c r="H59" s="16"/>
      <c r="I59" s="16"/>
      <c r="J59" s="17"/>
      <c r="K59" s="18"/>
      <c r="L59" s="19" t="str">
        <f aca="false">IF($B59="","",IF($K59&lt;&gt;"",$K59,IF($H59="","",IF($I59="","",MAX(0,MOD($I59-$H59,1)-$J59/1440)))))</f>
        <v/>
      </c>
      <c r="M59" s="20" t="str">
        <f aca="false">IF($L59="","",$L59*24)</f>
        <v/>
      </c>
      <c r="N59" s="21" t="s">
        <v>30</v>
      </c>
      <c r="O59" s="22" t="str">
        <f aca="false">IF($F59="","",IFERROR(VLOOKUP($F59,Satz_Tabelle,2,0),0))</f>
        <v/>
      </c>
      <c r="P59" s="22" t="str">
        <f aca="false">IF($M59="","",IF($N59="Ja",ROUND($M59*$O59,2),0))</f>
        <v/>
      </c>
      <c r="Q59" s="15"/>
    </row>
    <row r="60" customFormat="false" ht="15" hidden="false" customHeight="true" outlineLevel="0" collapsed="false">
      <c r="A60" s="13" t="str">
        <f aca="false">IF($B60="","",COUNT($B$9:$B60))</f>
        <v/>
      </c>
      <c r="B60" s="14"/>
      <c r="C60" s="13" t="str">
        <f aca="false">IF($B60="","",INDEX({"Mo","Di","Mi","Do","Fr","Sa","So"},WEEKDAY($B60,2)))</f>
        <v/>
      </c>
      <c r="D60" s="13" t="str">
        <f aca="false">IF($B60="","",INT(($B60-WEEKDAY($B60,2)+4-DATE(YEAR($B60-WEEKDAY($B60,2)+4),1,1))/7)+1)</f>
        <v/>
      </c>
      <c r="E60" s="15"/>
      <c r="F60" s="15"/>
      <c r="G60" s="15"/>
      <c r="H60" s="16"/>
      <c r="I60" s="16"/>
      <c r="J60" s="17"/>
      <c r="K60" s="18"/>
      <c r="L60" s="19" t="str">
        <f aca="false">IF($B60="","",IF($K60&lt;&gt;"",$K60,IF($H60="","",IF($I60="","",MAX(0,MOD($I60-$H60,1)-$J60/1440)))))</f>
        <v/>
      </c>
      <c r="M60" s="20" t="str">
        <f aca="false">IF($L60="","",$L60*24)</f>
        <v/>
      </c>
      <c r="N60" s="21" t="s">
        <v>30</v>
      </c>
      <c r="O60" s="22" t="str">
        <f aca="false">IF($F60="","",IFERROR(VLOOKUP($F60,Satz_Tabelle,2,0),0))</f>
        <v/>
      </c>
      <c r="P60" s="22" t="str">
        <f aca="false">IF($M60="","",IF($N60="Ja",ROUND($M60*$O60,2),0))</f>
        <v/>
      </c>
      <c r="Q60" s="15"/>
    </row>
    <row r="61" customFormat="false" ht="15" hidden="false" customHeight="true" outlineLevel="0" collapsed="false">
      <c r="A61" s="13" t="str">
        <f aca="false">IF($B61="","",COUNT($B$9:$B61))</f>
        <v/>
      </c>
      <c r="B61" s="14"/>
      <c r="C61" s="13" t="str">
        <f aca="false">IF($B61="","",INDEX({"Mo","Di","Mi","Do","Fr","Sa","So"},WEEKDAY($B61,2)))</f>
        <v/>
      </c>
      <c r="D61" s="13" t="str">
        <f aca="false">IF($B61="","",INT(($B61-WEEKDAY($B61,2)+4-DATE(YEAR($B61-WEEKDAY($B61,2)+4),1,1))/7)+1)</f>
        <v/>
      </c>
      <c r="E61" s="15"/>
      <c r="F61" s="15"/>
      <c r="G61" s="15"/>
      <c r="H61" s="16"/>
      <c r="I61" s="16"/>
      <c r="J61" s="17"/>
      <c r="K61" s="18"/>
      <c r="L61" s="19" t="str">
        <f aca="false">IF($B61="","",IF($K61&lt;&gt;"",$K61,IF($H61="","",IF($I61="","",MAX(0,MOD($I61-$H61,1)-$J61/1440)))))</f>
        <v/>
      </c>
      <c r="M61" s="20" t="str">
        <f aca="false">IF($L61="","",$L61*24)</f>
        <v/>
      </c>
      <c r="N61" s="21" t="s">
        <v>30</v>
      </c>
      <c r="O61" s="22" t="str">
        <f aca="false">IF($F61="","",IFERROR(VLOOKUP($F61,Satz_Tabelle,2,0),0))</f>
        <v/>
      </c>
      <c r="P61" s="22" t="str">
        <f aca="false">IF($M61="","",IF($N61="Ja",ROUND($M61*$O61,2),0))</f>
        <v/>
      </c>
      <c r="Q61" s="15"/>
    </row>
    <row r="62" customFormat="false" ht="15" hidden="false" customHeight="true" outlineLevel="0" collapsed="false">
      <c r="A62" s="13" t="str">
        <f aca="false">IF($B62="","",COUNT($B$9:$B62))</f>
        <v/>
      </c>
      <c r="B62" s="14"/>
      <c r="C62" s="13" t="str">
        <f aca="false">IF($B62="","",INDEX({"Mo","Di","Mi","Do","Fr","Sa","So"},WEEKDAY($B62,2)))</f>
        <v/>
      </c>
      <c r="D62" s="13" t="str">
        <f aca="false">IF($B62="","",INT(($B62-WEEKDAY($B62,2)+4-DATE(YEAR($B62-WEEKDAY($B62,2)+4),1,1))/7)+1)</f>
        <v/>
      </c>
      <c r="E62" s="15"/>
      <c r="F62" s="15"/>
      <c r="G62" s="15"/>
      <c r="H62" s="16"/>
      <c r="I62" s="16"/>
      <c r="J62" s="17"/>
      <c r="K62" s="18"/>
      <c r="L62" s="19" t="str">
        <f aca="false">IF($B62="","",IF($K62&lt;&gt;"",$K62,IF($H62="","",IF($I62="","",MAX(0,MOD($I62-$H62,1)-$J62/1440)))))</f>
        <v/>
      </c>
      <c r="M62" s="20" t="str">
        <f aca="false">IF($L62="","",$L62*24)</f>
        <v/>
      </c>
      <c r="N62" s="21" t="s">
        <v>30</v>
      </c>
      <c r="O62" s="22" t="str">
        <f aca="false">IF($F62="","",IFERROR(VLOOKUP($F62,Satz_Tabelle,2,0),0))</f>
        <v/>
      </c>
      <c r="P62" s="22" t="str">
        <f aca="false">IF($M62="","",IF($N62="Ja",ROUND($M62*$O62,2),0))</f>
        <v/>
      </c>
      <c r="Q62" s="15"/>
    </row>
    <row r="63" customFormat="false" ht="15" hidden="false" customHeight="true" outlineLevel="0" collapsed="false">
      <c r="A63" s="13" t="str">
        <f aca="false">IF($B63="","",COUNT($B$9:$B63))</f>
        <v/>
      </c>
      <c r="B63" s="14"/>
      <c r="C63" s="13" t="str">
        <f aca="false">IF($B63="","",INDEX({"Mo","Di","Mi","Do","Fr","Sa","So"},WEEKDAY($B63,2)))</f>
        <v/>
      </c>
      <c r="D63" s="13" t="str">
        <f aca="false">IF($B63="","",INT(($B63-WEEKDAY($B63,2)+4-DATE(YEAR($B63-WEEKDAY($B63,2)+4),1,1))/7)+1)</f>
        <v/>
      </c>
      <c r="E63" s="15"/>
      <c r="F63" s="15"/>
      <c r="G63" s="15"/>
      <c r="H63" s="16"/>
      <c r="I63" s="16"/>
      <c r="J63" s="17"/>
      <c r="K63" s="18"/>
      <c r="L63" s="19" t="str">
        <f aca="false">IF($B63="","",IF($K63&lt;&gt;"",$K63,IF($H63="","",IF($I63="","",MAX(0,MOD($I63-$H63,1)-$J63/1440)))))</f>
        <v/>
      </c>
      <c r="M63" s="20" t="str">
        <f aca="false">IF($L63="","",$L63*24)</f>
        <v/>
      </c>
      <c r="N63" s="21" t="s">
        <v>30</v>
      </c>
      <c r="O63" s="22" t="str">
        <f aca="false">IF($F63="","",IFERROR(VLOOKUP($F63,Satz_Tabelle,2,0),0))</f>
        <v/>
      </c>
      <c r="P63" s="22" t="str">
        <f aca="false">IF($M63="","",IF($N63="Ja",ROUND($M63*$O63,2),0))</f>
        <v/>
      </c>
      <c r="Q63" s="15"/>
    </row>
    <row r="64" customFormat="false" ht="15" hidden="false" customHeight="true" outlineLevel="0" collapsed="false">
      <c r="A64" s="13" t="str">
        <f aca="false">IF($B64="","",COUNT($B$9:$B64))</f>
        <v/>
      </c>
      <c r="B64" s="14"/>
      <c r="C64" s="13" t="str">
        <f aca="false">IF($B64="","",INDEX({"Mo","Di","Mi","Do","Fr","Sa","So"},WEEKDAY($B64,2)))</f>
        <v/>
      </c>
      <c r="D64" s="13" t="str">
        <f aca="false">IF($B64="","",INT(($B64-WEEKDAY($B64,2)+4-DATE(YEAR($B64-WEEKDAY($B64,2)+4),1,1))/7)+1)</f>
        <v/>
      </c>
      <c r="E64" s="15"/>
      <c r="F64" s="15"/>
      <c r="G64" s="15"/>
      <c r="H64" s="16"/>
      <c r="I64" s="16"/>
      <c r="J64" s="17"/>
      <c r="K64" s="18"/>
      <c r="L64" s="19" t="str">
        <f aca="false">IF($B64="","",IF($K64&lt;&gt;"",$K64,IF($H64="","",IF($I64="","",MAX(0,MOD($I64-$H64,1)-$J64/1440)))))</f>
        <v/>
      </c>
      <c r="M64" s="20" t="str">
        <f aca="false">IF($L64="","",$L64*24)</f>
        <v/>
      </c>
      <c r="N64" s="21" t="s">
        <v>30</v>
      </c>
      <c r="O64" s="22" t="str">
        <f aca="false">IF($F64="","",IFERROR(VLOOKUP($F64,Satz_Tabelle,2,0),0))</f>
        <v/>
      </c>
      <c r="P64" s="22" t="str">
        <f aca="false">IF($M64="","",IF($N64="Ja",ROUND($M64*$O64,2),0))</f>
        <v/>
      </c>
      <c r="Q64" s="15"/>
    </row>
    <row r="65" customFormat="false" ht="15" hidden="false" customHeight="true" outlineLevel="0" collapsed="false">
      <c r="A65" s="13" t="str">
        <f aca="false">IF($B65="","",COUNT($B$9:$B65))</f>
        <v/>
      </c>
      <c r="B65" s="14"/>
      <c r="C65" s="13" t="str">
        <f aca="false">IF($B65="","",INDEX({"Mo","Di","Mi","Do","Fr","Sa","So"},WEEKDAY($B65,2)))</f>
        <v/>
      </c>
      <c r="D65" s="13" t="str">
        <f aca="false">IF($B65="","",INT(($B65-WEEKDAY($B65,2)+4-DATE(YEAR($B65-WEEKDAY($B65,2)+4),1,1))/7)+1)</f>
        <v/>
      </c>
      <c r="E65" s="15"/>
      <c r="F65" s="15"/>
      <c r="G65" s="15"/>
      <c r="H65" s="16"/>
      <c r="I65" s="16"/>
      <c r="J65" s="17"/>
      <c r="K65" s="18"/>
      <c r="L65" s="19" t="str">
        <f aca="false">IF($B65="","",IF($K65&lt;&gt;"",$K65,IF($H65="","",IF($I65="","",MAX(0,MOD($I65-$H65,1)-$J65/1440)))))</f>
        <v/>
      </c>
      <c r="M65" s="20" t="str">
        <f aca="false">IF($L65="","",$L65*24)</f>
        <v/>
      </c>
      <c r="N65" s="21" t="s">
        <v>30</v>
      </c>
      <c r="O65" s="22" t="str">
        <f aca="false">IF($F65="","",IFERROR(VLOOKUP($F65,Satz_Tabelle,2,0),0))</f>
        <v/>
      </c>
      <c r="P65" s="22" t="str">
        <f aca="false">IF($M65="","",IF($N65="Ja",ROUND($M65*$O65,2),0))</f>
        <v/>
      </c>
      <c r="Q65" s="15"/>
    </row>
    <row r="66" customFormat="false" ht="15" hidden="false" customHeight="true" outlineLevel="0" collapsed="false">
      <c r="A66" s="13" t="str">
        <f aca="false">IF($B66="","",COUNT($B$9:$B66))</f>
        <v/>
      </c>
      <c r="B66" s="14"/>
      <c r="C66" s="13" t="str">
        <f aca="false">IF($B66="","",INDEX({"Mo","Di","Mi","Do","Fr","Sa","So"},WEEKDAY($B66,2)))</f>
        <v/>
      </c>
      <c r="D66" s="13" t="str">
        <f aca="false">IF($B66="","",INT(($B66-WEEKDAY($B66,2)+4-DATE(YEAR($B66-WEEKDAY($B66,2)+4),1,1))/7)+1)</f>
        <v/>
      </c>
      <c r="E66" s="15"/>
      <c r="F66" s="15"/>
      <c r="G66" s="15"/>
      <c r="H66" s="16"/>
      <c r="I66" s="16"/>
      <c r="J66" s="17"/>
      <c r="K66" s="18"/>
      <c r="L66" s="19" t="str">
        <f aca="false">IF($B66="","",IF($K66&lt;&gt;"",$K66,IF($H66="","",IF($I66="","",MAX(0,MOD($I66-$H66,1)-$J66/1440)))))</f>
        <v/>
      </c>
      <c r="M66" s="20" t="str">
        <f aca="false">IF($L66="","",$L66*24)</f>
        <v/>
      </c>
      <c r="N66" s="21" t="s">
        <v>30</v>
      </c>
      <c r="O66" s="22" t="str">
        <f aca="false">IF($F66="","",IFERROR(VLOOKUP($F66,Satz_Tabelle,2,0),0))</f>
        <v/>
      </c>
      <c r="P66" s="22" t="str">
        <f aca="false">IF($M66="","",IF($N66="Ja",ROUND($M66*$O66,2),0))</f>
        <v/>
      </c>
      <c r="Q66" s="15"/>
    </row>
    <row r="67" customFormat="false" ht="15" hidden="false" customHeight="true" outlineLevel="0" collapsed="false">
      <c r="A67" s="13" t="str">
        <f aca="false">IF($B67="","",COUNT($B$9:$B67))</f>
        <v/>
      </c>
      <c r="B67" s="14"/>
      <c r="C67" s="13" t="str">
        <f aca="false">IF($B67="","",INDEX({"Mo","Di","Mi","Do","Fr","Sa","So"},WEEKDAY($B67,2)))</f>
        <v/>
      </c>
      <c r="D67" s="13" t="str">
        <f aca="false">IF($B67="","",INT(($B67-WEEKDAY($B67,2)+4-DATE(YEAR($B67-WEEKDAY($B67,2)+4),1,1))/7)+1)</f>
        <v/>
      </c>
      <c r="E67" s="15"/>
      <c r="F67" s="15"/>
      <c r="G67" s="15"/>
      <c r="H67" s="16"/>
      <c r="I67" s="16"/>
      <c r="J67" s="17"/>
      <c r="K67" s="18"/>
      <c r="L67" s="19" t="str">
        <f aca="false">IF($B67="","",IF($K67&lt;&gt;"",$K67,IF($H67="","",IF($I67="","",MAX(0,MOD($I67-$H67,1)-$J67/1440)))))</f>
        <v/>
      </c>
      <c r="M67" s="20" t="str">
        <f aca="false">IF($L67="","",$L67*24)</f>
        <v/>
      </c>
      <c r="N67" s="21" t="s">
        <v>30</v>
      </c>
      <c r="O67" s="22" t="str">
        <f aca="false">IF($F67="","",IFERROR(VLOOKUP($F67,Satz_Tabelle,2,0),0))</f>
        <v/>
      </c>
      <c r="P67" s="22" t="str">
        <f aca="false">IF($M67="","",IF($N67="Ja",ROUND($M67*$O67,2),0))</f>
        <v/>
      </c>
      <c r="Q67" s="15"/>
    </row>
    <row r="68" customFormat="false" ht="15" hidden="false" customHeight="true" outlineLevel="0" collapsed="false">
      <c r="A68" s="13" t="str">
        <f aca="false">IF($B68="","",COUNT($B$9:$B68))</f>
        <v/>
      </c>
      <c r="B68" s="14"/>
      <c r="C68" s="13" t="str">
        <f aca="false">IF($B68="","",INDEX({"Mo","Di","Mi","Do","Fr","Sa","So"},WEEKDAY($B68,2)))</f>
        <v/>
      </c>
      <c r="D68" s="13" t="str">
        <f aca="false">IF($B68="","",INT(($B68-WEEKDAY($B68,2)+4-DATE(YEAR($B68-WEEKDAY($B68,2)+4),1,1))/7)+1)</f>
        <v/>
      </c>
      <c r="E68" s="15"/>
      <c r="F68" s="15"/>
      <c r="G68" s="15"/>
      <c r="H68" s="16"/>
      <c r="I68" s="16"/>
      <c r="J68" s="17"/>
      <c r="K68" s="18"/>
      <c r="L68" s="19" t="str">
        <f aca="false">IF($B68="","",IF($K68&lt;&gt;"",$K68,IF($H68="","",IF($I68="","",MAX(0,MOD($I68-$H68,1)-$J68/1440)))))</f>
        <v/>
      </c>
      <c r="M68" s="20" t="str">
        <f aca="false">IF($L68="","",$L68*24)</f>
        <v/>
      </c>
      <c r="N68" s="21" t="s">
        <v>30</v>
      </c>
      <c r="O68" s="22" t="str">
        <f aca="false">IF($F68="","",IFERROR(VLOOKUP($F68,Satz_Tabelle,2,0),0))</f>
        <v/>
      </c>
      <c r="P68" s="22" t="str">
        <f aca="false">IF($M68="","",IF($N68="Ja",ROUND($M68*$O68,2),0))</f>
        <v/>
      </c>
      <c r="Q68" s="15"/>
    </row>
    <row r="69" customFormat="false" ht="19.5" hidden="false" customHeight="true" outlineLevel="0" collapsed="false">
      <c r="A69" s="23" t="s">
        <v>88</v>
      </c>
      <c r="B69" s="23"/>
      <c r="C69" s="23"/>
      <c r="D69" s="23"/>
      <c r="E69" s="23"/>
      <c r="F69" s="23"/>
      <c r="G69" s="23"/>
      <c r="H69" s="24"/>
      <c r="I69" s="24"/>
      <c r="J69" s="25" t="n">
        <f aca="false">SUM(J9:J68)</f>
        <v>1005</v>
      </c>
      <c r="K69" s="26"/>
      <c r="L69" s="27" t="n">
        <f aca="false">SUM(L9:L68)</f>
        <v>9.96875</v>
      </c>
      <c r="M69" s="28" t="n">
        <f aca="false">SUM(M9:M68)</f>
        <v>239.25</v>
      </c>
      <c r="N69" s="26"/>
      <c r="O69" s="26"/>
      <c r="P69" s="29" t="n">
        <f aca="false">SUM(P9:P68)</f>
        <v>13157</v>
      </c>
      <c r="Q69" s="30" t="str">
        <f aca="false">COUNT(L9:L68)&amp;" Einträge"</f>
        <v>40 Einträge</v>
      </c>
    </row>
    <row r="71" customFormat="false" ht="15" hidden="false" customHeight="false" outlineLevel="0" collapsed="false">
      <c r="A71" s="31" t="s">
        <v>89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</sheetData>
  <autoFilter ref="A8:Q68"/>
  <mergeCells count="14">
    <mergeCell ref="A6:C6"/>
    <mergeCell ref="D6:F6"/>
    <mergeCell ref="G6:I6"/>
    <mergeCell ref="J6:L6"/>
    <mergeCell ref="M6:N6"/>
    <mergeCell ref="O6:Q6"/>
    <mergeCell ref="A7:C7"/>
    <mergeCell ref="D7:F7"/>
    <mergeCell ref="G7:I7"/>
    <mergeCell ref="J7:L7"/>
    <mergeCell ref="M7:N7"/>
    <mergeCell ref="O7:Q7"/>
    <mergeCell ref="A69:G69"/>
    <mergeCell ref="A71:Q71"/>
  </mergeCells>
  <conditionalFormatting sqref="M9:M68">
    <cfRule type="cellIs" priority="2" operator="greaterThan" aboveAverage="0" equalAverage="0" bottom="0" percent="0" rank="0" text="" dxfId="7">
      <formula>10</formula>
    </cfRule>
  </conditionalFormatting>
  <conditionalFormatting sqref="J9:J68">
    <cfRule type="expression" priority="3" aboveAverage="0" equalAverage="0" bottom="0" percent="0" rank="0" text="" dxfId="8">
      <formula>AND(N($M9)&gt;6,N($J9)&lt;30)</formula>
    </cfRule>
  </conditionalFormatting>
  <conditionalFormatting sqref="N9:N68">
    <cfRule type="cellIs" priority="4" operator="equal" aboveAverage="0" equalAverage="0" bottom="0" percent="0" rank="0" text="" dxfId="9">
      <formula>"Ja"</formula>
    </cfRule>
    <cfRule type="cellIs" priority="5" operator="equal" aboveAverage="0" equalAverage="0" bottom="0" percent="0" rank="0" text="" dxfId="10">
      <formula>"Nein"</formula>
    </cfRule>
  </conditionalFormatting>
  <conditionalFormatting sqref="A9:Q68">
    <cfRule type="expression" priority="6" aboveAverage="0" equalAverage="0" bottom="0" percent="0" rank="0" text="" dxfId="11">
      <formula>AND($B9&lt;&gt;"",WEEKDAY($B9,2)&gt;5)</formula>
    </cfRule>
  </conditionalFormatting>
  <conditionalFormatting sqref="L9:L68">
    <cfRule type="dataBar" priority="7">
      <dataBar showValue="1" minLength="10" maxLength="90">
        <cfvo type="num" val="0"/>
        <cfvo type="num" val="0.5"/>
        <color rgb="FF2F5B49"/>
      </dataBar>
      <extLst>
        <ext xmlns:x14="http://schemas.microsoft.com/office/spreadsheetml/2009/9/main" uri="{B025F937-C7B1-47D3-B67F-A62EFF666E3E}">
          <x14:id>{5DB0FC89-40E1-49D3-B93B-884397575978}</x14:id>
        </ext>
      </extLst>
    </cfRule>
  </conditionalFormatting>
  <dataValidations count="3">
    <dataValidation allowBlank="true" errorStyle="stop" operator="between" showDropDown="false" showErrorMessage="false" showInputMessage="false" sqref="E9:E68" type="list">
      <formula1>Personen</formula1>
      <formula2>0</formula2>
    </dataValidation>
    <dataValidation allowBlank="true" errorStyle="stop" operator="between" showDropDown="false" showErrorMessage="false" showInputMessage="false" sqref="F9:F68" type="list">
      <formula1>Kategorien</formula1>
      <formula2>0</formula2>
    </dataValidation>
    <dataValidation allowBlank="true" errorStyle="stop" operator="between" showDropDown="false" showErrorMessage="false" showInputMessage="false" sqref="N9:N68" type="list">
      <formula1>"Ja,Nein"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DB0FC89-40E1-49D3-B93B-884397575978}">
            <x14:dataBar minLength="10" maxLength="90" axisPosition="none" gradient="true">
              <x14:cfvo type="num">
                <xm:f>0</xm:f>
              </x14:cfvo>
              <x14:cfvo type="num">
                <xm:f>0.5</xm:f>
              </x14:cfvo>
              <x14:negativeFillColor rgb="FF2F5B49"/>
              <x14:axisColor rgb="FF000000"/>
            </x14:dataBar>
          </x14:cfRule>
          <xm:sqref>L9:L68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5B49"/>
    <pageSetUpPr fitToPage="true"/>
  </sheetPr>
  <dimension ref="A1:N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3"/>
    <col collapsed="false" customWidth="true" hidden="false" outlineLevel="0" max="3" min="3" style="0" width="12"/>
    <col collapsed="false" customWidth="true" hidden="false" outlineLevel="0" max="4" min="4" style="0" width="9"/>
    <col collapsed="false" customWidth="true" hidden="false" outlineLevel="0" max="5" min="5" style="0" width="20"/>
    <col collapsed="false" customWidth="true" hidden="false" outlineLevel="0" max="6" min="6" style="0" width="13"/>
    <col collapsed="false" customWidth="true" hidden="false" outlineLevel="0" max="7" min="7" style="0" width="3"/>
    <col collapsed="false" customWidth="true" hidden="false" outlineLevel="0" max="8" min="8" style="0" width="20"/>
    <col collapsed="false" customWidth="true" hidden="false" outlineLevel="0" max="10" min="9" style="0" width="12"/>
    <col collapsed="false" customWidth="true" hidden="false" outlineLevel="0" max="11" min="11" style="0" width="11"/>
    <col collapsed="false" customWidth="true" hidden="false" outlineLevel="0" max="12" min="12" style="0" width="13"/>
    <col collapsed="false" customWidth="true" hidden="false" outlineLevel="0" max="13" min="13" style="0" width="3"/>
    <col collapsed="false" customWidth="true" hidden="true" outlineLevel="0" max="14" min="14" style="0" width="13"/>
  </cols>
  <sheetData>
    <row r="1" customFormat="false" ht="6" hidden="false" customHeight="true" outlineLevel="0" collapsed="false"/>
    <row r="2" customFormat="false" ht="15" hidden="false" customHeight="false" outlineLevel="0" collapsed="false">
      <c r="A2" s="1" t="str">
        <f aca="false">Stammdaten!C8</f>
        <v>Muster Dienstleistungen GmbH</v>
      </c>
      <c r="L2" s="2" t="s">
        <v>90</v>
      </c>
    </row>
    <row r="3" customFormat="false" ht="24.75" hidden="false" customHeight="true" outlineLevel="0" collapsed="false">
      <c r="A3" s="4" t="s">
        <v>91</v>
      </c>
      <c r="L3" s="3" t="n">
        <f aca="false">Stammdaten!C10</f>
        <v>46204</v>
      </c>
    </row>
    <row r="4" customFormat="false" ht="15" hidden="false" customHeight="false" outlineLevel="0" collapsed="false">
      <c r="A4" s="5" t="s">
        <v>92</v>
      </c>
    </row>
    <row r="5" customFormat="false" ht="3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7" customFormat="false" ht="19.5" hidden="false" customHeight="true" outlineLevel="0" collapsed="false">
      <c r="B7" s="32" t="s">
        <v>93</v>
      </c>
      <c r="C7" s="32"/>
      <c r="D7" s="32"/>
      <c r="E7" s="32"/>
      <c r="F7" s="32"/>
      <c r="H7" s="32" t="s">
        <v>94</v>
      </c>
      <c r="I7" s="32"/>
      <c r="J7" s="32"/>
      <c r="K7" s="32"/>
      <c r="L7" s="32"/>
    </row>
    <row r="8" customFormat="false" ht="6" hidden="false" customHeight="true" outlineLevel="0" collapsed="false">
      <c r="H8" s="33" t="s">
        <v>15</v>
      </c>
      <c r="I8" s="34" t="s">
        <v>95</v>
      </c>
      <c r="J8" s="34" t="s">
        <v>96</v>
      </c>
      <c r="K8" s="34" t="s">
        <v>97</v>
      </c>
      <c r="L8" s="34" t="s">
        <v>25</v>
      </c>
    </row>
    <row r="9" customFormat="false" ht="25.5" hidden="false" customHeight="true" outlineLevel="0" collapsed="false">
      <c r="B9" s="35" t="s">
        <v>98</v>
      </c>
      <c r="C9" s="36" t="n">
        <f aca="false">SUM(Stundenerfassung!$L$9:$L$68)</f>
        <v>9.96875</v>
      </c>
      <c r="D9" s="36"/>
      <c r="E9" s="37" t="s">
        <v>99</v>
      </c>
      <c r="F9" s="37"/>
      <c r="H9" s="38" t="str">
        <f aca="false">Stammdaten!B28</f>
        <v>Projektarbeit</v>
      </c>
      <c r="I9" s="39" t="n">
        <f aca="false">$J9/24</f>
        <v>1.84375</v>
      </c>
      <c r="J9" s="40" t="n">
        <f aca="false">SUMIF(Stundenerfassung!$F$9:$F$68,$H9,Stundenerfassung!$M$9:$M$68)</f>
        <v>44.25</v>
      </c>
      <c r="K9" s="41" t="n">
        <f aca="false">IFERROR($J9/SUM($J$9:$J$16),0)</f>
        <v>0.184952978056426</v>
      </c>
      <c r="L9" s="42" t="n">
        <f aca="false">SUMIF(Stundenerfassung!$F$9:$F$68,$H9,Stundenerfassung!$P$9:$P$68)</f>
        <v>3451.5</v>
      </c>
    </row>
    <row r="10" customFormat="false" ht="25.5" hidden="false" customHeight="true" outlineLevel="0" collapsed="false">
      <c r="B10" s="43" t="s">
        <v>100</v>
      </c>
      <c r="C10" s="44" t="n">
        <f aca="false">SUM(Stundenerfassung!$M$9:$M$68)</f>
        <v>239.25</v>
      </c>
      <c r="D10" s="44"/>
      <c r="E10" s="37" t="s">
        <v>101</v>
      </c>
      <c r="F10" s="37"/>
      <c r="H10" s="38" t="str">
        <f aca="false">Stammdaten!B29</f>
        <v>Kundenbetreuung</v>
      </c>
      <c r="I10" s="39" t="n">
        <f aca="false">$J10/24</f>
        <v>1.60416666666667</v>
      </c>
      <c r="J10" s="40" t="n">
        <f aca="false">SUMIF(Stundenerfassung!$F$9:$F$68,$H10,Stundenerfassung!$M$9:$M$68)</f>
        <v>38.5</v>
      </c>
      <c r="K10" s="41" t="n">
        <f aca="false">IFERROR($J10/SUM($J$9:$J$16),0)</f>
        <v>0.160919540229885</v>
      </c>
      <c r="L10" s="42" t="n">
        <f aca="false">SUMIF(Stundenerfassung!$F$9:$F$68,$H10,Stundenerfassung!$P$9:$P$68)</f>
        <v>1657.5</v>
      </c>
    </row>
    <row r="11" customFormat="false" ht="25.5" hidden="false" customHeight="true" outlineLevel="0" collapsed="false">
      <c r="B11" s="43" t="s">
        <v>102</v>
      </c>
      <c r="C11" s="45" t="n">
        <f aca="false">SUM(Stundenerfassung!$M$9:$M$68)*60</f>
        <v>14355</v>
      </c>
      <c r="D11" s="45"/>
      <c r="E11" s="37" t="s">
        <v>103</v>
      </c>
      <c r="F11" s="37"/>
      <c r="H11" s="38" t="str">
        <f aca="false">Stammdaten!B30</f>
        <v>Beratung</v>
      </c>
      <c r="I11" s="39" t="n">
        <f aca="false">$J11/24</f>
        <v>1.125</v>
      </c>
      <c r="J11" s="40" t="n">
        <f aca="false">SUMIF(Stundenerfassung!$F$9:$F$68,$H11,Stundenerfassung!$M$9:$M$68)</f>
        <v>27</v>
      </c>
      <c r="K11" s="41" t="n">
        <f aca="false">IFERROR($J11/SUM($J$9:$J$16),0)</f>
        <v>0.112852664576803</v>
      </c>
      <c r="L11" s="42" t="n">
        <f aca="false">SUMIF(Stundenerfassung!$F$9:$F$68,$H11,Stundenerfassung!$P$9:$P$68)</f>
        <v>2565</v>
      </c>
    </row>
    <row r="12" customFormat="false" ht="25.5" hidden="false" customHeight="true" outlineLevel="0" collapsed="false">
      <c r="B12" s="43" t="s">
        <v>104</v>
      </c>
      <c r="C12" s="46" t="n">
        <f aca="false">IFERROR(SUM(Stundenerfassung!$M$9:$M$68)/Std_pro_Tag,0)</f>
        <v>29.90625</v>
      </c>
      <c r="D12" s="46"/>
      <c r="E12" s="37" t="s">
        <v>105</v>
      </c>
      <c r="F12" s="37"/>
      <c r="H12" s="38" t="str">
        <f aca="false">Stammdaten!B31</f>
        <v>Montage / Service</v>
      </c>
      <c r="I12" s="39" t="n">
        <f aca="false">$J12/24</f>
        <v>1.98958333333333</v>
      </c>
      <c r="J12" s="40" t="n">
        <f aca="false">SUMIF(Stundenerfassung!$F$9:$F$68,$H12,Stundenerfassung!$M$9:$M$68)</f>
        <v>47.75</v>
      </c>
      <c r="K12" s="41" t="n">
        <f aca="false">IFERROR($J12/SUM($J$9:$J$16),0)</f>
        <v>0.199582027168234</v>
      </c>
      <c r="L12" s="42" t="n">
        <f aca="false">SUMIF(Stundenerfassung!$F$9:$F$68,$H12,Stundenerfassung!$P$9:$P$68)</f>
        <v>3438</v>
      </c>
    </row>
    <row r="13" customFormat="false" ht="15" hidden="false" customHeight="false" outlineLevel="0" collapsed="false">
      <c r="H13" s="38" t="str">
        <f aca="false">Stammdaten!B32</f>
        <v>Wartung</v>
      </c>
      <c r="I13" s="39" t="n">
        <f aca="false">$J13/24</f>
        <v>1.19791666666667</v>
      </c>
      <c r="J13" s="40" t="n">
        <f aca="false">SUMIF(Stundenerfassung!$F$9:$F$68,$H13,Stundenerfassung!$M$9:$M$68)</f>
        <v>28.75</v>
      </c>
      <c r="K13" s="41" t="n">
        <f aca="false">IFERROR($J13/SUM($J$9:$J$16),0)</f>
        <v>0.120167189132706</v>
      </c>
      <c r="L13" s="42" t="n">
        <f aca="false">SUMIF(Stundenerfassung!$F$9:$F$68,$H13,Stundenerfassung!$P$9:$P$68)</f>
        <v>1955</v>
      </c>
    </row>
    <row r="14" customFormat="false" ht="19.5" hidden="false" customHeight="true" outlineLevel="0" collapsed="false">
      <c r="B14" s="32" t="s">
        <v>106</v>
      </c>
      <c r="C14" s="32"/>
      <c r="D14" s="32"/>
      <c r="E14" s="32"/>
      <c r="F14" s="32"/>
      <c r="H14" s="38" t="str">
        <f aca="false">Stammdaten!B33</f>
        <v>Schulung</v>
      </c>
      <c r="I14" s="39" t="n">
        <f aca="false">$J14/24</f>
        <v>0.3125</v>
      </c>
      <c r="J14" s="40" t="n">
        <f aca="false">SUMIF(Stundenerfassung!$F$9:$F$68,$H14,Stundenerfassung!$M$9:$M$68)</f>
        <v>7.5</v>
      </c>
      <c r="K14" s="41" t="n">
        <f aca="false">IFERROR($J14/SUM($J$9:$J$16),0)</f>
        <v>0.0313479623824451</v>
      </c>
      <c r="L14" s="42" t="n">
        <f aca="false">SUMIF(Stundenerfassung!$F$9:$F$68,$H14,Stundenerfassung!$P$9:$P$68)</f>
        <v>0</v>
      </c>
    </row>
    <row r="15" customFormat="false" ht="15" hidden="false" customHeight="false" outlineLevel="0" collapsed="false">
      <c r="H15" s="38" t="str">
        <f aca="false">Stammdaten!B34</f>
        <v>Verwaltung</v>
      </c>
      <c r="I15" s="39" t="n">
        <f aca="false">$J15/24</f>
        <v>1.69791666666667</v>
      </c>
      <c r="J15" s="40" t="n">
        <f aca="false">SUMIF(Stundenerfassung!$F$9:$F$68,$H15,Stundenerfassung!$M$9:$M$68)</f>
        <v>40.75</v>
      </c>
      <c r="K15" s="41" t="n">
        <f aca="false">IFERROR($J15/SUM($J$9:$J$16),0)</f>
        <v>0.170323928944619</v>
      </c>
      <c r="L15" s="42" t="n">
        <f aca="false">SUMIF(Stundenerfassung!$F$9:$F$68,$H15,Stundenerfassung!$P$9:$P$68)</f>
        <v>0</v>
      </c>
    </row>
    <row r="16" customFormat="false" ht="16.5" hidden="false" customHeight="true" outlineLevel="0" collapsed="false">
      <c r="B16" s="47" t="s">
        <v>6</v>
      </c>
      <c r="C16" s="48" t="n">
        <f aca="false">COUNT(Stundenerfassung!$L$9:$L$68)</f>
        <v>40</v>
      </c>
      <c r="D16" s="49"/>
      <c r="E16" s="47" t="s">
        <v>107</v>
      </c>
      <c r="F16" s="48" t="n">
        <f aca="false">SUMPRODUCT((Stundenerfassung!$B$9:$B$68&lt;&gt;"")/COUNTIF(Stundenerfassung!$B$9:$B$68,Stundenerfassung!$B$9:$B$68&amp;""))</f>
        <v>13</v>
      </c>
      <c r="H16" s="38" t="str">
        <f aca="false">Stammdaten!B35</f>
        <v>Fahrzeit</v>
      </c>
      <c r="I16" s="39" t="n">
        <f aca="false">$J16/24</f>
        <v>0.197916666666667</v>
      </c>
      <c r="J16" s="40" t="n">
        <f aca="false">SUMIF(Stundenerfassung!$F$9:$F$68,$H16,Stundenerfassung!$M$9:$M$68)</f>
        <v>4.75</v>
      </c>
      <c r="K16" s="41" t="n">
        <f aca="false">IFERROR($J16/SUM($J$9:$J$16),0)</f>
        <v>0.0198537095088819</v>
      </c>
      <c r="L16" s="42" t="n">
        <f aca="false">SUMIF(Stundenerfassung!$F$9:$F$68,$H16,Stundenerfassung!$P$9:$P$68)</f>
        <v>90</v>
      </c>
    </row>
    <row r="17" customFormat="false" ht="16.5" hidden="false" customHeight="true" outlineLevel="0" collapsed="false">
      <c r="B17" s="47" t="s">
        <v>108</v>
      </c>
      <c r="C17" s="50" t="n">
        <f aca="false">IFERROR(SUM(Stundenerfassung!$M$9:$M$68)/COUNT(Stundenerfassung!$M$9:$M$68),0)</f>
        <v>5.98125</v>
      </c>
      <c r="D17" s="49"/>
      <c r="E17" s="47" t="s">
        <v>109</v>
      </c>
      <c r="F17" s="50" t="n">
        <f aca="false">IFERROR(SUM(Stundenerfassung!$M$9:$M$68)/SUMPRODUCT((Stundenerfassung!$B$9:$B$68&lt;&gt;"")/COUNTIF(Stundenerfassung!$B$9:$B$68,Stundenerfassung!$B$9:$B$68&amp;"")),0)</f>
        <v>18.4038461538462</v>
      </c>
      <c r="H17" s="51" t="s">
        <v>110</v>
      </c>
      <c r="I17" s="52" t="n">
        <f aca="false">SUM(I9:I16)</f>
        <v>9.96875</v>
      </c>
      <c r="J17" s="53" t="n">
        <f aca="false">SUM(J9:J16)</f>
        <v>239.25</v>
      </c>
      <c r="K17" s="54" t="n">
        <f aca="false">SUM(K9:K16)</f>
        <v>1</v>
      </c>
      <c r="L17" s="55" t="n">
        <f aca="false">SUM(L9:L16)</f>
        <v>13157</v>
      </c>
    </row>
    <row r="18" customFormat="false" ht="16.5" hidden="false" customHeight="true" outlineLevel="0" collapsed="false">
      <c r="B18" s="47" t="s">
        <v>111</v>
      </c>
      <c r="C18" s="50" t="n">
        <f aca="false">IFERROR(MAX(Stundenerfassung!$M$9:$M$68),0)</f>
        <v>9.5</v>
      </c>
      <c r="D18" s="49"/>
      <c r="E18" s="47" t="s">
        <v>112</v>
      </c>
      <c r="F18" s="50" t="n">
        <f aca="false">SUM(Stundenerfassung!$J$9:$J$68)/60</f>
        <v>16.75</v>
      </c>
    </row>
    <row r="19" customFormat="false" ht="16.5" hidden="false" customHeight="true" outlineLevel="0" collapsed="false">
      <c r="B19" s="47" t="s">
        <v>113</v>
      </c>
      <c r="C19" s="50" t="n">
        <f aca="false">SUMIF(Stundenerfassung!$N$9:$N$68,"Ja",Stundenerfassung!$M$9:$M$68)</f>
        <v>175.25</v>
      </c>
      <c r="D19" s="49"/>
      <c r="E19" s="47" t="s">
        <v>114</v>
      </c>
      <c r="F19" s="50" t="n">
        <f aca="false">SUMIF(Stundenerfassung!$N$9:$N$68,"Nein",Stundenerfassung!$M$9:$M$68)</f>
        <v>64</v>
      </c>
    </row>
    <row r="20" customFormat="false" ht="19.5" hidden="false" customHeight="true" outlineLevel="0" collapsed="false">
      <c r="B20" s="47" t="s">
        <v>115</v>
      </c>
      <c r="C20" s="56" t="n">
        <f aca="false">IFERROR(SUMIF(Stundenerfassung!$N$9:$N$68,"Ja",Stundenerfassung!$M$9:$M$68)/SUM(Stundenerfassung!$M$9:$M$68),0)</f>
        <v>0.732497387669801</v>
      </c>
      <c r="D20" s="49"/>
      <c r="E20" s="47" t="s">
        <v>9</v>
      </c>
      <c r="F20" s="57" t="n">
        <f aca="false">SUM(Stundenerfassung!$P$9:$P$68)</f>
        <v>13157</v>
      </c>
      <c r="H20" s="32" t="s">
        <v>116</v>
      </c>
      <c r="I20" s="32"/>
      <c r="J20" s="32"/>
      <c r="K20" s="32"/>
      <c r="L20" s="32"/>
    </row>
    <row r="21" customFormat="false" ht="16.5" hidden="false" customHeight="true" outlineLevel="0" collapsed="false">
      <c r="B21" s="47" t="s">
        <v>117</v>
      </c>
      <c r="C21" s="50" t="n">
        <f aca="false">Soll_Stunden</f>
        <v>248</v>
      </c>
      <c r="D21" s="49"/>
      <c r="E21" s="47" t="s">
        <v>118</v>
      </c>
      <c r="F21" s="58" t="n">
        <f aca="false">SUM(Stundenerfassung!$M$9:$M$68)-Soll_Stunden</f>
        <v>-8.75</v>
      </c>
      <c r="H21" s="33" t="s">
        <v>14</v>
      </c>
      <c r="I21" s="34" t="s">
        <v>95</v>
      </c>
      <c r="J21" s="34" t="s">
        <v>96</v>
      </c>
      <c r="K21" s="34" t="s">
        <v>119</v>
      </c>
      <c r="L21" s="34" t="s">
        <v>120</v>
      </c>
    </row>
    <row r="22" customFormat="false" ht="15" hidden="false" customHeight="false" outlineLevel="0" collapsed="false">
      <c r="H22" s="38" t="str">
        <f aca="false">Stammdaten!B42</f>
        <v>M. Behrens</v>
      </c>
      <c r="I22" s="39" t="n">
        <f aca="false">$J22/24</f>
        <v>2.5625</v>
      </c>
      <c r="J22" s="40" t="n">
        <f aca="false">SUMIF(Stundenerfassung!$E$9:$E$68,$H22,Stundenerfassung!$M$9:$M$68)</f>
        <v>61.5</v>
      </c>
      <c r="K22" s="59" t="n">
        <f aca="false">IFERROR(VLOOKUP($H22,Soll_Tabelle,2,0),0)</f>
        <v>64</v>
      </c>
      <c r="L22" s="60" t="n">
        <f aca="false">$J22-$K22</f>
        <v>-2.5</v>
      </c>
    </row>
    <row r="23" customFormat="false" ht="15" hidden="false" customHeight="false" outlineLevel="0" collapsed="false">
      <c r="H23" s="38" t="str">
        <f aca="false">Stammdaten!B43</f>
        <v>S. Kowalski</v>
      </c>
      <c r="I23" s="39" t="n">
        <f aca="false">$J23/24</f>
        <v>1.66666666666667</v>
      </c>
      <c r="J23" s="40" t="n">
        <f aca="false">SUMIF(Stundenerfassung!$E$9:$E$68,$H23,Stundenerfassung!$M$9:$M$68)</f>
        <v>40</v>
      </c>
      <c r="K23" s="59" t="n">
        <f aca="false">IFERROR(VLOOKUP($H23,Soll_Tabelle,2,0),0)</f>
        <v>40</v>
      </c>
      <c r="L23" s="60" t="n">
        <f aca="false">$J23-$K23</f>
        <v>0</v>
      </c>
    </row>
    <row r="24" customFormat="false" ht="15" hidden="false" customHeight="false" outlineLevel="0" collapsed="false">
      <c r="H24" s="38" t="str">
        <f aca="false">Stammdaten!B44</f>
        <v>T. Ferreira</v>
      </c>
      <c r="I24" s="39" t="n">
        <f aca="false">$J24/24</f>
        <v>2.13541666666667</v>
      </c>
      <c r="J24" s="40" t="n">
        <f aca="false">SUMIF(Stundenerfassung!$E$9:$E$68,$H24,Stundenerfassung!$M$9:$M$68)</f>
        <v>51.25</v>
      </c>
      <c r="K24" s="59" t="n">
        <f aca="false">IFERROR(VLOOKUP($H24,Soll_Tabelle,2,0),0)</f>
        <v>56</v>
      </c>
      <c r="L24" s="60" t="n">
        <f aca="false">$J24-$K24</f>
        <v>-4.75</v>
      </c>
    </row>
    <row r="25" customFormat="false" ht="15" hidden="false" customHeight="false" outlineLevel="0" collapsed="false">
      <c r="H25" s="38" t="str">
        <f aca="false">Stammdaten!B45</f>
        <v>A. Lindqvist</v>
      </c>
      <c r="I25" s="39" t="n">
        <f aca="false">$J25/24</f>
        <v>1.48958333333333</v>
      </c>
      <c r="J25" s="40" t="n">
        <f aca="false">SUMIF(Stundenerfassung!$E$9:$E$68,$H25,Stundenerfassung!$M$9:$M$68)</f>
        <v>35.75</v>
      </c>
      <c r="K25" s="59" t="n">
        <f aca="false">IFERROR(VLOOKUP($H25,Soll_Tabelle,2,0),0)</f>
        <v>32</v>
      </c>
      <c r="L25" s="60" t="n">
        <f aca="false">$J25-$K25</f>
        <v>3.75</v>
      </c>
    </row>
    <row r="26" customFormat="false" ht="15" hidden="false" customHeight="false" outlineLevel="0" collapsed="false">
      <c r="H26" s="38" t="str">
        <f aca="false">Stammdaten!B46</f>
        <v>R. Okonkwo</v>
      </c>
      <c r="I26" s="39" t="n">
        <f aca="false">$J26/24</f>
        <v>1.19791666666667</v>
      </c>
      <c r="J26" s="40" t="n">
        <f aca="false">SUMIF(Stundenerfassung!$E$9:$E$68,$H26,Stundenerfassung!$M$9:$M$68)</f>
        <v>28.75</v>
      </c>
      <c r="K26" s="59" t="n">
        <f aca="false">IFERROR(VLOOKUP($H26,Soll_Tabelle,2,0),0)</f>
        <v>32</v>
      </c>
      <c r="L26" s="60" t="n">
        <f aca="false">$J26-$K26</f>
        <v>-3.25</v>
      </c>
    </row>
    <row r="27" customFormat="false" ht="15" hidden="false" customHeight="false" outlineLevel="0" collapsed="false">
      <c r="H27" s="38" t="str">
        <f aca="false">Stammdaten!B47</f>
        <v>L. Petrova</v>
      </c>
      <c r="I27" s="39" t="n">
        <f aca="false">$J27/24</f>
        <v>0.916666666666667</v>
      </c>
      <c r="J27" s="40" t="n">
        <f aca="false">SUMIF(Stundenerfassung!$E$9:$E$68,$H27,Stundenerfassung!$M$9:$M$68)</f>
        <v>22</v>
      </c>
      <c r="K27" s="59" t="n">
        <f aca="false">IFERROR(VLOOKUP($H27,Soll_Tabelle,2,0),0)</f>
        <v>24</v>
      </c>
      <c r="L27" s="60" t="n">
        <f aca="false">$J27-$K27</f>
        <v>-2</v>
      </c>
    </row>
    <row r="28" customFormat="false" ht="15" hidden="false" customHeight="false" outlineLevel="0" collapsed="false">
      <c r="H28" s="51" t="s">
        <v>110</v>
      </c>
      <c r="I28" s="52" t="n">
        <f aca="false">SUM(I22:I27)</f>
        <v>9.96875</v>
      </c>
      <c r="J28" s="53" t="n">
        <f aca="false">SUM(J22:J27)</f>
        <v>239.25</v>
      </c>
      <c r="K28" s="53" t="n">
        <f aca="false">SUM(K22:K27)</f>
        <v>248</v>
      </c>
      <c r="L28" s="61" t="n">
        <f aca="false">SUM(L22:L27)</f>
        <v>-8.75</v>
      </c>
    </row>
    <row r="30" customFormat="false" ht="19.5" hidden="false" customHeight="true" outlineLevel="0" collapsed="false">
      <c r="B30" s="32" t="s">
        <v>121</v>
      </c>
      <c r="C30" s="32"/>
      <c r="D30" s="32"/>
      <c r="E30" s="32"/>
      <c r="F30" s="32"/>
    </row>
    <row r="31" customFormat="false" ht="15" hidden="false" customHeight="false" outlineLevel="0" collapsed="false">
      <c r="B31" s="33" t="s">
        <v>122</v>
      </c>
      <c r="C31" s="34" t="s">
        <v>95</v>
      </c>
      <c r="D31" s="34" t="s">
        <v>96</v>
      </c>
      <c r="E31" s="34" t="s">
        <v>123</v>
      </c>
      <c r="F31" s="34" t="s">
        <v>25</v>
      </c>
    </row>
    <row r="32" customFormat="false" ht="15" hidden="false" customHeight="false" outlineLevel="0" collapsed="false">
      <c r="B32" s="62" t="str">
        <f aca="false">"KW "&amp;$N32</f>
        <v>KW 27</v>
      </c>
      <c r="C32" s="63" t="n">
        <f aca="false">$D32/24</f>
        <v>2.90625</v>
      </c>
      <c r="D32" s="64" t="n">
        <f aca="false">SUMIF(Stundenerfassung!$D$9:$D$68,$N32,Stundenerfassung!$M$9:$M$68)</f>
        <v>69.75</v>
      </c>
      <c r="E32" s="65" t="n">
        <f aca="false">COUNTIF(Stundenerfassung!$D$9:$D$68,$N32)</f>
        <v>11</v>
      </c>
      <c r="F32" s="66" t="n">
        <f aca="false">SUMIF(Stundenerfassung!$D$9:$D$68,$N32,Stundenerfassung!$P$9:$P$68)</f>
        <v>4129</v>
      </c>
      <c r="N32" s="67" t="n">
        <f aca="false">INT((Stammdaten!C10-WEEKDAY(Stammdaten!C10,2)+4-DATE(YEAR(Stammdaten!C10-WEEKDAY(Stammdaten!C10,2)+4),1,1))/7)+1</f>
        <v>27</v>
      </c>
    </row>
    <row r="33" customFormat="false" ht="15" hidden="false" customHeight="false" outlineLevel="0" collapsed="false">
      <c r="B33" s="62" t="str">
        <f aca="false">"KW "&amp;$N33</f>
        <v>KW 28</v>
      </c>
      <c r="C33" s="63" t="n">
        <f aca="false">$D33/24</f>
        <v>3.70833333333333</v>
      </c>
      <c r="D33" s="64" t="n">
        <f aca="false">SUMIF(Stundenerfassung!$D$9:$D$68,$N33,Stundenerfassung!$M$9:$M$68)</f>
        <v>89</v>
      </c>
      <c r="E33" s="65" t="n">
        <f aca="false">COUNTIF(Stundenerfassung!$D$9:$D$68,$N33)</f>
        <v>15</v>
      </c>
      <c r="F33" s="66" t="n">
        <f aca="false">SUMIF(Stundenerfassung!$D$9:$D$68,$N33,Stundenerfassung!$P$9:$P$68)</f>
        <v>4687</v>
      </c>
      <c r="N33" s="67" t="n">
        <f aca="false">$N$32+1</f>
        <v>28</v>
      </c>
    </row>
    <row r="34" customFormat="false" ht="15" hidden="false" customHeight="false" outlineLevel="0" collapsed="false">
      <c r="B34" s="62" t="str">
        <f aca="false">"KW "&amp;$N34</f>
        <v>KW 29</v>
      </c>
      <c r="C34" s="63" t="n">
        <f aca="false">$D34/24</f>
        <v>3.35416666666667</v>
      </c>
      <c r="D34" s="64" t="n">
        <f aca="false">SUMIF(Stundenerfassung!$D$9:$D$68,$N34,Stundenerfassung!$M$9:$M$68)</f>
        <v>80.5</v>
      </c>
      <c r="E34" s="65" t="n">
        <f aca="false">COUNTIF(Stundenerfassung!$D$9:$D$68,$N34)</f>
        <v>14</v>
      </c>
      <c r="F34" s="66" t="n">
        <f aca="false">SUMIF(Stundenerfassung!$D$9:$D$68,$N34,Stundenerfassung!$P$9:$P$68)</f>
        <v>4341</v>
      </c>
      <c r="N34" s="67" t="n">
        <f aca="false">$N$32+2</f>
        <v>29</v>
      </c>
    </row>
    <row r="35" customFormat="false" ht="15" hidden="false" customHeight="false" outlineLevel="0" collapsed="false">
      <c r="B35" s="62" t="str">
        <f aca="false">"KW "&amp;$N35</f>
        <v>KW 30</v>
      </c>
      <c r="C35" s="63" t="n">
        <f aca="false">$D35/24</f>
        <v>0</v>
      </c>
      <c r="D35" s="64" t="n">
        <f aca="false">SUMIF(Stundenerfassung!$D$9:$D$68,$N35,Stundenerfassung!$M$9:$M$68)</f>
        <v>0</v>
      </c>
      <c r="E35" s="65" t="n">
        <f aca="false">COUNTIF(Stundenerfassung!$D$9:$D$68,$N35)</f>
        <v>0</v>
      </c>
      <c r="F35" s="66" t="n">
        <f aca="false">SUMIF(Stundenerfassung!$D$9:$D$68,$N35,Stundenerfassung!$P$9:$P$68)</f>
        <v>0</v>
      </c>
      <c r="N35" s="67" t="n">
        <f aca="false">$N$32+3</f>
        <v>30</v>
      </c>
    </row>
    <row r="36" customFormat="false" ht="15" hidden="false" customHeight="false" outlineLevel="0" collapsed="false">
      <c r="B36" s="62" t="str">
        <f aca="false">"KW "&amp;$N36</f>
        <v>KW 31</v>
      </c>
      <c r="C36" s="63" t="n">
        <f aca="false">$D36/24</f>
        <v>0</v>
      </c>
      <c r="D36" s="64" t="n">
        <f aca="false">SUMIF(Stundenerfassung!$D$9:$D$68,$N36,Stundenerfassung!$M$9:$M$68)</f>
        <v>0</v>
      </c>
      <c r="E36" s="65" t="n">
        <f aca="false">COUNTIF(Stundenerfassung!$D$9:$D$68,$N36)</f>
        <v>0</v>
      </c>
      <c r="F36" s="66" t="n">
        <f aca="false">SUMIF(Stundenerfassung!$D$9:$D$68,$N36,Stundenerfassung!$P$9:$P$68)</f>
        <v>0</v>
      </c>
      <c r="N36" s="67" t="n">
        <f aca="false">$N$32+4</f>
        <v>31</v>
      </c>
    </row>
    <row r="37" customFormat="false" ht="15" hidden="false" customHeight="false" outlineLevel="0" collapsed="false">
      <c r="B37" s="62" t="str">
        <f aca="false">"KW "&amp;$N37</f>
        <v>KW 32</v>
      </c>
      <c r="C37" s="63" t="n">
        <f aca="false">$D37/24</f>
        <v>0</v>
      </c>
      <c r="D37" s="64" t="n">
        <f aca="false">SUMIF(Stundenerfassung!$D$9:$D$68,$N37,Stundenerfassung!$M$9:$M$68)</f>
        <v>0</v>
      </c>
      <c r="E37" s="65" t="n">
        <f aca="false">COUNTIF(Stundenerfassung!$D$9:$D$68,$N37)</f>
        <v>0</v>
      </c>
      <c r="F37" s="66" t="n">
        <f aca="false">SUMIF(Stundenerfassung!$D$9:$D$68,$N37,Stundenerfassung!$P$9:$P$68)</f>
        <v>0</v>
      </c>
      <c r="N37" s="67" t="n">
        <f aca="false">$N$32+5</f>
        <v>32</v>
      </c>
    </row>
    <row r="39" customFormat="false" ht="19.5" hidden="false" customHeight="true" outlineLevel="0" collapsed="false">
      <c r="B39" s="32" t="s">
        <v>124</v>
      </c>
      <c r="C39" s="32"/>
      <c r="D39" s="32"/>
      <c r="E39" s="32"/>
      <c r="F39" s="32"/>
    </row>
    <row r="40" customFormat="false" ht="15" hidden="false" customHeight="false" outlineLevel="0" collapsed="false">
      <c r="B40" s="33" t="s">
        <v>125</v>
      </c>
      <c r="C40" s="33"/>
      <c r="D40" s="33"/>
      <c r="E40" s="34" t="s">
        <v>126</v>
      </c>
      <c r="F40" s="68" t="s">
        <v>127</v>
      </c>
    </row>
    <row r="41" customFormat="false" ht="15.75" hidden="false" customHeight="true" outlineLevel="0" collapsed="false">
      <c r="B41" s="69" t="s">
        <v>128</v>
      </c>
      <c r="C41" s="69"/>
      <c r="D41" s="69"/>
      <c r="E41" s="70" t="n">
        <f aca="false">COUNTIF(Stundenerfassung!$B$9:$B$68,"&lt;&gt;")-COUNT(Stundenerfassung!$L$9:$L$68)</f>
        <v>0</v>
      </c>
      <c r="F41" s="71" t="str">
        <f aca="false">IF($E41=0,"OK","PRÜFEN")</f>
        <v>OK</v>
      </c>
    </row>
    <row r="42" customFormat="false" ht="15.75" hidden="false" customHeight="true" outlineLevel="0" collapsed="false">
      <c r="B42" s="69" t="s">
        <v>129</v>
      </c>
      <c r="C42" s="69"/>
      <c r="D42" s="69"/>
      <c r="E42" s="70" t="n">
        <f aca="false">COUNTIF(Stundenerfassung!$M$9:$M$68,"&gt;10")</f>
        <v>0</v>
      </c>
      <c r="F42" s="71" t="str">
        <f aca="false">IF($E42=0,"OK","PRÜFEN")</f>
        <v>OK</v>
      </c>
    </row>
    <row r="43" customFormat="false" ht="15.75" hidden="false" customHeight="true" outlineLevel="0" collapsed="false">
      <c r="B43" s="69" t="s">
        <v>130</v>
      </c>
      <c r="C43" s="69"/>
      <c r="D43" s="69"/>
      <c r="E43" s="70" t="n">
        <f aca="false">COUNTIF(Stundenerfassung!$M$9:$M$68,"&gt;6")-COUNTIFS(Stundenerfassung!$M$9:$M$68,"&gt;6",Stundenerfassung!$J$9:$J$68,"&gt;=30")</f>
        <v>0</v>
      </c>
      <c r="F43" s="71" t="str">
        <f aca="false">IF($E43=0,"OK","PRÜFEN")</f>
        <v>OK</v>
      </c>
    </row>
    <row r="44" customFormat="false" ht="15.75" hidden="false" customHeight="true" outlineLevel="0" collapsed="false">
      <c r="B44" s="69" t="s">
        <v>131</v>
      </c>
      <c r="C44" s="69"/>
      <c r="D44" s="69"/>
      <c r="E44" s="70" t="n">
        <f aca="false">COUNTIF(Stundenerfassung!$M$9:$M$68,"&gt;9")-COUNTIFS(Stundenerfassung!$M$9:$M$68,"&gt;9",Stundenerfassung!$J$9:$J$68,"&gt;=45")</f>
        <v>0</v>
      </c>
      <c r="F44" s="71" t="str">
        <f aca="false">IF($E44=0,"OK","PRÜFEN")</f>
        <v>OK</v>
      </c>
    </row>
    <row r="45" customFormat="false" ht="15.75" hidden="false" customHeight="true" outlineLevel="0" collapsed="false">
      <c r="B45" s="69" t="s">
        <v>132</v>
      </c>
      <c r="C45" s="69"/>
      <c r="D45" s="69"/>
      <c r="E45" s="70" t="n">
        <f aca="false">COUNT(Stundenerfassung!$L$9:$L$68)-COUNTIFS(Stundenerfassung!$F$9:$F$68,"&lt;&gt;",Stundenerfassung!$L$9:$L$68,"&gt;0")</f>
        <v>0</v>
      </c>
      <c r="F45" s="71" t="str">
        <f aca="false">IF($E45=0,"OK","PRÜFEN")</f>
        <v>OK</v>
      </c>
    </row>
    <row r="46" customFormat="false" ht="15.75" hidden="false" customHeight="true" outlineLevel="0" collapsed="false">
      <c r="B46" s="69" t="s">
        <v>133</v>
      </c>
      <c r="C46" s="69"/>
      <c r="D46" s="69"/>
      <c r="E46" s="70" t="n">
        <f aca="false">COUNTIFS(Stundenerfassung!$N$9:$N$68,"Ja",Stundenerfassung!$O$9:$O$68,0,Stundenerfassung!$L$9:$L$68,"&gt;0")</f>
        <v>0</v>
      </c>
      <c r="F46" s="71" t="str">
        <f aca="false">IF($E46=0,"OK","PRÜFEN")</f>
        <v>OK</v>
      </c>
    </row>
    <row r="48" customFormat="false" ht="33.75" hidden="false" customHeight="true" outlineLevel="0" collapsed="false">
      <c r="H48" s="72" t="s">
        <v>134</v>
      </c>
      <c r="I48" s="72"/>
      <c r="J48" s="72"/>
      <c r="K48" s="72"/>
      <c r="L48" s="72"/>
    </row>
  </sheetData>
  <mergeCells count="22">
    <mergeCell ref="B7:F7"/>
    <mergeCell ref="H7:L7"/>
    <mergeCell ref="C9:D9"/>
    <mergeCell ref="E9:F9"/>
    <mergeCell ref="C10:D10"/>
    <mergeCell ref="E10:F10"/>
    <mergeCell ref="C11:D11"/>
    <mergeCell ref="E11:F11"/>
    <mergeCell ref="C12:D12"/>
    <mergeCell ref="E12:F12"/>
    <mergeCell ref="B14:F14"/>
    <mergeCell ref="H20:L20"/>
    <mergeCell ref="B30:F30"/>
    <mergeCell ref="B39:F39"/>
    <mergeCell ref="B40:D40"/>
    <mergeCell ref="B41:D41"/>
    <mergeCell ref="B42:D42"/>
    <mergeCell ref="B43:D43"/>
    <mergeCell ref="B44:D44"/>
    <mergeCell ref="B45:D45"/>
    <mergeCell ref="B46:D46"/>
    <mergeCell ref="H48:L48"/>
  </mergeCells>
  <conditionalFormatting sqref="F21">
    <cfRule type="cellIs" priority="2" operator="lessThan" aboveAverage="0" equalAverage="0" bottom="0" percent="0" rank="0" text="" dxfId="12">
      <formula>0</formula>
    </cfRule>
    <cfRule type="cellIs" priority="3" operator="greaterThanOrEqual" aboveAverage="0" equalAverage="0" bottom="0" percent="0" rank="0" text="" dxfId="13">
      <formula>0</formula>
    </cfRule>
  </conditionalFormatting>
  <conditionalFormatting sqref="J9:J16">
    <cfRule type="dataBar" priority="4">
      <dataBar showValue="1" minLength="10" maxLength="90">
        <cfvo type="num" val="0"/>
        <cfvo type="max" val="0"/>
        <color rgb="FFC85A2B"/>
      </dataBar>
      <extLst>
        <ext xmlns:x14="http://schemas.microsoft.com/office/spreadsheetml/2009/9/main" uri="{B025F937-C7B1-47D3-B67F-A62EFF666E3E}">
          <x14:id>{91BFF0E8-F2A0-443D-9310-3D16E7F831ED}</x14:id>
        </ext>
      </extLst>
    </cfRule>
  </conditionalFormatting>
  <conditionalFormatting sqref="L22:L27">
    <cfRule type="cellIs" priority="5" operator="lessThan" aboveAverage="0" equalAverage="0" bottom="0" percent="0" rank="0" text="" dxfId="14">
      <formula>0</formula>
    </cfRule>
    <cfRule type="cellIs" priority="6" operator="greaterThan" aboveAverage="0" equalAverage="0" bottom="0" percent="0" rank="0" text="" dxfId="9">
      <formula>0</formula>
    </cfRule>
  </conditionalFormatting>
  <conditionalFormatting sqref="D32:D37">
    <cfRule type="dataBar" priority="7">
      <dataBar showValue="1" minLength="10" maxLength="90">
        <cfvo type="num" val="0"/>
        <cfvo type="max" val="0"/>
        <color rgb="FF2F5B49"/>
      </dataBar>
      <extLst>
        <ext xmlns:x14="http://schemas.microsoft.com/office/spreadsheetml/2009/9/main" uri="{B025F937-C7B1-47D3-B67F-A62EFF666E3E}">
          <x14:id>{78664099-54DC-4232-A366-E16C5DC0B155}</x14:id>
        </ext>
      </extLst>
    </cfRule>
  </conditionalFormatting>
  <conditionalFormatting sqref="F41:F46">
    <cfRule type="cellIs" priority="8" operator="equal" aboveAverage="0" equalAverage="0" bottom="0" percent="0" rank="0" text="" dxfId="15">
      <formula>"OK"</formula>
    </cfRule>
    <cfRule type="cellIs" priority="9" operator="equal" aboveAverage="0" equalAverage="0" bottom="0" percent="0" rank="0" text="" dxfId="16">
      <formula>"PRÜFEN"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BFF0E8-F2A0-443D-9310-3D16E7F831ED}">
            <x14:dataBar minLength="10" maxLength="90" axisPosition="none" gradient="true">
              <x14:cfvo type="num">
                <xm:f>0</xm:f>
              </x14:cfvo>
              <x14:cfvo type="max"/>
              <x14:negativeFillColor rgb="FFC85A2B"/>
              <x14:axisColor rgb="FF000000"/>
            </x14:dataBar>
          </x14:cfRule>
          <xm:sqref>J9:J16</xm:sqref>
        </x14:conditionalFormatting>
        <x14:conditionalFormatting xmlns:xm="http://schemas.microsoft.com/office/excel/2006/main">
          <x14:cfRule type="dataBar" id="{78664099-54DC-4232-A366-E16C5DC0B155}">
            <x14:dataBar minLength="10" maxLength="90" axisPosition="none" gradient="true">
              <x14:cfvo type="num">
                <xm:f>0</xm:f>
              </x14:cfvo>
              <x14:cfvo type="max"/>
              <x14:negativeFillColor rgb="FF2F5B49"/>
              <x14:axisColor rgb="FF000000"/>
            </x14:dataBar>
          </x14:cfRule>
          <xm:sqref>D32:D37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85A2B"/>
    <pageSetUpPr fitToPage="true"/>
  </sheetPr>
  <dimension ref="A1:E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52"/>
  </cols>
  <sheetData>
    <row r="1" customFormat="false" ht="6" hidden="false" customHeight="true" outlineLevel="0" collapsed="false"/>
    <row r="2" customFormat="false" ht="15" hidden="false" customHeight="false" outlineLevel="0" collapsed="false">
      <c r="A2" s="1" t="s">
        <v>135</v>
      </c>
    </row>
    <row r="3" customFormat="false" ht="24.75" hidden="false" customHeight="true" outlineLevel="0" collapsed="false">
      <c r="A3" s="4" t="s">
        <v>136</v>
      </c>
    </row>
    <row r="4" customFormat="false" ht="15" hidden="false" customHeight="false" outlineLevel="0" collapsed="false">
      <c r="A4" s="5" t="s">
        <v>137</v>
      </c>
    </row>
    <row r="5" customFormat="false" ht="3" hidden="false" customHeight="true" outlineLevel="0" collapsed="false">
      <c r="A5" s="6"/>
      <c r="B5" s="6"/>
      <c r="C5" s="6"/>
      <c r="D5" s="6"/>
      <c r="E5" s="6"/>
    </row>
    <row r="7" customFormat="false" ht="19.5" hidden="false" customHeight="true" outlineLevel="0" collapsed="false">
      <c r="B7" s="32" t="s">
        <v>138</v>
      </c>
      <c r="C7" s="32"/>
      <c r="D7" s="32"/>
      <c r="E7" s="32"/>
    </row>
    <row r="8" customFormat="false" ht="15" hidden="false" customHeight="false" outlineLevel="0" collapsed="false">
      <c r="B8" s="38" t="s">
        <v>139</v>
      </c>
      <c r="C8" s="73" t="s">
        <v>140</v>
      </c>
      <c r="E8" s="74" t="s">
        <v>141</v>
      </c>
    </row>
    <row r="9" customFormat="false" ht="15" hidden="false" customHeight="false" outlineLevel="0" collapsed="false">
      <c r="B9" s="38" t="s">
        <v>142</v>
      </c>
      <c r="C9" s="73" t="s">
        <v>143</v>
      </c>
      <c r="E9" s="74"/>
    </row>
    <row r="10" customFormat="false" ht="15" hidden="false" customHeight="false" outlineLevel="0" collapsed="false">
      <c r="B10" s="38" t="s">
        <v>0</v>
      </c>
      <c r="C10" s="75" t="n">
        <v>46204</v>
      </c>
      <c r="E10" s="74" t="s">
        <v>144</v>
      </c>
    </row>
    <row r="11" customFormat="false" ht="15" hidden="false" customHeight="false" outlineLevel="0" collapsed="false">
      <c r="B11" s="38" t="s">
        <v>145</v>
      </c>
      <c r="C11" s="75" t="n">
        <v>46234</v>
      </c>
      <c r="E11" s="74" t="s">
        <v>146</v>
      </c>
    </row>
    <row r="12" customFormat="false" ht="15" hidden="false" customHeight="false" outlineLevel="0" collapsed="false">
      <c r="B12" s="38" t="s">
        <v>147</v>
      </c>
      <c r="C12" s="73" t="s">
        <v>148</v>
      </c>
      <c r="E12" s="74"/>
    </row>
    <row r="13" customFormat="false" ht="15" hidden="false" customHeight="false" outlineLevel="0" collapsed="false">
      <c r="B13" s="38" t="s">
        <v>149</v>
      </c>
      <c r="C13" s="75" t="n">
        <v>46234</v>
      </c>
      <c r="E13" s="74"/>
    </row>
    <row r="15" customFormat="false" ht="19.5" hidden="false" customHeight="true" outlineLevel="0" collapsed="false">
      <c r="B15" s="32" t="s">
        <v>150</v>
      </c>
      <c r="C15" s="32"/>
      <c r="D15" s="32"/>
      <c r="E15" s="32"/>
    </row>
    <row r="16" customFormat="false" ht="15" hidden="false" customHeight="false" outlineLevel="0" collapsed="false">
      <c r="B16" s="38" t="s">
        <v>151</v>
      </c>
      <c r="C16" s="76" t="n">
        <v>8</v>
      </c>
      <c r="E16" s="74" t="s">
        <v>152</v>
      </c>
    </row>
    <row r="17" customFormat="false" ht="15" hidden="false" customHeight="false" outlineLevel="0" collapsed="false">
      <c r="B17" s="38" t="s">
        <v>117</v>
      </c>
      <c r="C17" s="76" t="n">
        <f aca="false">SUM(C42:C47)</f>
        <v>248</v>
      </c>
      <c r="E17" s="74" t="s">
        <v>153</v>
      </c>
    </row>
    <row r="18" customFormat="false" ht="15" hidden="false" customHeight="false" outlineLevel="0" collapsed="false">
      <c r="B18" s="38" t="s">
        <v>154</v>
      </c>
      <c r="C18" s="77" t="n">
        <v>65</v>
      </c>
      <c r="E18" s="74" t="s">
        <v>155</v>
      </c>
    </row>
    <row r="19" customFormat="false" ht="15" hidden="false" customHeight="false" outlineLevel="0" collapsed="false">
      <c r="B19" s="38" t="s">
        <v>156</v>
      </c>
      <c r="C19" s="78" t="n">
        <v>2</v>
      </c>
      <c r="E19" s="74" t="s">
        <v>157</v>
      </c>
    </row>
    <row r="21" customFormat="false" ht="19.5" hidden="false" customHeight="true" outlineLevel="0" collapsed="false">
      <c r="B21" s="32" t="s">
        <v>158</v>
      </c>
      <c r="C21" s="32"/>
      <c r="D21" s="32"/>
      <c r="E21" s="32"/>
    </row>
    <row r="22" customFormat="false" ht="27.75" hidden="false" customHeight="true" outlineLevel="0" collapsed="false">
      <c r="B22" s="79" t="s">
        <v>159</v>
      </c>
      <c r="C22" s="80" t="s">
        <v>160</v>
      </c>
      <c r="D22" s="80"/>
      <c r="E22" s="80"/>
    </row>
    <row r="23" customFormat="false" ht="27.75" hidden="false" customHeight="true" outlineLevel="0" collapsed="false">
      <c r="B23" s="79" t="s">
        <v>161</v>
      </c>
      <c r="C23" s="80" t="s">
        <v>162</v>
      </c>
      <c r="D23" s="80"/>
      <c r="E23" s="80"/>
    </row>
    <row r="24" customFormat="false" ht="27.75" hidden="false" customHeight="true" outlineLevel="0" collapsed="false">
      <c r="B24" s="79" t="s">
        <v>163</v>
      </c>
      <c r="C24" s="80" t="s">
        <v>164</v>
      </c>
      <c r="D24" s="80"/>
      <c r="E24" s="80"/>
    </row>
    <row r="25" customFormat="false" ht="27.75" hidden="false" customHeight="true" outlineLevel="0" collapsed="false">
      <c r="B25" s="79" t="s">
        <v>165</v>
      </c>
      <c r="C25" s="80" t="s">
        <v>166</v>
      </c>
      <c r="D25" s="80"/>
      <c r="E25" s="80"/>
    </row>
    <row r="26" customFormat="false" ht="19.5" hidden="false" customHeight="true" outlineLevel="0" collapsed="false">
      <c r="B26" s="32" t="s">
        <v>167</v>
      </c>
      <c r="C26" s="32"/>
      <c r="D26" s="32"/>
      <c r="E26" s="32"/>
    </row>
    <row r="27" customFormat="false" ht="15" hidden="false" customHeight="false" outlineLevel="0" collapsed="false">
      <c r="B27" s="81" t="s">
        <v>15</v>
      </c>
      <c r="C27" s="82" t="s">
        <v>168</v>
      </c>
      <c r="D27" s="83" t="s">
        <v>169</v>
      </c>
      <c r="E27" s="83"/>
    </row>
    <row r="28" customFormat="false" ht="15" hidden="false" customHeight="false" outlineLevel="0" collapsed="false">
      <c r="B28" s="84" t="s">
        <v>28</v>
      </c>
      <c r="C28" s="85" t="n">
        <v>78</v>
      </c>
      <c r="D28" s="31" t="s">
        <v>170</v>
      </c>
      <c r="E28" s="31"/>
    </row>
    <row r="29" customFormat="false" ht="15" hidden="false" customHeight="false" outlineLevel="0" collapsed="false">
      <c r="B29" s="84" t="s">
        <v>32</v>
      </c>
      <c r="C29" s="85" t="n">
        <v>65</v>
      </c>
      <c r="D29" s="31" t="s">
        <v>171</v>
      </c>
      <c r="E29" s="31"/>
    </row>
    <row r="30" customFormat="false" ht="15" hidden="false" customHeight="false" outlineLevel="0" collapsed="false">
      <c r="B30" s="84" t="s">
        <v>46</v>
      </c>
      <c r="C30" s="85" t="n">
        <v>95</v>
      </c>
      <c r="D30" s="31" t="s">
        <v>172</v>
      </c>
      <c r="E30" s="31"/>
    </row>
    <row r="31" customFormat="false" ht="15" hidden="false" customHeight="false" outlineLevel="0" collapsed="false">
      <c r="B31" s="84" t="s">
        <v>35</v>
      </c>
      <c r="C31" s="85" t="n">
        <v>72</v>
      </c>
      <c r="D31" s="31" t="s">
        <v>173</v>
      </c>
      <c r="E31" s="31"/>
    </row>
    <row r="32" customFormat="false" ht="15" hidden="false" customHeight="false" outlineLevel="0" collapsed="false">
      <c r="B32" s="84" t="s">
        <v>52</v>
      </c>
      <c r="C32" s="85" t="n">
        <v>68</v>
      </c>
      <c r="D32" s="31" t="s">
        <v>174</v>
      </c>
      <c r="E32" s="31"/>
    </row>
    <row r="33" customFormat="false" ht="15" hidden="false" customHeight="false" outlineLevel="0" collapsed="false">
      <c r="B33" s="84" t="s">
        <v>55</v>
      </c>
      <c r="C33" s="85" t="n">
        <v>0</v>
      </c>
      <c r="D33" s="31" t="s">
        <v>175</v>
      </c>
      <c r="E33" s="31"/>
    </row>
    <row r="34" customFormat="false" ht="15" hidden="false" customHeight="false" outlineLevel="0" collapsed="false">
      <c r="B34" s="84" t="s">
        <v>44</v>
      </c>
      <c r="C34" s="85" t="n">
        <v>0</v>
      </c>
      <c r="D34" s="31" t="s">
        <v>176</v>
      </c>
      <c r="E34" s="31"/>
    </row>
    <row r="35" customFormat="false" ht="15" hidden="false" customHeight="false" outlineLevel="0" collapsed="false">
      <c r="B35" s="84" t="s">
        <v>38</v>
      </c>
      <c r="C35" s="85" t="n">
        <v>45</v>
      </c>
      <c r="D35" s="31" t="s">
        <v>177</v>
      </c>
      <c r="E35" s="31"/>
    </row>
    <row r="40" customFormat="false" ht="19.5" hidden="false" customHeight="true" outlineLevel="0" collapsed="false">
      <c r="B40" s="32" t="s">
        <v>178</v>
      </c>
      <c r="C40" s="32"/>
      <c r="D40" s="32"/>
      <c r="E40" s="32"/>
    </row>
    <row r="41" customFormat="false" ht="15" hidden="false" customHeight="false" outlineLevel="0" collapsed="false">
      <c r="B41" s="81" t="s">
        <v>14</v>
      </c>
      <c r="C41" s="82" t="s">
        <v>179</v>
      </c>
      <c r="D41" s="83" t="s">
        <v>169</v>
      </c>
      <c r="E41" s="83"/>
    </row>
    <row r="42" customFormat="false" ht="15" hidden="false" customHeight="false" outlineLevel="0" collapsed="false">
      <c r="B42" s="84" t="s">
        <v>27</v>
      </c>
      <c r="C42" s="86" t="n">
        <v>64</v>
      </c>
      <c r="D42" s="31" t="s">
        <v>180</v>
      </c>
      <c r="E42" s="31"/>
    </row>
    <row r="43" customFormat="false" ht="15" hidden="false" customHeight="false" outlineLevel="0" collapsed="false">
      <c r="B43" s="84" t="s">
        <v>31</v>
      </c>
      <c r="C43" s="86" t="n">
        <v>40</v>
      </c>
    </row>
    <row r="44" customFormat="false" ht="15" hidden="false" customHeight="false" outlineLevel="0" collapsed="false">
      <c r="B44" s="84" t="s">
        <v>34</v>
      </c>
      <c r="C44" s="86" t="n">
        <v>56</v>
      </c>
    </row>
    <row r="45" customFormat="false" ht="15" hidden="false" customHeight="false" outlineLevel="0" collapsed="false">
      <c r="B45" s="84" t="s">
        <v>43</v>
      </c>
      <c r="C45" s="86" t="n">
        <v>32</v>
      </c>
    </row>
    <row r="46" customFormat="false" ht="15" hidden="false" customHeight="false" outlineLevel="0" collapsed="false">
      <c r="B46" s="84" t="s">
        <v>51</v>
      </c>
      <c r="C46" s="86" t="n">
        <v>32</v>
      </c>
    </row>
    <row r="47" customFormat="false" ht="15" hidden="false" customHeight="false" outlineLevel="0" collapsed="false">
      <c r="B47" s="84" t="s">
        <v>66</v>
      </c>
      <c r="C47" s="86" t="n">
        <v>24</v>
      </c>
    </row>
    <row r="49" customFormat="false" ht="19.5" hidden="false" customHeight="true" outlineLevel="0" collapsed="false">
      <c r="B49" s="32" t="s">
        <v>181</v>
      </c>
      <c r="C49" s="32"/>
      <c r="D49" s="32"/>
      <c r="E49" s="32"/>
    </row>
    <row r="50" customFormat="false" ht="15.75" hidden="false" customHeight="true" outlineLevel="0" collapsed="false">
      <c r="B50" s="87" t="s">
        <v>182</v>
      </c>
      <c r="C50" s="87"/>
      <c r="D50" s="87"/>
      <c r="E50" s="87"/>
    </row>
    <row r="51" customFormat="false" ht="15.75" hidden="false" customHeight="true" outlineLevel="0" collapsed="false">
      <c r="B51" s="87" t="s">
        <v>183</v>
      </c>
      <c r="C51" s="87"/>
      <c r="D51" s="87"/>
      <c r="E51" s="87"/>
    </row>
    <row r="52" customFormat="false" ht="15.75" hidden="false" customHeight="true" outlineLevel="0" collapsed="false">
      <c r="B52" s="87" t="s">
        <v>184</v>
      </c>
      <c r="C52" s="87"/>
      <c r="D52" s="87"/>
      <c r="E52" s="87"/>
    </row>
    <row r="53" customFormat="false" ht="15.75" hidden="false" customHeight="true" outlineLevel="0" collapsed="false">
      <c r="B53" s="87" t="s">
        <v>185</v>
      </c>
      <c r="C53" s="87"/>
      <c r="D53" s="87"/>
      <c r="E53" s="87"/>
    </row>
    <row r="54" customFormat="false" ht="15.75" hidden="false" customHeight="true" outlineLevel="0" collapsed="false">
      <c r="B54" s="87" t="s">
        <v>186</v>
      </c>
      <c r="C54" s="87"/>
      <c r="D54" s="87"/>
      <c r="E54" s="87"/>
    </row>
    <row r="55" customFormat="false" ht="15.75" hidden="false" customHeight="true" outlineLevel="0" collapsed="false">
      <c r="B55" s="87" t="s">
        <v>187</v>
      </c>
      <c r="C55" s="87"/>
      <c r="D55" s="87"/>
      <c r="E55" s="87"/>
    </row>
    <row r="57" customFormat="false" ht="19.5" hidden="false" customHeight="true" outlineLevel="0" collapsed="false">
      <c r="B57" s="32" t="s">
        <v>188</v>
      </c>
      <c r="C57" s="32"/>
      <c r="D57" s="32"/>
      <c r="E57" s="32"/>
    </row>
    <row r="58" customFormat="false" ht="15" hidden="false" customHeight="false" outlineLevel="0" collapsed="false">
      <c r="B58" s="88"/>
      <c r="C58" s="89" t="s">
        <v>189</v>
      </c>
      <c r="D58" s="89"/>
      <c r="E58" s="89"/>
    </row>
    <row r="59" customFormat="false" ht="15" hidden="false" customHeight="false" outlineLevel="0" collapsed="false">
      <c r="B59" s="90"/>
      <c r="C59" s="89" t="s">
        <v>190</v>
      </c>
      <c r="D59" s="89"/>
      <c r="E59" s="89"/>
    </row>
    <row r="60" customFormat="false" ht="15" hidden="false" customHeight="false" outlineLevel="0" collapsed="false">
      <c r="B60" s="26"/>
      <c r="C60" s="89" t="s">
        <v>191</v>
      </c>
      <c r="D60" s="89"/>
      <c r="E60" s="89"/>
    </row>
    <row r="61" customFormat="false" ht="15" hidden="false" customHeight="false" outlineLevel="0" collapsed="false">
      <c r="B61" s="91"/>
      <c r="C61" s="89" t="s">
        <v>192</v>
      </c>
      <c r="D61" s="89"/>
      <c r="E61" s="89"/>
    </row>
    <row r="63" customFormat="false" ht="15" hidden="false" customHeight="true" outlineLevel="0" collapsed="false">
      <c r="B63" s="92" t="s">
        <v>193</v>
      </c>
      <c r="C63" s="92"/>
      <c r="D63" s="92"/>
      <c r="E63" s="92"/>
    </row>
    <row r="64" customFormat="false" ht="15" hidden="false" customHeight="false" outlineLevel="0" collapsed="false">
      <c r="B64" s="92"/>
      <c r="C64" s="92"/>
      <c r="D64" s="92"/>
      <c r="E64" s="92"/>
    </row>
    <row r="65" customFormat="false" ht="15" hidden="false" customHeight="false" outlineLevel="0" collapsed="false">
      <c r="B65" s="92"/>
      <c r="C65" s="92"/>
      <c r="D65" s="92"/>
      <c r="E65" s="92"/>
    </row>
  </sheetData>
  <mergeCells count="33">
    <mergeCell ref="B7:E7"/>
    <mergeCell ref="B15:E15"/>
    <mergeCell ref="B21:E21"/>
    <mergeCell ref="C22:E22"/>
    <mergeCell ref="C23:E23"/>
    <mergeCell ref="C24:E24"/>
    <mergeCell ref="C25:E25"/>
    <mergeCell ref="B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40:E40"/>
    <mergeCell ref="D41:E41"/>
    <mergeCell ref="D42:E42"/>
    <mergeCell ref="B49:E49"/>
    <mergeCell ref="B50:E50"/>
    <mergeCell ref="B51:E51"/>
    <mergeCell ref="B52:E52"/>
    <mergeCell ref="B53:E53"/>
    <mergeCell ref="B54:E54"/>
    <mergeCell ref="B55:E55"/>
    <mergeCell ref="B57:E57"/>
    <mergeCell ref="C58:E58"/>
    <mergeCell ref="C59:E59"/>
    <mergeCell ref="C60:E60"/>
    <mergeCell ref="C61:E61"/>
    <mergeCell ref="B63:E6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2026-07-19T14:30:36Z</dcterms:created>
  <dc:creator>openpyxl</dc:creator>
  <dc:description/>
  <dc:language>en-US</dc:language>
  <cp:lastModifiedBy/>
  <dcterms:modified xsi:type="dcterms:W3CDTF">2026-07-19T14:30:38Z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