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_rels/drawing1.xml.rels" ContentType="application/vnd.openxmlformats-package.relationships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undenerfassung" sheetId="1" state="visible" r:id="rId3"/>
    <sheet name="Auswertung" sheetId="2" state="visible" r:id="rId4"/>
    <sheet name="Stammdaten" sheetId="3" state="visible" r:id="rId5"/>
  </sheets>
  <definedNames>
    <definedName function="false" hidden="false" localSheetId="2" name="_xlnm.Print_Area" vbProcedure="false">Stammdaten!$A$1:$I$53</definedName>
    <definedName function="false" hidden="false" localSheetId="0" name="_xlnm.Print_Area" vbProcedure="false">Stundenerfassung!$A$1:$P$77</definedName>
    <definedName function="false" hidden="false" name="Kategorien" vbProcedure="false">Stammdaten!$G$30:$G$37</definedName>
    <definedName function="false" hidden="false" name="Personen" vbProcedure="false">Stammdaten!$B$30:$B$35</definedName>
    <definedName function="false" hidden="false" name="Satz_Tabelle" vbProcedure="false">Stammdaten!$G$30:$H$37</definedName>
    <definedName function="false" hidden="false" name="Soll_Stunden" vbProcedure="false">Stammdaten!$C$14</definedName>
    <definedName function="false" hidden="false" name="Soll_Tabelle" vbProcedure="false">Stammdaten!$B$30:$C$35</definedName>
    <definedName function="false" hidden="false" name="Standardsatz" vbProcedure="false">Stammdaten!$C$13</definedName>
    <definedName function="false" hidden="false" name="Std_pro_Tag" vbProcedure="false">Stammdaten!$C$12</definedName>
    <definedName function="false" hidden="false" name="Warnschwelle" vbProcedure="false">Stammdaten!$C$15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K71" authorId="0">
      <text>
        <r>
          <rPr>
            <sz val="10"/>
            <rFont val="Arial"/>
            <family val="2"/>
          </rPr>
          <t xml:space="preserve">Diese Zelle ist mit dem Format [h]:mm formatiert.
Nur so werden Stunden über 24 hinaus vollständig angezeigt.
Mit dem Format hh:mm würde Excel bei 24 Stunden wieder bei 0:00 beginnen.</t>
        </r>
      </text>
    </comment>
  </commentList>
</comments>
</file>

<file path=xl/sharedStrings.xml><?xml version="1.0" encoding="utf-8"?>
<sst xmlns="http://schemas.openxmlformats.org/spreadsheetml/2006/main" count="311" uniqueCount="156">
  <si>
    <t xml:space="preserve">STUNDENERFASSUNG</t>
  </si>
  <si>
    <t xml:space="preserve">Arbeitsstunden korrekt addieren – auch über 24 Stunden hinaus  ·  Vorlage 2026</t>
  </si>
  <si>
    <t xml:space="preserve">Organisation</t>
  </si>
  <si>
    <t xml:space="preserve">Zeitraum</t>
  </si>
  <si>
    <t xml:space="preserve">Sollstunden</t>
  </si>
  <si>
    <t xml:space="preserve">Stand</t>
  </si>
  <si>
    <t xml:space="preserve">SUMME [H]:MM</t>
  </si>
  <si>
    <t xml:space="preserve">DEZIMALSTUNDEN</t>
  </si>
  <si>
    <t xml:space="preserve">DAVON ABRECHENBAR</t>
  </si>
  <si>
    <t xml:space="preserve">BETRAG GESAMT</t>
  </si>
  <si>
    <t xml:space="preserve">KALENDERTAGE</t>
  </si>
  <si>
    <t xml:space="preserve">SALDO VS. SOLL (H)</t>
  </si>
  <si>
    <t xml:space="preserve">01  │  ZEITEINTRÄGE     –     nur die hell hinterlegten Felder ausfüllen; alle übrigen Spalten rechnen selbst</t>
  </si>
  <si>
    <t xml:space="preserve">Nr.</t>
  </si>
  <si>
    <t xml:space="preserve">Datum</t>
  </si>
  <si>
    <t xml:space="preserve">Tag</t>
  </si>
  <si>
    <t xml:space="preserve">KW</t>
  </si>
  <si>
    <t xml:space="preserve">Mitarbeiter/in</t>
  </si>
  <si>
    <t xml:space="preserve">Kategorie</t>
  </si>
  <si>
    <t xml:space="preserve">Beginn</t>
  </si>
  <si>
    <t xml:space="preserve">Ende</t>
  </si>
  <si>
    <t xml:space="preserve">Pause
(Min.)</t>
  </si>
  <si>
    <t xml:space="preserve">Dauer
manuell</t>
  </si>
  <si>
    <t xml:space="preserve">Dauer
[h]:mm</t>
  </si>
  <si>
    <t xml:space="preserve">Dauer
dezimal</t>
  </si>
  <si>
    <t xml:space="preserve">Abrech.</t>
  </si>
  <si>
    <t xml:space="preserve">Satz
€/h</t>
  </si>
  <si>
    <t xml:space="preserve">Betrag</t>
  </si>
  <si>
    <t xml:space="preserve">Bemerkung</t>
  </si>
  <si>
    <t xml:space="preserve">M. Bauer</t>
  </si>
  <si>
    <t xml:space="preserve">Projektarbeit</t>
  </si>
  <si>
    <t xml:space="preserve">Ja</t>
  </si>
  <si>
    <t xml:space="preserve">S. Keller</t>
  </si>
  <si>
    <t xml:space="preserve">Kundenberatung</t>
  </si>
  <si>
    <t xml:space="preserve">T. Neumann</t>
  </si>
  <si>
    <t xml:space="preserve">Wartung &amp; Support</t>
  </si>
  <si>
    <t xml:space="preserve">A. Roth</t>
  </si>
  <si>
    <t xml:space="preserve">Verwaltung</t>
  </si>
  <si>
    <t xml:space="preserve">Nein</t>
  </si>
  <si>
    <t xml:space="preserve">Interne Ablage</t>
  </si>
  <si>
    <t xml:space="preserve">J. Winkler</t>
  </si>
  <si>
    <t xml:space="preserve">Vertrieb</t>
  </si>
  <si>
    <t xml:space="preserve">Pause prüfen</t>
  </si>
  <si>
    <t xml:space="preserve">L. Fischer</t>
  </si>
  <si>
    <t xml:space="preserve">Schulung</t>
  </si>
  <si>
    <t xml:space="preserve">Interne Schulung</t>
  </si>
  <si>
    <t xml:space="preserve">nur Dauer erfasst</t>
  </si>
  <si>
    <t xml:space="preserve">Nachtschicht über Mitternacht</t>
  </si>
  <si>
    <t xml:space="preserve">Reisezeit</t>
  </si>
  <si>
    <t xml:space="preserve">Anfahrt</t>
  </si>
  <si>
    <t xml:space="preserve">langer Tag – prüfen</t>
  </si>
  <si>
    <t xml:space="preserve">Sammelbuchung</t>
  </si>
  <si>
    <t xml:space="preserve">Rückfahrt</t>
  </si>
  <si>
    <t xml:space="preserve">Wochenendeinsatz</t>
  </si>
  <si>
    <t xml:space="preserve">Sonstiges</t>
  </si>
  <si>
    <t xml:space="preserve">Inventur</t>
  </si>
  <si>
    <t xml:space="preserve">Tagespauschale</t>
  </si>
  <si>
    <t xml:space="preserve">SUMME</t>
  </si>
  <si>
    <t xml:space="preserve">Std.</t>
  </si>
  <si>
    <t xml:space="preserve">02  │  KURZANLEITUNG</t>
  </si>
  <si>
    <t xml:space="preserve">•   Datum, Mitarbeiter/in, Kategorie, Beginn, Ende und Pause eintragen – Dauer, Satz und Betrag berechnen sich automatisch.</t>
  </si>
  <si>
    <t xml:space="preserve">•   Wer nur eine Dauer kennt (z. B. 3:45), trägt sie in „Dauer manuell“ ein; dieser Wert hat Vorrang vor Beginn/Ende.</t>
  </si>
  <si>
    <t xml:space="preserve">•   Nachtschichten über Mitternacht (z. B. 22:00 bis 06:30) werden durch die MOD-Funktion korrekt berechnet – kein Zusatzdatum nötig.</t>
  </si>
  <si>
    <t xml:space="preserve">•   Mitarbeiter/innen, Kategorien und Stundensätze werden im Blatt „Stammdaten“ gepflegt und erscheinen hier als Auswahlliste.</t>
  </si>
  <si>
    <t xml:space="preserve">AUSWERTUNG</t>
  </si>
  <si>
    <t xml:space="preserve">01  │  DIESELBE SUMME – VIER RICHTIGE UND EINE FALSCHE DARSTELLUNG</t>
  </si>
  <si>
    <t xml:space="preserve">Summe im Format [h]:mm</t>
  </si>
  <si>
    <t xml:space="preserve">richtig – zählt über 24 Stunden hinaus</t>
  </si>
  <si>
    <t xml:space="preserve">Summe im Format hh:mm</t>
  </si>
  <si>
    <t xml:space="preserve">falsch – volle Tage verschwinden in der Anzeige</t>
  </si>
  <si>
    <t xml:space="preserve">Dezimalstunden</t>
  </si>
  <si>
    <t xml:space="preserve">Basis für Lohn- und Rechnungsstellung</t>
  </si>
  <si>
    <t xml:space="preserve">Minuten gesamt</t>
  </si>
  <si>
    <t xml:space="preserve">praktisch für feine Zuschläge</t>
  </si>
  <si>
    <t xml:space="preserve">Arbeitstage à Std_pro_Tag</t>
  </si>
  <si>
    <t xml:space="preserve">Umrechnung in ganze Arbeitstage</t>
  </si>
  <si>
    <t xml:space="preserve">Tage und Stunden</t>
  </si>
  <si>
    <t xml:space="preserve">reine Kalenderdarstellung</t>
  </si>
  <si>
    <t xml:space="preserve">02  │  KENNZAHLEN</t>
  </si>
  <si>
    <t xml:space="preserve">Erfasste Einträge</t>
  </si>
  <si>
    <t xml:space="preserve">Abrechenbare Stunden</t>
  </si>
  <si>
    <t xml:space="preserve">Erfasste Kalendertage</t>
  </si>
  <si>
    <t xml:space="preserve">Nicht abrechenbare Stunden</t>
  </si>
  <si>
    <t xml:space="preserve">Gesamtstunden (dezimal)</t>
  </si>
  <si>
    <t xml:space="preserve">Abrechnungsquote</t>
  </si>
  <si>
    <t xml:space="preserve">Ø Stunden je Eintrag</t>
  </si>
  <si>
    <t xml:space="preserve">Ø Stunden je Tag (alle Personen)</t>
  </si>
  <si>
    <t xml:space="preserve">Saldo (Ist – Soll)</t>
  </si>
  <si>
    <t xml:space="preserve">Längster Einzeleintrag (h)</t>
  </si>
  <si>
    <t xml:space="preserve">Umsatz gesamt</t>
  </si>
  <si>
    <t xml:space="preserve">03  │  VERTEILUNG NACH KATEGORIE</t>
  </si>
  <si>
    <t xml:space="preserve">04  │  VERTEILUNG NACH MITARBEITER/IN</t>
  </si>
  <si>
    <t xml:space="preserve">Stunden [h]:mm</t>
  </si>
  <si>
    <t xml:space="preserve">Dezimal</t>
  </si>
  <si>
    <t xml:space="preserve">Anteil</t>
  </si>
  <si>
    <t xml:space="preserve">Ist [h]:mm</t>
  </si>
  <si>
    <t xml:space="preserve">Ist dezimal</t>
  </si>
  <si>
    <t xml:space="preserve">Soll</t>
  </si>
  <si>
    <t xml:space="preserve">Saldo</t>
  </si>
  <si>
    <t xml:space="preserve">Gesamt</t>
  </si>
  <si>
    <t xml:space="preserve">05  │  VERTEILUNG NACH KALENDERWOCHE</t>
  </si>
  <si>
    <t xml:space="preserve">06  │  PLAUSIBILITÄTSPRÜFUNG</t>
  </si>
  <si>
    <t xml:space="preserve">Kalenderwoche</t>
  </si>
  <si>
    <t xml:space="preserve">Einträge</t>
  </si>
  <si>
    <t xml:space="preserve">Prüfung</t>
  </si>
  <si>
    <t xml:space="preserve">Anzahl</t>
  </si>
  <si>
    <t xml:space="preserve">Status</t>
  </si>
  <si>
    <t xml:space="preserve">Einträge über der Warnschwelle (§ 3 ArbZG)</t>
  </si>
  <si>
    <t xml:space="preserve">Pause unter 30 Min. bei mehr als 6 Stunden</t>
  </si>
  <si>
    <t xml:space="preserve">Pause unter 45 Min. bei mehr als 9 Stunden</t>
  </si>
  <si>
    <t xml:space="preserve">Zeilen mit Zeiten, aber ohne Datum</t>
  </si>
  <si>
    <t xml:space="preserve">Zeilen mit Datum, aber ohne Kategorie</t>
  </si>
  <si>
    <t xml:space="preserve">Zeilen ohne Beginn/Ende und ohne Dauer</t>
  </si>
  <si>
    <t xml:space="preserve">Manuell erfasste Dauern (nur Information)</t>
  </si>
  <si>
    <t xml:space="preserve">Alle Werte dieses Blattes stammen ausschließlich aus dem Blatt „Stundenerfassung“ und aktualisieren sich automatisch. Die Prüfhinweise sind eine Orientierungshilfe und ersetzen keine arbeitsrechtliche Beratung.</t>
  </si>
  <si>
    <t xml:space="preserve">STAMMDATEN &amp; PARAMETER</t>
  </si>
  <si>
    <t xml:space="preserve">01  │  ORGANISATION</t>
  </si>
  <si>
    <t xml:space="preserve">Organisation / Betrieb</t>
  </si>
  <si>
    <t xml:space="preserve">Musterfirma GmbH</t>
  </si>
  <si>
    <t xml:space="preserve">Abteilung / Bereich</t>
  </si>
  <si>
    <t xml:space="preserve">Auftragsabwicklung</t>
  </si>
  <si>
    <t xml:space="preserve">Abrechnungszeitraum</t>
  </si>
  <si>
    <t xml:space="preserve">Juli 2026</t>
  </si>
  <si>
    <t xml:space="preserve">Verantwortlich</t>
  </si>
  <si>
    <t xml:space="preserve">Teamleitung Zeitwirtschaft</t>
  </si>
  <si>
    <t xml:space="preserve">02  │  PARAMETER</t>
  </si>
  <si>
    <t xml:space="preserve">Arbeitsstunden pro Tag (Vollzeit)</t>
  </si>
  <si>
    <t xml:space="preserve">Standard-Stundensatz (€/h)</t>
  </si>
  <si>
    <t xml:space="preserve">Sollstunden gesamt (Summe der Personen)</t>
  </si>
  <si>
    <t xml:space="preserve">Warnschwelle Tagesdauer (Stunden)</t>
  </si>
  <si>
    <t xml:space="preserve">03  │  ZEITFORMATE VERSTEHEN     –     derselbe Wert, fünf Darstellungen</t>
  </si>
  <si>
    <t xml:space="preserve">Beispielwert: 26 Stunden und 30 Minuten</t>
  </si>
  <si>
    <t xml:space="preserve">Zellwert (Zahl)</t>
  </si>
  <si>
    <t xml:space="preserve">Excel speichert Zeit als Bruchteil eines Tages.</t>
  </si>
  <si>
    <t xml:space="preserve">Format hh:mm</t>
  </si>
  <si>
    <t xml:space="preserve">FALSCH bei Summen: beginnt nach 24 h wieder bei 0:00.</t>
  </si>
  <si>
    <t xml:space="preserve">Format [h]:mm</t>
  </si>
  <si>
    <t xml:space="preserve">RICHTIG: die eckigen Klammern zählen über 24 h hinaus.</t>
  </si>
  <si>
    <t xml:space="preserve">Wert mal 24 – Basis für jede Lohnrechnung.</t>
  </si>
  <si>
    <t xml:space="preserve">Minuten</t>
  </si>
  <si>
    <t xml:space="preserve">Wert mal 1440 – praktisch für Pausenangaben.</t>
  </si>
  <si>
    <t xml:space="preserve">04  │  MITARBEITER/INNEN UND SOLLSTUNDEN</t>
  </si>
  <si>
    <t xml:space="preserve">05  │  KATEGORIEN UND STUNDENSÄTZE</t>
  </si>
  <si>
    <t xml:space="preserve">Ist (h)</t>
  </si>
  <si>
    <t xml:space="preserve">Satz €/h</t>
  </si>
  <si>
    <t xml:space="preserve">06  │  ANLEITUNG UND LEGENDE</t>
  </si>
  <si>
    <t xml:space="preserve">1.  Stammdaten pflegen: Organisation, Zeitraum, Personen mit Sollstunden und Kategorien mit Stundensatz.</t>
  </si>
  <si>
    <t xml:space="preserve">2.  Im Blatt „Stundenerfassung“ je Arbeitstag eine Zeile ausfüllen – Auswahllisten helfen bei Person und Kategorie.</t>
  </si>
  <si>
    <t xml:space="preserve">3.  Entweder Beginn/Ende/Pause erfassen oder direkt eine Dauer in der Spalte „Dauer manuell“ eintragen.</t>
  </si>
  <si>
    <t xml:space="preserve">4.  Das Blatt „Auswertung“ fasst alles zusammen: Summen, Kennzahlen, Verteilungen und Plausibilitätsprüfungen.</t>
  </si>
  <si>
    <t xml:space="preserve">5.  Zeilen dürfen leer bleiben; die Formeln reichen bis Zeile 70 und können nach unten kopiert werden.</t>
  </si>
  <si>
    <t xml:space="preserve">Eingabefeld – hier eintragen</t>
  </si>
  <si>
    <t xml:space="preserve">Berechnetes Feld – Formel nicht überschreiben</t>
  </si>
  <si>
    <t xml:space="preserve">Wochenende – automatisch hervorgehoben</t>
  </si>
  <si>
    <t xml:space="preserve">Hinweis – Pausenregel oder Tagesdauer prüfen</t>
  </si>
  <si>
    <t xml:space="preserve">Hinweis: Die Prüfhinweise orientieren sich an den Regeln des Arbeitszeitgesetzes (max. 8 bzw. 10 Stunden werktäglich, 30 Minuten Pause ab 6 Stunden, 45 Minuten ab 9 Stunden). Sie ersetzen keine Rechtsberatung. Alle Namen, Beträge und Zeiten in dieser Datei sind frei erfundene Beispielwerte.</t>
  </si>
</sst>
</file>

<file path=xl/styles.xml><?xml version="1.0" encoding="utf-8"?>
<styleSheet xmlns="http://schemas.openxmlformats.org/spreadsheetml/2006/main">
  <numFmts count="19">
    <numFmt numFmtId="164" formatCode="General"/>
    <numFmt numFmtId="165" formatCode="#,##0.00"/>
    <numFmt numFmtId="166" formatCode="&quot;TT.&quot;mm&quot;.JJJJ&quot;"/>
    <numFmt numFmtId="167" formatCode="[h]:mm"/>
    <numFmt numFmtId="168" formatCode="#,##0&quot; €&quot;"/>
    <numFmt numFmtId="169" formatCode="#,##0"/>
    <numFmt numFmtId="170" formatCode="\+#,##0.00;\-#,##0.00;0"/>
    <numFmt numFmtId="171" formatCode="General"/>
    <numFmt numFmtId="172" formatCode="hh:mm"/>
    <numFmt numFmtId="173" formatCode="#,##0.00&quot; €&quot;"/>
    <numFmt numFmtId="174" formatCode="0.0%"/>
    <numFmt numFmtId="175" formatCode="\+#,##0.00;\-#,##0.00;0.00"/>
    <numFmt numFmtId="176" formatCode="[h]:mm;;\–"/>
    <numFmt numFmtId="177" formatCode="#,##0.00;;\–"/>
    <numFmt numFmtId="178" formatCode="0.0%;;\–"/>
    <numFmt numFmtId="179" formatCode="#,##0.00&quot; €&quot;;;\–"/>
    <numFmt numFmtId="180" formatCode="&quot;KW &quot;00"/>
    <numFmt numFmtId="181" formatCode="#,##0;;\–"/>
    <numFmt numFmtId="182" formatCode="0,000,000"/>
  </numFmts>
  <fonts count="2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libri"/>
      <family val="0"/>
      <charset val="1"/>
    </font>
    <font>
      <sz val="10"/>
      <color rgb="FFE8D9DB"/>
      <name val="Calibri"/>
      <family val="0"/>
      <charset val="1"/>
    </font>
    <font>
      <b val="true"/>
      <sz val="9"/>
      <color rgb="FF8A8A86"/>
      <name val="Calibri"/>
      <family val="0"/>
      <charset val="1"/>
    </font>
    <font>
      <b val="true"/>
      <sz val="10"/>
      <color rgb="FF6E2639"/>
      <name val="Calibri"/>
      <family val="0"/>
      <charset val="1"/>
    </font>
    <font>
      <b val="true"/>
      <sz val="15"/>
      <color rgb="FF6E2639"/>
      <name val="Calibri"/>
      <family val="0"/>
      <charset val="1"/>
    </font>
    <font>
      <b val="true"/>
      <sz val="8"/>
      <color rgb="FF8A8A86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sz val="9"/>
      <color rgb="FF8A8A86"/>
      <name val="Calibri"/>
      <family val="0"/>
      <charset val="1"/>
    </font>
    <font>
      <sz val="10"/>
      <color rgb="FF1A1A1A"/>
      <name val="Calibri"/>
      <family val="0"/>
      <charset val="1"/>
    </font>
    <font>
      <b val="true"/>
      <sz val="10"/>
      <color rgb="FF1A1A1A"/>
      <name val="Calibri"/>
      <family val="0"/>
      <charset val="1"/>
    </font>
    <font>
      <i val="true"/>
      <sz val="9"/>
      <color rgb="FF8A8A86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1"/>
      <color rgb="FFF5D9B8"/>
      <name val="Calibri"/>
      <family val="0"/>
      <charset val="1"/>
    </font>
    <font>
      <sz val="8"/>
      <color rgb="FFD9BFC3"/>
      <name val="Calibri"/>
      <family val="0"/>
      <charset val="1"/>
    </font>
    <font>
      <sz val="9"/>
      <color rgb="FF4A4A48"/>
      <name val="Calibri"/>
      <family val="0"/>
      <charset val="1"/>
    </font>
    <font>
      <sz val="10"/>
      <name val="Arial"/>
      <family val="2"/>
    </font>
    <font>
      <b val="true"/>
      <sz val="18"/>
      <color rgb="FFFFFFFF"/>
      <name val="Calibri"/>
      <family val="0"/>
      <charset val="1"/>
    </font>
    <font>
      <sz val="10"/>
      <color rgb="FF4A4A48"/>
      <name val="Calibri"/>
      <family val="0"/>
      <charset val="1"/>
    </font>
    <font>
      <b val="true"/>
      <sz val="12"/>
      <color rgb="FF6E2639"/>
      <name val="Calibri"/>
      <family val="0"/>
      <charset val="1"/>
    </font>
    <font>
      <b val="true"/>
      <sz val="10"/>
      <color rgb="FFA32A38"/>
      <name val="Calibri"/>
      <family val="0"/>
      <charset val="1"/>
    </font>
    <font>
      <i val="true"/>
      <sz val="9"/>
      <color rgb="FFA32A38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6E2639"/>
        <bgColor rgb="FFA32A38"/>
      </patternFill>
    </fill>
    <fill>
      <patternFill patternType="solid">
        <fgColor rgb="FFB5651D"/>
        <bgColor rgb="FFFF6600"/>
      </patternFill>
    </fill>
    <fill>
      <patternFill patternType="solid">
        <fgColor rgb="FFF1F0EE"/>
        <bgColor rgb="FFF6EFEA"/>
      </patternFill>
    </fill>
    <fill>
      <patternFill patternType="solid">
        <fgColor rgb="FF4A4A48"/>
        <bgColor rgb="FF6E2639"/>
      </patternFill>
    </fill>
    <fill>
      <patternFill patternType="solid">
        <fgColor rgb="FFFBF3F1"/>
        <bgColor rgb="FFF6EFEA"/>
      </patternFill>
    </fill>
    <fill>
      <patternFill patternType="solid">
        <fgColor rgb="FFFCEDEC"/>
        <bgColor rgb="FFF6EFEA"/>
      </patternFill>
    </fill>
    <fill>
      <patternFill patternType="solid">
        <fgColor rgb="FFFFFFFF"/>
        <bgColor rgb="FFFBF3F1"/>
      </patternFill>
    </fill>
    <fill>
      <patternFill patternType="solid">
        <fgColor rgb="FFF6EFEA"/>
        <bgColor rgb="FFF1F0EE"/>
      </patternFill>
    </fill>
    <fill>
      <patternFill patternType="solid">
        <fgColor rgb="FFFBE6D2"/>
        <bgColor rgb="FFFCEDEC"/>
      </patternFill>
    </fill>
  </fills>
  <borders count="9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B5651D"/>
      </bottom>
      <diagonal/>
    </border>
    <border diagonalUp="false" diagonalDown="false">
      <left/>
      <right/>
      <top/>
      <bottom style="thin">
        <color rgb="FF6E2639"/>
      </bottom>
      <diagonal/>
    </border>
    <border diagonalUp="false" diagonalDown="false">
      <left style="thin">
        <color rgb="FF4A4A48"/>
      </left>
      <right style="thin">
        <color rgb="FF4A4A48"/>
      </right>
      <top/>
      <bottom style="medium">
        <color rgb="FFB5651D"/>
      </bottom>
      <diagonal/>
    </border>
    <border diagonalUp="false" diagonalDown="false">
      <left style="hair">
        <color rgb="FFD8D2CF"/>
      </left>
      <right style="hair">
        <color rgb="FFD8D2CF"/>
      </right>
      <top/>
      <bottom style="hair">
        <color rgb="FFE2DCD9"/>
      </bottom>
      <diagonal/>
    </border>
    <border diagonalUp="false" diagonalDown="false">
      <left/>
      <right/>
      <top style="medium">
        <color rgb="FFB5651D"/>
      </top>
      <bottom/>
      <diagonal/>
    </border>
    <border diagonalUp="false" diagonalDown="false">
      <left style="thin">
        <color rgb="FFD5CFCC"/>
      </left>
      <right style="thin">
        <color rgb="FFD5CFCC"/>
      </right>
      <top style="thin">
        <color rgb="FFD5CFCC"/>
      </top>
      <bottom style="thin">
        <color rgb="FFD5CFCC"/>
      </bottom>
      <diagonal/>
    </border>
    <border diagonalUp="false" diagonalDown="false">
      <left/>
      <right/>
      <top/>
      <bottom style="hair">
        <color rgb="FFDDD7D4"/>
      </bottom>
      <diagonal/>
    </border>
    <border diagonalUp="false" diagonalDown="false">
      <left/>
      <right/>
      <top/>
      <bottom style="thin">
        <color rgb="FFB5651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8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8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8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9" fontId="8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0" fontId="8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11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6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2" fontId="12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12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6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2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6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16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1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7" fontId="22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23" fillId="7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7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7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4" fontId="7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5" fontId="7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7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8" borderId="7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6" fontId="12" fillId="4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7" fontId="12" fillId="4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8" fontId="12" fillId="4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9" fontId="12" fillId="4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4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5" fontId="12" fillId="4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7" fontId="1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5" fontId="1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4" fontId="1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3" fontId="1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80" fontId="12" fillId="8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81" fontId="12" fillId="4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3" fillId="4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7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82" fontId="13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23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3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6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2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12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6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4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ill>
        <patternFill>
          <bgColor rgb="FFF6EFEA"/>
        </patternFill>
      </fill>
    </dxf>
    <dxf>
      <font>
        <name val="Calibri"/>
        <charset val="1"/>
        <family val="0"/>
        <b val="1"/>
        <color rgb="FFA32A38"/>
        <sz val="10"/>
      </font>
    </dxf>
    <dxf>
      <font>
        <name val="Calibri"/>
        <charset val="1"/>
        <family val="0"/>
        <b val="1"/>
        <color rgb="FFB5651D"/>
        <sz val="10"/>
      </font>
      <fill>
        <patternFill>
          <bgColor rgb="FFFBE6D2"/>
        </patternFill>
      </fill>
    </dxf>
    <dxf>
      <font>
        <name val="Calibri"/>
        <charset val="1"/>
        <family val="0"/>
        <b val="1"/>
        <color rgb="FFB5651D"/>
        <sz val="10"/>
      </font>
    </dxf>
    <dxf>
      <font>
        <name val="Calibri"/>
        <charset val="1"/>
        <family val="0"/>
        <b val="1"/>
        <color rgb="FF1E6B4F"/>
        <sz val="10"/>
      </font>
    </dxf>
    <dxf>
      <font>
        <name val="Calibri"/>
        <charset val="1"/>
        <family val="0"/>
        <b val="1"/>
        <color rgb="FF1E6B4F"/>
        <sz val="10"/>
      </font>
      <fill>
        <patternFill>
          <bgColor rgb="FFE3F0E9"/>
        </patternFill>
      </fill>
    </dxf>
    <dxf>
      <font>
        <name val="Calibri"/>
        <charset val="1"/>
        <family val="0"/>
        <b val="1"/>
        <color rgb="FF4A4A48"/>
        <sz val="10"/>
      </font>
      <fill>
        <patternFill>
          <bgColor rgb="FFEDE9F2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6EFEA"/>
      <rgbColor rgb="FFFF00FF"/>
      <rgbColor rgb="FF00FFFF"/>
      <rgbColor rgb="FF800000"/>
      <rgbColor rgb="FF008000"/>
      <rgbColor rgb="FF000080"/>
      <rgbColor rgb="FFB5651D"/>
      <rgbColor rgb="FF800080"/>
      <rgbColor rgb="FF1E6B4F"/>
      <rgbColor rgb="FFD9BFC3"/>
      <rgbColor rgb="FF878787"/>
      <rgbColor rgb="FFDDD7D4"/>
      <rgbColor rgb="FFA32A38"/>
      <rgbColor rgb="FFFBF3F1"/>
      <rgbColor rgb="FFE3F0E9"/>
      <rgbColor rgb="FF660066"/>
      <rgbColor rgb="FFFF8080"/>
      <rgbColor rgb="FF0066CC"/>
      <rgbColor rgb="FFD9D9D9"/>
      <rgbColor rgb="FF000080"/>
      <rgbColor rgb="FFFF00FF"/>
      <rgbColor rgb="FFFCEDEC"/>
      <rgbColor rgb="FF00FFFF"/>
      <rgbColor rgb="FF800080"/>
      <rgbColor rgb="FF800000"/>
      <rgbColor rgb="FF008080"/>
      <rgbColor rgb="FF0000FF"/>
      <rgbColor rgb="FF00CCFF"/>
      <rgbColor rgb="FFF1F0EE"/>
      <rgbColor rgb="FFEDE9F2"/>
      <rgbColor rgb="FFFBE6D2"/>
      <rgbColor rgb="FFD5CFCC"/>
      <rgbColor rgb="FFE8D9DB"/>
      <rgbColor rgb="FFD8D2CF"/>
      <rgbColor rgb="FFF5D9B8"/>
      <rgbColor rgb="FF3366FF"/>
      <rgbColor rgb="FF33CCCC"/>
      <rgbColor rgb="FF99CC00"/>
      <rgbColor rgb="FFE2DCD9"/>
      <rgbColor rgb="FFFF9900"/>
      <rgbColor rgb="FFFF6600"/>
      <rgbColor rgb="FF4F81BD"/>
      <rgbColor rgb="FF8A8A86"/>
      <rgbColor rgb="FF003366"/>
      <rgbColor rgb="FF339966"/>
      <rgbColor rgb="FF003300"/>
      <rgbColor rgb="FF1A1A1A"/>
      <rgbColor rgb="FF993300"/>
      <rgbColor rgb="FF6E2639"/>
      <rgbColor rgb="FF333399"/>
      <rgbColor rgb="FF4A4A4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Stunden nach Kategorie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Auswertung!D22</c:f>
              <c:strCache>
                <c:ptCount val="1"/>
                <c:pt idx="0">
                  <c:v>Dezimal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Auswertung!$B$23:$B$30</c:f>
              <c:strCache>
                <c:ptCount val="8"/>
                <c:pt idx="0">
                  <c:v>Projektarbeit</c:v>
                </c:pt>
                <c:pt idx="1">
                  <c:v>Kundenberatung</c:v>
                </c:pt>
                <c:pt idx="2">
                  <c:v>Wartung &amp; Support</c:v>
                </c:pt>
                <c:pt idx="3">
                  <c:v>Verwaltung</c:v>
                </c:pt>
                <c:pt idx="4">
                  <c:v>Vertrieb</c:v>
                </c:pt>
                <c:pt idx="5">
                  <c:v>Schulung</c:v>
                </c:pt>
                <c:pt idx="6">
                  <c:v>Reisezeit</c:v>
                </c:pt>
                <c:pt idx="7">
                  <c:v>Sonstiges</c:v>
                </c:pt>
              </c:strCache>
            </c:strRef>
          </c:cat>
          <c:val>
            <c:numRef>
              <c:f>Auswertung!$D$23:$D$30</c:f>
              <c:numCache>
                <c:formatCode>#,##0.00;;\–</c:formatCode>
                <c:ptCount val="8"/>
                <c:pt idx="0">
                  <c:v>123.416666666667</c:v>
                </c:pt>
                <c:pt idx="1">
                  <c:v>49.5</c:v>
                </c:pt>
                <c:pt idx="2">
                  <c:v>58</c:v>
                </c:pt>
                <c:pt idx="3">
                  <c:v>32.75</c:v>
                </c:pt>
                <c:pt idx="4">
                  <c:v>31</c:v>
                </c:pt>
                <c:pt idx="5">
                  <c:v>19.5</c:v>
                </c:pt>
                <c:pt idx="6">
                  <c:v>11.25</c:v>
                </c:pt>
                <c:pt idx="7">
                  <c:v>4</c:v>
                </c:pt>
              </c:numCache>
            </c:numRef>
          </c:val>
        </c:ser>
        <c:gapWidth val="150"/>
        <c:overlap val="0"/>
        <c:axId val="31675273"/>
        <c:axId val="44204683"/>
      </c:barChart>
      <c:catAx>
        <c:axId val="3167527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4204683"/>
        <c:crosses val="autoZero"/>
        <c:auto val="1"/>
        <c:lblAlgn val="ctr"/>
        <c:lblOffset val="100"/>
        <c:noMultiLvlLbl val="0"/>
      </c:catAx>
      <c:valAx>
        <c:axId val="4420468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0;;\–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167527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Stunden nach Kalenderwoche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Auswertung!D34</c:f>
              <c:strCache>
                <c:ptCount val="1"/>
                <c:pt idx="0">
                  <c:v>Dezimal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Auswertung!$B$35:$B$39</c:f>
              <c:strCache>
                <c:ptCount val="5"/>
                <c:pt idx="0">
                  <c:v>KW 27</c:v>
                </c:pt>
                <c:pt idx="1">
                  <c:v>KW 28</c:v>
                </c:pt>
                <c:pt idx="2">
                  <c:v>KW 29</c:v>
                </c:pt>
                <c:pt idx="3">
                  <c:v>KW 30</c:v>
                </c:pt>
                <c:pt idx="4">
                  <c:v>KW 31</c:v>
                </c:pt>
              </c:strCache>
            </c:strRef>
          </c:cat>
          <c:val>
            <c:numRef>
              <c:f>Auswertung!$D$35:$D$39</c:f>
              <c:numCache>
                <c:formatCode>#,##0.00;;\–</c:formatCode>
                <c:ptCount val="5"/>
                <c:pt idx="0">
                  <c:v>60.6666666666667</c:v>
                </c:pt>
                <c:pt idx="1">
                  <c:v>82.75</c:v>
                </c:pt>
                <c:pt idx="2">
                  <c:v>82</c:v>
                </c:pt>
                <c:pt idx="3">
                  <c:v>75.25</c:v>
                </c:pt>
                <c:pt idx="4">
                  <c:v>28.75</c:v>
                </c:pt>
              </c:numCache>
            </c:numRef>
          </c:val>
        </c:ser>
        <c:gapWidth val="150"/>
        <c:overlap val="0"/>
        <c:axId val="29507697"/>
        <c:axId val="79402645"/>
      </c:barChart>
      <c:catAx>
        <c:axId val="29507697"/>
        <c:scaling>
          <c:orientation val="minMax"/>
        </c:scaling>
        <c:delete val="0"/>
        <c:axPos val="b"/>
        <c:numFmt formatCode="&quot;KW &quot;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9402645"/>
        <c:crosses val="autoZero"/>
        <c:auto val="1"/>
        <c:lblAlgn val="ctr"/>
        <c:lblOffset val="100"/>
        <c:noMultiLvlLbl val="0"/>
      </c:catAx>
      <c:valAx>
        <c:axId val="7940264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0;;\–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9507697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46</xdr:row>
      <xdr:rowOff>0</xdr:rowOff>
    </xdr:from>
    <xdr:to>
      <xdr:col>4</xdr:col>
      <xdr:colOff>309600</xdr:colOff>
      <xdr:row>62</xdr:row>
      <xdr:rowOff>11520</xdr:rowOff>
    </xdr:to>
    <xdr:graphicFrame>
      <xdr:nvGraphicFramePr>
        <xdr:cNvPr id="0" name="Chart 1"/>
        <xdr:cNvGraphicFramePr/>
      </xdr:nvGraphicFramePr>
      <xdr:xfrm>
        <a:off x="211320" y="9420120"/>
        <a:ext cx="4679640" cy="305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0</xdr:colOff>
      <xdr:row>46</xdr:row>
      <xdr:rowOff>0</xdr:rowOff>
    </xdr:from>
    <xdr:to>
      <xdr:col>10</xdr:col>
      <xdr:colOff>27360</xdr:colOff>
      <xdr:row>62</xdr:row>
      <xdr:rowOff>11520</xdr:rowOff>
    </xdr:to>
    <xdr:graphicFrame>
      <xdr:nvGraphicFramePr>
        <xdr:cNvPr id="1" name="Chart 2"/>
        <xdr:cNvGraphicFramePr/>
      </xdr:nvGraphicFramePr>
      <xdr:xfrm>
        <a:off x="5991120" y="9420120"/>
        <a:ext cx="4679640" cy="305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7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1"/>
    <col collapsed="false" customWidth="true" hidden="false" outlineLevel="0" max="3" min="3" style="0" width="6"/>
    <col collapsed="false" customWidth="true" hidden="false" outlineLevel="0" max="4" min="4" style="0" width="5"/>
    <col collapsed="false" customWidth="true" hidden="false" outlineLevel="0" max="5" min="5" style="0" width="15"/>
    <col collapsed="false" customWidth="true" hidden="false" outlineLevel="0" max="6" min="6" style="0" width="19"/>
    <col collapsed="false" customWidth="true" hidden="false" outlineLevel="0" max="9" min="7" style="0" width="8"/>
    <col collapsed="false" customWidth="true" hidden="false" outlineLevel="0" max="12" min="10" style="0" width="10"/>
    <col collapsed="false" customWidth="true" hidden="false" outlineLevel="0" max="14" min="13" style="0" width="9"/>
    <col collapsed="false" customWidth="true" hidden="false" outlineLevel="0" max="15" min="15" style="0" width="12"/>
    <col collapsed="false" customWidth="true" hidden="false" outlineLevel="0" max="16" min="16" style="0" width="26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customFormat="false" ht="18" hidden="false" customHeight="true" outlineLevel="0" collapsed="false">
      <c r="A4" s="4" t="s">
        <v>2</v>
      </c>
      <c r="C4" s="5" t="str">
        <f aca="false">Stammdaten!$C$5</f>
        <v>Musterfirma GmbH</v>
      </c>
      <c r="D4" s="5"/>
      <c r="E4" s="5"/>
      <c r="F4" s="4" t="s">
        <v>3</v>
      </c>
      <c r="G4" s="5" t="str">
        <f aca="false">Stammdaten!$C$7</f>
        <v>Juli 2026</v>
      </c>
      <c r="H4" s="5"/>
      <c r="I4" s="5"/>
      <c r="J4" s="5"/>
      <c r="K4" s="4" t="s">
        <v>4</v>
      </c>
      <c r="M4" s="6" t="n">
        <f aca="false">Soll_Stunden</f>
        <v>317</v>
      </c>
      <c r="N4" s="4" t="s">
        <v>5</v>
      </c>
      <c r="O4" s="7" t="n">
        <f aca="false">Stammdaten!$C$9</f>
        <v>46234</v>
      </c>
    </row>
    <row r="5" customFormat="false" ht="6" hidden="false" customHeight="true" outlineLevel="0" collapsed="false"/>
    <row r="6" customFormat="false" ht="25.5" hidden="false" customHeight="true" outlineLevel="0" collapsed="false">
      <c r="A6" s="8" t="n">
        <f aca="false">SUM($K$11:$K$70)</f>
        <v>13.7256944444444</v>
      </c>
      <c r="B6" s="8"/>
      <c r="C6" s="8"/>
      <c r="D6" s="9" t="n">
        <f aca="false">SUM($L$11:$L$70)</f>
        <v>329.416666666667</v>
      </c>
      <c r="E6" s="9"/>
      <c r="F6" s="9"/>
      <c r="G6" s="9" t="n">
        <f aca="false">SUMIF($M$11:$M$70,"Ja",$L$11:$L$70)</f>
        <v>273.166666666667</v>
      </c>
      <c r="H6" s="9"/>
      <c r="I6" s="9"/>
      <c r="J6" s="10" t="n">
        <f aca="false">SUM($O$11:$O$70)</f>
        <v>24930.83</v>
      </c>
      <c r="K6" s="10"/>
      <c r="L6" s="11" t="n">
        <f aca="false">SUMPRODUCT(($B$11:$B$70&lt;&gt;"")/COUNTIF($B$11:$B$70,$B$11:$B$70&amp;""))</f>
        <v>21</v>
      </c>
      <c r="M6" s="11"/>
      <c r="N6" s="12" t="n">
        <f aca="false">SUM($L$11:$L$70)-Soll_Stunden</f>
        <v>12.4166666666667</v>
      </c>
      <c r="O6" s="12"/>
      <c r="P6" s="12"/>
    </row>
    <row r="7" customFormat="false" ht="15" hidden="false" customHeight="true" outlineLevel="0" collapsed="false">
      <c r="A7" s="13" t="s">
        <v>6</v>
      </c>
      <c r="B7" s="13"/>
      <c r="C7" s="13"/>
      <c r="D7" s="13" t="s">
        <v>7</v>
      </c>
      <c r="E7" s="13"/>
      <c r="F7" s="13"/>
      <c r="G7" s="13" t="s">
        <v>8</v>
      </c>
      <c r="H7" s="13"/>
      <c r="I7" s="13"/>
      <c r="J7" s="13" t="s">
        <v>9</v>
      </c>
      <c r="K7" s="13"/>
      <c r="L7" s="13" t="s">
        <v>10</v>
      </c>
      <c r="M7" s="13"/>
      <c r="N7" s="13" t="s">
        <v>11</v>
      </c>
      <c r="O7" s="13"/>
      <c r="P7" s="13"/>
    </row>
    <row r="8" customFormat="false" ht="7.5" hidden="false" customHeight="true" outlineLevel="0" collapsed="false"/>
    <row r="9" customFormat="false" ht="19.5" hidden="false" customHeight="true" outlineLevel="0" collapsed="false">
      <c r="A9" s="14" t="s">
        <v>12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customFormat="false" ht="30" hidden="false" customHeight="true" outlineLevel="0" collapsed="false">
      <c r="A10" s="15" t="s">
        <v>13</v>
      </c>
      <c r="B10" s="15" t="s">
        <v>14</v>
      </c>
      <c r="C10" s="15" t="s">
        <v>15</v>
      </c>
      <c r="D10" s="15" t="s">
        <v>16</v>
      </c>
      <c r="E10" s="15" t="s">
        <v>17</v>
      </c>
      <c r="F10" s="15" t="s">
        <v>18</v>
      </c>
      <c r="G10" s="15" t="s">
        <v>19</v>
      </c>
      <c r="H10" s="15" t="s">
        <v>20</v>
      </c>
      <c r="I10" s="15" t="s">
        <v>21</v>
      </c>
      <c r="J10" s="15" t="s">
        <v>22</v>
      </c>
      <c r="K10" s="15" t="s">
        <v>23</v>
      </c>
      <c r="L10" s="15" t="s">
        <v>24</v>
      </c>
      <c r="M10" s="15" t="s">
        <v>25</v>
      </c>
      <c r="N10" s="15" t="s">
        <v>26</v>
      </c>
      <c r="O10" s="15" t="s">
        <v>27</v>
      </c>
      <c r="P10" s="15" t="s">
        <v>28</v>
      </c>
    </row>
    <row r="11" customFormat="false" ht="15" hidden="false" customHeight="true" outlineLevel="0" collapsed="false">
      <c r="A11" s="16" t="n">
        <f aca="false">IF($B11="","",COUNT($B$11:$B11))</f>
        <v>1</v>
      </c>
      <c r="B11" s="17" t="n">
        <v>46204</v>
      </c>
      <c r="C11" s="18" t="str">
        <f aca="false">IF($B11="","",INDEX({"Mo","Di","Mi","Do","Fr","Sa","So"},WEEKDAY($B11,2)))</f>
        <v>Mi</v>
      </c>
      <c r="D11" s="18" t="n">
        <f aca="false">IF($B11="","",INT(($B11-WEEKDAY($B11,2)+4-DATE(YEAR($B11-WEEKDAY($B11,2)+4),1,1))/7)+1)</f>
        <v>27</v>
      </c>
      <c r="E11" s="19" t="s">
        <v>29</v>
      </c>
      <c r="F11" s="19" t="s">
        <v>30</v>
      </c>
      <c r="G11" s="20" t="n">
        <v>0.333333333333333</v>
      </c>
      <c r="H11" s="20" t="n">
        <v>0.6875</v>
      </c>
      <c r="I11" s="21" t="n">
        <v>30</v>
      </c>
      <c r="J11" s="22"/>
      <c r="K11" s="23" t="n">
        <f aca="false">IF($B11="","",IF($J11&lt;&gt;"",$J11,IF(OR($G11="",$H11=""),"",MAX(0,MOD($H11-$G11,1)-$I11/1440))))</f>
        <v>0.333333333333333</v>
      </c>
      <c r="L11" s="24" t="n">
        <f aca="false">IF($K11="","",$K11*24)</f>
        <v>8</v>
      </c>
      <c r="M11" s="21" t="s">
        <v>31</v>
      </c>
      <c r="N11" s="25" t="n">
        <f aca="false">IF($F11="","",VLOOKUP($F11,Satz_Tabelle,2,FALSE()))</f>
        <v>95</v>
      </c>
      <c r="O11" s="25" t="n">
        <f aca="false">IF(OR($K11="",$M11&lt;&gt;"Ja"),"",ROUND($L11*$N11,2))</f>
        <v>760</v>
      </c>
      <c r="P11" s="26"/>
    </row>
    <row r="12" customFormat="false" ht="15" hidden="false" customHeight="true" outlineLevel="0" collapsed="false">
      <c r="A12" s="16" t="n">
        <f aca="false">IF($B12="","",COUNT($B$11:$B12))</f>
        <v>2</v>
      </c>
      <c r="B12" s="17" t="n">
        <v>46204</v>
      </c>
      <c r="C12" s="18" t="str">
        <f aca="false">IF($B12="","",INDEX({"Mo","Di","Mi","Do","Fr","Sa","So"},WEEKDAY($B12,2)))</f>
        <v>Mi</v>
      </c>
      <c r="D12" s="18" t="n">
        <f aca="false">IF($B12="","",INT(($B12-WEEKDAY($B12,2)+4-DATE(YEAR($B12-WEEKDAY($B12,2)+4),1,1))/7)+1)</f>
        <v>27</v>
      </c>
      <c r="E12" s="19" t="s">
        <v>32</v>
      </c>
      <c r="F12" s="19" t="s">
        <v>33</v>
      </c>
      <c r="G12" s="20" t="n">
        <v>0.375</v>
      </c>
      <c r="H12" s="20" t="n">
        <v>0.541666666666667</v>
      </c>
      <c r="I12" s="21" t="n">
        <v>0</v>
      </c>
      <c r="J12" s="22"/>
      <c r="K12" s="23" t="n">
        <f aca="false">IF($B12="","",IF($J12&lt;&gt;"",$J12,IF(OR($G12="",$H12=""),"",MAX(0,MOD($H12-$G12,1)-$I12/1440))))</f>
        <v>0.166666666666667</v>
      </c>
      <c r="L12" s="24" t="n">
        <f aca="false">IF($K12="","",$K12*24)</f>
        <v>4</v>
      </c>
      <c r="M12" s="21" t="s">
        <v>31</v>
      </c>
      <c r="N12" s="25" t="n">
        <f aca="false">IF($F12="","",VLOOKUP($F12,Satz_Tabelle,2,FALSE()))</f>
        <v>110</v>
      </c>
      <c r="O12" s="25" t="n">
        <f aca="false">IF(OR($K12="",$M12&lt;&gt;"Ja"),"",ROUND($L12*$N12,2))</f>
        <v>440</v>
      </c>
      <c r="P12" s="26"/>
    </row>
    <row r="13" customFormat="false" ht="15" hidden="false" customHeight="true" outlineLevel="0" collapsed="false">
      <c r="A13" s="16" t="n">
        <f aca="false">IF($B13="","",COUNT($B$11:$B13))</f>
        <v>3</v>
      </c>
      <c r="B13" s="17" t="n">
        <v>46204</v>
      </c>
      <c r="C13" s="18" t="str">
        <f aca="false">IF($B13="","",INDEX({"Mo","Di","Mi","Do","Fr","Sa","So"},WEEKDAY($B13,2)))</f>
        <v>Mi</v>
      </c>
      <c r="D13" s="18" t="n">
        <f aca="false">IF($B13="","",INT(($B13-WEEKDAY($B13,2)+4-DATE(YEAR($B13-WEEKDAY($B13,2)+4),1,1))/7)+1)</f>
        <v>27</v>
      </c>
      <c r="E13" s="19" t="s">
        <v>34</v>
      </c>
      <c r="F13" s="19" t="s">
        <v>35</v>
      </c>
      <c r="G13" s="20" t="n">
        <v>0.3125</v>
      </c>
      <c r="H13" s="20" t="n">
        <v>0.666666666666667</v>
      </c>
      <c r="I13" s="21" t="n">
        <v>45</v>
      </c>
      <c r="J13" s="22"/>
      <c r="K13" s="23" t="n">
        <f aca="false">IF($B13="","",IF($J13&lt;&gt;"",$J13,IF(OR($G13="",$H13=""),"",MAX(0,MOD($H13-$G13,1)-$I13/1440))))</f>
        <v>0.322916666666667</v>
      </c>
      <c r="L13" s="24" t="n">
        <f aca="false">IF($K13="","",$K13*24)</f>
        <v>7.75</v>
      </c>
      <c r="M13" s="21" t="s">
        <v>31</v>
      </c>
      <c r="N13" s="25" t="n">
        <f aca="false">IF($F13="","",VLOOKUP($F13,Satz_Tabelle,2,FALSE()))</f>
        <v>85</v>
      </c>
      <c r="O13" s="25" t="n">
        <f aca="false">IF(OR($K13="",$M13&lt;&gt;"Ja"),"",ROUND($L13*$N13,2))</f>
        <v>658.75</v>
      </c>
      <c r="P13" s="26"/>
    </row>
    <row r="14" customFormat="false" ht="15" hidden="false" customHeight="true" outlineLevel="0" collapsed="false">
      <c r="A14" s="16" t="n">
        <f aca="false">IF($B14="","",COUNT($B$11:$B14))</f>
        <v>4</v>
      </c>
      <c r="B14" s="17" t="n">
        <v>46205</v>
      </c>
      <c r="C14" s="18" t="str">
        <f aca="false">IF($B14="","",INDEX({"Mo","Di","Mi","Do","Fr","Sa","So"},WEEKDAY($B14,2)))</f>
        <v>Do</v>
      </c>
      <c r="D14" s="18" t="n">
        <f aca="false">IF($B14="","",INT(($B14-WEEKDAY($B14,2)+4-DATE(YEAR($B14-WEEKDAY($B14,2)+4),1,1))/7)+1)</f>
        <v>27</v>
      </c>
      <c r="E14" s="19" t="s">
        <v>29</v>
      </c>
      <c r="F14" s="19" t="s">
        <v>30</v>
      </c>
      <c r="G14" s="20" t="n">
        <v>0.34375</v>
      </c>
      <c r="H14" s="20" t="n">
        <v>0.708333333333333</v>
      </c>
      <c r="I14" s="21" t="n">
        <v>45</v>
      </c>
      <c r="J14" s="22"/>
      <c r="K14" s="23" t="n">
        <f aca="false">IF($B14="","",IF($J14&lt;&gt;"",$J14,IF(OR($G14="",$H14=""),"",MAX(0,MOD($H14-$G14,1)-$I14/1440))))</f>
        <v>0.333333333333333</v>
      </c>
      <c r="L14" s="24" t="n">
        <f aca="false">IF($K14="","",$K14*24)</f>
        <v>8</v>
      </c>
      <c r="M14" s="21" t="s">
        <v>31</v>
      </c>
      <c r="N14" s="25" t="n">
        <f aca="false">IF($F14="","",VLOOKUP($F14,Satz_Tabelle,2,FALSE()))</f>
        <v>95</v>
      </c>
      <c r="O14" s="25" t="n">
        <f aca="false">IF(OR($K14="",$M14&lt;&gt;"Ja"),"",ROUND($L14*$N14,2))</f>
        <v>760</v>
      </c>
      <c r="P14" s="26"/>
    </row>
    <row r="15" customFormat="false" ht="15" hidden="false" customHeight="true" outlineLevel="0" collapsed="false">
      <c r="A15" s="16" t="n">
        <f aca="false">IF($B15="","",COUNT($B$11:$B15))</f>
        <v>5</v>
      </c>
      <c r="B15" s="17" t="n">
        <v>46205</v>
      </c>
      <c r="C15" s="18" t="str">
        <f aca="false">IF($B15="","",INDEX({"Mo","Di","Mi","Do","Fr","Sa","So"},WEEKDAY($B15,2)))</f>
        <v>Do</v>
      </c>
      <c r="D15" s="18" t="n">
        <f aca="false">IF($B15="","",INT(($B15-WEEKDAY($B15,2)+4-DATE(YEAR($B15-WEEKDAY($B15,2)+4),1,1))/7)+1)</f>
        <v>27</v>
      </c>
      <c r="E15" s="19" t="s">
        <v>36</v>
      </c>
      <c r="F15" s="19" t="s">
        <v>37</v>
      </c>
      <c r="G15" s="20" t="n">
        <v>0.333333333333333</v>
      </c>
      <c r="H15" s="20" t="n">
        <v>0.666666666666667</v>
      </c>
      <c r="I15" s="21" t="n">
        <v>30</v>
      </c>
      <c r="J15" s="22"/>
      <c r="K15" s="23" t="n">
        <f aca="false">IF($B15="","",IF($J15&lt;&gt;"",$J15,IF(OR($G15="",$H15=""),"",MAX(0,MOD($H15-$G15,1)-$I15/1440))))</f>
        <v>0.3125</v>
      </c>
      <c r="L15" s="24" t="n">
        <f aca="false">IF($K15="","",$K15*24)</f>
        <v>7.5</v>
      </c>
      <c r="M15" s="21" t="s">
        <v>38</v>
      </c>
      <c r="N15" s="25" t="n">
        <f aca="false">IF($F15="","",VLOOKUP($F15,Satz_Tabelle,2,FALSE()))</f>
        <v>55</v>
      </c>
      <c r="O15" s="25" t="str">
        <f aca="false">IF(OR($K15="",$M15&lt;&gt;"Ja"),"",ROUND($L15*$N15,2))</f>
        <v/>
      </c>
      <c r="P15" s="26" t="s">
        <v>39</v>
      </c>
    </row>
    <row r="16" customFormat="false" ht="15" hidden="false" customHeight="true" outlineLevel="0" collapsed="false">
      <c r="A16" s="16" t="n">
        <f aca="false">IF($B16="","",COUNT($B$11:$B16))</f>
        <v>6</v>
      </c>
      <c r="B16" s="17" t="n">
        <v>46205</v>
      </c>
      <c r="C16" s="18" t="str">
        <f aca="false">IF($B16="","",INDEX({"Mo","Di","Mi","Do","Fr","Sa","So"},WEEKDAY($B16,2)))</f>
        <v>Do</v>
      </c>
      <c r="D16" s="18" t="n">
        <f aca="false">IF($B16="","",INT(($B16-WEEKDAY($B16,2)+4-DATE(YEAR($B16-WEEKDAY($B16,2)+4),1,1))/7)+1)</f>
        <v>27</v>
      </c>
      <c r="E16" s="19" t="s">
        <v>40</v>
      </c>
      <c r="F16" s="19" t="s">
        <v>41</v>
      </c>
      <c r="G16" s="20" t="n">
        <v>0.416666666666667</v>
      </c>
      <c r="H16" s="20" t="n">
        <v>0.770833333333333</v>
      </c>
      <c r="I16" s="21" t="n">
        <v>30</v>
      </c>
      <c r="J16" s="22"/>
      <c r="K16" s="23" t="n">
        <f aca="false">IF($B16="","",IF($J16&lt;&gt;"",$J16,IF(OR($G16="",$H16=""),"",MAX(0,MOD($H16-$G16,1)-$I16/1440))))</f>
        <v>0.333333333333333</v>
      </c>
      <c r="L16" s="24" t="n">
        <f aca="false">IF($K16="","",$K16*24)</f>
        <v>8</v>
      </c>
      <c r="M16" s="21" t="s">
        <v>31</v>
      </c>
      <c r="N16" s="25" t="n">
        <f aca="false">IF($F16="","",VLOOKUP($F16,Satz_Tabelle,2,FALSE()))</f>
        <v>75</v>
      </c>
      <c r="O16" s="25" t="n">
        <f aca="false">IF(OR($K16="",$M16&lt;&gt;"Ja"),"",ROUND($L16*$N16,2))</f>
        <v>600</v>
      </c>
      <c r="P16" s="26"/>
    </row>
    <row r="17" customFormat="false" ht="15" hidden="false" customHeight="true" outlineLevel="0" collapsed="false">
      <c r="A17" s="16" t="n">
        <f aca="false">IF($B17="","",COUNT($B$11:$B17))</f>
        <v>7</v>
      </c>
      <c r="B17" s="17" t="n">
        <v>46206</v>
      </c>
      <c r="C17" s="18" t="str">
        <f aca="false">IF($B17="","",INDEX({"Mo","Di","Mi","Do","Fr","Sa","So"},WEEKDAY($B17,2)))</f>
        <v>Fr</v>
      </c>
      <c r="D17" s="18" t="n">
        <f aca="false">IF($B17="","",INT(($B17-WEEKDAY($B17,2)+4-DATE(YEAR($B17-WEEKDAY($B17,2)+4),1,1))/7)+1)</f>
        <v>27</v>
      </c>
      <c r="E17" s="19" t="s">
        <v>29</v>
      </c>
      <c r="F17" s="19" t="s">
        <v>30</v>
      </c>
      <c r="G17" s="20" t="n">
        <v>0.333333333333333</v>
      </c>
      <c r="H17" s="20" t="n">
        <v>0.625</v>
      </c>
      <c r="I17" s="21" t="n">
        <v>20</v>
      </c>
      <c r="J17" s="22"/>
      <c r="K17" s="23" t="n">
        <f aca="false">IF($B17="","",IF($J17&lt;&gt;"",$J17,IF(OR($G17="",$H17=""),"",MAX(0,MOD($H17-$G17,1)-$I17/1440))))</f>
        <v>0.277777777777778</v>
      </c>
      <c r="L17" s="24" t="n">
        <f aca="false">IF($K17="","",$K17*24)</f>
        <v>6.66666666666667</v>
      </c>
      <c r="M17" s="21" t="s">
        <v>31</v>
      </c>
      <c r="N17" s="25" t="n">
        <f aca="false">IF($F17="","",VLOOKUP($F17,Satz_Tabelle,2,FALSE()))</f>
        <v>95</v>
      </c>
      <c r="O17" s="25" t="n">
        <f aca="false">IF(OR($K17="",$M17&lt;&gt;"Ja"),"",ROUND($L17*$N17,2))</f>
        <v>633.33</v>
      </c>
      <c r="P17" s="26" t="s">
        <v>42</v>
      </c>
    </row>
    <row r="18" customFormat="false" ht="15" hidden="false" customHeight="true" outlineLevel="0" collapsed="false">
      <c r="A18" s="16" t="n">
        <f aca="false">IF($B18="","",COUNT($B$11:$B18))</f>
        <v>8</v>
      </c>
      <c r="B18" s="17" t="n">
        <v>46206</v>
      </c>
      <c r="C18" s="18" t="str">
        <f aca="false">IF($B18="","",INDEX({"Mo","Di","Mi","Do","Fr","Sa","So"},WEEKDAY($B18,2)))</f>
        <v>Fr</v>
      </c>
      <c r="D18" s="18" t="n">
        <f aca="false">IF($B18="","",INT(($B18-WEEKDAY($B18,2)+4-DATE(YEAR($B18-WEEKDAY($B18,2)+4),1,1))/7)+1)</f>
        <v>27</v>
      </c>
      <c r="E18" s="19" t="s">
        <v>43</v>
      </c>
      <c r="F18" s="19" t="s">
        <v>44</v>
      </c>
      <c r="G18" s="20" t="n">
        <v>0.375</v>
      </c>
      <c r="H18" s="20" t="n">
        <v>0.708333333333333</v>
      </c>
      <c r="I18" s="21" t="n">
        <v>60</v>
      </c>
      <c r="J18" s="22"/>
      <c r="K18" s="23" t="n">
        <f aca="false">IF($B18="","",IF($J18&lt;&gt;"",$J18,IF(OR($G18="",$H18=""),"",MAX(0,MOD($H18-$G18,1)-$I18/1440))))</f>
        <v>0.291666666666667</v>
      </c>
      <c r="L18" s="24" t="n">
        <f aca="false">IF($K18="","",$K18*24)</f>
        <v>7</v>
      </c>
      <c r="M18" s="21" t="s">
        <v>38</v>
      </c>
      <c r="N18" s="25" t="n">
        <f aca="false">IF($F18="","",VLOOKUP($F18,Satz_Tabelle,2,FALSE()))</f>
        <v>70</v>
      </c>
      <c r="O18" s="25" t="str">
        <f aca="false">IF(OR($K18="",$M18&lt;&gt;"Ja"),"",ROUND($L18*$N18,2))</f>
        <v/>
      </c>
      <c r="P18" s="26" t="s">
        <v>45</v>
      </c>
    </row>
    <row r="19" customFormat="false" ht="15" hidden="false" customHeight="true" outlineLevel="0" collapsed="false">
      <c r="A19" s="16" t="n">
        <f aca="false">IF($B19="","",COUNT($B$11:$B19))</f>
        <v>9</v>
      </c>
      <c r="B19" s="17" t="n">
        <v>46206</v>
      </c>
      <c r="C19" s="18" t="str">
        <f aca="false">IF($B19="","",INDEX({"Mo","Di","Mi","Do","Fr","Sa","So"},WEEKDAY($B19,2)))</f>
        <v>Fr</v>
      </c>
      <c r="D19" s="18" t="n">
        <f aca="false">IF($B19="","",INT(($B19-WEEKDAY($B19,2)+4-DATE(YEAR($B19-WEEKDAY($B19,2)+4),1,1))/7)+1)</f>
        <v>27</v>
      </c>
      <c r="E19" s="19" t="s">
        <v>32</v>
      </c>
      <c r="F19" s="19" t="s">
        <v>33</v>
      </c>
      <c r="G19" s="20"/>
      <c r="H19" s="20"/>
      <c r="I19" s="21" t="n">
        <v>0</v>
      </c>
      <c r="J19" s="22" t="n">
        <v>0.15625</v>
      </c>
      <c r="K19" s="23" t="n">
        <f aca="false">IF($B19="","",IF($J19&lt;&gt;"",$J19,IF(OR($G19="",$H19=""),"",MAX(0,MOD($H19-$G19,1)-$I19/1440))))</f>
        <v>0.15625</v>
      </c>
      <c r="L19" s="24" t="n">
        <f aca="false">IF($K19="","",$K19*24)</f>
        <v>3.75</v>
      </c>
      <c r="M19" s="21" t="s">
        <v>31</v>
      </c>
      <c r="N19" s="25" t="n">
        <f aca="false">IF($F19="","",VLOOKUP($F19,Satz_Tabelle,2,FALSE()))</f>
        <v>110</v>
      </c>
      <c r="O19" s="25" t="n">
        <f aca="false">IF(OR($K19="",$M19&lt;&gt;"Ja"),"",ROUND($L19*$N19,2))</f>
        <v>412.5</v>
      </c>
      <c r="P19" s="26" t="s">
        <v>46</v>
      </c>
    </row>
    <row r="20" customFormat="false" ht="15" hidden="false" customHeight="true" outlineLevel="0" collapsed="false">
      <c r="A20" s="16" t="n">
        <f aca="false">IF($B20="","",COUNT($B$11:$B20))</f>
        <v>10</v>
      </c>
      <c r="B20" s="17" t="n">
        <v>46209</v>
      </c>
      <c r="C20" s="18" t="str">
        <f aca="false">IF($B20="","",INDEX({"Mo","Di","Mi","Do","Fr","Sa","So"},WEEKDAY($B20,2)))</f>
        <v>Mo</v>
      </c>
      <c r="D20" s="18" t="n">
        <f aca="false">IF($B20="","",INT(($B20-WEEKDAY($B20,2)+4-DATE(YEAR($B20-WEEKDAY($B20,2)+4),1,1))/7)+1)</f>
        <v>28</v>
      </c>
      <c r="E20" s="19" t="s">
        <v>29</v>
      </c>
      <c r="F20" s="19" t="s">
        <v>30</v>
      </c>
      <c r="G20" s="20" t="n">
        <v>0.333333333333333</v>
      </c>
      <c r="H20" s="20" t="n">
        <v>0.729166666666667</v>
      </c>
      <c r="I20" s="21" t="n">
        <v>45</v>
      </c>
      <c r="J20" s="22"/>
      <c r="K20" s="23" t="n">
        <f aca="false">IF($B20="","",IF($J20&lt;&gt;"",$J20,IF(OR($G20="",$H20=""),"",MAX(0,MOD($H20-$G20,1)-$I20/1440))))</f>
        <v>0.364583333333333</v>
      </c>
      <c r="L20" s="24" t="n">
        <f aca="false">IF($K20="","",$K20*24)</f>
        <v>8.75</v>
      </c>
      <c r="M20" s="21" t="s">
        <v>31</v>
      </c>
      <c r="N20" s="25" t="n">
        <f aca="false">IF($F20="","",VLOOKUP($F20,Satz_Tabelle,2,FALSE()))</f>
        <v>95</v>
      </c>
      <c r="O20" s="25" t="n">
        <f aca="false">IF(OR($K20="",$M20&lt;&gt;"Ja"),"",ROUND($L20*$N20,2))</f>
        <v>831.25</v>
      </c>
      <c r="P20" s="26"/>
    </row>
    <row r="21" customFormat="false" ht="15" hidden="false" customHeight="true" outlineLevel="0" collapsed="false">
      <c r="A21" s="16" t="n">
        <f aca="false">IF($B21="","",COUNT($B$11:$B21))</f>
        <v>11</v>
      </c>
      <c r="B21" s="17" t="n">
        <v>46209</v>
      </c>
      <c r="C21" s="18" t="str">
        <f aca="false">IF($B21="","",INDEX({"Mo","Di","Mi","Do","Fr","Sa","So"},WEEKDAY($B21,2)))</f>
        <v>Mo</v>
      </c>
      <c r="D21" s="18" t="n">
        <f aca="false">IF($B21="","",INT(($B21-WEEKDAY($B21,2)+4-DATE(YEAR($B21-WEEKDAY($B21,2)+4),1,1))/7)+1)</f>
        <v>28</v>
      </c>
      <c r="E21" s="19" t="s">
        <v>34</v>
      </c>
      <c r="F21" s="19" t="s">
        <v>35</v>
      </c>
      <c r="G21" s="20" t="n">
        <v>0.916666666666667</v>
      </c>
      <c r="H21" s="20" t="n">
        <v>0.270833333333333</v>
      </c>
      <c r="I21" s="21" t="n">
        <v>30</v>
      </c>
      <c r="J21" s="22"/>
      <c r="K21" s="23" t="n">
        <f aca="false">IF($B21="","",IF($J21&lt;&gt;"",$J21,IF(OR($G21="",$H21=""),"",MAX(0,MOD($H21-$G21,1)-$I21/1440))))</f>
        <v>0.333333333333333</v>
      </c>
      <c r="L21" s="24" t="n">
        <f aca="false">IF($K21="","",$K21*24)</f>
        <v>8</v>
      </c>
      <c r="M21" s="21" t="s">
        <v>31</v>
      </c>
      <c r="N21" s="25" t="n">
        <f aca="false">IF($F21="","",VLOOKUP($F21,Satz_Tabelle,2,FALSE()))</f>
        <v>85</v>
      </c>
      <c r="O21" s="25" t="n">
        <f aca="false">IF(OR($K21="",$M21&lt;&gt;"Ja"),"",ROUND($L21*$N21,2))</f>
        <v>680</v>
      </c>
      <c r="P21" s="26" t="s">
        <v>47</v>
      </c>
    </row>
    <row r="22" customFormat="false" ht="15" hidden="false" customHeight="true" outlineLevel="0" collapsed="false">
      <c r="A22" s="16" t="n">
        <f aca="false">IF($B22="","",COUNT($B$11:$B22))</f>
        <v>12</v>
      </c>
      <c r="B22" s="17" t="n">
        <v>46209</v>
      </c>
      <c r="C22" s="18" t="str">
        <f aca="false">IF($B22="","",INDEX({"Mo","Di","Mi","Do","Fr","Sa","So"},WEEKDAY($B22,2)))</f>
        <v>Mo</v>
      </c>
      <c r="D22" s="18" t="n">
        <f aca="false">IF($B22="","",INT(($B22-WEEKDAY($B22,2)+4-DATE(YEAR($B22-WEEKDAY($B22,2)+4),1,1))/7)+1)</f>
        <v>28</v>
      </c>
      <c r="E22" s="19" t="s">
        <v>36</v>
      </c>
      <c r="F22" s="19" t="s">
        <v>37</v>
      </c>
      <c r="G22" s="20" t="n">
        <v>0.354166666666667</v>
      </c>
      <c r="H22" s="20" t="n">
        <v>0.6875</v>
      </c>
      <c r="I22" s="21" t="n">
        <v>30</v>
      </c>
      <c r="J22" s="22"/>
      <c r="K22" s="23" t="n">
        <f aca="false">IF($B22="","",IF($J22&lt;&gt;"",$J22,IF(OR($G22="",$H22=""),"",MAX(0,MOD($H22-$G22,1)-$I22/1440))))</f>
        <v>0.3125</v>
      </c>
      <c r="L22" s="24" t="n">
        <f aca="false">IF($K22="","",$K22*24)</f>
        <v>7.5</v>
      </c>
      <c r="M22" s="21" t="s">
        <v>38</v>
      </c>
      <c r="N22" s="25" t="n">
        <f aca="false">IF($F22="","",VLOOKUP($F22,Satz_Tabelle,2,FALSE()))</f>
        <v>55</v>
      </c>
      <c r="O22" s="25" t="str">
        <f aca="false">IF(OR($K22="",$M22&lt;&gt;"Ja"),"",ROUND($L22*$N22,2))</f>
        <v/>
      </c>
      <c r="P22" s="26"/>
    </row>
    <row r="23" customFormat="false" ht="15" hidden="false" customHeight="true" outlineLevel="0" collapsed="false">
      <c r="A23" s="16" t="n">
        <f aca="false">IF($B23="","",COUNT($B$11:$B23))</f>
        <v>13</v>
      </c>
      <c r="B23" s="17" t="n">
        <v>46210</v>
      </c>
      <c r="C23" s="18" t="str">
        <f aca="false">IF($B23="","",INDEX({"Mo","Di","Mi","Do","Fr","Sa","So"},WEEKDAY($B23,2)))</f>
        <v>Di</v>
      </c>
      <c r="D23" s="18" t="n">
        <f aca="false">IF($B23="","",INT(($B23-WEEKDAY($B23,2)+4-DATE(YEAR($B23-WEEKDAY($B23,2)+4),1,1))/7)+1)</f>
        <v>28</v>
      </c>
      <c r="E23" s="19" t="s">
        <v>32</v>
      </c>
      <c r="F23" s="19" t="s">
        <v>33</v>
      </c>
      <c r="G23" s="20" t="n">
        <v>0.364583333333333</v>
      </c>
      <c r="H23" s="20" t="n">
        <v>0.677083333333333</v>
      </c>
      <c r="I23" s="21" t="n">
        <v>30</v>
      </c>
      <c r="J23" s="22"/>
      <c r="K23" s="23" t="n">
        <f aca="false">IF($B23="","",IF($J23&lt;&gt;"",$J23,IF(OR($G23="",$H23=""),"",MAX(0,MOD($H23-$G23,1)-$I23/1440))))</f>
        <v>0.291666666666667</v>
      </c>
      <c r="L23" s="24" t="n">
        <f aca="false">IF($K23="","",$K23*24)</f>
        <v>7</v>
      </c>
      <c r="M23" s="21" t="s">
        <v>31</v>
      </c>
      <c r="N23" s="25" t="n">
        <f aca="false">IF($F23="","",VLOOKUP($F23,Satz_Tabelle,2,FALSE()))</f>
        <v>110</v>
      </c>
      <c r="O23" s="25" t="n">
        <f aca="false">IF(OR($K23="",$M23&lt;&gt;"Ja"),"",ROUND($L23*$N23,2))</f>
        <v>770</v>
      </c>
      <c r="P23" s="26"/>
    </row>
    <row r="24" customFormat="false" ht="15" hidden="false" customHeight="true" outlineLevel="0" collapsed="false">
      <c r="A24" s="16" t="n">
        <f aca="false">IF($B24="","",COUNT($B$11:$B24))</f>
        <v>14</v>
      </c>
      <c r="B24" s="17" t="n">
        <v>46210</v>
      </c>
      <c r="C24" s="18" t="str">
        <f aca="false">IF($B24="","",INDEX({"Mo","Di","Mi","Do","Fr","Sa","So"},WEEKDAY($B24,2)))</f>
        <v>Di</v>
      </c>
      <c r="D24" s="18" t="n">
        <f aca="false">IF($B24="","",INT(($B24-WEEKDAY($B24,2)+4-DATE(YEAR($B24-WEEKDAY($B24,2)+4),1,1))/7)+1)</f>
        <v>28</v>
      </c>
      <c r="E24" s="19" t="s">
        <v>40</v>
      </c>
      <c r="F24" s="19" t="s">
        <v>48</v>
      </c>
      <c r="G24" s="20" t="n">
        <v>0.270833333333333</v>
      </c>
      <c r="H24" s="20" t="n">
        <v>0.416666666666667</v>
      </c>
      <c r="I24" s="21" t="n">
        <v>0</v>
      </c>
      <c r="J24" s="22"/>
      <c r="K24" s="23" t="n">
        <f aca="false">IF($B24="","",IF($J24&lt;&gt;"",$J24,IF(OR($G24="",$H24=""),"",MAX(0,MOD($H24-$G24,1)-$I24/1440))))</f>
        <v>0.145833333333333</v>
      </c>
      <c r="L24" s="24" t="n">
        <f aca="false">IF($K24="","",$K24*24)</f>
        <v>3.5</v>
      </c>
      <c r="M24" s="21" t="s">
        <v>31</v>
      </c>
      <c r="N24" s="25" t="n">
        <f aca="false">IF($F24="","",VLOOKUP($F24,Satz_Tabelle,2,FALSE()))</f>
        <v>45</v>
      </c>
      <c r="O24" s="25" t="n">
        <f aca="false">IF(OR($K24="",$M24&lt;&gt;"Ja"),"",ROUND($L24*$N24,2))</f>
        <v>157.5</v>
      </c>
      <c r="P24" s="26" t="s">
        <v>49</v>
      </c>
    </row>
    <row r="25" customFormat="false" ht="15" hidden="false" customHeight="true" outlineLevel="0" collapsed="false">
      <c r="A25" s="16" t="n">
        <f aca="false">IF($B25="","",COUNT($B$11:$B25))</f>
        <v>15</v>
      </c>
      <c r="B25" s="17" t="n">
        <v>46210</v>
      </c>
      <c r="C25" s="18" t="str">
        <f aca="false">IF($B25="","",INDEX({"Mo","Di","Mi","Do","Fr","Sa","So"},WEEKDAY($B25,2)))</f>
        <v>Di</v>
      </c>
      <c r="D25" s="18" t="n">
        <f aca="false">IF($B25="","",INT(($B25-WEEKDAY($B25,2)+4-DATE(YEAR($B25-WEEKDAY($B25,2)+4),1,1))/7)+1)</f>
        <v>28</v>
      </c>
      <c r="E25" s="19" t="s">
        <v>40</v>
      </c>
      <c r="F25" s="19" t="s">
        <v>41</v>
      </c>
      <c r="G25" s="20" t="n">
        <v>0.416666666666667</v>
      </c>
      <c r="H25" s="20" t="n">
        <v>0.75</v>
      </c>
      <c r="I25" s="21" t="n">
        <v>45</v>
      </c>
      <c r="J25" s="22"/>
      <c r="K25" s="23" t="n">
        <f aca="false">IF($B25="","",IF($J25&lt;&gt;"",$J25,IF(OR($G25="",$H25=""),"",MAX(0,MOD($H25-$G25,1)-$I25/1440))))</f>
        <v>0.302083333333333</v>
      </c>
      <c r="L25" s="24" t="n">
        <f aca="false">IF($K25="","",$K25*24)</f>
        <v>7.25</v>
      </c>
      <c r="M25" s="21" t="s">
        <v>31</v>
      </c>
      <c r="N25" s="25" t="n">
        <f aca="false">IF($F25="","",VLOOKUP($F25,Satz_Tabelle,2,FALSE()))</f>
        <v>75</v>
      </c>
      <c r="O25" s="25" t="n">
        <f aca="false">IF(OR($K25="",$M25&lt;&gt;"Ja"),"",ROUND($L25*$N25,2))</f>
        <v>543.75</v>
      </c>
      <c r="P25" s="26"/>
    </row>
    <row r="26" customFormat="false" ht="15" hidden="false" customHeight="true" outlineLevel="0" collapsed="false">
      <c r="A26" s="16" t="n">
        <f aca="false">IF($B26="","",COUNT($B$11:$B26))</f>
        <v>16</v>
      </c>
      <c r="B26" s="17" t="n">
        <v>46211</v>
      </c>
      <c r="C26" s="18" t="str">
        <f aca="false">IF($B26="","",INDEX({"Mo","Di","Mi","Do","Fr","Sa","So"},WEEKDAY($B26,2)))</f>
        <v>Mi</v>
      </c>
      <c r="D26" s="18" t="n">
        <f aca="false">IF($B26="","",INT(($B26-WEEKDAY($B26,2)+4-DATE(YEAR($B26-WEEKDAY($B26,2)+4),1,1))/7)+1)</f>
        <v>28</v>
      </c>
      <c r="E26" s="19" t="s">
        <v>29</v>
      </c>
      <c r="F26" s="19" t="s">
        <v>30</v>
      </c>
      <c r="G26" s="20" t="n">
        <v>0.322916666666667</v>
      </c>
      <c r="H26" s="20" t="n">
        <v>0.791666666666667</v>
      </c>
      <c r="I26" s="21" t="n">
        <v>45</v>
      </c>
      <c r="J26" s="22"/>
      <c r="K26" s="23" t="n">
        <f aca="false">IF($B26="","",IF($J26&lt;&gt;"",$J26,IF(OR($G26="",$H26=""),"",MAX(0,MOD($H26-$G26,1)-$I26/1440))))</f>
        <v>0.4375</v>
      </c>
      <c r="L26" s="24" t="n">
        <f aca="false">IF($K26="","",$K26*24)</f>
        <v>10.5</v>
      </c>
      <c r="M26" s="21" t="s">
        <v>31</v>
      </c>
      <c r="N26" s="25" t="n">
        <f aca="false">IF($F26="","",VLOOKUP($F26,Satz_Tabelle,2,FALSE()))</f>
        <v>95</v>
      </c>
      <c r="O26" s="25" t="n">
        <f aca="false">IF(OR($K26="",$M26&lt;&gt;"Ja"),"",ROUND($L26*$N26,2))</f>
        <v>997.5</v>
      </c>
      <c r="P26" s="26" t="s">
        <v>50</v>
      </c>
    </row>
    <row r="27" customFormat="false" ht="15" hidden="false" customHeight="true" outlineLevel="0" collapsed="false">
      <c r="A27" s="16" t="n">
        <f aca="false">IF($B27="","",COUNT($B$11:$B27))</f>
        <v>17</v>
      </c>
      <c r="B27" s="17" t="n">
        <v>46211</v>
      </c>
      <c r="C27" s="18" t="str">
        <f aca="false">IF($B27="","",INDEX({"Mo","Di","Mi","Do","Fr","Sa","So"},WEEKDAY($B27,2)))</f>
        <v>Mi</v>
      </c>
      <c r="D27" s="18" t="n">
        <f aca="false">IF($B27="","",INT(($B27-WEEKDAY($B27,2)+4-DATE(YEAR($B27-WEEKDAY($B27,2)+4),1,1))/7)+1)</f>
        <v>28</v>
      </c>
      <c r="E27" s="19" t="s">
        <v>43</v>
      </c>
      <c r="F27" s="19" t="s">
        <v>30</v>
      </c>
      <c r="G27" s="20" t="n">
        <v>0.375</v>
      </c>
      <c r="H27" s="20" t="n">
        <v>0.708333333333333</v>
      </c>
      <c r="I27" s="21" t="n">
        <v>30</v>
      </c>
      <c r="J27" s="22"/>
      <c r="K27" s="23" t="n">
        <f aca="false">IF($B27="","",IF($J27&lt;&gt;"",$J27,IF(OR($G27="",$H27=""),"",MAX(0,MOD($H27-$G27,1)-$I27/1440))))</f>
        <v>0.3125</v>
      </c>
      <c r="L27" s="24" t="n">
        <f aca="false">IF($K27="","",$K27*24)</f>
        <v>7.5</v>
      </c>
      <c r="M27" s="21" t="s">
        <v>31</v>
      </c>
      <c r="N27" s="25" t="n">
        <f aca="false">IF($F27="","",VLOOKUP($F27,Satz_Tabelle,2,FALSE()))</f>
        <v>95</v>
      </c>
      <c r="O27" s="25" t="n">
        <f aca="false">IF(OR($K27="",$M27&lt;&gt;"Ja"),"",ROUND($L27*$N27,2))</f>
        <v>712.5</v>
      </c>
      <c r="P27" s="26"/>
    </row>
    <row r="28" customFormat="false" ht="15" hidden="false" customHeight="true" outlineLevel="0" collapsed="false">
      <c r="A28" s="16" t="n">
        <f aca="false">IF($B28="","",COUNT($B$11:$B28))</f>
        <v>18</v>
      </c>
      <c r="B28" s="17" t="n">
        <v>46212</v>
      </c>
      <c r="C28" s="18" t="str">
        <f aca="false">IF($B28="","",INDEX({"Mo","Di","Mi","Do","Fr","Sa","So"},WEEKDAY($B28,2)))</f>
        <v>Do</v>
      </c>
      <c r="D28" s="18" t="n">
        <f aca="false">IF($B28="","",INT(($B28-WEEKDAY($B28,2)+4-DATE(YEAR($B28-WEEKDAY($B28,2)+4),1,1))/7)+1)</f>
        <v>28</v>
      </c>
      <c r="E28" s="19" t="s">
        <v>34</v>
      </c>
      <c r="F28" s="19" t="s">
        <v>35</v>
      </c>
      <c r="G28" s="20" t="n">
        <v>0.3125</v>
      </c>
      <c r="H28" s="20" t="n">
        <v>0.645833333333333</v>
      </c>
      <c r="I28" s="21" t="n">
        <v>30</v>
      </c>
      <c r="J28" s="22"/>
      <c r="K28" s="23" t="n">
        <f aca="false">IF($B28="","",IF($J28&lt;&gt;"",$J28,IF(OR($G28="",$H28=""),"",MAX(0,MOD($H28-$G28,1)-$I28/1440))))</f>
        <v>0.3125</v>
      </c>
      <c r="L28" s="24" t="n">
        <f aca="false">IF($K28="","",$K28*24)</f>
        <v>7.5</v>
      </c>
      <c r="M28" s="21" t="s">
        <v>31</v>
      </c>
      <c r="N28" s="25" t="n">
        <f aca="false">IF($F28="","",VLOOKUP($F28,Satz_Tabelle,2,FALSE()))</f>
        <v>85</v>
      </c>
      <c r="O28" s="25" t="n">
        <f aca="false">IF(OR($K28="",$M28&lt;&gt;"Ja"),"",ROUND($L28*$N28,2))</f>
        <v>637.5</v>
      </c>
      <c r="P28" s="26"/>
    </row>
    <row r="29" customFormat="false" ht="15" hidden="false" customHeight="true" outlineLevel="0" collapsed="false">
      <c r="A29" s="16" t="n">
        <f aca="false">IF($B29="","",COUNT($B$11:$B29))</f>
        <v>19</v>
      </c>
      <c r="B29" s="17" t="n">
        <v>46212</v>
      </c>
      <c r="C29" s="18" t="str">
        <f aca="false">IF($B29="","",INDEX({"Mo","Di","Mi","Do","Fr","Sa","So"},WEEKDAY($B29,2)))</f>
        <v>Do</v>
      </c>
      <c r="D29" s="18" t="n">
        <f aca="false">IF($B29="","",INT(($B29-WEEKDAY($B29,2)+4-DATE(YEAR($B29-WEEKDAY($B29,2)+4),1,1))/7)+1)</f>
        <v>28</v>
      </c>
      <c r="E29" s="19" t="s">
        <v>36</v>
      </c>
      <c r="F29" s="19" t="s">
        <v>37</v>
      </c>
      <c r="G29" s="20"/>
      <c r="H29" s="20"/>
      <c r="I29" s="21" t="n">
        <v>0</v>
      </c>
      <c r="J29" s="22" t="n">
        <v>0.104166666666667</v>
      </c>
      <c r="K29" s="23" t="n">
        <f aca="false">IF($B29="","",IF($J29&lt;&gt;"",$J29,IF(OR($G29="",$H29=""),"",MAX(0,MOD($H29-$G29,1)-$I29/1440))))</f>
        <v>0.104166666666667</v>
      </c>
      <c r="L29" s="24" t="n">
        <f aca="false">IF($K29="","",$K29*24)</f>
        <v>2.5</v>
      </c>
      <c r="M29" s="21" t="s">
        <v>38</v>
      </c>
      <c r="N29" s="25" t="n">
        <f aca="false">IF($F29="","",VLOOKUP($F29,Satz_Tabelle,2,FALSE()))</f>
        <v>55</v>
      </c>
      <c r="O29" s="25" t="str">
        <f aca="false">IF(OR($K29="",$M29&lt;&gt;"Ja"),"",ROUND($L29*$N29,2))</f>
        <v/>
      </c>
      <c r="P29" s="26" t="s">
        <v>51</v>
      </c>
    </row>
    <row r="30" customFormat="false" ht="15" hidden="false" customHeight="true" outlineLevel="0" collapsed="false">
      <c r="A30" s="16" t="n">
        <f aca="false">IF($B30="","",COUNT($B$11:$B30))</f>
        <v>20</v>
      </c>
      <c r="B30" s="17" t="n">
        <v>46213</v>
      </c>
      <c r="C30" s="18" t="str">
        <f aca="false">IF($B30="","",INDEX({"Mo","Di","Mi","Do","Fr","Sa","So"},WEEKDAY($B30,2)))</f>
        <v>Fr</v>
      </c>
      <c r="D30" s="18" t="n">
        <f aca="false">IF($B30="","",INT(($B30-WEEKDAY($B30,2)+4-DATE(YEAR($B30-WEEKDAY($B30,2)+4),1,1))/7)+1)</f>
        <v>28</v>
      </c>
      <c r="E30" s="19" t="s">
        <v>29</v>
      </c>
      <c r="F30" s="19" t="s">
        <v>30</v>
      </c>
      <c r="G30" s="20" t="n">
        <v>0.333333333333333</v>
      </c>
      <c r="H30" s="20" t="n">
        <v>0.625</v>
      </c>
      <c r="I30" s="21" t="n">
        <v>30</v>
      </c>
      <c r="J30" s="22"/>
      <c r="K30" s="23" t="n">
        <f aca="false">IF($B30="","",IF($J30&lt;&gt;"",$J30,IF(OR($G30="",$H30=""),"",MAX(0,MOD($H30-$G30,1)-$I30/1440))))</f>
        <v>0.270833333333333</v>
      </c>
      <c r="L30" s="24" t="n">
        <f aca="false">IF($K30="","",$K30*24)</f>
        <v>6.5</v>
      </c>
      <c r="M30" s="21" t="s">
        <v>31</v>
      </c>
      <c r="N30" s="25" t="n">
        <f aca="false">IF($F30="","",VLOOKUP($F30,Satz_Tabelle,2,FALSE()))</f>
        <v>95</v>
      </c>
      <c r="O30" s="25" t="n">
        <f aca="false">IF(OR($K30="",$M30&lt;&gt;"Ja"),"",ROUND($L30*$N30,2))</f>
        <v>617.5</v>
      </c>
      <c r="P30" s="26"/>
    </row>
    <row r="31" customFormat="false" ht="15" hidden="false" customHeight="true" outlineLevel="0" collapsed="false">
      <c r="A31" s="16" t="n">
        <f aca="false">IF($B31="","",COUNT($B$11:$B31))</f>
        <v>21</v>
      </c>
      <c r="B31" s="17" t="n">
        <v>46213</v>
      </c>
      <c r="C31" s="18" t="str">
        <f aca="false">IF($B31="","",INDEX({"Mo","Di","Mi","Do","Fr","Sa","So"},WEEKDAY($B31,2)))</f>
        <v>Fr</v>
      </c>
      <c r="D31" s="18" t="n">
        <f aca="false">IF($B31="","",INT(($B31-WEEKDAY($B31,2)+4-DATE(YEAR($B31-WEEKDAY($B31,2)+4),1,1))/7)+1)</f>
        <v>28</v>
      </c>
      <c r="E31" s="19" t="s">
        <v>32</v>
      </c>
      <c r="F31" s="19" t="s">
        <v>33</v>
      </c>
      <c r="G31" s="20" t="n">
        <v>0.375</v>
      </c>
      <c r="H31" s="20" t="n">
        <v>0.666666666666667</v>
      </c>
      <c r="I31" s="21" t="n">
        <v>45</v>
      </c>
      <c r="J31" s="22"/>
      <c r="K31" s="23" t="n">
        <f aca="false">IF($B31="","",IF($J31&lt;&gt;"",$J31,IF(OR($G31="",$H31=""),"",MAX(0,MOD($H31-$G31,1)-$I31/1440))))</f>
        <v>0.260416666666667</v>
      </c>
      <c r="L31" s="24" t="n">
        <f aca="false">IF($K31="","",$K31*24)</f>
        <v>6.25</v>
      </c>
      <c r="M31" s="21" t="s">
        <v>31</v>
      </c>
      <c r="N31" s="25" t="n">
        <f aca="false">IF($F31="","",VLOOKUP($F31,Satz_Tabelle,2,FALSE()))</f>
        <v>110</v>
      </c>
      <c r="O31" s="25" t="n">
        <f aca="false">IF(OR($K31="",$M31&lt;&gt;"Ja"),"",ROUND($L31*$N31,2))</f>
        <v>687.5</v>
      </c>
      <c r="P31" s="26"/>
    </row>
    <row r="32" customFormat="false" ht="15" hidden="false" customHeight="true" outlineLevel="0" collapsed="false">
      <c r="A32" s="16" t="n">
        <f aca="false">IF($B32="","",COUNT($B$11:$B32))</f>
        <v>22</v>
      </c>
      <c r="B32" s="17" t="n">
        <v>46216</v>
      </c>
      <c r="C32" s="18" t="str">
        <f aca="false">IF($B32="","",INDEX({"Mo","Di","Mi","Do","Fr","Sa","So"},WEEKDAY($B32,2)))</f>
        <v>Mo</v>
      </c>
      <c r="D32" s="18" t="n">
        <f aca="false">IF($B32="","",INT(($B32-WEEKDAY($B32,2)+4-DATE(YEAR($B32-WEEKDAY($B32,2)+4),1,1))/7)+1)</f>
        <v>29</v>
      </c>
      <c r="E32" s="19" t="s">
        <v>29</v>
      </c>
      <c r="F32" s="19" t="s">
        <v>30</v>
      </c>
      <c r="G32" s="20" t="n">
        <v>0.333333333333333</v>
      </c>
      <c r="H32" s="20" t="n">
        <v>0.697916666666667</v>
      </c>
      <c r="I32" s="21" t="n">
        <v>45</v>
      </c>
      <c r="J32" s="22"/>
      <c r="K32" s="23" t="n">
        <f aca="false">IF($B32="","",IF($J32&lt;&gt;"",$J32,IF(OR($G32="",$H32=""),"",MAX(0,MOD($H32-$G32,1)-$I32/1440))))</f>
        <v>0.333333333333333</v>
      </c>
      <c r="L32" s="24" t="n">
        <f aca="false">IF($K32="","",$K32*24)</f>
        <v>8</v>
      </c>
      <c r="M32" s="21" t="s">
        <v>31</v>
      </c>
      <c r="N32" s="25" t="n">
        <f aca="false">IF($F32="","",VLOOKUP($F32,Satz_Tabelle,2,FALSE()))</f>
        <v>95</v>
      </c>
      <c r="O32" s="25" t="n">
        <f aca="false">IF(OR($K32="",$M32&lt;&gt;"Ja"),"",ROUND($L32*$N32,2))</f>
        <v>760</v>
      </c>
      <c r="P32" s="26"/>
    </row>
    <row r="33" customFormat="false" ht="15" hidden="false" customHeight="true" outlineLevel="0" collapsed="false">
      <c r="A33" s="16" t="n">
        <f aca="false">IF($B33="","",COUNT($B$11:$B33))</f>
        <v>23</v>
      </c>
      <c r="B33" s="17" t="n">
        <v>46216</v>
      </c>
      <c r="C33" s="18" t="str">
        <f aca="false">IF($B33="","",INDEX({"Mo","Di","Mi","Do","Fr","Sa","So"},WEEKDAY($B33,2)))</f>
        <v>Mo</v>
      </c>
      <c r="D33" s="18" t="n">
        <f aca="false">IF($B33="","",INT(($B33-WEEKDAY($B33,2)+4-DATE(YEAR($B33-WEEKDAY($B33,2)+4),1,1))/7)+1)</f>
        <v>29</v>
      </c>
      <c r="E33" s="19" t="s">
        <v>40</v>
      </c>
      <c r="F33" s="19" t="s">
        <v>41</v>
      </c>
      <c r="G33" s="20" t="n">
        <v>0.395833333333333</v>
      </c>
      <c r="H33" s="20" t="n">
        <v>0.729166666666667</v>
      </c>
      <c r="I33" s="21" t="n">
        <v>30</v>
      </c>
      <c r="J33" s="22"/>
      <c r="K33" s="23" t="n">
        <f aca="false">IF($B33="","",IF($J33&lt;&gt;"",$J33,IF(OR($G33="",$H33=""),"",MAX(0,MOD($H33-$G33,1)-$I33/1440))))</f>
        <v>0.3125</v>
      </c>
      <c r="L33" s="24" t="n">
        <f aca="false">IF($K33="","",$K33*24)</f>
        <v>7.5</v>
      </c>
      <c r="M33" s="21" t="s">
        <v>31</v>
      </c>
      <c r="N33" s="25" t="n">
        <f aca="false">IF($F33="","",VLOOKUP($F33,Satz_Tabelle,2,FALSE()))</f>
        <v>75</v>
      </c>
      <c r="O33" s="25" t="n">
        <f aca="false">IF(OR($K33="",$M33&lt;&gt;"Ja"),"",ROUND($L33*$N33,2))</f>
        <v>562.5</v>
      </c>
      <c r="P33" s="26"/>
    </row>
    <row r="34" customFormat="false" ht="15" hidden="false" customHeight="true" outlineLevel="0" collapsed="false">
      <c r="A34" s="16" t="n">
        <f aca="false">IF($B34="","",COUNT($B$11:$B34))</f>
        <v>24</v>
      </c>
      <c r="B34" s="17" t="n">
        <v>46216</v>
      </c>
      <c r="C34" s="18" t="str">
        <f aca="false">IF($B34="","",INDEX({"Mo","Di","Mi","Do","Fr","Sa","So"},WEEKDAY($B34,2)))</f>
        <v>Mo</v>
      </c>
      <c r="D34" s="18" t="n">
        <f aca="false">IF($B34="","",INT(($B34-WEEKDAY($B34,2)+4-DATE(YEAR($B34-WEEKDAY($B34,2)+4),1,1))/7)+1)</f>
        <v>29</v>
      </c>
      <c r="E34" s="19" t="s">
        <v>43</v>
      </c>
      <c r="F34" s="19" t="s">
        <v>44</v>
      </c>
      <c r="G34" s="20" t="n">
        <v>0.333333333333333</v>
      </c>
      <c r="H34" s="20" t="n">
        <v>0.666666666666667</v>
      </c>
      <c r="I34" s="21" t="n">
        <v>60</v>
      </c>
      <c r="J34" s="22"/>
      <c r="K34" s="23" t="n">
        <f aca="false">IF($B34="","",IF($J34&lt;&gt;"",$J34,IF(OR($G34="",$H34=""),"",MAX(0,MOD($H34-$G34,1)-$I34/1440))))</f>
        <v>0.291666666666667</v>
      </c>
      <c r="L34" s="24" t="n">
        <f aca="false">IF($K34="","",$K34*24)</f>
        <v>7</v>
      </c>
      <c r="M34" s="21" t="s">
        <v>38</v>
      </c>
      <c r="N34" s="25" t="n">
        <f aca="false">IF($F34="","",VLOOKUP($F34,Satz_Tabelle,2,FALSE()))</f>
        <v>70</v>
      </c>
      <c r="O34" s="25" t="str">
        <f aca="false">IF(OR($K34="",$M34&lt;&gt;"Ja"),"",ROUND($L34*$N34,2))</f>
        <v/>
      </c>
      <c r="P34" s="26"/>
    </row>
    <row r="35" customFormat="false" ht="15" hidden="false" customHeight="true" outlineLevel="0" collapsed="false">
      <c r="A35" s="16" t="n">
        <f aca="false">IF($B35="","",COUNT($B$11:$B35))</f>
        <v>25</v>
      </c>
      <c r="B35" s="17" t="n">
        <v>46217</v>
      </c>
      <c r="C35" s="18" t="str">
        <f aca="false">IF($B35="","",INDEX({"Mo","Di","Mi","Do","Fr","Sa","So"},WEEKDAY($B35,2)))</f>
        <v>Di</v>
      </c>
      <c r="D35" s="18" t="n">
        <f aca="false">IF($B35="","",INT(($B35-WEEKDAY($B35,2)+4-DATE(YEAR($B35-WEEKDAY($B35,2)+4),1,1))/7)+1)</f>
        <v>29</v>
      </c>
      <c r="E35" s="19" t="s">
        <v>34</v>
      </c>
      <c r="F35" s="19" t="s">
        <v>35</v>
      </c>
      <c r="G35" s="20" t="n">
        <v>0.291666666666667</v>
      </c>
      <c r="H35" s="20" t="n">
        <v>0.645833333333333</v>
      </c>
      <c r="I35" s="21" t="n">
        <v>30</v>
      </c>
      <c r="J35" s="22"/>
      <c r="K35" s="23" t="n">
        <f aca="false">IF($B35="","",IF($J35&lt;&gt;"",$J35,IF(OR($G35="",$H35=""),"",MAX(0,MOD($H35-$G35,1)-$I35/1440))))</f>
        <v>0.333333333333333</v>
      </c>
      <c r="L35" s="24" t="n">
        <f aca="false">IF($K35="","",$K35*24)</f>
        <v>8</v>
      </c>
      <c r="M35" s="21" t="s">
        <v>31</v>
      </c>
      <c r="N35" s="25" t="n">
        <f aca="false">IF($F35="","",VLOOKUP($F35,Satz_Tabelle,2,FALSE()))</f>
        <v>85</v>
      </c>
      <c r="O35" s="25" t="n">
        <f aca="false">IF(OR($K35="",$M35&lt;&gt;"Ja"),"",ROUND($L35*$N35,2))</f>
        <v>680</v>
      </c>
      <c r="P35" s="26"/>
    </row>
    <row r="36" customFormat="false" ht="15" hidden="false" customHeight="true" outlineLevel="0" collapsed="false">
      <c r="A36" s="16" t="n">
        <f aca="false">IF($B36="","",COUNT($B$11:$B36))</f>
        <v>26</v>
      </c>
      <c r="B36" s="17" t="n">
        <v>46217</v>
      </c>
      <c r="C36" s="18" t="str">
        <f aca="false">IF($B36="","",INDEX({"Mo","Di","Mi","Do","Fr","Sa","So"},WEEKDAY($B36,2)))</f>
        <v>Di</v>
      </c>
      <c r="D36" s="18" t="n">
        <f aca="false">IF($B36="","",INT(($B36-WEEKDAY($B36,2)+4-DATE(YEAR($B36-WEEKDAY($B36,2)+4),1,1))/7)+1)</f>
        <v>29</v>
      </c>
      <c r="E36" s="19" t="s">
        <v>36</v>
      </c>
      <c r="F36" s="19" t="s">
        <v>37</v>
      </c>
      <c r="G36" s="20" t="n">
        <v>0.354166666666667</v>
      </c>
      <c r="H36" s="20" t="n">
        <v>0.708333333333333</v>
      </c>
      <c r="I36" s="21" t="n">
        <v>45</v>
      </c>
      <c r="J36" s="22"/>
      <c r="K36" s="23" t="n">
        <f aca="false">IF($B36="","",IF($J36&lt;&gt;"",$J36,IF(OR($G36="",$H36=""),"",MAX(0,MOD($H36-$G36,1)-$I36/1440))))</f>
        <v>0.322916666666667</v>
      </c>
      <c r="L36" s="24" t="n">
        <f aca="false">IF($K36="","",$K36*24)</f>
        <v>7.75</v>
      </c>
      <c r="M36" s="21" t="s">
        <v>38</v>
      </c>
      <c r="N36" s="25" t="n">
        <f aca="false">IF($F36="","",VLOOKUP($F36,Satz_Tabelle,2,FALSE()))</f>
        <v>55</v>
      </c>
      <c r="O36" s="25" t="str">
        <f aca="false">IF(OR($K36="",$M36&lt;&gt;"Ja"),"",ROUND($L36*$N36,2))</f>
        <v/>
      </c>
      <c r="P36" s="26"/>
    </row>
    <row r="37" customFormat="false" ht="15" hidden="false" customHeight="true" outlineLevel="0" collapsed="false">
      <c r="A37" s="16" t="n">
        <f aca="false">IF($B37="","",COUNT($B$11:$B37))</f>
        <v>27</v>
      </c>
      <c r="B37" s="17" t="n">
        <v>46218</v>
      </c>
      <c r="C37" s="18" t="str">
        <f aca="false">IF($B37="","",INDEX({"Mo","Di","Mi","Do","Fr","Sa","So"},WEEKDAY($B37,2)))</f>
        <v>Mi</v>
      </c>
      <c r="D37" s="18" t="n">
        <f aca="false">IF($B37="","",INT(($B37-WEEKDAY($B37,2)+4-DATE(YEAR($B37-WEEKDAY($B37,2)+4),1,1))/7)+1)</f>
        <v>29</v>
      </c>
      <c r="E37" s="19" t="s">
        <v>29</v>
      </c>
      <c r="F37" s="19" t="s">
        <v>30</v>
      </c>
      <c r="G37" s="20" t="n">
        <v>0.34375</v>
      </c>
      <c r="H37" s="20" t="n">
        <v>0.6875</v>
      </c>
      <c r="I37" s="21" t="n">
        <v>30</v>
      </c>
      <c r="J37" s="22"/>
      <c r="K37" s="23" t="n">
        <f aca="false">IF($B37="","",IF($J37&lt;&gt;"",$J37,IF(OR($G37="",$H37=""),"",MAX(0,MOD($H37-$G37,1)-$I37/1440))))</f>
        <v>0.322916666666667</v>
      </c>
      <c r="L37" s="24" t="n">
        <f aca="false">IF($K37="","",$K37*24)</f>
        <v>7.75</v>
      </c>
      <c r="M37" s="21" t="s">
        <v>31</v>
      </c>
      <c r="N37" s="25" t="n">
        <f aca="false">IF($F37="","",VLOOKUP($F37,Satz_Tabelle,2,FALSE()))</f>
        <v>95</v>
      </c>
      <c r="O37" s="25" t="n">
        <f aca="false">IF(OR($K37="",$M37&lt;&gt;"Ja"),"",ROUND($L37*$N37,2))</f>
        <v>736.25</v>
      </c>
      <c r="P37" s="26"/>
    </row>
    <row r="38" customFormat="false" ht="15" hidden="false" customHeight="true" outlineLevel="0" collapsed="false">
      <c r="A38" s="16" t="n">
        <f aca="false">IF($B38="","",COUNT($B$11:$B38))</f>
        <v>28</v>
      </c>
      <c r="B38" s="17" t="n">
        <v>46218</v>
      </c>
      <c r="C38" s="18" t="str">
        <f aca="false">IF($B38="","",INDEX({"Mo","Di","Mi","Do","Fr","Sa","So"},WEEKDAY($B38,2)))</f>
        <v>Mi</v>
      </c>
      <c r="D38" s="18" t="n">
        <f aca="false">IF($B38="","",INT(($B38-WEEKDAY($B38,2)+4-DATE(YEAR($B38-WEEKDAY($B38,2)+4),1,1))/7)+1)</f>
        <v>29</v>
      </c>
      <c r="E38" s="19" t="s">
        <v>32</v>
      </c>
      <c r="F38" s="19" t="s">
        <v>33</v>
      </c>
      <c r="G38" s="20" t="n">
        <v>0.416666666666667</v>
      </c>
      <c r="H38" s="20" t="n">
        <v>0.75</v>
      </c>
      <c r="I38" s="21" t="n">
        <v>30</v>
      </c>
      <c r="J38" s="22"/>
      <c r="K38" s="23" t="n">
        <f aca="false">IF($B38="","",IF($J38&lt;&gt;"",$J38,IF(OR($G38="",$H38=""),"",MAX(0,MOD($H38-$G38,1)-$I38/1440))))</f>
        <v>0.3125</v>
      </c>
      <c r="L38" s="24" t="n">
        <f aca="false">IF($K38="","",$K38*24)</f>
        <v>7.5</v>
      </c>
      <c r="M38" s="21" t="s">
        <v>31</v>
      </c>
      <c r="N38" s="25" t="n">
        <f aca="false">IF($F38="","",VLOOKUP($F38,Satz_Tabelle,2,FALSE()))</f>
        <v>110</v>
      </c>
      <c r="O38" s="25" t="n">
        <f aca="false">IF(OR($K38="",$M38&lt;&gt;"Ja"),"",ROUND($L38*$N38,2))</f>
        <v>825</v>
      </c>
      <c r="P38" s="26"/>
    </row>
    <row r="39" customFormat="false" ht="15" hidden="false" customHeight="true" outlineLevel="0" collapsed="false">
      <c r="A39" s="16" t="n">
        <f aca="false">IF($B39="","",COUNT($B$11:$B39))</f>
        <v>29</v>
      </c>
      <c r="B39" s="17" t="n">
        <v>46219</v>
      </c>
      <c r="C39" s="18" t="str">
        <f aca="false">IF($B39="","",INDEX({"Mo","Di","Mi","Do","Fr","Sa","So"},WEEKDAY($B39,2)))</f>
        <v>Do</v>
      </c>
      <c r="D39" s="18" t="n">
        <f aca="false">IF($B39="","",INT(($B39-WEEKDAY($B39,2)+4-DATE(YEAR($B39-WEEKDAY($B39,2)+4),1,1))/7)+1)</f>
        <v>29</v>
      </c>
      <c r="E39" s="19" t="s">
        <v>40</v>
      </c>
      <c r="F39" s="19" t="s">
        <v>48</v>
      </c>
      <c r="G39" s="20"/>
      <c r="H39" s="20"/>
      <c r="I39" s="21" t="n">
        <v>0</v>
      </c>
      <c r="J39" s="22" t="n">
        <v>0.177083333333333</v>
      </c>
      <c r="K39" s="23" t="n">
        <f aca="false">IF($B39="","",IF($J39&lt;&gt;"",$J39,IF(OR($G39="",$H39=""),"",MAX(0,MOD($H39-$G39,1)-$I39/1440))))</f>
        <v>0.177083333333333</v>
      </c>
      <c r="L39" s="24" t="n">
        <f aca="false">IF($K39="","",$K39*24)</f>
        <v>4.25</v>
      </c>
      <c r="M39" s="21" t="s">
        <v>31</v>
      </c>
      <c r="N39" s="25" t="n">
        <f aca="false">IF($F39="","",VLOOKUP($F39,Satz_Tabelle,2,FALSE()))</f>
        <v>45</v>
      </c>
      <c r="O39" s="25" t="n">
        <f aca="false">IF(OR($K39="",$M39&lt;&gt;"Ja"),"",ROUND($L39*$N39,2))</f>
        <v>191.25</v>
      </c>
      <c r="P39" s="26" t="s">
        <v>52</v>
      </c>
    </row>
    <row r="40" customFormat="false" ht="15" hidden="false" customHeight="true" outlineLevel="0" collapsed="false">
      <c r="A40" s="16" t="n">
        <f aca="false">IF($B40="","",COUNT($B$11:$B40))</f>
        <v>30</v>
      </c>
      <c r="B40" s="17" t="n">
        <v>46219</v>
      </c>
      <c r="C40" s="18" t="str">
        <f aca="false">IF($B40="","",INDEX({"Mo","Di","Mi","Do","Fr","Sa","So"},WEEKDAY($B40,2)))</f>
        <v>Do</v>
      </c>
      <c r="D40" s="18" t="n">
        <f aca="false">IF($B40="","",INT(($B40-WEEKDAY($B40,2)+4-DATE(YEAR($B40-WEEKDAY($B40,2)+4),1,1))/7)+1)</f>
        <v>29</v>
      </c>
      <c r="E40" s="19" t="s">
        <v>34</v>
      </c>
      <c r="F40" s="19" t="s">
        <v>35</v>
      </c>
      <c r="G40" s="20" t="n">
        <v>0.333333333333333</v>
      </c>
      <c r="H40" s="20" t="n">
        <v>0.666666666666667</v>
      </c>
      <c r="I40" s="21" t="n">
        <v>30</v>
      </c>
      <c r="J40" s="22"/>
      <c r="K40" s="23" t="n">
        <f aca="false">IF($B40="","",IF($J40&lt;&gt;"",$J40,IF(OR($G40="",$H40=""),"",MAX(0,MOD($H40-$G40,1)-$I40/1440))))</f>
        <v>0.3125</v>
      </c>
      <c r="L40" s="24" t="n">
        <f aca="false">IF($K40="","",$K40*24)</f>
        <v>7.5</v>
      </c>
      <c r="M40" s="21" t="s">
        <v>31</v>
      </c>
      <c r="N40" s="25" t="n">
        <f aca="false">IF($F40="","",VLOOKUP($F40,Satz_Tabelle,2,FALSE()))</f>
        <v>85</v>
      </c>
      <c r="O40" s="25" t="n">
        <f aca="false">IF(OR($K40="",$M40&lt;&gt;"Ja"),"",ROUND($L40*$N40,2))</f>
        <v>637.5</v>
      </c>
      <c r="P40" s="26"/>
    </row>
    <row r="41" customFormat="false" ht="15" hidden="false" customHeight="true" outlineLevel="0" collapsed="false">
      <c r="A41" s="16" t="n">
        <f aca="false">IF($B41="","",COUNT($B$11:$B41))</f>
        <v>31</v>
      </c>
      <c r="B41" s="17" t="n">
        <v>46220</v>
      </c>
      <c r="C41" s="18" t="str">
        <f aca="false">IF($B41="","",INDEX({"Mo","Di","Mi","Do","Fr","Sa","So"},WEEKDAY($B41,2)))</f>
        <v>Fr</v>
      </c>
      <c r="D41" s="18" t="n">
        <f aca="false">IF($B41="","",INT(($B41-WEEKDAY($B41,2)+4-DATE(YEAR($B41-WEEKDAY($B41,2)+4),1,1))/7)+1)</f>
        <v>29</v>
      </c>
      <c r="E41" s="19" t="s">
        <v>29</v>
      </c>
      <c r="F41" s="19" t="s">
        <v>30</v>
      </c>
      <c r="G41" s="20" t="n">
        <v>0.333333333333333</v>
      </c>
      <c r="H41" s="20" t="n">
        <v>0.604166666666667</v>
      </c>
      <c r="I41" s="21" t="n">
        <v>30</v>
      </c>
      <c r="J41" s="22"/>
      <c r="K41" s="23" t="n">
        <f aca="false">IF($B41="","",IF($J41&lt;&gt;"",$J41,IF(OR($G41="",$H41=""),"",MAX(0,MOD($H41-$G41,1)-$I41/1440))))</f>
        <v>0.25</v>
      </c>
      <c r="L41" s="24" t="n">
        <f aca="false">IF($K41="","",$K41*24)</f>
        <v>6</v>
      </c>
      <c r="M41" s="21" t="s">
        <v>31</v>
      </c>
      <c r="N41" s="25" t="n">
        <f aca="false">IF($F41="","",VLOOKUP($F41,Satz_Tabelle,2,FALSE()))</f>
        <v>95</v>
      </c>
      <c r="O41" s="25" t="n">
        <f aca="false">IF(OR($K41="",$M41&lt;&gt;"Ja"),"",ROUND($L41*$N41,2))</f>
        <v>570</v>
      </c>
      <c r="P41" s="26"/>
    </row>
    <row r="42" customFormat="false" ht="15" hidden="false" customHeight="true" outlineLevel="0" collapsed="false">
      <c r="A42" s="16" t="n">
        <f aca="false">IF($B42="","",COUNT($B$11:$B42))</f>
        <v>32</v>
      </c>
      <c r="B42" s="17" t="n">
        <v>46220</v>
      </c>
      <c r="C42" s="18" t="str">
        <f aca="false">IF($B42="","",INDEX({"Mo","Di","Mi","Do","Fr","Sa","So"},WEEKDAY($B42,2)))</f>
        <v>Fr</v>
      </c>
      <c r="D42" s="18" t="n">
        <f aca="false">IF($B42="","",INT(($B42-WEEKDAY($B42,2)+4-DATE(YEAR($B42-WEEKDAY($B42,2)+4),1,1))/7)+1)</f>
        <v>29</v>
      </c>
      <c r="E42" s="19" t="s">
        <v>43</v>
      </c>
      <c r="F42" s="19" t="s">
        <v>30</v>
      </c>
      <c r="G42" s="20" t="n">
        <v>0.375</v>
      </c>
      <c r="H42" s="20" t="n">
        <v>0.6875</v>
      </c>
      <c r="I42" s="21" t="n">
        <v>45</v>
      </c>
      <c r="J42" s="22"/>
      <c r="K42" s="23" t="n">
        <f aca="false">IF($B42="","",IF($J42&lt;&gt;"",$J42,IF(OR($G42="",$H42=""),"",MAX(0,MOD($H42-$G42,1)-$I42/1440))))</f>
        <v>0.28125</v>
      </c>
      <c r="L42" s="24" t="n">
        <f aca="false">IF($K42="","",$K42*24)</f>
        <v>6.75</v>
      </c>
      <c r="M42" s="21" t="s">
        <v>31</v>
      </c>
      <c r="N42" s="25" t="n">
        <f aca="false">IF($F42="","",VLOOKUP($F42,Satz_Tabelle,2,FALSE()))</f>
        <v>95</v>
      </c>
      <c r="O42" s="25" t="n">
        <f aca="false">IF(OR($K42="",$M42&lt;&gt;"Ja"),"",ROUND($L42*$N42,2))</f>
        <v>641.25</v>
      </c>
      <c r="P42" s="26"/>
    </row>
    <row r="43" customFormat="false" ht="15" hidden="false" customHeight="true" outlineLevel="0" collapsed="false">
      <c r="A43" s="16" t="n">
        <f aca="false">IF($B43="","",COUNT($B$11:$B43))</f>
        <v>33</v>
      </c>
      <c r="B43" s="17" t="n">
        <v>46221</v>
      </c>
      <c r="C43" s="18" t="str">
        <f aca="false">IF($B43="","",INDEX({"Mo","Di","Mi","Do","Fr","Sa","So"},WEEKDAY($B43,2)))</f>
        <v>Sa</v>
      </c>
      <c r="D43" s="18" t="n">
        <f aca="false">IF($B43="","",INT(($B43-WEEKDAY($B43,2)+4-DATE(YEAR($B43-WEEKDAY($B43,2)+4),1,1))/7)+1)</f>
        <v>29</v>
      </c>
      <c r="E43" s="19" t="s">
        <v>34</v>
      </c>
      <c r="F43" s="19" t="s">
        <v>35</v>
      </c>
      <c r="G43" s="20" t="n">
        <v>0.375</v>
      </c>
      <c r="H43" s="20" t="n">
        <v>0.541666666666667</v>
      </c>
      <c r="I43" s="21" t="n">
        <v>0</v>
      </c>
      <c r="J43" s="22"/>
      <c r="K43" s="23" t="n">
        <f aca="false">IF($B43="","",IF($J43&lt;&gt;"",$J43,IF(OR($G43="",$H43=""),"",MAX(0,MOD($H43-$G43,1)-$I43/1440))))</f>
        <v>0.166666666666667</v>
      </c>
      <c r="L43" s="24" t="n">
        <f aca="false">IF($K43="","",$K43*24)</f>
        <v>4</v>
      </c>
      <c r="M43" s="21" t="s">
        <v>31</v>
      </c>
      <c r="N43" s="25" t="n">
        <f aca="false">IF($F43="","",VLOOKUP($F43,Satz_Tabelle,2,FALSE()))</f>
        <v>85</v>
      </c>
      <c r="O43" s="25" t="n">
        <f aca="false">IF(OR($K43="",$M43&lt;&gt;"Ja"),"",ROUND($L43*$N43,2))</f>
        <v>340</v>
      </c>
      <c r="P43" s="26" t="s">
        <v>53</v>
      </c>
    </row>
    <row r="44" customFormat="false" ht="15" hidden="false" customHeight="true" outlineLevel="0" collapsed="false">
      <c r="A44" s="16" t="n">
        <f aca="false">IF($B44="","",COUNT($B$11:$B44))</f>
        <v>34</v>
      </c>
      <c r="B44" s="17" t="n">
        <v>46223</v>
      </c>
      <c r="C44" s="18" t="str">
        <f aca="false">IF($B44="","",INDEX({"Mo","Di","Mi","Do","Fr","Sa","So"},WEEKDAY($B44,2)))</f>
        <v>Mo</v>
      </c>
      <c r="D44" s="18" t="n">
        <f aca="false">IF($B44="","",INT(($B44-WEEKDAY($B44,2)+4-DATE(YEAR($B44-WEEKDAY($B44,2)+4),1,1))/7)+1)</f>
        <v>30</v>
      </c>
      <c r="E44" s="19" t="s">
        <v>29</v>
      </c>
      <c r="F44" s="19" t="s">
        <v>30</v>
      </c>
      <c r="G44" s="20" t="n">
        <v>0.333333333333333</v>
      </c>
      <c r="H44" s="20" t="n">
        <v>0.708333333333333</v>
      </c>
      <c r="I44" s="21" t="n">
        <v>45</v>
      </c>
      <c r="J44" s="22"/>
      <c r="K44" s="23" t="n">
        <f aca="false">IF($B44="","",IF($J44&lt;&gt;"",$J44,IF(OR($G44="",$H44=""),"",MAX(0,MOD($H44-$G44,1)-$I44/1440))))</f>
        <v>0.34375</v>
      </c>
      <c r="L44" s="24" t="n">
        <f aca="false">IF($K44="","",$K44*24)</f>
        <v>8.25</v>
      </c>
      <c r="M44" s="21" t="s">
        <v>31</v>
      </c>
      <c r="N44" s="25" t="n">
        <f aca="false">IF($F44="","",VLOOKUP($F44,Satz_Tabelle,2,FALSE()))</f>
        <v>95</v>
      </c>
      <c r="O44" s="25" t="n">
        <f aca="false">IF(OR($K44="",$M44&lt;&gt;"Ja"),"",ROUND($L44*$N44,2))</f>
        <v>783.75</v>
      </c>
      <c r="P44" s="26"/>
    </row>
    <row r="45" customFormat="false" ht="15" hidden="false" customHeight="true" outlineLevel="0" collapsed="false">
      <c r="A45" s="16" t="n">
        <f aca="false">IF($B45="","",COUNT($B$11:$B45))</f>
        <v>35</v>
      </c>
      <c r="B45" s="17" t="n">
        <v>46223</v>
      </c>
      <c r="C45" s="18" t="str">
        <f aca="false">IF($B45="","",INDEX({"Mo","Di","Mi","Do","Fr","Sa","So"},WEEKDAY($B45,2)))</f>
        <v>Mo</v>
      </c>
      <c r="D45" s="18" t="n">
        <f aca="false">IF($B45="","",INT(($B45-WEEKDAY($B45,2)+4-DATE(YEAR($B45-WEEKDAY($B45,2)+4),1,1))/7)+1)</f>
        <v>30</v>
      </c>
      <c r="E45" s="19" t="s">
        <v>36</v>
      </c>
      <c r="F45" s="19" t="s">
        <v>37</v>
      </c>
      <c r="G45" s="20" t="n">
        <v>0.333333333333333</v>
      </c>
      <c r="H45" s="20" t="n">
        <v>0.666666666666667</v>
      </c>
      <c r="I45" s="21" t="n">
        <v>30</v>
      </c>
      <c r="J45" s="22"/>
      <c r="K45" s="23" t="n">
        <f aca="false">IF($B45="","",IF($J45&lt;&gt;"",$J45,IF(OR($G45="",$H45=""),"",MAX(0,MOD($H45-$G45,1)-$I45/1440))))</f>
        <v>0.3125</v>
      </c>
      <c r="L45" s="24" t="n">
        <f aca="false">IF($K45="","",$K45*24)</f>
        <v>7.5</v>
      </c>
      <c r="M45" s="21" t="s">
        <v>38</v>
      </c>
      <c r="N45" s="25" t="n">
        <f aca="false">IF($F45="","",VLOOKUP($F45,Satz_Tabelle,2,FALSE()))</f>
        <v>55</v>
      </c>
      <c r="O45" s="25" t="str">
        <f aca="false">IF(OR($K45="",$M45&lt;&gt;"Ja"),"",ROUND($L45*$N45,2))</f>
        <v/>
      </c>
      <c r="P45" s="26"/>
    </row>
    <row r="46" customFormat="false" ht="15" hidden="false" customHeight="true" outlineLevel="0" collapsed="false">
      <c r="A46" s="16" t="n">
        <f aca="false">IF($B46="","",COUNT($B$11:$B46))</f>
        <v>36</v>
      </c>
      <c r="B46" s="17" t="n">
        <v>46223</v>
      </c>
      <c r="C46" s="18" t="str">
        <f aca="false">IF($B46="","",INDEX({"Mo","Di","Mi","Do","Fr","Sa","So"},WEEKDAY($B46,2)))</f>
        <v>Mo</v>
      </c>
      <c r="D46" s="18" t="n">
        <f aca="false">IF($B46="","",INT(($B46-WEEKDAY($B46,2)+4-DATE(YEAR($B46-WEEKDAY($B46,2)+4),1,1))/7)+1)</f>
        <v>30</v>
      </c>
      <c r="E46" s="19" t="s">
        <v>32</v>
      </c>
      <c r="F46" s="19" t="s">
        <v>33</v>
      </c>
      <c r="G46" s="20" t="n">
        <v>0.375</v>
      </c>
      <c r="H46" s="20" t="n">
        <v>0.729166666666667</v>
      </c>
      <c r="I46" s="21" t="n">
        <v>30</v>
      </c>
      <c r="J46" s="22"/>
      <c r="K46" s="23" t="n">
        <f aca="false">IF($B46="","",IF($J46&lt;&gt;"",$J46,IF(OR($G46="",$H46=""),"",MAX(0,MOD($H46-$G46,1)-$I46/1440))))</f>
        <v>0.333333333333333</v>
      </c>
      <c r="L46" s="24" t="n">
        <f aca="false">IF($K46="","",$K46*24)</f>
        <v>8</v>
      </c>
      <c r="M46" s="21" t="s">
        <v>31</v>
      </c>
      <c r="N46" s="25" t="n">
        <f aca="false">IF($F46="","",VLOOKUP($F46,Satz_Tabelle,2,FALSE()))</f>
        <v>110</v>
      </c>
      <c r="O46" s="25" t="n">
        <f aca="false">IF(OR($K46="",$M46&lt;&gt;"Ja"),"",ROUND($L46*$N46,2))</f>
        <v>880</v>
      </c>
      <c r="P46" s="26"/>
    </row>
    <row r="47" customFormat="false" ht="15" hidden="false" customHeight="true" outlineLevel="0" collapsed="false">
      <c r="A47" s="16" t="n">
        <f aca="false">IF($B47="","",COUNT($B$11:$B47))</f>
        <v>37</v>
      </c>
      <c r="B47" s="17" t="n">
        <v>46224</v>
      </c>
      <c r="C47" s="18" t="str">
        <f aca="false">IF($B47="","",INDEX({"Mo","Di","Mi","Do","Fr","Sa","So"},WEEKDAY($B47,2)))</f>
        <v>Di</v>
      </c>
      <c r="D47" s="18" t="n">
        <f aca="false">IF($B47="","",INT(($B47-WEEKDAY($B47,2)+4-DATE(YEAR($B47-WEEKDAY($B47,2)+4),1,1))/7)+1)</f>
        <v>30</v>
      </c>
      <c r="E47" s="19" t="s">
        <v>40</v>
      </c>
      <c r="F47" s="19" t="s">
        <v>41</v>
      </c>
      <c r="G47" s="20" t="n">
        <v>0.375</v>
      </c>
      <c r="H47" s="20" t="n">
        <v>0.75</v>
      </c>
      <c r="I47" s="21" t="n">
        <v>45</v>
      </c>
      <c r="J47" s="22"/>
      <c r="K47" s="23" t="n">
        <f aca="false">IF($B47="","",IF($J47&lt;&gt;"",$J47,IF(OR($G47="",$H47=""),"",MAX(0,MOD($H47-$G47,1)-$I47/1440))))</f>
        <v>0.34375</v>
      </c>
      <c r="L47" s="24" t="n">
        <f aca="false">IF($K47="","",$K47*24)</f>
        <v>8.25</v>
      </c>
      <c r="M47" s="21" t="s">
        <v>31</v>
      </c>
      <c r="N47" s="25" t="n">
        <f aca="false">IF($F47="","",VLOOKUP($F47,Satz_Tabelle,2,FALSE()))</f>
        <v>75</v>
      </c>
      <c r="O47" s="25" t="n">
        <f aca="false">IF(OR($K47="",$M47&lt;&gt;"Ja"),"",ROUND($L47*$N47,2))</f>
        <v>618.75</v>
      </c>
      <c r="P47" s="26"/>
    </row>
    <row r="48" customFormat="false" ht="15" hidden="false" customHeight="true" outlineLevel="0" collapsed="false">
      <c r="A48" s="16" t="n">
        <f aca="false">IF($B48="","",COUNT($B$11:$B48))</f>
        <v>38</v>
      </c>
      <c r="B48" s="17" t="n">
        <v>46224</v>
      </c>
      <c r="C48" s="18" t="str">
        <f aca="false">IF($B48="","",INDEX({"Mo","Di","Mi","Do","Fr","Sa","So"},WEEKDAY($B48,2)))</f>
        <v>Di</v>
      </c>
      <c r="D48" s="18" t="n">
        <f aca="false">IF($B48="","",INT(($B48-WEEKDAY($B48,2)+4-DATE(YEAR($B48-WEEKDAY($B48,2)+4),1,1))/7)+1)</f>
        <v>30</v>
      </c>
      <c r="E48" s="19" t="s">
        <v>43</v>
      </c>
      <c r="F48" s="19" t="s">
        <v>44</v>
      </c>
      <c r="G48" s="20" t="n">
        <v>0.375</v>
      </c>
      <c r="H48" s="20" t="n">
        <v>0.625</v>
      </c>
      <c r="I48" s="21" t="n">
        <v>30</v>
      </c>
      <c r="J48" s="22"/>
      <c r="K48" s="23" t="n">
        <f aca="false">IF($B48="","",IF($J48&lt;&gt;"",$J48,IF(OR($G48="",$H48=""),"",MAX(0,MOD($H48-$G48,1)-$I48/1440))))</f>
        <v>0.229166666666667</v>
      </c>
      <c r="L48" s="24" t="n">
        <f aca="false">IF($K48="","",$K48*24)</f>
        <v>5.5</v>
      </c>
      <c r="M48" s="21" t="s">
        <v>38</v>
      </c>
      <c r="N48" s="25" t="n">
        <f aca="false">IF($F48="","",VLOOKUP($F48,Satz_Tabelle,2,FALSE()))</f>
        <v>70</v>
      </c>
      <c r="O48" s="25" t="str">
        <f aca="false">IF(OR($K48="",$M48&lt;&gt;"Ja"),"",ROUND($L48*$N48,2))</f>
        <v/>
      </c>
      <c r="P48" s="26"/>
    </row>
    <row r="49" customFormat="false" ht="15" hidden="false" customHeight="true" outlineLevel="0" collapsed="false">
      <c r="A49" s="16" t="n">
        <f aca="false">IF($B49="","",COUNT($B$11:$B49))</f>
        <v>39</v>
      </c>
      <c r="B49" s="17" t="n">
        <v>46225</v>
      </c>
      <c r="C49" s="18" t="str">
        <f aca="false">IF($B49="","",INDEX({"Mo","Di","Mi","Do","Fr","Sa","So"},WEEKDAY($B49,2)))</f>
        <v>Mi</v>
      </c>
      <c r="D49" s="18" t="n">
        <f aca="false">IF($B49="","",INT(($B49-WEEKDAY($B49,2)+4-DATE(YEAR($B49-WEEKDAY($B49,2)+4),1,1))/7)+1)</f>
        <v>30</v>
      </c>
      <c r="E49" s="19" t="s">
        <v>29</v>
      </c>
      <c r="F49" s="19" t="s">
        <v>30</v>
      </c>
      <c r="G49" s="20" t="n">
        <v>0.322916666666667</v>
      </c>
      <c r="H49" s="20" t="n">
        <v>0.677083333333333</v>
      </c>
      <c r="I49" s="21" t="n">
        <v>30</v>
      </c>
      <c r="J49" s="22"/>
      <c r="K49" s="23" t="n">
        <f aca="false">IF($B49="","",IF($J49&lt;&gt;"",$J49,IF(OR($G49="",$H49=""),"",MAX(0,MOD($H49-$G49,1)-$I49/1440))))</f>
        <v>0.333333333333333</v>
      </c>
      <c r="L49" s="24" t="n">
        <f aca="false">IF($K49="","",$K49*24)</f>
        <v>8</v>
      </c>
      <c r="M49" s="21" t="s">
        <v>31</v>
      </c>
      <c r="N49" s="25" t="n">
        <f aca="false">IF($F49="","",VLOOKUP($F49,Satz_Tabelle,2,FALSE()))</f>
        <v>95</v>
      </c>
      <c r="O49" s="25" t="n">
        <f aca="false">IF(OR($K49="",$M49&lt;&gt;"Ja"),"",ROUND($L49*$N49,2))</f>
        <v>760</v>
      </c>
      <c r="P49" s="26"/>
    </row>
    <row r="50" customFormat="false" ht="15" hidden="false" customHeight="true" outlineLevel="0" collapsed="false">
      <c r="A50" s="16" t="n">
        <f aca="false">IF($B50="","",COUNT($B$11:$B50))</f>
        <v>40</v>
      </c>
      <c r="B50" s="17" t="n">
        <v>46225</v>
      </c>
      <c r="C50" s="18" t="str">
        <f aca="false">IF($B50="","",INDEX({"Mo","Di","Mi","Do","Fr","Sa","So"},WEEKDAY($B50,2)))</f>
        <v>Mi</v>
      </c>
      <c r="D50" s="18" t="n">
        <f aca="false">IF($B50="","",INT(($B50-WEEKDAY($B50,2)+4-DATE(YEAR($B50-WEEKDAY($B50,2)+4),1,1))/7)+1)</f>
        <v>30</v>
      </c>
      <c r="E50" s="19" t="s">
        <v>34</v>
      </c>
      <c r="F50" s="19" t="s">
        <v>35</v>
      </c>
      <c r="G50" s="20" t="n">
        <v>0.3125</v>
      </c>
      <c r="H50" s="20" t="n">
        <v>0.6875</v>
      </c>
      <c r="I50" s="21" t="n">
        <v>45</v>
      </c>
      <c r="J50" s="22"/>
      <c r="K50" s="23" t="n">
        <f aca="false">IF($B50="","",IF($J50&lt;&gt;"",$J50,IF(OR($G50="",$H50=""),"",MAX(0,MOD($H50-$G50,1)-$I50/1440))))</f>
        <v>0.34375</v>
      </c>
      <c r="L50" s="24" t="n">
        <f aca="false">IF($K50="","",$K50*24)</f>
        <v>8.25</v>
      </c>
      <c r="M50" s="21" t="s">
        <v>31</v>
      </c>
      <c r="N50" s="25" t="n">
        <f aca="false">IF($F50="","",VLOOKUP($F50,Satz_Tabelle,2,FALSE()))</f>
        <v>85</v>
      </c>
      <c r="O50" s="25" t="n">
        <f aca="false">IF(OR($K50="",$M50&lt;&gt;"Ja"),"",ROUND($L50*$N50,2))</f>
        <v>701.25</v>
      </c>
      <c r="P50" s="26"/>
    </row>
    <row r="51" customFormat="false" ht="15" hidden="false" customHeight="true" outlineLevel="0" collapsed="false">
      <c r="A51" s="16" t="n">
        <f aca="false">IF($B51="","",COUNT($B$11:$B51))</f>
        <v>41</v>
      </c>
      <c r="B51" s="17" t="n">
        <v>46226</v>
      </c>
      <c r="C51" s="18" t="str">
        <f aca="false">IF($B51="","",INDEX({"Mo","Di","Mi","Do","Fr","Sa","So"},WEEKDAY($B51,2)))</f>
        <v>Do</v>
      </c>
      <c r="D51" s="18" t="n">
        <f aca="false">IF($B51="","",INT(($B51-WEEKDAY($B51,2)+4-DATE(YEAR($B51-WEEKDAY($B51,2)+4),1,1))/7)+1)</f>
        <v>30</v>
      </c>
      <c r="E51" s="19" t="s">
        <v>32</v>
      </c>
      <c r="F51" s="19" t="s">
        <v>33</v>
      </c>
      <c r="G51" s="20" t="n">
        <v>0.354166666666667</v>
      </c>
      <c r="H51" s="20" t="n">
        <v>0.666666666666667</v>
      </c>
      <c r="I51" s="21" t="n">
        <v>30</v>
      </c>
      <c r="J51" s="22"/>
      <c r="K51" s="23" t="n">
        <f aca="false">IF($B51="","",IF($J51&lt;&gt;"",$J51,IF(OR($G51="",$H51=""),"",MAX(0,MOD($H51-$G51,1)-$I51/1440))))</f>
        <v>0.291666666666667</v>
      </c>
      <c r="L51" s="24" t="n">
        <f aca="false">IF($K51="","",$K51*24)</f>
        <v>7</v>
      </c>
      <c r="M51" s="21" t="s">
        <v>31</v>
      </c>
      <c r="N51" s="25" t="n">
        <f aca="false">IF($F51="","",VLOOKUP($F51,Satz_Tabelle,2,FALSE()))</f>
        <v>110</v>
      </c>
      <c r="O51" s="25" t="n">
        <f aca="false">IF(OR($K51="",$M51&lt;&gt;"Ja"),"",ROUND($L51*$N51,2))</f>
        <v>770</v>
      </c>
      <c r="P51" s="26"/>
    </row>
    <row r="52" customFormat="false" ht="15" hidden="false" customHeight="true" outlineLevel="0" collapsed="false">
      <c r="A52" s="16" t="n">
        <f aca="false">IF($B52="","",COUNT($B$11:$B52))</f>
        <v>42</v>
      </c>
      <c r="B52" s="17" t="n">
        <v>46226</v>
      </c>
      <c r="C52" s="18" t="str">
        <f aca="false">IF($B52="","",INDEX({"Mo","Di","Mi","Do","Fr","Sa","So"},WEEKDAY($B52,2)))</f>
        <v>Do</v>
      </c>
      <c r="D52" s="18" t="n">
        <f aca="false">IF($B52="","",INT(($B52-WEEKDAY($B52,2)+4-DATE(YEAR($B52-WEEKDAY($B52,2)+4),1,1))/7)+1)</f>
        <v>30</v>
      </c>
      <c r="E52" s="19" t="s">
        <v>36</v>
      </c>
      <c r="F52" s="19" t="s">
        <v>54</v>
      </c>
      <c r="G52" s="20" t="n">
        <v>0.541666666666667</v>
      </c>
      <c r="H52" s="20" t="n">
        <v>0.708333333333333</v>
      </c>
      <c r="I52" s="21" t="n">
        <v>0</v>
      </c>
      <c r="J52" s="22"/>
      <c r="K52" s="23" t="n">
        <f aca="false">IF($B52="","",IF($J52&lt;&gt;"",$J52,IF(OR($G52="",$H52=""),"",MAX(0,MOD($H52-$G52,1)-$I52/1440))))</f>
        <v>0.166666666666667</v>
      </c>
      <c r="L52" s="24" t="n">
        <f aca="false">IF($K52="","",$K52*24)</f>
        <v>4</v>
      </c>
      <c r="M52" s="21" t="s">
        <v>38</v>
      </c>
      <c r="N52" s="25" t="n">
        <f aca="false">IF($F52="","",VLOOKUP($F52,Satz_Tabelle,2,FALSE()))</f>
        <v>50</v>
      </c>
      <c r="O52" s="25" t="str">
        <f aca="false">IF(OR($K52="",$M52&lt;&gt;"Ja"),"",ROUND($L52*$N52,2))</f>
        <v/>
      </c>
      <c r="P52" s="26" t="s">
        <v>55</v>
      </c>
    </row>
    <row r="53" customFormat="false" ht="15" hidden="false" customHeight="true" outlineLevel="0" collapsed="false">
      <c r="A53" s="16" t="n">
        <f aca="false">IF($B53="","",COUNT($B$11:$B53))</f>
        <v>43</v>
      </c>
      <c r="B53" s="17" t="n">
        <v>46227</v>
      </c>
      <c r="C53" s="18" t="str">
        <f aca="false">IF($B53="","",INDEX({"Mo","Di","Mi","Do","Fr","Sa","So"},WEEKDAY($B53,2)))</f>
        <v>Fr</v>
      </c>
      <c r="D53" s="18" t="n">
        <f aca="false">IF($B53="","",INT(($B53-WEEKDAY($B53,2)+4-DATE(YEAR($B53-WEEKDAY($B53,2)+4),1,1))/7)+1)</f>
        <v>30</v>
      </c>
      <c r="E53" s="19" t="s">
        <v>29</v>
      </c>
      <c r="F53" s="19" t="s">
        <v>30</v>
      </c>
      <c r="G53" s="20" t="n">
        <v>0.333333333333333</v>
      </c>
      <c r="H53" s="20" t="n">
        <v>0.645833333333333</v>
      </c>
      <c r="I53" s="21" t="n">
        <v>30</v>
      </c>
      <c r="J53" s="22"/>
      <c r="K53" s="23" t="n">
        <f aca="false">IF($B53="","",IF($J53&lt;&gt;"",$J53,IF(OR($G53="",$H53=""),"",MAX(0,MOD($H53-$G53,1)-$I53/1440))))</f>
        <v>0.291666666666667</v>
      </c>
      <c r="L53" s="24" t="n">
        <f aca="false">IF($K53="","",$K53*24)</f>
        <v>7</v>
      </c>
      <c r="M53" s="21" t="s">
        <v>31</v>
      </c>
      <c r="N53" s="25" t="n">
        <f aca="false">IF($F53="","",VLOOKUP($F53,Satz_Tabelle,2,FALSE()))</f>
        <v>95</v>
      </c>
      <c r="O53" s="25" t="n">
        <f aca="false">IF(OR($K53="",$M53&lt;&gt;"Ja"),"",ROUND($L53*$N53,2))</f>
        <v>665</v>
      </c>
      <c r="P53" s="26"/>
    </row>
    <row r="54" customFormat="false" ht="15" hidden="false" customHeight="true" outlineLevel="0" collapsed="false">
      <c r="A54" s="16" t="n">
        <f aca="false">IF($B54="","",COUNT($B$11:$B54))</f>
        <v>44</v>
      </c>
      <c r="B54" s="17" t="n">
        <v>46227</v>
      </c>
      <c r="C54" s="18" t="str">
        <f aca="false">IF($B54="","",INDEX({"Mo","Di","Mi","Do","Fr","Sa","So"},WEEKDAY($B54,2)))</f>
        <v>Fr</v>
      </c>
      <c r="D54" s="18" t="n">
        <f aca="false">IF($B54="","",INT(($B54-WEEKDAY($B54,2)+4-DATE(YEAR($B54-WEEKDAY($B54,2)+4),1,1))/7)+1)</f>
        <v>30</v>
      </c>
      <c r="E54" s="19" t="s">
        <v>40</v>
      </c>
      <c r="F54" s="19" t="s">
        <v>48</v>
      </c>
      <c r="G54" s="20" t="n">
        <v>0.645833333333333</v>
      </c>
      <c r="H54" s="20" t="n">
        <v>0.791666666666667</v>
      </c>
      <c r="I54" s="21" t="n">
        <v>0</v>
      </c>
      <c r="J54" s="22"/>
      <c r="K54" s="23" t="n">
        <f aca="false">IF($B54="","",IF($J54&lt;&gt;"",$J54,IF(OR($G54="",$H54=""),"",MAX(0,MOD($H54-$G54,1)-$I54/1440))))</f>
        <v>0.145833333333333</v>
      </c>
      <c r="L54" s="24" t="n">
        <f aca="false">IF($K54="","",$K54*24)</f>
        <v>3.5</v>
      </c>
      <c r="M54" s="21" t="s">
        <v>31</v>
      </c>
      <c r="N54" s="25" t="n">
        <f aca="false">IF($F54="","",VLOOKUP($F54,Satz_Tabelle,2,FALSE()))</f>
        <v>45</v>
      </c>
      <c r="O54" s="25" t="n">
        <f aca="false">IF(OR($K54="",$M54&lt;&gt;"Ja"),"",ROUND($L54*$N54,2))</f>
        <v>157.5</v>
      </c>
      <c r="P54" s="26"/>
    </row>
    <row r="55" customFormat="false" ht="15" hidden="false" customHeight="true" outlineLevel="0" collapsed="false">
      <c r="A55" s="16" t="n">
        <f aca="false">IF($B55="","",COUNT($B$11:$B55))</f>
        <v>45</v>
      </c>
      <c r="B55" s="17" t="n">
        <v>46230</v>
      </c>
      <c r="C55" s="18" t="str">
        <f aca="false">IF($B55="","",INDEX({"Mo","Di","Mi","Do","Fr","Sa","So"},WEEKDAY($B55,2)))</f>
        <v>Mo</v>
      </c>
      <c r="D55" s="18" t="n">
        <f aca="false">IF($B55="","",INT(($B55-WEEKDAY($B55,2)+4-DATE(YEAR($B55-WEEKDAY($B55,2)+4),1,1))/7)+1)</f>
        <v>31</v>
      </c>
      <c r="E55" s="19" t="s">
        <v>29</v>
      </c>
      <c r="F55" s="19" t="s">
        <v>30</v>
      </c>
      <c r="G55" s="20" t="n">
        <v>0.333333333333333</v>
      </c>
      <c r="H55" s="20" t="n">
        <v>0.6875</v>
      </c>
      <c r="I55" s="21" t="n">
        <v>30</v>
      </c>
      <c r="J55" s="22"/>
      <c r="K55" s="23" t="n">
        <f aca="false">IF($B55="","",IF($J55&lt;&gt;"",$J55,IF(OR($G55="",$H55=""),"",MAX(0,MOD($H55-$G55,1)-$I55/1440))))</f>
        <v>0.333333333333333</v>
      </c>
      <c r="L55" s="24" t="n">
        <f aca="false">IF($K55="","",$K55*24)</f>
        <v>8</v>
      </c>
      <c r="M55" s="21" t="s">
        <v>31</v>
      </c>
      <c r="N55" s="25" t="n">
        <f aca="false">IF($F55="","",VLOOKUP($F55,Satz_Tabelle,2,FALSE()))</f>
        <v>95</v>
      </c>
      <c r="O55" s="25" t="n">
        <f aca="false">IF(OR($K55="",$M55&lt;&gt;"Ja"),"",ROUND($L55*$N55,2))</f>
        <v>760</v>
      </c>
      <c r="P55" s="26"/>
    </row>
    <row r="56" customFormat="false" ht="15" hidden="false" customHeight="true" outlineLevel="0" collapsed="false">
      <c r="A56" s="16" t="n">
        <f aca="false">IF($B56="","",COUNT($B$11:$B56))</f>
        <v>46</v>
      </c>
      <c r="B56" s="17" t="n">
        <v>46230</v>
      </c>
      <c r="C56" s="18" t="str">
        <f aca="false">IF($B56="","",INDEX({"Mo","Di","Mi","Do","Fr","Sa","So"},WEEKDAY($B56,2)))</f>
        <v>Mo</v>
      </c>
      <c r="D56" s="18" t="n">
        <f aca="false">IF($B56="","",INT(($B56-WEEKDAY($B56,2)+4-DATE(YEAR($B56-WEEKDAY($B56,2)+4),1,1))/7)+1)</f>
        <v>31</v>
      </c>
      <c r="E56" s="19" t="s">
        <v>43</v>
      </c>
      <c r="F56" s="19" t="s">
        <v>30</v>
      </c>
      <c r="G56" s="20" t="n">
        <v>0.354166666666667</v>
      </c>
      <c r="H56" s="20" t="n">
        <v>0.708333333333333</v>
      </c>
      <c r="I56" s="21" t="n">
        <v>45</v>
      </c>
      <c r="J56" s="22"/>
      <c r="K56" s="23" t="n">
        <f aca="false">IF($B56="","",IF($J56&lt;&gt;"",$J56,IF(OR($G56="",$H56=""),"",MAX(0,MOD($H56-$G56,1)-$I56/1440))))</f>
        <v>0.322916666666667</v>
      </c>
      <c r="L56" s="24" t="n">
        <f aca="false">IF($K56="","",$K56*24)</f>
        <v>7.75</v>
      </c>
      <c r="M56" s="21" t="s">
        <v>31</v>
      </c>
      <c r="N56" s="25" t="n">
        <f aca="false">IF($F56="","",VLOOKUP($F56,Satz_Tabelle,2,FALSE()))</f>
        <v>95</v>
      </c>
      <c r="O56" s="25" t="n">
        <f aca="false">IF(OR($K56="",$M56&lt;&gt;"Ja"),"",ROUND($L56*$N56,2))</f>
        <v>736.25</v>
      </c>
      <c r="P56" s="26"/>
    </row>
    <row r="57" customFormat="false" ht="15" hidden="false" customHeight="true" outlineLevel="0" collapsed="false">
      <c r="A57" s="16" t="n">
        <f aca="false">IF($B57="","",COUNT($B$11:$B57))</f>
        <v>47</v>
      </c>
      <c r="B57" s="17" t="n">
        <v>46231</v>
      </c>
      <c r="C57" s="18" t="str">
        <f aca="false">IF($B57="","",INDEX({"Mo","Di","Mi","Do","Fr","Sa","So"},WEEKDAY($B57,2)))</f>
        <v>Di</v>
      </c>
      <c r="D57" s="18" t="n">
        <f aca="false">IF($B57="","",INT(($B57-WEEKDAY($B57,2)+4-DATE(YEAR($B57-WEEKDAY($B57,2)+4),1,1))/7)+1)</f>
        <v>31</v>
      </c>
      <c r="E57" s="19" t="s">
        <v>32</v>
      </c>
      <c r="F57" s="19" t="s">
        <v>33</v>
      </c>
      <c r="G57" s="20"/>
      <c r="H57" s="20"/>
      <c r="I57" s="21" t="n">
        <v>0</v>
      </c>
      <c r="J57" s="22" t="n">
        <v>0.25</v>
      </c>
      <c r="K57" s="23" t="n">
        <f aca="false">IF($B57="","",IF($J57&lt;&gt;"",$J57,IF(OR($G57="",$H57=""),"",MAX(0,MOD($H57-$G57,1)-$I57/1440))))</f>
        <v>0.25</v>
      </c>
      <c r="L57" s="24" t="n">
        <f aca="false">IF($K57="","",$K57*24)</f>
        <v>6</v>
      </c>
      <c r="M57" s="21" t="s">
        <v>31</v>
      </c>
      <c r="N57" s="25" t="n">
        <f aca="false">IF($F57="","",VLOOKUP($F57,Satz_Tabelle,2,FALSE()))</f>
        <v>110</v>
      </c>
      <c r="O57" s="25" t="n">
        <f aca="false">IF(OR($K57="",$M57&lt;&gt;"Ja"),"",ROUND($L57*$N57,2))</f>
        <v>660</v>
      </c>
      <c r="P57" s="26" t="s">
        <v>56</v>
      </c>
    </row>
    <row r="58" customFormat="false" ht="15" hidden="false" customHeight="true" outlineLevel="0" collapsed="false">
      <c r="A58" s="16" t="n">
        <f aca="false">IF($B58="","",COUNT($B$11:$B58))</f>
        <v>48</v>
      </c>
      <c r="B58" s="17" t="n">
        <v>46231</v>
      </c>
      <c r="C58" s="18" t="str">
        <f aca="false">IF($B58="","",INDEX({"Mo","Di","Mi","Do","Fr","Sa","So"},WEEKDAY($B58,2)))</f>
        <v>Di</v>
      </c>
      <c r="D58" s="18" t="n">
        <f aca="false">IF($B58="","",INT(($B58-WEEKDAY($B58,2)+4-DATE(YEAR($B58-WEEKDAY($B58,2)+4),1,1))/7)+1)</f>
        <v>31</v>
      </c>
      <c r="E58" s="19" t="s">
        <v>34</v>
      </c>
      <c r="F58" s="19" t="s">
        <v>35</v>
      </c>
      <c r="G58" s="20" t="n">
        <v>0.3125</v>
      </c>
      <c r="H58" s="20" t="n">
        <v>0.625</v>
      </c>
      <c r="I58" s="21" t="n">
        <v>30</v>
      </c>
      <c r="J58" s="22"/>
      <c r="K58" s="23" t="n">
        <f aca="false">IF($B58="","",IF($J58&lt;&gt;"",$J58,IF(OR($G58="",$H58=""),"",MAX(0,MOD($H58-$G58,1)-$I58/1440))))</f>
        <v>0.291666666666667</v>
      </c>
      <c r="L58" s="24" t="n">
        <f aca="false">IF($K58="","",$K58*24)</f>
        <v>7</v>
      </c>
      <c r="M58" s="21" t="s">
        <v>31</v>
      </c>
      <c r="N58" s="25" t="n">
        <f aca="false">IF($F58="","",VLOOKUP($F58,Satz_Tabelle,2,FALSE()))</f>
        <v>85</v>
      </c>
      <c r="O58" s="25" t="n">
        <f aca="false">IF(OR($K58="",$M58&lt;&gt;"Ja"),"",ROUND($L58*$N58,2))</f>
        <v>595</v>
      </c>
      <c r="P58" s="26"/>
    </row>
    <row r="59" customFormat="false" ht="15" hidden="false" customHeight="true" outlineLevel="0" collapsed="false">
      <c r="A59" s="16" t="str">
        <f aca="false">IF($B59="","",COUNT($B$11:$B59))</f>
        <v/>
      </c>
      <c r="B59" s="17"/>
      <c r="C59" s="18" t="str">
        <f aca="false">IF($B59="","",INDEX({"Mo","Di","Mi","Do","Fr","Sa","So"},WEEKDAY($B59,2)))</f>
        <v/>
      </c>
      <c r="D59" s="18" t="str">
        <f aca="false">IF($B59="","",INT(($B59-WEEKDAY($B59,2)+4-DATE(YEAR($B59-WEEKDAY($B59,2)+4),1,1))/7)+1)</f>
        <v/>
      </c>
      <c r="E59" s="19"/>
      <c r="F59" s="19"/>
      <c r="G59" s="20"/>
      <c r="H59" s="20"/>
      <c r="I59" s="21"/>
      <c r="J59" s="22"/>
      <c r="K59" s="23" t="str">
        <f aca="false">IF($B59="","",IF($J59&lt;&gt;"",$J59,IF(OR($G59="",$H59=""),"",MAX(0,MOD($H59-$G59,1)-$I59/1440))))</f>
        <v/>
      </c>
      <c r="L59" s="24" t="str">
        <f aca="false">IF($K59="","",$K59*24)</f>
        <v/>
      </c>
      <c r="M59" s="21"/>
      <c r="N59" s="25" t="str">
        <f aca="false">IF($F59="","",VLOOKUP($F59,Satz_Tabelle,2,FALSE()))</f>
        <v/>
      </c>
      <c r="O59" s="25" t="str">
        <f aca="false">IF(OR($K59="",$M59&lt;&gt;"Ja"),"",ROUND($L59*$N59,2))</f>
        <v/>
      </c>
      <c r="P59" s="26"/>
    </row>
    <row r="60" customFormat="false" ht="15" hidden="false" customHeight="true" outlineLevel="0" collapsed="false">
      <c r="A60" s="16" t="str">
        <f aca="false">IF($B60="","",COUNT($B$11:$B60))</f>
        <v/>
      </c>
      <c r="B60" s="17"/>
      <c r="C60" s="18" t="str">
        <f aca="false">IF($B60="","",INDEX({"Mo","Di","Mi","Do","Fr","Sa","So"},WEEKDAY($B60,2)))</f>
        <v/>
      </c>
      <c r="D60" s="18" t="str">
        <f aca="false">IF($B60="","",INT(($B60-WEEKDAY($B60,2)+4-DATE(YEAR($B60-WEEKDAY($B60,2)+4),1,1))/7)+1)</f>
        <v/>
      </c>
      <c r="E60" s="19"/>
      <c r="F60" s="19"/>
      <c r="G60" s="20"/>
      <c r="H60" s="20"/>
      <c r="I60" s="21"/>
      <c r="J60" s="22"/>
      <c r="K60" s="23" t="str">
        <f aca="false">IF($B60="","",IF($J60&lt;&gt;"",$J60,IF(OR($G60="",$H60=""),"",MAX(0,MOD($H60-$G60,1)-$I60/1440))))</f>
        <v/>
      </c>
      <c r="L60" s="24" t="str">
        <f aca="false">IF($K60="","",$K60*24)</f>
        <v/>
      </c>
      <c r="M60" s="21"/>
      <c r="N60" s="25" t="str">
        <f aca="false">IF($F60="","",VLOOKUP($F60,Satz_Tabelle,2,FALSE()))</f>
        <v/>
      </c>
      <c r="O60" s="25" t="str">
        <f aca="false">IF(OR($K60="",$M60&lt;&gt;"Ja"),"",ROUND($L60*$N60,2))</f>
        <v/>
      </c>
      <c r="P60" s="26"/>
    </row>
    <row r="61" customFormat="false" ht="15" hidden="false" customHeight="true" outlineLevel="0" collapsed="false">
      <c r="A61" s="16" t="str">
        <f aca="false">IF($B61="","",COUNT($B$11:$B61))</f>
        <v/>
      </c>
      <c r="B61" s="17"/>
      <c r="C61" s="18" t="str">
        <f aca="false">IF($B61="","",INDEX({"Mo","Di","Mi","Do","Fr","Sa","So"},WEEKDAY($B61,2)))</f>
        <v/>
      </c>
      <c r="D61" s="18" t="str">
        <f aca="false">IF($B61="","",INT(($B61-WEEKDAY($B61,2)+4-DATE(YEAR($B61-WEEKDAY($B61,2)+4),1,1))/7)+1)</f>
        <v/>
      </c>
      <c r="E61" s="19"/>
      <c r="F61" s="19"/>
      <c r="G61" s="20"/>
      <c r="H61" s="20"/>
      <c r="I61" s="21"/>
      <c r="J61" s="22"/>
      <c r="K61" s="23" t="str">
        <f aca="false">IF($B61="","",IF($J61&lt;&gt;"",$J61,IF(OR($G61="",$H61=""),"",MAX(0,MOD($H61-$G61,1)-$I61/1440))))</f>
        <v/>
      </c>
      <c r="L61" s="24" t="str">
        <f aca="false">IF($K61="","",$K61*24)</f>
        <v/>
      </c>
      <c r="M61" s="21"/>
      <c r="N61" s="25" t="str">
        <f aca="false">IF($F61="","",VLOOKUP($F61,Satz_Tabelle,2,FALSE()))</f>
        <v/>
      </c>
      <c r="O61" s="25" t="str">
        <f aca="false">IF(OR($K61="",$M61&lt;&gt;"Ja"),"",ROUND($L61*$N61,2))</f>
        <v/>
      </c>
      <c r="P61" s="26"/>
    </row>
    <row r="62" customFormat="false" ht="15" hidden="false" customHeight="true" outlineLevel="0" collapsed="false">
      <c r="A62" s="16" t="str">
        <f aca="false">IF($B62="","",COUNT($B$11:$B62))</f>
        <v/>
      </c>
      <c r="B62" s="17"/>
      <c r="C62" s="18" t="str">
        <f aca="false">IF($B62="","",INDEX({"Mo","Di","Mi","Do","Fr","Sa","So"},WEEKDAY($B62,2)))</f>
        <v/>
      </c>
      <c r="D62" s="18" t="str">
        <f aca="false">IF($B62="","",INT(($B62-WEEKDAY($B62,2)+4-DATE(YEAR($B62-WEEKDAY($B62,2)+4),1,1))/7)+1)</f>
        <v/>
      </c>
      <c r="E62" s="19"/>
      <c r="F62" s="19"/>
      <c r="G62" s="20"/>
      <c r="H62" s="20"/>
      <c r="I62" s="21"/>
      <c r="J62" s="22"/>
      <c r="K62" s="23" t="str">
        <f aca="false">IF($B62="","",IF($J62&lt;&gt;"",$J62,IF(OR($G62="",$H62=""),"",MAX(0,MOD($H62-$G62,1)-$I62/1440))))</f>
        <v/>
      </c>
      <c r="L62" s="24" t="str">
        <f aca="false">IF($K62="","",$K62*24)</f>
        <v/>
      </c>
      <c r="M62" s="21"/>
      <c r="N62" s="25" t="str">
        <f aca="false">IF($F62="","",VLOOKUP($F62,Satz_Tabelle,2,FALSE()))</f>
        <v/>
      </c>
      <c r="O62" s="25" t="str">
        <f aca="false">IF(OR($K62="",$M62&lt;&gt;"Ja"),"",ROUND($L62*$N62,2))</f>
        <v/>
      </c>
      <c r="P62" s="26"/>
    </row>
    <row r="63" customFormat="false" ht="15" hidden="false" customHeight="true" outlineLevel="0" collapsed="false">
      <c r="A63" s="16" t="str">
        <f aca="false">IF($B63="","",COUNT($B$11:$B63))</f>
        <v/>
      </c>
      <c r="B63" s="17"/>
      <c r="C63" s="18" t="str">
        <f aca="false">IF($B63="","",INDEX({"Mo","Di","Mi","Do","Fr","Sa","So"},WEEKDAY($B63,2)))</f>
        <v/>
      </c>
      <c r="D63" s="18" t="str">
        <f aca="false">IF($B63="","",INT(($B63-WEEKDAY($B63,2)+4-DATE(YEAR($B63-WEEKDAY($B63,2)+4),1,1))/7)+1)</f>
        <v/>
      </c>
      <c r="E63" s="19"/>
      <c r="F63" s="19"/>
      <c r="G63" s="20"/>
      <c r="H63" s="20"/>
      <c r="I63" s="21"/>
      <c r="J63" s="22"/>
      <c r="K63" s="23" t="str">
        <f aca="false">IF($B63="","",IF($J63&lt;&gt;"",$J63,IF(OR($G63="",$H63=""),"",MAX(0,MOD($H63-$G63,1)-$I63/1440))))</f>
        <v/>
      </c>
      <c r="L63" s="24" t="str">
        <f aca="false">IF($K63="","",$K63*24)</f>
        <v/>
      </c>
      <c r="M63" s="21"/>
      <c r="N63" s="25" t="str">
        <f aca="false">IF($F63="","",VLOOKUP($F63,Satz_Tabelle,2,FALSE()))</f>
        <v/>
      </c>
      <c r="O63" s="25" t="str">
        <f aca="false">IF(OR($K63="",$M63&lt;&gt;"Ja"),"",ROUND($L63*$N63,2))</f>
        <v/>
      </c>
      <c r="P63" s="26"/>
    </row>
    <row r="64" customFormat="false" ht="15" hidden="false" customHeight="true" outlineLevel="0" collapsed="false">
      <c r="A64" s="16" t="str">
        <f aca="false">IF($B64="","",COUNT($B$11:$B64))</f>
        <v/>
      </c>
      <c r="B64" s="17"/>
      <c r="C64" s="18" t="str">
        <f aca="false">IF($B64="","",INDEX({"Mo","Di","Mi","Do","Fr","Sa","So"},WEEKDAY($B64,2)))</f>
        <v/>
      </c>
      <c r="D64" s="18" t="str">
        <f aca="false">IF($B64="","",INT(($B64-WEEKDAY($B64,2)+4-DATE(YEAR($B64-WEEKDAY($B64,2)+4),1,1))/7)+1)</f>
        <v/>
      </c>
      <c r="E64" s="19"/>
      <c r="F64" s="19"/>
      <c r="G64" s="20"/>
      <c r="H64" s="20"/>
      <c r="I64" s="21"/>
      <c r="J64" s="22"/>
      <c r="K64" s="23" t="str">
        <f aca="false">IF($B64="","",IF($J64&lt;&gt;"",$J64,IF(OR($G64="",$H64=""),"",MAX(0,MOD($H64-$G64,1)-$I64/1440))))</f>
        <v/>
      </c>
      <c r="L64" s="24" t="str">
        <f aca="false">IF($K64="","",$K64*24)</f>
        <v/>
      </c>
      <c r="M64" s="21"/>
      <c r="N64" s="25" t="str">
        <f aca="false">IF($F64="","",VLOOKUP($F64,Satz_Tabelle,2,FALSE()))</f>
        <v/>
      </c>
      <c r="O64" s="25" t="str">
        <f aca="false">IF(OR($K64="",$M64&lt;&gt;"Ja"),"",ROUND($L64*$N64,2))</f>
        <v/>
      </c>
      <c r="P64" s="26"/>
    </row>
    <row r="65" customFormat="false" ht="15" hidden="false" customHeight="true" outlineLevel="0" collapsed="false">
      <c r="A65" s="16" t="str">
        <f aca="false">IF($B65="","",COUNT($B$11:$B65))</f>
        <v/>
      </c>
      <c r="B65" s="17"/>
      <c r="C65" s="18" t="str">
        <f aca="false">IF($B65="","",INDEX({"Mo","Di","Mi","Do","Fr","Sa","So"},WEEKDAY($B65,2)))</f>
        <v/>
      </c>
      <c r="D65" s="18" t="str">
        <f aca="false">IF($B65="","",INT(($B65-WEEKDAY($B65,2)+4-DATE(YEAR($B65-WEEKDAY($B65,2)+4),1,1))/7)+1)</f>
        <v/>
      </c>
      <c r="E65" s="19"/>
      <c r="F65" s="19"/>
      <c r="G65" s="20"/>
      <c r="H65" s="20"/>
      <c r="I65" s="21"/>
      <c r="J65" s="22"/>
      <c r="K65" s="23" t="str">
        <f aca="false">IF($B65="","",IF($J65&lt;&gt;"",$J65,IF(OR($G65="",$H65=""),"",MAX(0,MOD($H65-$G65,1)-$I65/1440))))</f>
        <v/>
      </c>
      <c r="L65" s="24" t="str">
        <f aca="false">IF($K65="","",$K65*24)</f>
        <v/>
      </c>
      <c r="M65" s="21"/>
      <c r="N65" s="25" t="str">
        <f aca="false">IF($F65="","",VLOOKUP($F65,Satz_Tabelle,2,FALSE()))</f>
        <v/>
      </c>
      <c r="O65" s="25" t="str">
        <f aca="false">IF(OR($K65="",$M65&lt;&gt;"Ja"),"",ROUND($L65*$N65,2))</f>
        <v/>
      </c>
      <c r="P65" s="26"/>
    </row>
    <row r="66" customFormat="false" ht="15" hidden="false" customHeight="true" outlineLevel="0" collapsed="false">
      <c r="A66" s="16" t="str">
        <f aca="false">IF($B66="","",COUNT($B$11:$B66))</f>
        <v/>
      </c>
      <c r="B66" s="17"/>
      <c r="C66" s="18" t="str">
        <f aca="false">IF($B66="","",INDEX({"Mo","Di","Mi","Do","Fr","Sa","So"},WEEKDAY($B66,2)))</f>
        <v/>
      </c>
      <c r="D66" s="18" t="str">
        <f aca="false">IF($B66="","",INT(($B66-WEEKDAY($B66,2)+4-DATE(YEAR($B66-WEEKDAY($B66,2)+4),1,1))/7)+1)</f>
        <v/>
      </c>
      <c r="E66" s="19"/>
      <c r="F66" s="19"/>
      <c r="G66" s="20"/>
      <c r="H66" s="20"/>
      <c r="I66" s="21"/>
      <c r="J66" s="22"/>
      <c r="K66" s="23" t="str">
        <f aca="false">IF($B66="","",IF($J66&lt;&gt;"",$J66,IF(OR($G66="",$H66=""),"",MAX(0,MOD($H66-$G66,1)-$I66/1440))))</f>
        <v/>
      </c>
      <c r="L66" s="24" t="str">
        <f aca="false">IF($K66="","",$K66*24)</f>
        <v/>
      </c>
      <c r="M66" s="21"/>
      <c r="N66" s="25" t="str">
        <f aca="false">IF($F66="","",VLOOKUP($F66,Satz_Tabelle,2,FALSE()))</f>
        <v/>
      </c>
      <c r="O66" s="25" t="str">
        <f aca="false">IF(OR($K66="",$M66&lt;&gt;"Ja"),"",ROUND($L66*$N66,2))</f>
        <v/>
      </c>
      <c r="P66" s="26"/>
    </row>
    <row r="67" customFormat="false" ht="15" hidden="false" customHeight="true" outlineLevel="0" collapsed="false">
      <c r="A67" s="16" t="str">
        <f aca="false">IF($B67="","",COUNT($B$11:$B67))</f>
        <v/>
      </c>
      <c r="B67" s="17"/>
      <c r="C67" s="18" t="str">
        <f aca="false">IF($B67="","",INDEX({"Mo","Di","Mi","Do","Fr","Sa","So"},WEEKDAY($B67,2)))</f>
        <v/>
      </c>
      <c r="D67" s="18" t="str">
        <f aca="false">IF($B67="","",INT(($B67-WEEKDAY($B67,2)+4-DATE(YEAR($B67-WEEKDAY($B67,2)+4),1,1))/7)+1)</f>
        <v/>
      </c>
      <c r="E67" s="19"/>
      <c r="F67" s="19"/>
      <c r="G67" s="20"/>
      <c r="H67" s="20"/>
      <c r="I67" s="21"/>
      <c r="J67" s="22"/>
      <c r="K67" s="23" t="str">
        <f aca="false">IF($B67="","",IF($J67&lt;&gt;"",$J67,IF(OR($G67="",$H67=""),"",MAX(0,MOD($H67-$G67,1)-$I67/1440))))</f>
        <v/>
      </c>
      <c r="L67" s="24" t="str">
        <f aca="false">IF($K67="","",$K67*24)</f>
        <v/>
      </c>
      <c r="M67" s="21"/>
      <c r="N67" s="25" t="str">
        <f aca="false">IF($F67="","",VLOOKUP($F67,Satz_Tabelle,2,FALSE()))</f>
        <v/>
      </c>
      <c r="O67" s="25" t="str">
        <f aca="false">IF(OR($K67="",$M67&lt;&gt;"Ja"),"",ROUND($L67*$N67,2))</f>
        <v/>
      </c>
      <c r="P67" s="26"/>
    </row>
    <row r="68" customFormat="false" ht="15" hidden="false" customHeight="true" outlineLevel="0" collapsed="false">
      <c r="A68" s="16" t="str">
        <f aca="false">IF($B68="","",COUNT($B$11:$B68))</f>
        <v/>
      </c>
      <c r="B68" s="17"/>
      <c r="C68" s="18" t="str">
        <f aca="false">IF($B68="","",INDEX({"Mo","Di","Mi","Do","Fr","Sa","So"},WEEKDAY($B68,2)))</f>
        <v/>
      </c>
      <c r="D68" s="18" t="str">
        <f aca="false">IF($B68="","",INT(($B68-WEEKDAY($B68,2)+4-DATE(YEAR($B68-WEEKDAY($B68,2)+4),1,1))/7)+1)</f>
        <v/>
      </c>
      <c r="E68" s="19"/>
      <c r="F68" s="19"/>
      <c r="G68" s="20"/>
      <c r="H68" s="20"/>
      <c r="I68" s="21"/>
      <c r="J68" s="22"/>
      <c r="K68" s="23" t="str">
        <f aca="false">IF($B68="","",IF($J68&lt;&gt;"",$J68,IF(OR($G68="",$H68=""),"",MAX(0,MOD($H68-$G68,1)-$I68/1440))))</f>
        <v/>
      </c>
      <c r="L68" s="24" t="str">
        <f aca="false">IF($K68="","",$K68*24)</f>
        <v/>
      </c>
      <c r="M68" s="21"/>
      <c r="N68" s="25" t="str">
        <f aca="false">IF($F68="","",VLOOKUP($F68,Satz_Tabelle,2,FALSE()))</f>
        <v/>
      </c>
      <c r="O68" s="25" t="str">
        <f aca="false">IF(OR($K68="",$M68&lt;&gt;"Ja"),"",ROUND($L68*$N68,2))</f>
        <v/>
      </c>
      <c r="P68" s="26"/>
    </row>
    <row r="69" customFormat="false" ht="15" hidden="false" customHeight="true" outlineLevel="0" collapsed="false">
      <c r="A69" s="16" t="str">
        <f aca="false">IF($B69="","",COUNT($B$11:$B69))</f>
        <v/>
      </c>
      <c r="B69" s="17"/>
      <c r="C69" s="18" t="str">
        <f aca="false">IF($B69="","",INDEX({"Mo","Di","Mi","Do","Fr","Sa","So"},WEEKDAY($B69,2)))</f>
        <v/>
      </c>
      <c r="D69" s="18" t="str">
        <f aca="false">IF($B69="","",INT(($B69-WEEKDAY($B69,2)+4-DATE(YEAR($B69-WEEKDAY($B69,2)+4),1,1))/7)+1)</f>
        <v/>
      </c>
      <c r="E69" s="19"/>
      <c r="F69" s="19"/>
      <c r="G69" s="20"/>
      <c r="H69" s="20"/>
      <c r="I69" s="21"/>
      <c r="J69" s="22"/>
      <c r="K69" s="23" t="str">
        <f aca="false">IF($B69="","",IF($J69&lt;&gt;"",$J69,IF(OR($G69="",$H69=""),"",MAX(0,MOD($H69-$G69,1)-$I69/1440))))</f>
        <v/>
      </c>
      <c r="L69" s="24" t="str">
        <f aca="false">IF($K69="","",$K69*24)</f>
        <v/>
      </c>
      <c r="M69" s="21"/>
      <c r="N69" s="25" t="str">
        <f aca="false">IF($F69="","",VLOOKUP($F69,Satz_Tabelle,2,FALSE()))</f>
        <v/>
      </c>
      <c r="O69" s="25" t="str">
        <f aca="false">IF(OR($K69="",$M69&lt;&gt;"Ja"),"",ROUND($L69*$N69,2))</f>
        <v/>
      </c>
      <c r="P69" s="26"/>
    </row>
    <row r="70" customFormat="false" ht="15" hidden="false" customHeight="true" outlineLevel="0" collapsed="false">
      <c r="A70" s="16" t="str">
        <f aca="false">IF($B70="","",COUNT($B$11:$B70))</f>
        <v/>
      </c>
      <c r="B70" s="17"/>
      <c r="C70" s="18" t="str">
        <f aca="false">IF($B70="","",INDEX({"Mo","Di","Mi","Do","Fr","Sa","So"},WEEKDAY($B70,2)))</f>
        <v/>
      </c>
      <c r="D70" s="18" t="str">
        <f aca="false">IF($B70="","",INT(($B70-WEEKDAY($B70,2)+4-DATE(YEAR($B70-WEEKDAY($B70,2)+4),1,1))/7)+1)</f>
        <v/>
      </c>
      <c r="E70" s="19"/>
      <c r="F70" s="19"/>
      <c r="G70" s="20"/>
      <c r="H70" s="20"/>
      <c r="I70" s="21"/>
      <c r="J70" s="22"/>
      <c r="K70" s="23" t="str">
        <f aca="false">IF($B70="","",IF($J70&lt;&gt;"",$J70,IF(OR($G70="",$H70=""),"",MAX(0,MOD($H70-$G70,1)-$I70/1440))))</f>
        <v/>
      </c>
      <c r="L70" s="24" t="str">
        <f aca="false">IF($K70="","",$K70*24)</f>
        <v/>
      </c>
      <c r="M70" s="21"/>
      <c r="N70" s="25" t="str">
        <f aca="false">IF($F70="","",VLOOKUP($F70,Satz_Tabelle,2,FALSE()))</f>
        <v/>
      </c>
      <c r="O70" s="25" t="str">
        <f aca="false">IF(OR($K70="",$M70&lt;&gt;"Ja"),"",ROUND($L70*$N70,2))</f>
        <v/>
      </c>
      <c r="P70" s="26"/>
    </row>
    <row r="71" customFormat="false" ht="21.75" hidden="false" customHeight="true" outlineLevel="0" collapsed="false">
      <c r="A71" s="27" t="s">
        <v>57</v>
      </c>
      <c r="B71" s="27"/>
      <c r="C71" s="27"/>
      <c r="D71" s="27"/>
      <c r="E71" s="27"/>
      <c r="F71" s="27"/>
      <c r="G71" s="28"/>
      <c r="H71" s="28"/>
      <c r="I71" s="29" t="n">
        <f aca="false">SUM($I$11:$I$70)</f>
        <v>1415</v>
      </c>
      <c r="J71" s="28"/>
      <c r="K71" s="30" t="n">
        <f aca="false">SUM($K$11:$K$70)</f>
        <v>13.7256944444444</v>
      </c>
      <c r="L71" s="31" t="n">
        <f aca="false">SUM($L$11:$L$70)</f>
        <v>329.416666666667</v>
      </c>
      <c r="M71" s="32" t="s">
        <v>58</v>
      </c>
      <c r="N71" s="28"/>
      <c r="O71" s="33" t="n">
        <f aca="false">SUM($O$11:$O$70)</f>
        <v>24930.83</v>
      </c>
      <c r="P71" s="28"/>
    </row>
    <row r="73" customFormat="false" ht="15" hidden="false" customHeight="false" outlineLevel="0" collapsed="false">
      <c r="A73" s="34" t="s">
        <v>59</v>
      </c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</row>
    <row r="74" customFormat="false" ht="15" hidden="false" customHeight="false" outlineLevel="0" collapsed="false">
      <c r="A74" s="35" t="s">
        <v>60</v>
      </c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</row>
    <row r="75" customFormat="false" ht="15" hidden="false" customHeight="false" outlineLevel="0" collapsed="false">
      <c r="A75" s="35" t="s">
        <v>61</v>
      </c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</row>
    <row r="76" customFormat="false" ht="15" hidden="false" customHeight="false" outlineLevel="0" collapsed="false">
      <c r="A76" s="35" t="s">
        <v>62</v>
      </c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</row>
    <row r="77" customFormat="false" ht="15" hidden="false" customHeight="false" outlineLevel="0" collapsed="false">
      <c r="A77" s="35" t="s">
        <v>63</v>
      </c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</row>
  </sheetData>
  <mergeCells count="24">
    <mergeCell ref="A1:P1"/>
    <mergeCell ref="A2:P2"/>
    <mergeCell ref="A3:P3"/>
    <mergeCell ref="C4:E4"/>
    <mergeCell ref="G4:J4"/>
    <mergeCell ref="A6:C6"/>
    <mergeCell ref="D6:F6"/>
    <mergeCell ref="G6:I6"/>
    <mergeCell ref="J6:K6"/>
    <mergeCell ref="L6:M6"/>
    <mergeCell ref="N6:P6"/>
    <mergeCell ref="A7:C7"/>
    <mergeCell ref="D7:F7"/>
    <mergeCell ref="G7:I7"/>
    <mergeCell ref="J7:K7"/>
    <mergeCell ref="L7:M7"/>
    <mergeCell ref="N7:P7"/>
    <mergeCell ref="A9:P9"/>
    <mergeCell ref="A71:F71"/>
    <mergeCell ref="A73:P73"/>
    <mergeCell ref="A74:P74"/>
    <mergeCell ref="A75:P75"/>
    <mergeCell ref="A76:P76"/>
    <mergeCell ref="A77:P77"/>
  </mergeCells>
  <conditionalFormatting sqref="A11:P70">
    <cfRule type="expression" priority="2" aboveAverage="0" equalAverage="0" bottom="0" percent="0" rank="0" text="" dxfId="0">
      <formula>AND($B11&lt;&gt;"",WEEKDAY($B11,2)&gt;5)</formula>
    </cfRule>
  </conditionalFormatting>
  <conditionalFormatting sqref="K11:L70">
    <cfRule type="expression" priority="3" aboveAverage="0" equalAverage="0" bottom="0" percent="0" rank="0" text="" dxfId="1">
      <formula>AND($L11&lt;&gt;"",$L11&gt;10)</formula>
    </cfRule>
  </conditionalFormatting>
  <conditionalFormatting sqref="I11:I70">
    <cfRule type="expression" priority="4" aboveAverage="0" equalAverage="0" bottom="0" percent="0" rank="0" text="" dxfId="2">
      <formula>OR(AND($L11&gt;6,$L11&lt;=9,$I11&lt;30),AND($L11&gt;9,$I11&lt;45))</formula>
    </cfRule>
  </conditionalFormatting>
  <conditionalFormatting sqref="J11:J70">
    <cfRule type="cellIs" priority="5" operator="greaterThan" aboveAverage="0" equalAverage="0" bottom="0" percent="0" rank="0" text="" dxfId="3">
      <formula>0</formula>
    </cfRule>
  </conditionalFormatting>
  <conditionalFormatting sqref="L11:L70">
    <cfRule type="dataBar" priority="6">
      <dataBar showValue="1" minLength="10" maxLength="90">
        <cfvo type="num" val="0"/>
        <cfvo type="num" val="12"/>
        <color rgb="FFB5651D"/>
      </dataBar>
      <extLst>
        <ext xmlns:x14="http://schemas.microsoft.com/office/spreadsheetml/2009/9/main" uri="{B025F937-C7B1-47D3-B67F-A62EFF666E3E}">
          <x14:id>{65BF5EC7-107E-4F11-965C-D7F1CF21872B}</x14:id>
        </ext>
      </extLst>
    </cfRule>
  </conditionalFormatting>
  <dataValidations count="3">
    <dataValidation allowBlank="true" errorStyle="stop" operator="between" showDropDown="false" showErrorMessage="false" showInputMessage="false" sqref="E11:E70" type="list">
      <formula1>Personen</formula1>
      <formula2>0</formula2>
    </dataValidation>
    <dataValidation allowBlank="true" errorStyle="stop" operator="between" showDropDown="false" showErrorMessage="false" showInputMessage="false" sqref="F11:F70" type="list">
      <formula1>Kategorien</formula1>
      <formula2>0</formula2>
    </dataValidation>
    <dataValidation allowBlank="true" errorStyle="stop" operator="between" showDropDown="false" showErrorMessage="false" showInputMessage="false" sqref="M11:M70" type="list">
      <formula1>"Ja,Nein"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5BF5EC7-107E-4F11-965C-D7F1CF21872B}">
            <x14:dataBar minLength="10" maxLength="90" axisPosition="none" gradient="true">
              <x14:cfvo type="num">
                <xm:f>0</xm:f>
              </x14:cfvo>
              <x14:cfvo type="num">
                <xm:f>12</xm:f>
              </x14:cfvo>
              <x14:negativeFillColor rgb="FFB5651D"/>
              <x14:axisColor rgb="FF000000"/>
            </x14:dataBar>
          </x14:cfRule>
          <xm:sqref>L11:L70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4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5" min="3" style="0" width="16"/>
    <col collapsed="false" customWidth="true" hidden="false" outlineLevel="0" max="6" min="6" style="0" width="4"/>
    <col collapsed="false" customWidth="true" hidden="false" outlineLevel="0" max="7" min="7" style="0" width="24"/>
    <col collapsed="false" customWidth="true" hidden="false" outlineLevel="0" max="11" min="8" style="0" width="14"/>
  </cols>
  <sheetData>
    <row r="1" customFormat="false" ht="30" hidden="false" customHeight="true" outlineLevel="0" collapsed="false">
      <c r="A1" s="36" t="s">
        <v>64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customFormat="false" ht="3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customFormat="false" ht="15" hidden="false" customHeight="false" outlineLevel="0" collapsed="false">
      <c r="A3" s="37" t="str">
        <f aca="false">Stammdaten!$C$5&amp;"   ·   "&amp;Stammdaten!$C$7&amp;"   ·   Auswertung der erfassten Zeiten"</f>
        <v>Musterfirma GmbH   ·   Juli 2026   ·   Auswertung der erfassten Zeiten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5" customFormat="false" ht="19.5" hidden="false" customHeight="true" outlineLevel="0" collapsed="false">
      <c r="A5" s="14" t="s">
        <v>65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customFormat="false" ht="21.75" hidden="false" customHeight="true" outlineLevel="0" collapsed="false">
      <c r="B6" s="38" t="s">
        <v>66</v>
      </c>
      <c r="C6" s="39" t="n">
        <f aca="false">SUM(Stundenerfassung!$K$11:$K$70)</f>
        <v>13.7256944444444</v>
      </c>
      <c r="D6" s="37" t="s">
        <v>67</v>
      </c>
      <c r="E6" s="37"/>
      <c r="F6" s="37"/>
      <c r="G6" s="37"/>
      <c r="H6" s="37"/>
      <c r="I6" s="37"/>
      <c r="J6" s="37"/>
      <c r="K6" s="37"/>
    </row>
    <row r="7" customFormat="false" ht="16.5" hidden="false" customHeight="true" outlineLevel="0" collapsed="false">
      <c r="B7" s="38" t="s">
        <v>68</v>
      </c>
      <c r="C7" s="40" t="n">
        <f aca="false">SUM(Stundenerfassung!$K$11:$K$70)</f>
        <v>13.7256944444444</v>
      </c>
      <c r="D7" s="41" t="s">
        <v>69</v>
      </c>
      <c r="E7" s="41"/>
      <c r="F7" s="41"/>
      <c r="G7" s="41"/>
      <c r="H7" s="41"/>
      <c r="I7" s="41"/>
      <c r="J7" s="41"/>
      <c r="K7" s="41"/>
    </row>
    <row r="8" customFormat="false" ht="16.5" hidden="false" customHeight="true" outlineLevel="0" collapsed="false">
      <c r="B8" s="38" t="s">
        <v>70</v>
      </c>
      <c r="C8" s="42" t="n">
        <f aca="false">SUM(Stundenerfassung!$L$11:$L$70)</f>
        <v>329.416666666667</v>
      </c>
      <c r="D8" s="37" t="s">
        <v>71</v>
      </c>
      <c r="E8" s="37"/>
      <c r="F8" s="37"/>
      <c r="G8" s="37"/>
      <c r="H8" s="37"/>
      <c r="I8" s="37"/>
      <c r="J8" s="37"/>
      <c r="K8" s="37"/>
    </row>
    <row r="9" customFormat="false" ht="16.5" hidden="false" customHeight="true" outlineLevel="0" collapsed="false">
      <c r="B9" s="38" t="s">
        <v>72</v>
      </c>
      <c r="C9" s="43" t="n">
        <f aca="false">SUM(Stundenerfassung!$L$11:$L$70)*60</f>
        <v>19765</v>
      </c>
      <c r="D9" s="37" t="s">
        <v>73</v>
      </c>
      <c r="E9" s="37"/>
      <c r="F9" s="37"/>
      <c r="G9" s="37"/>
      <c r="H9" s="37"/>
      <c r="I9" s="37"/>
      <c r="J9" s="37"/>
      <c r="K9" s="37"/>
    </row>
    <row r="10" customFormat="false" ht="16.5" hidden="false" customHeight="true" outlineLevel="0" collapsed="false">
      <c r="B10" s="38" t="s">
        <v>74</v>
      </c>
      <c r="C10" s="42" t="n">
        <f aca="false">SUM(Stundenerfassung!$L$11:$L$70)/Std_pro_Tag</f>
        <v>41.1770833333333</v>
      </c>
      <c r="D10" s="37" t="s">
        <v>75</v>
      </c>
      <c r="E10" s="37"/>
      <c r="F10" s="37"/>
      <c r="G10" s="37"/>
      <c r="H10" s="37"/>
      <c r="I10" s="37"/>
      <c r="J10" s="37"/>
      <c r="K10" s="37"/>
    </row>
    <row r="11" customFormat="false" ht="16.5" hidden="false" customHeight="true" outlineLevel="0" collapsed="false">
      <c r="B11" s="38" t="s">
        <v>76</v>
      </c>
      <c r="C11" s="44" t="str">
        <f aca="false">INT(SUM(Stundenerfassung!$L$11:$L$70)/24)&amp;" T "&amp;TEXT(SUM(Stundenerfassung!$K$11:$K$70)-INT(SUM(Stundenerfassung!$L$11:$L$70)/24),"[h]:mm")&amp;" h"</f>
        <v>13 T 17:25 h</v>
      </c>
      <c r="D11" s="37" t="s">
        <v>77</v>
      </c>
      <c r="E11" s="37"/>
      <c r="F11" s="37"/>
      <c r="G11" s="37"/>
      <c r="H11" s="37"/>
      <c r="I11" s="37"/>
      <c r="J11" s="37"/>
      <c r="K11" s="37"/>
    </row>
    <row r="13" customFormat="false" ht="19.5" hidden="false" customHeight="true" outlineLevel="0" collapsed="false">
      <c r="A13" s="14" t="s">
        <v>78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customFormat="false" ht="15.75" hidden="false" customHeight="true" outlineLevel="0" collapsed="false">
      <c r="B14" s="45" t="s">
        <v>79</v>
      </c>
      <c r="C14" s="43" t="n">
        <f aca="false">COUNT(Stundenerfassung!$B$11:$B$70)</f>
        <v>48</v>
      </c>
      <c r="G14" s="45" t="s">
        <v>80</v>
      </c>
      <c r="H14" s="42" t="n">
        <f aca="false">SUMIF(Stundenerfassung!$M$11:$M$70,"Ja",Stundenerfassung!$L$11:$L$70)</f>
        <v>273.166666666667</v>
      </c>
    </row>
    <row r="15" customFormat="false" ht="15.75" hidden="false" customHeight="true" outlineLevel="0" collapsed="false">
      <c r="B15" s="45" t="s">
        <v>81</v>
      </c>
      <c r="C15" s="43" t="n">
        <f aca="false">SUMPRODUCT((Stundenerfassung!$B$11:$B$70&lt;&gt;"")/COUNTIF(Stundenerfassung!$B$11:$B$70,Stundenerfassung!$B$11:$B$70&amp;""))</f>
        <v>21</v>
      </c>
      <c r="G15" s="45" t="s">
        <v>82</v>
      </c>
      <c r="H15" s="42" t="n">
        <f aca="false">$C$16-$H$14</f>
        <v>56.25</v>
      </c>
    </row>
    <row r="16" customFormat="false" ht="15.75" hidden="false" customHeight="true" outlineLevel="0" collapsed="false">
      <c r="B16" s="45" t="s">
        <v>83</v>
      </c>
      <c r="C16" s="42" t="n">
        <f aca="false">SUM(Stundenerfassung!$L$11:$L$70)</f>
        <v>329.416666666667</v>
      </c>
      <c r="G16" s="45" t="s">
        <v>84</v>
      </c>
      <c r="H16" s="46" t="n">
        <f aca="false">IFERROR($H$14/$C$16,0)</f>
        <v>0.829243612446243</v>
      </c>
    </row>
    <row r="17" customFormat="false" ht="15.75" hidden="false" customHeight="true" outlineLevel="0" collapsed="false">
      <c r="B17" s="45" t="s">
        <v>85</v>
      </c>
      <c r="C17" s="42" t="n">
        <f aca="false">IFERROR(SUM(Stundenerfassung!$L$11:$L$70)/COUNT(Stundenerfassung!$K$11:$K$70),0)</f>
        <v>6.86284722222222</v>
      </c>
      <c r="G17" s="45" t="s">
        <v>4</v>
      </c>
      <c r="H17" s="42" t="n">
        <f aca="false">Soll_Stunden</f>
        <v>317</v>
      </c>
    </row>
    <row r="18" customFormat="false" ht="15.75" hidden="false" customHeight="true" outlineLevel="0" collapsed="false">
      <c r="B18" s="45" t="s">
        <v>86</v>
      </c>
      <c r="C18" s="42" t="n">
        <f aca="false">IFERROR($C$16/$C$15,0)</f>
        <v>15.6865079365079</v>
      </c>
      <c r="G18" s="45" t="s">
        <v>87</v>
      </c>
      <c r="H18" s="47" t="n">
        <f aca="false">$C$16-$H$17</f>
        <v>12.4166666666667</v>
      </c>
    </row>
    <row r="19" customFormat="false" ht="15.75" hidden="false" customHeight="true" outlineLevel="0" collapsed="false">
      <c r="B19" s="45" t="s">
        <v>88</v>
      </c>
      <c r="C19" s="42" t="n">
        <f aca="false">MAX(Stundenerfassung!$L$11:$L$70)</f>
        <v>10.5</v>
      </c>
      <c r="G19" s="45" t="s">
        <v>89</v>
      </c>
      <c r="H19" s="48" t="n">
        <f aca="false">SUM(Stundenerfassung!$O$11:$O$70)</f>
        <v>24930.83</v>
      </c>
    </row>
    <row r="21" customFormat="false" ht="19.5" hidden="false" customHeight="true" outlineLevel="0" collapsed="false">
      <c r="A21" s="14" t="s">
        <v>90</v>
      </c>
      <c r="B21" s="14"/>
      <c r="C21" s="14"/>
      <c r="D21" s="14"/>
      <c r="E21" s="14"/>
      <c r="G21" s="34" t="s">
        <v>91</v>
      </c>
      <c r="H21" s="34"/>
      <c r="I21" s="34"/>
      <c r="J21" s="34"/>
      <c r="K21" s="34"/>
    </row>
    <row r="22" customFormat="false" ht="15" hidden="false" customHeight="false" outlineLevel="0" collapsed="false">
      <c r="B22" s="49" t="s">
        <v>18</v>
      </c>
      <c r="C22" s="49" t="s">
        <v>92</v>
      </c>
      <c r="D22" s="49" t="s">
        <v>93</v>
      </c>
      <c r="E22" s="49" t="s">
        <v>94</v>
      </c>
      <c r="F22" s="49" t="s">
        <v>27</v>
      </c>
      <c r="G22" s="49" t="s">
        <v>17</v>
      </c>
      <c r="H22" s="49" t="s">
        <v>95</v>
      </c>
      <c r="I22" s="49" t="s">
        <v>96</v>
      </c>
      <c r="J22" s="49" t="s">
        <v>97</v>
      </c>
      <c r="K22" s="49" t="s">
        <v>98</v>
      </c>
    </row>
    <row r="23" customFormat="false" ht="15.75" hidden="false" customHeight="true" outlineLevel="0" collapsed="false">
      <c r="B23" s="50" t="str">
        <f aca="false">Stammdaten!$G$30</f>
        <v>Projektarbeit</v>
      </c>
      <c r="C23" s="51" t="n">
        <f aca="false">SUMIF(Stundenerfassung!$F$11:$F$70,$B23,Stundenerfassung!$K$11:$K$70)</f>
        <v>5.14236111111111</v>
      </c>
      <c r="D23" s="52" t="n">
        <f aca="false">$C23*24</f>
        <v>123.416666666667</v>
      </c>
      <c r="E23" s="53" t="n">
        <f aca="false">IFERROR($D23/$D$31,0)</f>
        <v>0.374652162914242</v>
      </c>
      <c r="F23" s="54" t="n">
        <f aca="false">SUMIF(Stundenerfassung!$F$11:$F$70,$B23,Stundenerfassung!$O$11:$O$70)</f>
        <v>11724.58</v>
      </c>
      <c r="G23" s="50" t="str">
        <f aca="false">Stammdaten!$B$30</f>
        <v>M. Bauer</v>
      </c>
      <c r="H23" s="51" t="n">
        <f aca="false">SUMIF(Stundenerfassung!$E$11:$E$70,$G23,Stundenerfassung!$K$11:$K$70)</f>
        <v>4.22569444444445</v>
      </c>
      <c r="I23" s="52" t="n">
        <f aca="false">$H23*24</f>
        <v>101.416666666667</v>
      </c>
      <c r="J23" s="55" t="n">
        <f aca="false">Stammdaten!$C$30</f>
        <v>105</v>
      </c>
      <c r="K23" s="56" t="n">
        <f aca="false">$I23-$J23</f>
        <v>-3.58333333333333</v>
      </c>
    </row>
    <row r="24" customFormat="false" ht="15.75" hidden="false" customHeight="true" outlineLevel="0" collapsed="false">
      <c r="B24" s="50" t="str">
        <f aca="false">Stammdaten!$G$31</f>
        <v>Kundenberatung</v>
      </c>
      <c r="C24" s="51" t="n">
        <f aca="false">SUMIF(Stundenerfassung!$F$11:$F$70,$B24,Stundenerfassung!$K$11:$K$70)</f>
        <v>2.0625</v>
      </c>
      <c r="D24" s="52" t="n">
        <f aca="false">$C24*24</f>
        <v>49.5</v>
      </c>
      <c r="E24" s="53" t="n">
        <f aca="false">IFERROR($D24/$D$31,0)</f>
        <v>0.150265621047306</v>
      </c>
      <c r="F24" s="54" t="n">
        <f aca="false">SUMIF(Stundenerfassung!$F$11:$F$70,$B24,Stundenerfassung!$O$11:$O$70)</f>
        <v>5445</v>
      </c>
      <c r="G24" s="50" t="str">
        <f aca="false">Stammdaten!$B$31</f>
        <v>S. Keller</v>
      </c>
      <c r="H24" s="51" t="n">
        <f aca="false">SUMIF(Stundenerfassung!$E$11:$E$70,$G24,Stundenerfassung!$K$11:$K$70)</f>
        <v>2.0625</v>
      </c>
      <c r="I24" s="52" t="n">
        <f aca="false">$H24*24</f>
        <v>49.5</v>
      </c>
      <c r="J24" s="55" t="n">
        <f aca="false">Stammdaten!$C$31</f>
        <v>48</v>
      </c>
      <c r="K24" s="56" t="n">
        <f aca="false">$I24-$J24</f>
        <v>1.5</v>
      </c>
    </row>
    <row r="25" customFormat="false" ht="15.75" hidden="false" customHeight="true" outlineLevel="0" collapsed="false">
      <c r="B25" s="50" t="str">
        <f aca="false">Stammdaten!$G$32</f>
        <v>Wartung &amp; Support</v>
      </c>
      <c r="C25" s="51" t="n">
        <f aca="false">SUMIF(Stundenerfassung!$F$11:$F$70,$B25,Stundenerfassung!$K$11:$K$70)</f>
        <v>2.41666666666667</v>
      </c>
      <c r="D25" s="52" t="n">
        <f aca="false">$C25*24</f>
        <v>58</v>
      </c>
      <c r="E25" s="53" t="n">
        <f aca="false">IFERROR($D25/$D$31,0)</f>
        <v>0.176068808499874</v>
      </c>
      <c r="F25" s="54" t="n">
        <f aca="false">SUMIF(Stundenerfassung!$F$11:$F$70,$B25,Stundenerfassung!$O$11:$O$70)</f>
        <v>4930</v>
      </c>
      <c r="G25" s="50" t="str">
        <f aca="false">Stammdaten!$B$32</f>
        <v>T. Neumann</v>
      </c>
      <c r="H25" s="51" t="n">
        <f aca="false">SUMIF(Stundenerfassung!$E$11:$E$70,$G25,Stundenerfassung!$K$11:$K$70)</f>
        <v>2.41666666666667</v>
      </c>
      <c r="I25" s="52" t="n">
        <f aca="false">$H25*24</f>
        <v>58</v>
      </c>
      <c r="J25" s="55" t="n">
        <f aca="false">Stammdaten!$C$32</f>
        <v>60</v>
      </c>
      <c r="K25" s="56" t="n">
        <f aca="false">$I25-$J25</f>
        <v>-2</v>
      </c>
    </row>
    <row r="26" customFormat="false" ht="15.75" hidden="false" customHeight="true" outlineLevel="0" collapsed="false">
      <c r="B26" s="50" t="str">
        <f aca="false">Stammdaten!$G$33</f>
        <v>Verwaltung</v>
      </c>
      <c r="C26" s="51" t="n">
        <f aca="false">SUMIF(Stundenerfassung!$F$11:$F$70,$B26,Stundenerfassung!$K$11:$K$70)</f>
        <v>1.36458333333333</v>
      </c>
      <c r="D26" s="52" t="n">
        <f aca="false">$C26*24</f>
        <v>32.75</v>
      </c>
      <c r="E26" s="53" t="n">
        <f aca="false">IFERROR($D26/$D$31,0)</f>
        <v>0.0994181634201872</v>
      </c>
      <c r="F26" s="54" t="n">
        <f aca="false">SUMIF(Stundenerfassung!$F$11:$F$70,$B26,Stundenerfassung!$O$11:$O$70)</f>
        <v>0</v>
      </c>
      <c r="G26" s="50" t="str">
        <f aca="false">Stammdaten!$B$33</f>
        <v>A. Roth</v>
      </c>
      <c r="H26" s="51" t="n">
        <f aca="false">SUMIF(Stundenerfassung!$E$11:$E$70,$G26,Stundenerfassung!$K$11:$K$70)</f>
        <v>1.53125</v>
      </c>
      <c r="I26" s="52" t="n">
        <f aca="false">$H26*24</f>
        <v>36.75</v>
      </c>
      <c r="J26" s="55" t="n">
        <f aca="false">Stammdaten!$C$33</f>
        <v>28</v>
      </c>
      <c r="K26" s="56" t="n">
        <f aca="false">$I26-$J26</f>
        <v>8.75</v>
      </c>
    </row>
    <row r="27" customFormat="false" ht="15.75" hidden="false" customHeight="true" outlineLevel="0" collapsed="false">
      <c r="B27" s="50" t="str">
        <f aca="false">Stammdaten!$G$34</f>
        <v>Vertrieb</v>
      </c>
      <c r="C27" s="51" t="n">
        <f aca="false">SUMIF(Stundenerfassung!$F$11:$F$70,$B27,Stundenerfassung!$K$11:$K$70)</f>
        <v>1.29166666666667</v>
      </c>
      <c r="D27" s="52" t="n">
        <f aca="false">$C27*24</f>
        <v>31</v>
      </c>
      <c r="E27" s="53" t="n">
        <f aca="false">IFERROR($D27/$D$31,0)</f>
        <v>0.0941057424740703</v>
      </c>
      <c r="F27" s="54" t="n">
        <f aca="false">SUMIF(Stundenerfassung!$F$11:$F$70,$B27,Stundenerfassung!$O$11:$O$70)</f>
        <v>2325</v>
      </c>
      <c r="G27" s="50" t="str">
        <f aca="false">Stammdaten!$B$34</f>
        <v>J. Winkler</v>
      </c>
      <c r="H27" s="51" t="n">
        <f aca="false">SUMIF(Stundenerfassung!$E$11:$E$70,$G27,Stundenerfassung!$K$11:$K$70)</f>
        <v>1.76041666666667</v>
      </c>
      <c r="I27" s="52" t="n">
        <f aca="false">$H27*24</f>
        <v>42.25</v>
      </c>
      <c r="J27" s="55" t="n">
        <f aca="false">Stammdaten!$C$34</f>
        <v>36</v>
      </c>
      <c r="K27" s="56" t="n">
        <f aca="false">$I27-$J27</f>
        <v>6.25</v>
      </c>
    </row>
    <row r="28" customFormat="false" ht="15.75" hidden="false" customHeight="true" outlineLevel="0" collapsed="false">
      <c r="B28" s="50" t="str">
        <f aca="false">Stammdaten!$G$35</f>
        <v>Schulung</v>
      </c>
      <c r="C28" s="51" t="n">
        <f aca="false">SUMIF(Stundenerfassung!$F$11:$F$70,$B28,Stundenerfassung!$K$11:$K$70)</f>
        <v>0.8125</v>
      </c>
      <c r="D28" s="52" t="n">
        <f aca="false">$C28*24</f>
        <v>19.5</v>
      </c>
      <c r="E28" s="53" t="n">
        <f aca="false">IFERROR($D28/$D$31,0)</f>
        <v>0.0591955476853023</v>
      </c>
      <c r="F28" s="54" t="n">
        <f aca="false">SUMIF(Stundenerfassung!$F$11:$F$70,$B28,Stundenerfassung!$O$11:$O$70)</f>
        <v>0</v>
      </c>
      <c r="G28" s="50" t="str">
        <f aca="false">Stammdaten!$B$35</f>
        <v>L. Fischer</v>
      </c>
      <c r="H28" s="51" t="n">
        <f aca="false">SUMIF(Stundenerfassung!$E$11:$E$70,$G28,Stundenerfassung!$K$11:$K$70)</f>
        <v>1.72916666666667</v>
      </c>
      <c r="I28" s="52" t="n">
        <f aca="false">$H28*24</f>
        <v>41.5</v>
      </c>
      <c r="J28" s="55" t="n">
        <f aca="false">Stammdaten!$C$35</f>
        <v>40</v>
      </c>
      <c r="K28" s="56" t="n">
        <f aca="false">$I28-$J28</f>
        <v>1.5</v>
      </c>
    </row>
    <row r="29" customFormat="false" ht="15.75" hidden="false" customHeight="true" outlineLevel="0" collapsed="false">
      <c r="B29" s="50" t="str">
        <f aca="false">Stammdaten!$G$36</f>
        <v>Reisezeit</v>
      </c>
      <c r="C29" s="51" t="n">
        <f aca="false">SUMIF(Stundenerfassung!$F$11:$F$70,$B29,Stundenerfassung!$K$11:$K$70)</f>
        <v>0.46875</v>
      </c>
      <c r="D29" s="52" t="n">
        <f aca="false">$C29*24</f>
        <v>11.25</v>
      </c>
      <c r="E29" s="53" t="n">
        <f aca="false">IFERROR($D29/$D$31,0)</f>
        <v>0.0341512775107513</v>
      </c>
      <c r="F29" s="54" t="n">
        <f aca="false">SUMIF(Stundenerfassung!$F$11:$F$70,$B29,Stundenerfassung!$O$11:$O$70)</f>
        <v>506.25</v>
      </c>
      <c r="G29" s="57" t="s">
        <v>99</v>
      </c>
      <c r="H29" s="58" t="n">
        <f aca="false">SUM($H$23:$H$28)</f>
        <v>13.7256944444444</v>
      </c>
      <c r="I29" s="59" t="n">
        <f aca="false">SUM($I$23:$I$28)</f>
        <v>329.416666666667</v>
      </c>
      <c r="J29" s="59" t="n">
        <f aca="false">SUM($J$23:$J$28)</f>
        <v>317</v>
      </c>
      <c r="K29" s="60" t="n">
        <f aca="false">SUM($K$23:$K$28)</f>
        <v>12.4166666666667</v>
      </c>
    </row>
    <row r="30" customFormat="false" ht="15.75" hidden="false" customHeight="true" outlineLevel="0" collapsed="false">
      <c r="B30" s="50" t="str">
        <f aca="false">Stammdaten!$G$37</f>
        <v>Sonstiges</v>
      </c>
      <c r="C30" s="51" t="n">
        <f aca="false">SUMIF(Stundenerfassung!$F$11:$F$70,$B30,Stundenerfassung!$K$11:$K$70)</f>
        <v>0.166666666666667</v>
      </c>
      <c r="D30" s="52" t="n">
        <f aca="false">$C30*24</f>
        <v>4</v>
      </c>
      <c r="E30" s="53" t="n">
        <f aca="false">IFERROR($D30/$D$31,0)</f>
        <v>0.0121426764482671</v>
      </c>
      <c r="F30" s="54" t="n">
        <f aca="false">SUMIF(Stundenerfassung!$F$11:$F$70,$B30,Stundenerfassung!$O$11:$O$70)</f>
        <v>0</v>
      </c>
    </row>
    <row r="31" customFormat="false" ht="15" hidden="false" customHeight="false" outlineLevel="0" collapsed="false">
      <c r="B31" s="57" t="s">
        <v>99</v>
      </c>
      <c r="C31" s="58" t="n">
        <f aca="false">SUM($C$23:$C$30)</f>
        <v>13.7256944444444</v>
      </c>
      <c r="D31" s="59" t="n">
        <f aca="false">SUM($D$23:$D$30)</f>
        <v>329.416666666667</v>
      </c>
      <c r="E31" s="61" t="n">
        <f aca="false">IFERROR($D$31/$D$31,0)</f>
        <v>1</v>
      </c>
      <c r="F31" s="62" t="n">
        <f aca="false">SUM($F$23:$F$30)</f>
        <v>24930.83</v>
      </c>
    </row>
    <row r="33" customFormat="false" ht="19.5" hidden="false" customHeight="true" outlineLevel="0" collapsed="false">
      <c r="A33" s="14" t="s">
        <v>100</v>
      </c>
      <c r="B33" s="14"/>
      <c r="C33" s="14"/>
      <c r="D33" s="14"/>
      <c r="E33" s="14"/>
      <c r="G33" s="34" t="s">
        <v>101</v>
      </c>
      <c r="H33" s="34"/>
      <c r="I33" s="34"/>
      <c r="J33" s="34"/>
      <c r="K33" s="34"/>
    </row>
    <row r="34" customFormat="false" ht="15" hidden="false" customHeight="false" outlineLevel="0" collapsed="false">
      <c r="B34" s="49" t="s">
        <v>102</v>
      </c>
      <c r="C34" s="49" t="s">
        <v>92</v>
      </c>
      <c r="D34" s="49" t="s">
        <v>93</v>
      </c>
      <c r="E34" s="49" t="s">
        <v>103</v>
      </c>
      <c r="G34" s="63" t="s">
        <v>104</v>
      </c>
      <c r="H34" s="63"/>
      <c r="I34" s="49" t="s">
        <v>105</v>
      </c>
      <c r="J34" s="49" t="s">
        <v>106</v>
      </c>
    </row>
    <row r="35" customFormat="false" ht="15.75" hidden="false" customHeight="true" outlineLevel="0" collapsed="false">
      <c r="B35" s="64" t="n">
        <v>27</v>
      </c>
      <c r="C35" s="51" t="n">
        <f aca="false">SUMIF(Stundenerfassung!$D$11:$D$70,$B35,Stundenerfassung!$K$11:$K$70)</f>
        <v>2.52777777777778</v>
      </c>
      <c r="D35" s="52" t="n">
        <f aca="false">$C35*24</f>
        <v>60.6666666666667</v>
      </c>
      <c r="E35" s="65" t="n">
        <f aca="false">COUNTIF(Stundenerfassung!$D$11:$D$70,$B35)</f>
        <v>9</v>
      </c>
      <c r="G35" s="45" t="s">
        <v>107</v>
      </c>
      <c r="H35" s="45"/>
      <c r="I35" s="66" t="n">
        <f aca="false">COUNTIF(Stundenerfassung!$L$11:$L$70,"&gt;"&amp;Warnschwelle)</f>
        <v>1</v>
      </c>
      <c r="J35" s="67" t="str">
        <f aca="false">IF($I35=0,"OK","PRÜFEN")</f>
        <v>PRÜFEN</v>
      </c>
      <c r="K35" s="68"/>
    </row>
    <row r="36" customFormat="false" ht="15.75" hidden="false" customHeight="true" outlineLevel="0" collapsed="false">
      <c r="B36" s="64" t="n">
        <v>28</v>
      </c>
      <c r="C36" s="51" t="n">
        <f aca="false">SUMIF(Stundenerfassung!$D$11:$D$70,$B36,Stundenerfassung!$K$11:$K$70)</f>
        <v>3.44791666666667</v>
      </c>
      <c r="D36" s="52" t="n">
        <f aca="false">$C36*24</f>
        <v>82.75</v>
      </c>
      <c r="E36" s="65" t="n">
        <f aca="false">COUNTIF(Stundenerfassung!$D$11:$D$70,$B36)</f>
        <v>12</v>
      </c>
      <c r="G36" s="45" t="s">
        <v>108</v>
      </c>
      <c r="H36" s="45"/>
      <c r="I36" s="66" t="n">
        <f aca="false">COUNTIFS(Stundenerfassung!$L$11:$L$70,"&gt;6",Stundenerfassung!$I$11:$I$70,"&lt;30")</f>
        <v>1</v>
      </c>
      <c r="J36" s="67" t="str">
        <f aca="false">IF($I36=0,"OK","PRÜFEN")</f>
        <v>PRÜFEN</v>
      </c>
      <c r="K36" s="68"/>
    </row>
    <row r="37" customFormat="false" ht="15.75" hidden="false" customHeight="true" outlineLevel="0" collapsed="false">
      <c r="B37" s="64" t="n">
        <v>29</v>
      </c>
      <c r="C37" s="51" t="n">
        <f aca="false">SUMIF(Stundenerfassung!$D$11:$D$70,$B37,Stundenerfassung!$K$11:$K$70)</f>
        <v>3.41666666666667</v>
      </c>
      <c r="D37" s="52" t="n">
        <f aca="false">$C37*24</f>
        <v>82</v>
      </c>
      <c r="E37" s="65" t="n">
        <f aca="false">COUNTIF(Stundenerfassung!$D$11:$D$70,$B37)</f>
        <v>12</v>
      </c>
      <c r="G37" s="45" t="s">
        <v>109</v>
      </c>
      <c r="H37" s="45"/>
      <c r="I37" s="66" t="n">
        <f aca="false">COUNTIFS(Stundenerfassung!$L$11:$L$70,"&gt;9",Stundenerfassung!$I$11:$I$70,"&lt;45")</f>
        <v>0</v>
      </c>
      <c r="J37" s="67" t="str">
        <f aca="false">IF($I37=0,"OK","PRÜFEN")</f>
        <v>OK</v>
      </c>
      <c r="K37" s="68"/>
    </row>
    <row r="38" customFormat="false" ht="15.75" hidden="false" customHeight="true" outlineLevel="0" collapsed="false">
      <c r="B38" s="64" t="n">
        <v>30</v>
      </c>
      <c r="C38" s="51" t="n">
        <f aca="false">SUMIF(Stundenerfassung!$D$11:$D$70,$B38,Stundenerfassung!$K$11:$K$70)</f>
        <v>3.13541666666667</v>
      </c>
      <c r="D38" s="52" t="n">
        <f aca="false">$C38*24</f>
        <v>75.25</v>
      </c>
      <c r="E38" s="65" t="n">
        <f aca="false">COUNTIF(Stundenerfassung!$D$11:$D$70,$B38)</f>
        <v>11</v>
      </c>
      <c r="G38" s="45" t="s">
        <v>110</v>
      </c>
      <c r="H38" s="45"/>
      <c r="I38" s="66" t="n">
        <f aca="false">COUNTIFS(Stundenerfassung!$B$11:$B$70,"",Stundenerfassung!$G$11:$G$70,"&lt;&gt;")</f>
        <v>0</v>
      </c>
      <c r="J38" s="67" t="str">
        <f aca="false">IF($I38=0,"OK","PRÜFEN")</f>
        <v>OK</v>
      </c>
      <c r="K38" s="68"/>
    </row>
    <row r="39" customFormat="false" ht="15.75" hidden="false" customHeight="true" outlineLevel="0" collapsed="false">
      <c r="B39" s="64" t="n">
        <v>31</v>
      </c>
      <c r="C39" s="51" t="n">
        <f aca="false">SUMIF(Stundenerfassung!$D$11:$D$70,$B39,Stundenerfassung!$K$11:$K$70)</f>
        <v>1.19791666666667</v>
      </c>
      <c r="D39" s="52" t="n">
        <f aca="false">$C39*24</f>
        <v>28.75</v>
      </c>
      <c r="E39" s="65" t="n">
        <f aca="false">COUNTIF(Stundenerfassung!$D$11:$D$70,$B39)</f>
        <v>4</v>
      </c>
      <c r="G39" s="45" t="s">
        <v>111</v>
      </c>
      <c r="H39" s="45"/>
      <c r="I39" s="66" t="n">
        <f aca="false">COUNTIFS(Stundenerfassung!$B$11:$B$70,"&lt;&gt;",Stundenerfassung!$F$11:$F$70,"")</f>
        <v>0</v>
      </c>
      <c r="J39" s="67" t="str">
        <f aca="false">IF($I39=0,"OK","PRÜFEN")</f>
        <v>OK</v>
      </c>
      <c r="K39" s="68"/>
    </row>
    <row r="40" customFormat="false" ht="15.75" hidden="false" customHeight="true" outlineLevel="0" collapsed="false">
      <c r="G40" s="45" t="s">
        <v>112</v>
      </c>
      <c r="H40" s="45"/>
      <c r="I40" s="66" t="n">
        <f aca="false">COUNTIFS(Stundenerfassung!$B$11:$B$70,"&lt;&gt;",Stundenerfassung!$G$11:$G$70,"",Stundenerfassung!$J$11:$J$70,"")</f>
        <v>0</v>
      </c>
      <c r="J40" s="67" t="str">
        <f aca="false">IF($I40=0,"OK","PRÜFEN")</f>
        <v>OK</v>
      </c>
      <c r="K40" s="68"/>
    </row>
    <row r="41" customFormat="false" ht="15.75" hidden="false" customHeight="true" outlineLevel="0" collapsed="false">
      <c r="G41" s="45" t="s">
        <v>113</v>
      </c>
      <c r="H41" s="45"/>
      <c r="I41" s="66" t="n">
        <f aca="false">COUNT(Stundenerfassung!$J$11:$J$70)</f>
        <v>4</v>
      </c>
      <c r="J41" s="67" t="str">
        <f aca="false">IF($I41=0,"OK","INFO")</f>
        <v>INFO</v>
      </c>
      <c r="K41" s="68"/>
    </row>
    <row r="43" customFormat="false" ht="15" hidden="false" customHeight="true" outlineLevel="0" collapsed="false">
      <c r="A43" s="69" t="s">
        <v>114</v>
      </c>
      <c r="B43" s="69"/>
      <c r="C43" s="69"/>
      <c r="D43" s="69"/>
      <c r="E43" s="69"/>
      <c r="F43" s="69"/>
      <c r="G43" s="69"/>
      <c r="H43" s="69"/>
      <c r="I43" s="69"/>
      <c r="J43" s="69"/>
      <c r="K43" s="69"/>
    </row>
    <row r="44" customFormat="false" ht="15" hidden="false" customHeight="false" outlineLevel="0" collapsed="false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</row>
  </sheetData>
  <mergeCells count="24">
    <mergeCell ref="A1:K1"/>
    <mergeCell ref="A2:K2"/>
    <mergeCell ref="A3:K3"/>
    <mergeCell ref="A5:K5"/>
    <mergeCell ref="D6:K6"/>
    <mergeCell ref="D7:K7"/>
    <mergeCell ref="D8:K8"/>
    <mergeCell ref="D9:K9"/>
    <mergeCell ref="D10:K10"/>
    <mergeCell ref="D11:K11"/>
    <mergeCell ref="A13:K13"/>
    <mergeCell ref="A21:E21"/>
    <mergeCell ref="G21:K21"/>
    <mergeCell ref="A33:E33"/>
    <mergeCell ref="G33:K33"/>
    <mergeCell ref="G34:H34"/>
    <mergeCell ref="G35:H35"/>
    <mergeCell ref="G36:H36"/>
    <mergeCell ref="G37:H37"/>
    <mergeCell ref="G38:H38"/>
    <mergeCell ref="G39:H39"/>
    <mergeCell ref="G40:H40"/>
    <mergeCell ref="G41:H41"/>
    <mergeCell ref="A43:K44"/>
  </mergeCells>
  <conditionalFormatting sqref="H18">
    <cfRule type="cellIs" priority="2" operator="lessThan" aboveAverage="0" equalAverage="0" bottom="0" percent="0" rank="0" text="" dxfId="1">
      <formula>0</formula>
    </cfRule>
    <cfRule type="cellIs" priority="3" operator="greaterThanOrEqual" aboveAverage="0" equalAverage="0" bottom="0" percent="0" rank="0" text="" dxfId="4">
      <formula>0</formula>
    </cfRule>
  </conditionalFormatting>
  <conditionalFormatting sqref="K23:K28">
    <cfRule type="cellIs" priority="4" operator="lessThan" aboveAverage="0" equalAverage="0" bottom="0" percent="0" rank="0" text="" dxfId="1">
      <formula>0</formula>
    </cfRule>
    <cfRule type="cellIs" priority="5" operator="greaterThan" aboveAverage="0" equalAverage="0" bottom="0" percent="0" rank="0" text="" dxfId="4">
      <formula>0</formula>
    </cfRule>
  </conditionalFormatting>
  <conditionalFormatting sqref="J35:J41">
    <cfRule type="cellIs" priority="6" operator="equal" aboveAverage="0" equalAverage="0" bottom="0" percent="0" rank="0" text="" dxfId="5">
      <formula>"OK"</formula>
    </cfRule>
    <cfRule type="cellIs" priority="7" operator="equal" aboveAverage="0" equalAverage="0" bottom="0" percent="0" rank="0" text="" dxfId="2">
      <formula>"PRÜFEN"</formula>
    </cfRule>
    <cfRule type="cellIs" priority="8" operator="equal" aboveAverage="0" equalAverage="0" bottom="0" percent="0" rank="0" text="" dxfId="6">
      <formula>"INFO"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5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18"/>
    <col collapsed="false" customWidth="true" hidden="false" outlineLevel="0" max="5" min="4" style="0" width="14"/>
    <col collapsed="false" customWidth="true" hidden="false" outlineLevel="0" max="6" min="6" style="0" width="3"/>
    <col collapsed="false" customWidth="true" hidden="false" outlineLevel="0" max="7" min="7" style="0" width="30"/>
    <col collapsed="false" customWidth="true" hidden="false" outlineLevel="0" max="9" min="8" style="0" width="16"/>
  </cols>
  <sheetData>
    <row r="1" customFormat="false" ht="30" hidden="false" customHeight="true" outlineLevel="0" collapsed="false">
      <c r="A1" s="36" t="s">
        <v>115</v>
      </c>
      <c r="B1" s="36"/>
      <c r="C1" s="36"/>
      <c r="D1" s="36"/>
      <c r="E1" s="36"/>
      <c r="F1" s="36"/>
      <c r="G1" s="36"/>
      <c r="H1" s="36"/>
      <c r="I1" s="36"/>
    </row>
    <row r="2" customFormat="false" ht="3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</row>
    <row r="4" customFormat="false" ht="19.5" hidden="false" customHeight="true" outlineLevel="0" collapsed="false">
      <c r="A4" s="14" t="s">
        <v>116</v>
      </c>
      <c r="B4" s="14"/>
      <c r="C4" s="14"/>
      <c r="D4" s="14"/>
      <c r="E4" s="14"/>
      <c r="F4" s="14"/>
      <c r="G4" s="14"/>
      <c r="H4" s="14"/>
      <c r="I4" s="14"/>
    </row>
    <row r="5" customFormat="false" ht="15.75" hidden="false" customHeight="true" outlineLevel="0" collapsed="false">
      <c r="B5" s="38" t="s">
        <v>117</v>
      </c>
      <c r="C5" s="70" t="s">
        <v>118</v>
      </c>
    </row>
    <row r="6" customFormat="false" ht="15.75" hidden="false" customHeight="true" outlineLevel="0" collapsed="false">
      <c r="B6" s="38" t="s">
        <v>119</v>
      </c>
      <c r="C6" s="70" t="s">
        <v>120</v>
      </c>
    </row>
    <row r="7" customFormat="false" ht="15.75" hidden="false" customHeight="true" outlineLevel="0" collapsed="false">
      <c r="B7" s="38" t="s">
        <v>121</v>
      </c>
      <c r="C7" s="70" t="s">
        <v>122</v>
      </c>
    </row>
    <row r="8" customFormat="false" ht="15.75" hidden="false" customHeight="true" outlineLevel="0" collapsed="false">
      <c r="B8" s="38" t="s">
        <v>123</v>
      </c>
      <c r="C8" s="70" t="s">
        <v>124</v>
      </c>
    </row>
    <row r="9" customFormat="false" ht="15.75" hidden="false" customHeight="true" outlineLevel="0" collapsed="false">
      <c r="B9" s="38" t="s">
        <v>5</v>
      </c>
      <c r="C9" s="71" t="n">
        <v>46234</v>
      </c>
    </row>
    <row r="11" customFormat="false" ht="19.5" hidden="false" customHeight="true" outlineLevel="0" collapsed="false">
      <c r="A11" s="14" t="s">
        <v>125</v>
      </c>
      <c r="B11" s="14"/>
      <c r="C11" s="14"/>
      <c r="D11" s="14"/>
      <c r="E11" s="14"/>
      <c r="F11" s="14"/>
      <c r="G11" s="14"/>
      <c r="H11" s="14"/>
      <c r="I11" s="14"/>
    </row>
    <row r="12" customFormat="false" ht="15.75" hidden="false" customHeight="true" outlineLevel="0" collapsed="false">
      <c r="B12" s="38" t="s">
        <v>126</v>
      </c>
      <c r="C12" s="72" t="n">
        <v>8</v>
      </c>
    </row>
    <row r="13" customFormat="false" ht="15.75" hidden="false" customHeight="true" outlineLevel="0" collapsed="false">
      <c r="B13" s="38" t="s">
        <v>127</v>
      </c>
      <c r="C13" s="73" t="n">
        <v>75</v>
      </c>
    </row>
    <row r="14" customFormat="false" ht="15.75" hidden="false" customHeight="true" outlineLevel="0" collapsed="false">
      <c r="B14" s="38" t="s">
        <v>128</v>
      </c>
      <c r="C14" s="74" t="n">
        <f aca="false">SUM($C$30:$C$35)</f>
        <v>317</v>
      </c>
    </row>
    <row r="15" customFormat="false" ht="15.75" hidden="false" customHeight="true" outlineLevel="0" collapsed="false">
      <c r="B15" s="38" t="s">
        <v>129</v>
      </c>
      <c r="C15" s="72" t="n">
        <v>10</v>
      </c>
    </row>
    <row r="17" customFormat="false" ht="19.5" hidden="false" customHeight="true" outlineLevel="0" collapsed="false">
      <c r="A17" s="14" t="s">
        <v>130</v>
      </c>
      <c r="B17" s="14"/>
      <c r="C17" s="14"/>
      <c r="D17" s="14"/>
      <c r="E17" s="14"/>
      <c r="F17" s="14"/>
      <c r="G17" s="14"/>
      <c r="H17" s="14"/>
      <c r="I17" s="14"/>
    </row>
    <row r="18" customFormat="false" ht="15" hidden="false" customHeight="false" outlineLevel="0" collapsed="false">
      <c r="B18" s="75" t="s">
        <v>131</v>
      </c>
    </row>
    <row r="19" customFormat="false" ht="15.75" hidden="false" customHeight="true" outlineLevel="0" collapsed="false">
      <c r="B19" s="38" t="s">
        <v>132</v>
      </c>
      <c r="C19" s="76" t="n">
        <f aca="false">26.5/24</f>
        <v>1.10416666666667</v>
      </c>
      <c r="D19" s="37" t="s">
        <v>133</v>
      </c>
      <c r="E19" s="37"/>
      <c r="F19" s="37"/>
      <c r="G19" s="37"/>
      <c r="H19" s="37"/>
      <c r="I19" s="37"/>
    </row>
    <row r="20" customFormat="false" ht="15.75" hidden="false" customHeight="true" outlineLevel="0" collapsed="false">
      <c r="B20" s="38" t="s">
        <v>134</v>
      </c>
      <c r="C20" s="77" t="n">
        <f aca="false">$C$19</f>
        <v>1.10416666666667</v>
      </c>
      <c r="D20" s="41" t="s">
        <v>135</v>
      </c>
      <c r="E20" s="41"/>
      <c r="F20" s="41"/>
      <c r="G20" s="41"/>
      <c r="H20" s="41"/>
      <c r="I20" s="41"/>
    </row>
    <row r="21" customFormat="false" ht="15.75" hidden="false" customHeight="true" outlineLevel="0" collapsed="false">
      <c r="B21" s="38" t="s">
        <v>136</v>
      </c>
      <c r="C21" s="78" t="n">
        <f aca="false">$C$19</f>
        <v>1.10416666666667</v>
      </c>
      <c r="D21" s="37" t="s">
        <v>137</v>
      </c>
      <c r="E21" s="37"/>
      <c r="F21" s="37"/>
      <c r="G21" s="37"/>
      <c r="H21" s="37"/>
      <c r="I21" s="37"/>
    </row>
    <row r="22" customFormat="false" ht="15.75" hidden="false" customHeight="true" outlineLevel="0" collapsed="false">
      <c r="B22" s="38" t="s">
        <v>70</v>
      </c>
      <c r="C22" s="74" t="n">
        <f aca="false">$C$19*24</f>
        <v>26.5</v>
      </c>
      <c r="D22" s="37" t="s">
        <v>138</v>
      </c>
      <c r="E22" s="37"/>
      <c r="F22" s="37"/>
      <c r="G22" s="37"/>
      <c r="H22" s="37"/>
      <c r="I22" s="37"/>
    </row>
    <row r="23" customFormat="false" ht="15.75" hidden="false" customHeight="true" outlineLevel="0" collapsed="false">
      <c r="B23" s="38" t="s">
        <v>139</v>
      </c>
      <c r="C23" s="79" t="n">
        <f aca="false">$C$19*1440</f>
        <v>1590</v>
      </c>
      <c r="D23" s="37" t="s">
        <v>140</v>
      </c>
      <c r="E23" s="37"/>
      <c r="F23" s="37"/>
      <c r="G23" s="37"/>
      <c r="H23" s="37"/>
      <c r="I23" s="37"/>
    </row>
    <row r="25" customFormat="false" ht="19.5" hidden="false" customHeight="true" outlineLevel="0" collapsed="false">
      <c r="A25" s="14" t="s">
        <v>141</v>
      </c>
      <c r="B25" s="14"/>
      <c r="C25" s="14"/>
      <c r="D25" s="14"/>
      <c r="F25" s="34" t="s">
        <v>142</v>
      </c>
      <c r="G25" s="34"/>
      <c r="H25" s="34"/>
      <c r="I25" s="34"/>
    </row>
    <row r="29" customFormat="false" ht="15" hidden="false" customHeight="false" outlineLevel="0" collapsed="false">
      <c r="B29" s="49" t="s">
        <v>17</v>
      </c>
      <c r="C29" s="49" t="s">
        <v>4</v>
      </c>
      <c r="D29" s="49" t="s">
        <v>143</v>
      </c>
      <c r="G29" s="49" t="s">
        <v>18</v>
      </c>
      <c r="H29" s="49" t="s">
        <v>144</v>
      </c>
      <c r="I29" s="49" t="s">
        <v>143</v>
      </c>
    </row>
    <row r="30" customFormat="false" ht="15.75" hidden="false" customHeight="true" outlineLevel="0" collapsed="false">
      <c r="B30" s="80" t="s">
        <v>29</v>
      </c>
      <c r="C30" s="81" t="n">
        <v>105</v>
      </c>
      <c r="D30" s="82" t="n">
        <f aca="false">SUMIF(Stundenerfassung!$E$11:$E$70,$B30,Stundenerfassung!$L$11:$L$70)</f>
        <v>101.416666666667</v>
      </c>
      <c r="G30" s="80" t="s">
        <v>30</v>
      </c>
      <c r="H30" s="83" t="n">
        <v>95</v>
      </c>
      <c r="I30" s="82" t="n">
        <f aca="false">SUMIF(Stundenerfassung!$F$11:$F$70,$G30,Stundenerfassung!$L$11:$L$70)</f>
        <v>123.416666666667</v>
      </c>
    </row>
    <row r="31" customFormat="false" ht="15.75" hidden="false" customHeight="true" outlineLevel="0" collapsed="false">
      <c r="B31" s="80" t="s">
        <v>32</v>
      </c>
      <c r="C31" s="81" t="n">
        <v>48</v>
      </c>
      <c r="D31" s="82" t="n">
        <f aca="false">SUMIF(Stundenerfassung!$E$11:$E$70,$B31,Stundenerfassung!$L$11:$L$70)</f>
        <v>49.5</v>
      </c>
      <c r="G31" s="80" t="s">
        <v>33</v>
      </c>
      <c r="H31" s="83" t="n">
        <v>110</v>
      </c>
      <c r="I31" s="82" t="n">
        <f aca="false">SUMIF(Stundenerfassung!$F$11:$F$70,$G31,Stundenerfassung!$L$11:$L$70)</f>
        <v>49.5</v>
      </c>
    </row>
    <row r="32" customFormat="false" ht="15.75" hidden="false" customHeight="true" outlineLevel="0" collapsed="false">
      <c r="B32" s="80" t="s">
        <v>34</v>
      </c>
      <c r="C32" s="81" t="n">
        <v>60</v>
      </c>
      <c r="D32" s="82" t="n">
        <f aca="false">SUMIF(Stundenerfassung!$E$11:$E$70,$B32,Stundenerfassung!$L$11:$L$70)</f>
        <v>58</v>
      </c>
      <c r="G32" s="80" t="s">
        <v>35</v>
      </c>
      <c r="H32" s="83" t="n">
        <v>85</v>
      </c>
      <c r="I32" s="82" t="n">
        <f aca="false">SUMIF(Stundenerfassung!$F$11:$F$70,$G32,Stundenerfassung!$L$11:$L$70)</f>
        <v>58</v>
      </c>
    </row>
    <row r="33" customFormat="false" ht="15.75" hidden="false" customHeight="true" outlineLevel="0" collapsed="false">
      <c r="B33" s="80" t="s">
        <v>36</v>
      </c>
      <c r="C33" s="81" t="n">
        <v>28</v>
      </c>
      <c r="D33" s="82" t="n">
        <f aca="false">SUMIF(Stundenerfassung!$E$11:$E$70,$B33,Stundenerfassung!$L$11:$L$70)</f>
        <v>36.75</v>
      </c>
      <c r="G33" s="80" t="s">
        <v>37</v>
      </c>
      <c r="H33" s="83" t="n">
        <v>55</v>
      </c>
      <c r="I33" s="82" t="n">
        <f aca="false">SUMIF(Stundenerfassung!$F$11:$F$70,$G33,Stundenerfassung!$L$11:$L$70)</f>
        <v>32.75</v>
      </c>
    </row>
    <row r="34" customFormat="false" ht="15.75" hidden="false" customHeight="true" outlineLevel="0" collapsed="false">
      <c r="B34" s="80" t="s">
        <v>40</v>
      </c>
      <c r="C34" s="81" t="n">
        <v>36</v>
      </c>
      <c r="D34" s="82" t="n">
        <f aca="false">SUMIF(Stundenerfassung!$E$11:$E$70,$B34,Stundenerfassung!$L$11:$L$70)</f>
        <v>42.25</v>
      </c>
      <c r="G34" s="80" t="s">
        <v>41</v>
      </c>
      <c r="H34" s="83" t="n">
        <v>75</v>
      </c>
      <c r="I34" s="82" t="n">
        <f aca="false">SUMIF(Stundenerfassung!$F$11:$F$70,$G34,Stundenerfassung!$L$11:$L$70)</f>
        <v>31</v>
      </c>
    </row>
    <row r="35" customFormat="false" ht="15.75" hidden="false" customHeight="true" outlineLevel="0" collapsed="false">
      <c r="B35" s="80" t="s">
        <v>43</v>
      </c>
      <c r="C35" s="81" t="n">
        <v>40</v>
      </c>
      <c r="D35" s="82" t="n">
        <f aca="false">SUMIF(Stundenerfassung!$E$11:$E$70,$B35,Stundenerfassung!$L$11:$L$70)</f>
        <v>41.5</v>
      </c>
      <c r="G35" s="80" t="s">
        <v>44</v>
      </c>
      <c r="H35" s="83" t="n">
        <v>70</v>
      </c>
      <c r="I35" s="82" t="n">
        <f aca="false">SUMIF(Stundenerfassung!$F$11:$F$70,$G35,Stundenerfassung!$L$11:$L$70)</f>
        <v>19.5</v>
      </c>
    </row>
    <row r="36" customFormat="false" ht="15.75" hidden="false" customHeight="true" outlineLevel="0" collapsed="false">
      <c r="G36" s="80" t="s">
        <v>48</v>
      </c>
      <c r="H36" s="83" t="n">
        <v>45</v>
      </c>
      <c r="I36" s="82" t="n">
        <f aca="false">SUMIF(Stundenerfassung!$F$11:$F$70,$G36,Stundenerfassung!$L$11:$L$70)</f>
        <v>11.25</v>
      </c>
    </row>
    <row r="37" customFormat="false" ht="15.75" hidden="false" customHeight="true" outlineLevel="0" collapsed="false">
      <c r="G37" s="80" t="s">
        <v>54</v>
      </c>
      <c r="H37" s="83" t="n">
        <v>50</v>
      </c>
      <c r="I37" s="82" t="n">
        <f aca="false">SUMIF(Stundenerfassung!$F$11:$F$70,$G37,Stundenerfassung!$L$11:$L$70)</f>
        <v>4</v>
      </c>
    </row>
    <row r="39" customFormat="false" ht="19.5" hidden="false" customHeight="true" outlineLevel="0" collapsed="false">
      <c r="A39" s="14" t="s">
        <v>145</v>
      </c>
      <c r="B39" s="14"/>
      <c r="C39" s="14"/>
      <c r="D39" s="14"/>
      <c r="E39" s="14"/>
      <c r="F39" s="14"/>
      <c r="G39" s="14"/>
      <c r="H39" s="14"/>
      <c r="I39" s="14"/>
    </row>
    <row r="40" customFormat="false" ht="15.75" hidden="false" customHeight="true" outlineLevel="0" collapsed="false">
      <c r="B40" s="84" t="s">
        <v>146</v>
      </c>
      <c r="C40" s="84"/>
      <c r="D40" s="84"/>
      <c r="E40" s="84"/>
      <c r="F40" s="84"/>
      <c r="G40" s="84"/>
      <c r="H40" s="84"/>
      <c r="I40" s="84"/>
    </row>
    <row r="41" customFormat="false" ht="15.75" hidden="false" customHeight="true" outlineLevel="0" collapsed="false">
      <c r="B41" s="84" t="s">
        <v>147</v>
      </c>
      <c r="C41" s="84"/>
      <c r="D41" s="84"/>
      <c r="E41" s="84"/>
      <c r="F41" s="84"/>
      <c r="G41" s="84"/>
      <c r="H41" s="84"/>
      <c r="I41" s="84"/>
    </row>
    <row r="42" customFormat="false" ht="15.75" hidden="false" customHeight="true" outlineLevel="0" collapsed="false">
      <c r="B42" s="84" t="s">
        <v>148</v>
      </c>
      <c r="C42" s="84"/>
      <c r="D42" s="84"/>
      <c r="E42" s="84"/>
      <c r="F42" s="84"/>
      <c r="G42" s="84"/>
      <c r="H42" s="84"/>
      <c r="I42" s="84"/>
    </row>
    <row r="43" customFormat="false" ht="15.75" hidden="false" customHeight="true" outlineLevel="0" collapsed="false">
      <c r="B43" s="84" t="s">
        <v>149</v>
      </c>
      <c r="C43" s="84"/>
      <c r="D43" s="84"/>
      <c r="E43" s="84"/>
      <c r="F43" s="84"/>
      <c r="G43" s="84"/>
      <c r="H43" s="84"/>
      <c r="I43" s="84"/>
    </row>
    <row r="44" customFormat="false" ht="15.75" hidden="false" customHeight="true" outlineLevel="0" collapsed="false">
      <c r="B44" s="84" t="s">
        <v>150</v>
      </c>
      <c r="C44" s="84"/>
      <c r="D44" s="84"/>
      <c r="E44" s="84"/>
      <c r="F44" s="84"/>
      <c r="G44" s="84"/>
      <c r="H44" s="84"/>
      <c r="I44" s="84"/>
    </row>
    <row r="46" customFormat="false" ht="15" hidden="false" customHeight="true" outlineLevel="0" collapsed="false">
      <c r="B46" s="85"/>
      <c r="C46" s="86" t="s">
        <v>151</v>
      </c>
      <c r="D46" s="86"/>
      <c r="E46" s="86"/>
      <c r="F46" s="86"/>
      <c r="G46" s="86"/>
      <c r="H46" s="86"/>
      <c r="I46" s="86"/>
    </row>
    <row r="47" customFormat="false" ht="15" hidden="false" customHeight="true" outlineLevel="0" collapsed="false">
      <c r="B47" s="87"/>
      <c r="C47" s="86" t="s">
        <v>152</v>
      </c>
      <c r="D47" s="86"/>
      <c r="E47" s="86"/>
      <c r="F47" s="86"/>
      <c r="G47" s="86"/>
      <c r="H47" s="86"/>
      <c r="I47" s="86"/>
    </row>
    <row r="48" customFormat="false" ht="15" hidden="false" customHeight="true" outlineLevel="0" collapsed="false">
      <c r="B48" s="88"/>
      <c r="C48" s="86" t="s">
        <v>153</v>
      </c>
      <c r="D48" s="86"/>
      <c r="E48" s="86"/>
      <c r="F48" s="86"/>
      <c r="G48" s="86"/>
      <c r="H48" s="86"/>
      <c r="I48" s="86"/>
    </row>
    <row r="49" customFormat="false" ht="15" hidden="false" customHeight="true" outlineLevel="0" collapsed="false">
      <c r="B49" s="89"/>
      <c r="C49" s="86" t="s">
        <v>154</v>
      </c>
      <c r="D49" s="86"/>
      <c r="E49" s="86"/>
      <c r="F49" s="86"/>
      <c r="G49" s="86"/>
      <c r="H49" s="86"/>
      <c r="I49" s="86"/>
    </row>
    <row r="51" customFormat="false" ht="15" hidden="false" customHeight="true" outlineLevel="0" collapsed="false">
      <c r="B51" s="69" t="s">
        <v>155</v>
      </c>
      <c r="C51" s="69"/>
      <c r="D51" s="69"/>
      <c r="E51" s="69"/>
      <c r="F51" s="69"/>
      <c r="G51" s="69"/>
      <c r="H51" s="69"/>
      <c r="I51" s="69"/>
    </row>
    <row r="52" customFormat="false" ht="15" hidden="false" customHeight="false" outlineLevel="0" collapsed="false">
      <c r="B52" s="69"/>
      <c r="C52" s="69"/>
      <c r="D52" s="69"/>
      <c r="E52" s="69"/>
      <c r="F52" s="69"/>
      <c r="G52" s="69"/>
      <c r="H52" s="69"/>
      <c r="I52" s="69"/>
    </row>
  </sheetData>
  <mergeCells count="23">
    <mergeCell ref="A1:I1"/>
    <mergeCell ref="A2:I2"/>
    <mergeCell ref="A4:I4"/>
    <mergeCell ref="A11:I11"/>
    <mergeCell ref="A17:I17"/>
    <mergeCell ref="D19:I19"/>
    <mergeCell ref="D20:I20"/>
    <mergeCell ref="D21:I21"/>
    <mergeCell ref="D22:I22"/>
    <mergeCell ref="D23:I23"/>
    <mergeCell ref="A25:D25"/>
    <mergeCell ref="F25:I25"/>
    <mergeCell ref="A39:I39"/>
    <mergeCell ref="B40:I40"/>
    <mergeCell ref="B41:I41"/>
    <mergeCell ref="B42:I42"/>
    <mergeCell ref="B43:I43"/>
    <mergeCell ref="B44:I44"/>
    <mergeCell ref="C46:I46"/>
    <mergeCell ref="C47:I47"/>
    <mergeCell ref="C48:I48"/>
    <mergeCell ref="C49:I49"/>
    <mergeCell ref="B51:I5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2026-07-20T09:22:04Z</dcterms:created>
  <dc:creator>openpyxl</dc:creator>
  <dc:description/>
  <dc:language>en-US</dc:language>
  <cp:lastModifiedBy/>
  <dcterms:modified xsi:type="dcterms:W3CDTF">2026-07-20T09:22:07Z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