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Dashboard" sheetId="1" state="visible" r:id="rId3"/>
    <sheet name="Konfiguration" sheetId="2" state="visible" r:id="rId4"/>
    <sheet name="Pipeline" sheetId="3" state="visible" r:id="rId5"/>
  </sheets>
  <definedNames>
    <definedName function="false" hidden="false" localSheetId="0" name="_xlnm.Print_Area" vbProcedure="false">Dashboard!$B$1:$M$33</definedName>
    <definedName function="false" hidden="false" localSheetId="1" name="_xlnm.Print_Area" vbProcedure="false">Konfiguration!$B$1:$H$17</definedName>
    <definedName function="false" hidden="false" localSheetId="2" name="_xlnm.Print_Area" vbProcedure="false">Pipeline!$B$1:$O$47</definedName>
    <definedName function="false" hidden="true" localSheetId="2" name="_xlnm._FilterDatabase" vbProcedure="false">Pipeline!$B$7:$O$47</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<sst xmlns="http://schemas.openxmlformats.org/spreadsheetml/2006/main" count="258" uniqueCount="156">
  <si>
    <t xml:space="preserve">VERTRIEBS-DASHBOARD  ·  2026</t>
  </si>
  <si>
    <t xml:space="preserve">Sales-Pipeline · Forecast · Vertriebssteuerung   —   Kennzahlen aktualisieren sich automatisch aus der Pipeline</t>
  </si>
  <si>
    <t xml:space="preserve">Offene Verkaufschancen</t>
  </si>
  <si>
    <t xml:space="preserve">Offener Auftragswert</t>
  </si>
  <si>
    <t xml:space="preserve">Gewichtete Pipeline</t>
  </si>
  <si>
    <t xml:space="preserve">Ø Auftragswert (offen)</t>
  </si>
  <si>
    <t xml:space="preserve">Gewinnquote</t>
  </si>
  <si>
    <t xml:space="preserve">Gewonnener Umsatz 2026</t>
  </si>
  <si>
    <t xml:space="preserve">TRICHTER NACH VERTRIEBSSTUFE</t>
  </si>
  <si>
    <t xml:space="preserve">LEISTUNG NACH VERTRIEBSMITARBEITER</t>
  </si>
  <si>
    <t xml:space="preserve">Stufe</t>
  </si>
  <si>
    <t xml:space="preserve">Anzahl</t>
  </si>
  <si>
    <t xml:space="preserve">Auftragswert</t>
  </si>
  <si>
    <t xml:space="preserve">Gewichtet</t>
  </si>
  <si>
    <t xml:space="preserve">Mitarbeiter</t>
  </si>
  <si>
    <t xml:space="preserve">Offen</t>
  </si>
  <si>
    <t xml:space="preserve">Gewonnen €</t>
  </si>
  <si>
    <t xml:space="preserve">Erstkontakt</t>
  </si>
  <si>
    <t xml:space="preserve">Qualifizierung</t>
  </si>
  <si>
    <t xml:space="preserve">Bedarfsanalyse</t>
  </si>
  <si>
    <t xml:space="preserve">Angebot</t>
  </si>
  <si>
    <t xml:space="preserve">Verhandlung</t>
  </si>
  <si>
    <t xml:space="preserve">Gesamt (offen)</t>
  </si>
  <si>
    <t xml:space="preserve">Gesamt</t>
  </si>
  <si>
    <t xml:space="preserve">FORECAST NACH ABSCHLUSSMONAT (gewichtet, offene Chancen)</t>
  </si>
  <si>
    <t xml:space="preserve">SO FUNKTIONIERT DER FORECAST</t>
  </si>
  <si>
    <t xml:space="preserve">Monat</t>
  </si>
  <si>
    <t xml:space="preserve">Offener Wert</t>
  </si>
  <si>
    <t xml:space="preserve">Gewichteter Wert = Auftragswert × Abschlusswahrscheinlichkeit der Stufe.
Beispiel: Ein Deal über 80.000 € in der Stufe „Verhandlung“ (80 %) zählt mit 64.000 € zum Forecast – nicht mit dem vollen Auftragswert.
So entsteht aus vielen einzelnen Chancen eine belastbare, risikogewichtete Umsatzprognose statt einer zu optimistischen Summe aller offenen Aufträge.
Pflegen Sie neue Chancen einfach im Blatt „Pipeline“ ein – Dashboard und Forecast aktualisieren sich automatisch.</t>
  </si>
  <si>
    <t xml:space="preserve">Gesamt 2026</t>
  </si>
  <si>
    <t xml:space="preserve">KONFIGURATION</t>
  </si>
  <si>
    <t xml:space="preserve">Zentrale Stammdaten – steuern Dropdown-Listen und die automatische Wahrscheinlichkeit je Vertriebsstufe</t>
  </si>
  <si>
    <t xml:space="preserve">Vertriebsstufe</t>
  </si>
  <si>
    <t xml:space="preserve">Wahrscheinlichkeit</t>
  </si>
  <si>
    <t xml:space="preserve">Vertriebsmitarbeiter</t>
  </si>
  <si>
    <t xml:space="preserve">Lead-Quelle</t>
  </si>
  <si>
    <t xml:space="preserve">Anna Brandt</t>
  </si>
  <si>
    <t xml:space="preserve">Messe</t>
  </si>
  <si>
    <t xml:space="preserve">Markus Vogel</t>
  </si>
  <si>
    <t xml:space="preserve">Empfehlung</t>
  </si>
  <si>
    <t xml:space="preserve">Julia Kern</t>
  </si>
  <si>
    <t xml:space="preserve">Website</t>
  </si>
  <si>
    <t xml:space="preserve">Stefan Roth</t>
  </si>
  <si>
    <t xml:space="preserve">Kaltakquise</t>
  </si>
  <si>
    <t xml:space="preserve">Nadine Löw</t>
  </si>
  <si>
    <t xml:space="preserve">LinkedIn</t>
  </si>
  <si>
    <t xml:space="preserve">Gewonnen</t>
  </si>
  <si>
    <t xml:space="preserve">Bestandskunde</t>
  </si>
  <si>
    <t xml:space="preserve">Verloren</t>
  </si>
  <si>
    <t xml:space="preserve">Partner</t>
  </si>
  <si>
    <t xml:space="preserve">Hinweis: Die Wahrscheinlichkeit je Stufe wird automatisch in die Pipeline übernommen. Passen Sie Stufen, Prozentsätze, Mitarbeiter und Quellen hier an – alle Dropdowns und Berechnungen aktualisieren sich entsprechend.</t>
  </si>
  <si>
    <t xml:space="preserve">VERTRIEBSPIPELINE  ·  2026</t>
  </si>
  <si>
    <t xml:space="preserve">Alle Verkaufschancen von der ersten Ansprache bis zum Abschluss – Wahrscheinlichkeit, gewichteter Wert und Status werden automatisch berechnet.</t>
  </si>
  <si>
    <t xml:space="preserve">Blaue Schrift = Eingabefelder   ·   Dunkle Schrift = automatisch berechnet   ·   Fälligkeit in der Vergangenheit wird rot markiert</t>
  </si>
  <si>
    <t xml:space="preserve">Chance-ID</t>
  </si>
  <si>
    <t xml:space="preserve">Firma</t>
  </si>
  <si>
    <t xml:space="preserve">Ansprechpartner</t>
  </si>
  <si>
    <t xml:space="preserve">Wahrsch.</t>
  </si>
  <si>
    <t xml:space="preserve">Erw. Abschluss</t>
  </si>
  <si>
    <t xml:space="preserve">Status</t>
  </si>
  <si>
    <t xml:space="preserve">Tage bis Abschluss</t>
  </si>
  <si>
    <t xml:space="preserve">Nächster Schritt</t>
  </si>
  <si>
    <t xml:space="preserve">VC-2026-001</t>
  </si>
  <si>
    <t xml:space="preserve">Nordwind Handels GmbH</t>
  </si>
  <si>
    <t xml:space="preserve">Petra Schuster</t>
  </si>
  <si>
    <t xml:space="preserve">Angebot nachfassen</t>
  </si>
  <si>
    <t xml:space="preserve">VC-2026-002</t>
  </si>
  <si>
    <t xml:space="preserve">Blaustein AG</t>
  </si>
  <si>
    <t xml:space="preserve">Thomas Böhm</t>
  </si>
  <si>
    <t xml:space="preserve">Demo-Termin vereinbaren</t>
  </si>
  <si>
    <t xml:space="preserve">VC-2026-003</t>
  </si>
  <si>
    <t xml:space="preserve">Meridian Solutions GmbH</t>
  </si>
  <si>
    <t xml:space="preserve">Sabine Adler</t>
  </si>
  <si>
    <t xml:space="preserve">Entscheider identifizieren</t>
  </si>
  <si>
    <t xml:space="preserve">VC-2026-004</t>
  </si>
  <si>
    <t xml:space="preserve">Auermann &amp; Partner</t>
  </si>
  <si>
    <t xml:space="preserve">Michael Frey</t>
  </si>
  <si>
    <t xml:space="preserve">Vertrag zusenden</t>
  </si>
  <si>
    <t xml:space="preserve">VC-2026-005</t>
  </si>
  <si>
    <t xml:space="preserve">Lindberg Systeme GmbH</t>
  </si>
  <si>
    <t xml:space="preserve">Claudia Horn</t>
  </si>
  <si>
    <t xml:space="preserve">Rückruf einplanen</t>
  </si>
  <si>
    <t xml:space="preserve">VC-2026-006</t>
  </si>
  <si>
    <t xml:space="preserve">Kastanienhof KG</t>
  </si>
  <si>
    <t xml:space="preserve">Jens Wagner</t>
  </si>
  <si>
    <t xml:space="preserve">Referenzen bereitstellen</t>
  </si>
  <si>
    <t xml:space="preserve">VC-2026-007</t>
  </si>
  <si>
    <t xml:space="preserve">Wesertal GmbH</t>
  </si>
  <si>
    <t xml:space="preserve">Ricarda Peters</t>
  </si>
  <si>
    <t xml:space="preserve">Preisverhandlung vorbereiten</t>
  </si>
  <si>
    <t xml:space="preserve">VC-2026-008</t>
  </si>
  <si>
    <t xml:space="preserve">Hansa Kontor GmbH</t>
  </si>
  <si>
    <t xml:space="preserve">Oliver Grün</t>
  </si>
  <si>
    <t xml:space="preserve">Bedarf detailliert aufnehmen</t>
  </si>
  <si>
    <t xml:space="preserve">VC-2026-009</t>
  </si>
  <si>
    <t xml:space="preserve">Steinbeis Consulting</t>
  </si>
  <si>
    <t xml:space="preserve">Melanie Kaiser</t>
  </si>
  <si>
    <t xml:space="preserve">Follow-up-Mail senden</t>
  </si>
  <si>
    <t xml:space="preserve">VC-2026-010</t>
  </si>
  <si>
    <t xml:space="preserve">Fernblick Media GmbH</t>
  </si>
  <si>
    <t xml:space="preserve">Andreas Busch</t>
  </si>
  <si>
    <t xml:space="preserve">Testphase abstimmen</t>
  </si>
  <si>
    <t xml:space="preserve">VC-2026-011</t>
  </si>
  <si>
    <t xml:space="preserve">Adlerhorst GmbH</t>
  </si>
  <si>
    <t xml:space="preserve">Katrin Lehmann</t>
  </si>
  <si>
    <t xml:space="preserve">Kick-off terminieren</t>
  </si>
  <si>
    <t xml:space="preserve">VC-2026-012</t>
  </si>
  <si>
    <t xml:space="preserve">Tannenbach AG</t>
  </si>
  <si>
    <t xml:space="preserve">Frank Sommer</t>
  </si>
  <si>
    <t xml:space="preserve">Nachfassen nach Messe</t>
  </si>
  <si>
    <t xml:space="preserve">VC-2026-013</t>
  </si>
  <si>
    <t xml:space="preserve">Roseneck GmbH</t>
  </si>
  <si>
    <t xml:space="preserve">Ines Wolf</t>
  </si>
  <si>
    <t xml:space="preserve">Budget klären</t>
  </si>
  <si>
    <t xml:space="preserve">VC-2026-014</t>
  </si>
  <si>
    <t xml:space="preserve">Silberbach &amp; Co.</t>
  </si>
  <si>
    <t xml:space="preserve">Dominik Berg</t>
  </si>
  <si>
    <t xml:space="preserve">Wettbewerbsvergleich liefern</t>
  </si>
  <si>
    <t xml:space="preserve">VC-2026-015</t>
  </si>
  <si>
    <t xml:space="preserve">Morgenstern GmbH</t>
  </si>
  <si>
    <t xml:space="preserve">Sandra Fuchs</t>
  </si>
  <si>
    <t xml:space="preserve">Abschluss vorbereiten</t>
  </si>
  <si>
    <t xml:space="preserve">VC-2026-016</t>
  </si>
  <si>
    <t xml:space="preserve">Eichwald Technik GmbH</t>
  </si>
  <si>
    <t xml:space="preserve">Patrick Ziegler</t>
  </si>
  <si>
    <t xml:space="preserve">—</t>
  </si>
  <si>
    <t xml:space="preserve">VC-2026-017</t>
  </si>
  <si>
    <t xml:space="preserve">Brückner Gruppe</t>
  </si>
  <si>
    <t xml:space="preserve">Heike Neumann</t>
  </si>
  <si>
    <t xml:space="preserve">VC-2026-018</t>
  </si>
  <si>
    <t xml:space="preserve">Falkenstein GmbH</t>
  </si>
  <si>
    <t xml:space="preserve">Robert Krause</t>
  </si>
  <si>
    <t xml:space="preserve">VC-2026-019</t>
  </si>
  <si>
    <t xml:space="preserve">Habermann KG</t>
  </si>
  <si>
    <t xml:space="preserve">Nicole Baumann</t>
  </si>
  <si>
    <t xml:space="preserve">VC-2026-020</t>
  </si>
  <si>
    <t xml:space="preserve">Seeblick GmbH</t>
  </si>
  <si>
    <t xml:space="preserve">Sven Hartmann</t>
  </si>
  <si>
    <t xml:space="preserve">VC-2026-021</t>
  </si>
  <si>
    <t xml:space="preserve">Kranich Logistik GmbH</t>
  </si>
  <si>
    <t xml:space="preserve">Tanja Vogt</t>
  </si>
  <si>
    <t xml:space="preserve">VC-2026-022</t>
  </si>
  <si>
    <t xml:space="preserve">Ostwind GmbH</t>
  </si>
  <si>
    <t xml:space="preserve">Christoph Nagel</t>
  </si>
  <si>
    <t xml:space="preserve">VC-2026-023</t>
  </si>
  <si>
    <t xml:space="preserve">Dünenweg AG</t>
  </si>
  <si>
    <t xml:space="preserve">Birgit Stein</t>
  </si>
  <si>
    <t xml:space="preserve">VC-2026-024</t>
  </si>
  <si>
    <t xml:space="preserve">Rabenhorst GmbH</t>
  </si>
  <si>
    <t xml:space="preserve">Marcel Weiß</t>
  </si>
  <si>
    <t xml:space="preserve">VC-2026-025</t>
  </si>
  <si>
    <t xml:space="preserve">Waldheim GmbH</t>
  </si>
  <si>
    <t xml:space="preserve">Verena Kuhn</t>
  </si>
  <si>
    <t xml:space="preserve">VC-2026-026</t>
  </si>
  <si>
    <t xml:space="preserve">Lerchenfeld GmbH</t>
  </si>
  <si>
    <t xml:space="preserve">Lars Otto</t>
  </si>
</sst>
</file>

<file path=xl/styles.xml><?xml version="1.0" encoding="utf-8"?>
<styleSheet xmlns="http://schemas.openxmlformats.org/spreadsheetml/2006/main">
  <numFmts count="6">
    <numFmt numFmtId="164" formatCode="General"/>
    <numFmt numFmtId="165" formatCode="#,##0"/>
    <numFmt numFmtId="166" formatCode="#,##0&quot; €&quot;"/>
    <numFmt numFmtId="167" formatCode="0%"/>
    <numFmt numFmtId="168" formatCode="mmm\ yyyy"/>
    <numFmt numFmtId="169" formatCode="dd\.mm\.yyyy"/>
  </numFmts>
  <fonts count="22">
    <font>
      <sz val="11"/>
      <color theme="1"/>
      <name val="Calibri"/>
      <family val="2"/>
      <charset val="1"/>
    </font>
    <font>
      <sz val="10"/>
      <name val="Arial"/>
      <family val="0"/>
    </font>
    <font>
      <sz val="10"/>
      <name val="Arial"/>
      <family val="0"/>
    </font>
    <font>
      <sz val="10"/>
      <name val="Arial"/>
      <family val="0"/>
    </font>
    <font>
      <b val="true"/>
      <sz val="18"/>
      <color rgb="FFFFFFFF"/>
      <name val="Calibri"/>
      <family val="0"/>
      <charset val="1"/>
    </font>
    <font>
      <i val="true"/>
      <sz val="9.5"/>
      <color rgb="FF4A4459"/>
      <name val="Calibri"/>
      <family val="0"/>
      <charset val="1"/>
    </font>
    <font>
      <b val="true"/>
      <sz val="9"/>
      <color rgb="FFFFFFFF"/>
      <name val="Calibri"/>
      <family val="0"/>
      <charset val="1"/>
    </font>
    <font>
      <b val="true"/>
      <sz val="18"/>
      <color rgb="FF2E2A3B"/>
      <name val="Calibri"/>
      <family val="0"/>
      <charset val="1"/>
    </font>
    <font>
      <b val="true"/>
      <sz val="12"/>
      <color rgb="FFFFFFFF"/>
      <name val="Calibri"/>
      <family val="0"/>
      <charset val="1"/>
    </font>
    <font>
      <b val="true"/>
      <sz val="9.5"/>
      <color rgb="FFFFFFFF"/>
      <name val="Calibri"/>
      <family val="0"/>
      <charset val="1"/>
    </font>
    <font>
      <sz val="10"/>
      <color rgb="FF2E2A3B"/>
      <name val="Calibri"/>
      <family val="0"/>
      <charset val="1"/>
    </font>
    <font>
      <sz val="10"/>
      <color rgb="FF3F7A54"/>
      <name val="Calibri"/>
      <family val="0"/>
      <charset val="1"/>
    </font>
    <font>
      <b val="true"/>
      <sz val="10"/>
      <color rgb="FFFFFFFF"/>
      <name val="Calibri"/>
      <family val="0"/>
      <charset val="1"/>
    </font>
    <font>
      <sz val="10"/>
      <color rgb="FF4A4459"/>
      <name val="Calibri"/>
      <family val="0"/>
      <charset val="1"/>
    </font>
    <font>
      <b val="true"/>
      <sz val="16"/>
      <color rgb="FFFFFFFF"/>
      <name val="Calibri"/>
      <family val="0"/>
      <charset val="1"/>
    </font>
    <font>
      <i val="true"/>
      <sz val="9"/>
      <color rgb="FF4A4459"/>
      <name val="Calibri"/>
      <family val="0"/>
      <charset val="1"/>
    </font>
    <font>
      <b val="true"/>
      <sz val="11"/>
      <color rgb="FFFFFFFF"/>
      <name val="Calibri"/>
      <family val="0"/>
      <charset val="1"/>
    </font>
    <font>
      <sz val="11"/>
      <color rgb="FF2450A4"/>
      <name val="Calibri"/>
      <family val="0"/>
      <charset val="1"/>
    </font>
    <font>
      <b val="true"/>
      <sz val="11"/>
      <color rgb="FF3F7A54"/>
      <name val="Calibri"/>
      <family val="0"/>
      <charset val="1"/>
    </font>
    <font>
      <b val="true"/>
      <sz val="11"/>
      <color rgb="FFB0503F"/>
      <name val="Calibri"/>
      <family val="0"/>
      <charset val="1"/>
    </font>
    <font>
      <i val="true"/>
      <sz val="9"/>
      <color rgb="FFD99A4E"/>
      <name val="Calibri"/>
      <family val="0"/>
      <charset val="1"/>
    </font>
    <font>
      <sz val="10"/>
      <color rgb="FF2450A4"/>
      <name val="Calibri"/>
      <family val="0"/>
      <charset val="1"/>
    </font>
  </fonts>
  <fills count="7">
    <fill>
      <patternFill patternType="none"/>
    </fill>
    <fill>
      <patternFill patternType="gray125"/>
    </fill>
    <fill>
      <patternFill patternType="solid">
        <fgColor rgb="FF2E2A3B"/>
        <bgColor rgb="FF4A4459"/>
      </patternFill>
    </fill>
    <fill>
      <patternFill patternType="solid">
        <fgColor rgb="FFF5F2F8"/>
        <bgColor rgb="FFE4EFE7"/>
      </patternFill>
    </fill>
    <fill>
      <patternFill patternType="solid">
        <fgColor rgb="FF4A4459"/>
        <bgColor rgb="FF2E2A3B"/>
      </patternFill>
    </fill>
    <fill>
      <patternFill patternType="solid">
        <fgColor rgb="FFFFFFFF"/>
        <bgColor rgb="FFF5F2F8"/>
      </patternFill>
    </fill>
    <fill>
      <patternFill patternType="solid">
        <fgColor rgb="FFD99A4E"/>
        <bgColor rgb="FFFF8080"/>
      </patternFill>
    </fill>
  </fills>
  <borders count="6">
    <border diagonalUp="false" diagonalDown="false">
      <left/>
      <right/>
      <top/>
      <bottom/>
      <diagonal/>
    </border>
    <border diagonalUp="false" diagonalDown="false">
      <left style="thin">
        <color rgb="FF4A4459"/>
      </left>
      <right style="thin">
        <color rgb="FF4A4459"/>
      </right>
      <top style="thin">
        <color rgb="FF4A4459"/>
      </top>
      <bottom/>
      <diagonal/>
    </border>
    <border diagonalUp="false" diagonalDown="false">
      <left style="thin">
        <color rgb="FFD5CEDF"/>
      </left>
      <right style="thin">
        <color rgb="FFD5CEDF"/>
      </right>
      <top/>
      <bottom style="medium">
        <color rgb="FFD99A4E"/>
      </bottom>
      <diagonal/>
    </border>
    <border diagonalUp="false" diagonalDown="false">
      <left style="thin">
        <color rgb="FFD5CEDF"/>
      </left>
      <right style="thin">
        <color rgb="FFD5CEDF"/>
      </right>
      <top style="thin">
        <color rgb="FFD5CEDF"/>
      </top>
      <bottom style="thin">
        <color rgb="FFD5CEDF"/>
      </bottom>
      <diagonal/>
    </border>
    <border diagonalUp="false" diagonalDown="false">
      <left style="thin">
        <color rgb="FFD5CEDF"/>
      </left>
      <right style="thin">
        <color rgb="FFD5CEDF"/>
      </right>
      <top/>
      <bottom style="thin">
        <color rgb="FFD5CEDF"/>
      </bottom>
      <diagonal/>
    </border>
    <border diagonalUp="false" diagonalDown="false">
      <left style="thin">
        <color rgb="FF2E2A3B"/>
      </left>
      <right style="thin">
        <color rgb="FF2E2A3B"/>
      </right>
      <top style="thin">
        <color rgb="FF2E2A3B"/>
      </top>
      <bottom style="thin">
        <color rgb="FF2E2A3B"/>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left" vertical="center" textRotation="0" wrapText="false" indent="0" shrinkToFit="false"/>
      <protection locked="true" hidden="false"/>
    </xf>
    <xf numFmtId="164" fontId="5" fillId="3" borderId="0" xfId="0" applyFont="true" applyBorder="true" applyAlignment="true" applyProtection="false">
      <alignment horizontal="left" vertical="center" textRotation="0" wrapText="false" indent="0" shrinkToFit="false"/>
      <protection locked="true" hidden="false"/>
    </xf>
    <xf numFmtId="164" fontId="6" fillId="4" borderId="1" xfId="0" applyFont="true" applyBorder="true" applyAlignment="true" applyProtection="false">
      <alignment horizontal="left" vertical="center" textRotation="0" wrapText="true" indent="0" shrinkToFit="false"/>
      <protection locked="true" hidden="false"/>
    </xf>
    <xf numFmtId="165" fontId="7" fillId="5" borderId="2" xfId="0" applyFont="true" applyBorder="true" applyAlignment="true" applyProtection="false">
      <alignment horizontal="left" vertical="center" textRotation="0" wrapText="false" indent="0" shrinkToFit="false"/>
      <protection locked="true" hidden="false"/>
    </xf>
    <xf numFmtId="166" fontId="7" fillId="5" borderId="2" xfId="0" applyFont="true" applyBorder="true" applyAlignment="true" applyProtection="false">
      <alignment horizontal="left" vertical="center" textRotation="0" wrapText="false" indent="0" shrinkToFit="false"/>
      <protection locked="true" hidden="false"/>
    </xf>
    <xf numFmtId="167" fontId="7" fillId="5" borderId="2" xfId="0" applyFont="true" applyBorder="true" applyAlignment="true" applyProtection="false">
      <alignment horizontal="left" vertical="center" textRotation="0" wrapText="false" indent="0" shrinkToFit="false"/>
      <protection locked="true" hidden="false"/>
    </xf>
    <xf numFmtId="164" fontId="8" fillId="2" borderId="0" xfId="0" applyFont="true" applyBorder="true" applyAlignment="true" applyProtection="false">
      <alignment horizontal="left" vertical="center" textRotation="0" wrapText="false" indent="0" shrinkToFit="false"/>
      <protection locked="true" hidden="false"/>
    </xf>
    <xf numFmtId="164" fontId="9" fillId="4" borderId="3" xfId="0" applyFont="true" applyBorder="true" applyAlignment="true" applyProtection="false">
      <alignment horizontal="left" vertical="center" textRotation="0" wrapText="false" indent="0" shrinkToFit="false"/>
      <protection locked="true" hidden="false"/>
    </xf>
    <xf numFmtId="164" fontId="9" fillId="4" borderId="3" xfId="0" applyFont="true" applyBorder="true" applyAlignment="true" applyProtection="false">
      <alignment horizontal="center" vertical="center" textRotation="0" wrapText="false" indent="0" shrinkToFit="false"/>
      <protection locked="true" hidden="false"/>
    </xf>
    <xf numFmtId="164" fontId="10" fillId="3" borderId="3" xfId="0" applyFont="true" applyBorder="true" applyAlignment="true" applyProtection="false">
      <alignment horizontal="left" vertical="center" textRotation="0" wrapText="false" indent="0" shrinkToFit="false"/>
      <protection locked="true" hidden="false"/>
    </xf>
    <xf numFmtId="165" fontId="10" fillId="3" borderId="3" xfId="0" applyFont="true" applyBorder="true" applyAlignment="true" applyProtection="false">
      <alignment horizontal="center" vertical="center" textRotation="0" wrapText="false" indent="0" shrinkToFit="false"/>
      <protection locked="true" hidden="false"/>
    </xf>
    <xf numFmtId="166" fontId="10" fillId="3" borderId="3" xfId="0" applyFont="true" applyBorder="true" applyAlignment="true" applyProtection="false">
      <alignment horizontal="right" vertical="center" textRotation="0" wrapText="false" indent="0" shrinkToFit="false"/>
      <protection locked="true" hidden="false"/>
    </xf>
    <xf numFmtId="164" fontId="11" fillId="3" borderId="3" xfId="0" applyFont="true" applyBorder="true" applyAlignment="true" applyProtection="false">
      <alignment horizontal="left" vertical="center" textRotation="0" wrapText="false" indent="0" shrinkToFit="false"/>
      <protection locked="true" hidden="false"/>
    </xf>
    <xf numFmtId="164" fontId="10" fillId="5" borderId="3" xfId="0" applyFont="true" applyBorder="true" applyAlignment="true" applyProtection="false">
      <alignment horizontal="left" vertical="center" textRotation="0" wrapText="false" indent="0" shrinkToFit="false"/>
      <protection locked="true" hidden="false"/>
    </xf>
    <xf numFmtId="165" fontId="10" fillId="5" borderId="3" xfId="0" applyFont="true" applyBorder="true" applyAlignment="true" applyProtection="false">
      <alignment horizontal="center" vertical="center" textRotation="0" wrapText="false" indent="0" shrinkToFit="false"/>
      <protection locked="true" hidden="false"/>
    </xf>
    <xf numFmtId="166" fontId="10" fillId="5" borderId="3" xfId="0" applyFont="true" applyBorder="true" applyAlignment="true" applyProtection="false">
      <alignment horizontal="right" vertical="center" textRotation="0" wrapText="false" indent="0" shrinkToFit="false"/>
      <protection locked="true" hidden="false"/>
    </xf>
    <xf numFmtId="164" fontId="11" fillId="5" borderId="3" xfId="0" applyFont="true" applyBorder="true" applyAlignment="true" applyProtection="false">
      <alignment horizontal="left" vertical="center" textRotation="0" wrapText="false" indent="0" shrinkToFit="false"/>
      <protection locked="true" hidden="false"/>
    </xf>
    <xf numFmtId="164" fontId="12" fillId="6" borderId="3" xfId="0" applyFont="true" applyBorder="true" applyAlignment="true" applyProtection="false">
      <alignment horizontal="left" vertical="center" textRotation="0" wrapText="false" indent="0" shrinkToFit="false"/>
      <protection locked="true" hidden="false"/>
    </xf>
    <xf numFmtId="165" fontId="12" fillId="6" borderId="3" xfId="0" applyFont="true" applyBorder="true" applyAlignment="true" applyProtection="false">
      <alignment horizontal="center" vertical="center" textRotation="0" wrapText="false" indent="0" shrinkToFit="false"/>
      <protection locked="true" hidden="false"/>
    </xf>
    <xf numFmtId="166" fontId="12" fillId="6" borderId="3" xfId="0" applyFont="true" applyBorder="true" applyAlignment="true" applyProtection="false">
      <alignment horizontal="right" vertical="center" textRotation="0" wrapText="false" indent="0" shrinkToFit="false"/>
      <protection locked="true" hidden="false"/>
    </xf>
    <xf numFmtId="164" fontId="13" fillId="3" borderId="4" xfId="0" applyFont="true" applyBorder="true" applyAlignment="true" applyProtection="false">
      <alignment horizontal="left" vertical="top" textRotation="0" wrapText="true" indent="0" shrinkToFit="false"/>
      <protection locked="true" hidden="false"/>
    </xf>
    <xf numFmtId="168" fontId="10" fillId="3" borderId="3" xfId="0" applyFont="true" applyBorder="true" applyAlignment="true" applyProtection="false">
      <alignment horizontal="left" vertical="center" textRotation="0" wrapText="false" indent="0" shrinkToFit="false"/>
      <protection locked="true" hidden="false"/>
    </xf>
    <xf numFmtId="168" fontId="10" fillId="5" borderId="3" xfId="0" applyFont="true" applyBorder="true" applyAlignment="true" applyProtection="false">
      <alignment horizontal="left" vertical="center" textRotation="0" wrapText="false" indent="0" shrinkToFit="false"/>
      <protection locked="true" hidden="false"/>
    </xf>
    <xf numFmtId="164" fontId="14" fillId="2" borderId="0" xfId="0" applyFont="true" applyBorder="true" applyAlignment="true" applyProtection="false">
      <alignment horizontal="left" vertical="center" textRotation="0" wrapText="false" indent="0" shrinkToFit="false"/>
      <protection locked="true" hidden="false"/>
    </xf>
    <xf numFmtId="164" fontId="15" fillId="3" borderId="0" xfId="0" applyFont="true" applyBorder="true" applyAlignment="false" applyProtection="false">
      <alignment horizontal="general" vertical="bottom" textRotation="0" wrapText="false" indent="0" shrinkToFit="false"/>
      <protection locked="true" hidden="false"/>
    </xf>
    <xf numFmtId="164" fontId="16" fillId="4" borderId="0" xfId="0" applyFont="true" applyBorder="false" applyAlignment="true" applyProtection="false">
      <alignment horizontal="left" vertical="center" textRotation="0" wrapText="false" indent="0" shrinkToFit="false"/>
      <protection locked="true" hidden="false"/>
    </xf>
    <xf numFmtId="164" fontId="16" fillId="4" borderId="0" xfId="0" applyFont="true" applyBorder="false" applyAlignment="true" applyProtection="false">
      <alignment horizontal="center" vertical="center" textRotation="0" wrapText="false" indent="0" shrinkToFit="false"/>
      <protection locked="true" hidden="false"/>
    </xf>
    <xf numFmtId="164" fontId="17" fillId="3" borderId="3" xfId="0" applyFont="true" applyBorder="true" applyAlignment="true" applyProtection="false">
      <alignment horizontal="left" vertical="center" textRotation="0" wrapText="false" indent="0" shrinkToFit="false"/>
      <protection locked="true" hidden="false"/>
    </xf>
    <xf numFmtId="167" fontId="17" fillId="3" borderId="3" xfId="0" applyFont="true" applyBorder="true" applyAlignment="true" applyProtection="false">
      <alignment horizontal="center" vertical="center" textRotation="0" wrapText="false" indent="0" shrinkToFit="false"/>
      <protection locked="true" hidden="false"/>
    </xf>
    <xf numFmtId="164" fontId="17" fillId="5" borderId="3" xfId="0" applyFont="true" applyBorder="true" applyAlignment="true" applyProtection="false">
      <alignment horizontal="left" vertical="center" textRotation="0" wrapText="false" indent="0" shrinkToFit="false"/>
      <protection locked="true" hidden="false"/>
    </xf>
    <xf numFmtId="167" fontId="17" fillId="5" borderId="3" xfId="0" applyFont="true" applyBorder="true" applyAlignment="true" applyProtection="false">
      <alignment horizontal="center" vertical="center" textRotation="0" wrapText="false" indent="0" shrinkToFit="false"/>
      <protection locked="true" hidden="false"/>
    </xf>
    <xf numFmtId="164" fontId="18" fillId="5" borderId="3" xfId="0" applyFont="true" applyBorder="true" applyAlignment="true" applyProtection="false">
      <alignment horizontal="left" vertical="center" textRotation="0" wrapText="false" indent="0" shrinkToFit="false"/>
      <protection locked="true" hidden="false"/>
    </xf>
    <xf numFmtId="164" fontId="19" fillId="3" borderId="3" xfId="0" applyFont="true" applyBorder="true" applyAlignment="true" applyProtection="false">
      <alignment horizontal="left" vertical="center" textRotation="0" wrapText="false" indent="0" shrinkToFit="false"/>
      <protection locked="true" hidden="false"/>
    </xf>
    <xf numFmtId="164" fontId="15" fillId="3" borderId="0" xfId="0" applyFont="true" applyBorder="true" applyAlignment="true" applyProtection="false">
      <alignment horizontal="left" vertical="top" textRotation="0" wrapText="true" indent="0" shrinkToFit="false"/>
      <protection locked="true" hidden="false"/>
    </xf>
    <xf numFmtId="164" fontId="20" fillId="0" borderId="0" xfId="0" applyFont="true" applyBorder="true" applyAlignment="true" applyProtection="false">
      <alignment horizontal="left" vertical="center" textRotation="0" wrapText="false" indent="0" shrinkToFit="false"/>
      <protection locked="true" hidden="false"/>
    </xf>
    <xf numFmtId="164" fontId="12" fillId="4" borderId="5" xfId="0" applyFont="true" applyBorder="true" applyAlignment="true" applyProtection="false">
      <alignment horizontal="center" vertical="center" textRotation="0" wrapText="true" indent="0" shrinkToFit="false"/>
      <protection locked="true" hidden="false"/>
    </xf>
    <xf numFmtId="164" fontId="21" fillId="3" borderId="3" xfId="0" applyFont="true" applyBorder="true" applyAlignment="true" applyProtection="false">
      <alignment horizontal="center" vertical="center" textRotation="0" wrapText="false" indent="0" shrinkToFit="false"/>
      <protection locked="true" hidden="false"/>
    </xf>
    <xf numFmtId="164" fontId="21" fillId="3" borderId="3" xfId="0" applyFont="true" applyBorder="true" applyAlignment="true" applyProtection="false">
      <alignment horizontal="left" vertical="center" textRotation="0" wrapText="false" indent="0" shrinkToFit="false"/>
      <protection locked="true" hidden="false"/>
    </xf>
    <xf numFmtId="166" fontId="21" fillId="3" borderId="3" xfId="0" applyFont="true" applyBorder="true" applyAlignment="true" applyProtection="false">
      <alignment horizontal="right" vertical="center" textRotation="0" wrapText="false" indent="0" shrinkToFit="false"/>
      <protection locked="true" hidden="false"/>
    </xf>
    <xf numFmtId="167" fontId="10" fillId="3" borderId="3" xfId="0" applyFont="true" applyBorder="true" applyAlignment="true" applyProtection="false">
      <alignment horizontal="center" vertical="center" textRotation="0" wrapText="false" indent="0" shrinkToFit="false"/>
      <protection locked="true" hidden="false"/>
    </xf>
    <xf numFmtId="169" fontId="21" fillId="3" borderId="3" xfId="0" applyFont="true" applyBorder="true" applyAlignment="true" applyProtection="false">
      <alignment horizontal="center" vertical="center" textRotation="0" wrapText="false" indent="0" shrinkToFit="false"/>
      <protection locked="true" hidden="false"/>
    </xf>
    <xf numFmtId="164" fontId="10" fillId="3" borderId="3" xfId="0" applyFont="true" applyBorder="true" applyAlignment="true" applyProtection="false">
      <alignment horizontal="center" vertical="center" textRotation="0" wrapText="false" indent="0" shrinkToFit="false"/>
      <protection locked="true" hidden="false"/>
    </xf>
    <xf numFmtId="164" fontId="21" fillId="5" borderId="3" xfId="0" applyFont="true" applyBorder="true" applyAlignment="true" applyProtection="false">
      <alignment horizontal="center" vertical="center" textRotation="0" wrapText="false" indent="0" shrinkToFit="false"/>
      <protection locked="true" hidden="false"/>
    </xf>
    <xf numFmtId="164" fontId="21" fillId="5" borderId="3" xfId="0" applyFont="true" applyBorder="true" applyAlignment="true" applyProtection="false">
      <alignment horizontal="left" vertical="center" textRotation="0" wrapText="false" indent="0" shrinkToFit="false"/>
      <protection locked="true" hidden="false"/>
    </xf>
    <xf numFmtId="166" fontId="21" fillId="5" borderId="3" xfId="0" applyFont="true" applyBorder="true" applyAlignment="true" applyProtection="false">
      <alignment horizontal="right" vertical="center" textRotation="0" wrapText="false" indent="0" shrinkToFit="false"/>
      <protection locked="true" hidden="false"/>
    </xf>
    <xf numFmtId="167" fontId="10" fillId="5" borderId="3" xfId="0" applyFont="true" applyBorder="true" applyAlignment="true" applyProtection="false">
      <alignment horizontal="center" vertical="center" textRotation="0" wrapText="false" indent="0" shrinkToFit="false"/>
      <protection locked="true" hidden="false"/>
    </xf>
    <xf numFmtId="169" fontId="21" fillId="5" borderId="3" xfId="0" applyFont="true" applyBorder="true" applyAlignment="true" applyProtection="false">
      <alignment horizontal="center" vertical="center" textRotation="0" wrapText="false" indent="0" shrinkToFit="false"/>
      <protection locked="true" hidden="false"/>
    </xf>
    <xf numFmtId="164" fontId="10" fillId="5" borderId="3" xfId="0" applyFont="true" applyBorder="tru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2">
    <dxf>
      <fill>
        <patternFill patternType="solid">
          <fgColor rgb="FF4A4459"/>
          <bgColor rgb="FF000000"/>
        </patternFill>
      </fill>
    </dxf>
    <dxf>
      <fill>
        <patternFill patternType="solid">
          <fgColor rgb="FFF5F2F8"/>
          <bgColor rgb="FF000000"/>
        </patternFill>
      </fill>
    </dxf>
    <dxf>
      <fill>
        <patternFill patternType="solid">
          <fgColor rgb="FFFFFFFF"/>
          <bgColor rgb="FF000000"/>
        </patternFill>
      </fill>
    </dxf>
    <dxf>
      <fill>
        <patternFill patternType="solid">
          <fgColor rgb="FF2450A4"/>
          <bgColor rgb="FF000000"/>
        </patternFill>
      </fill>
    </dxf>
    <dxf>
      <fill>
        <patternFill patternType="solid">
          <fgColor rgb="FF2E2A3B"/>
          <bgColor rgb="FF000000"/>
        </patternFill>
      </fill>
    </dxf>
    <dxf>
      <fill>
        <patternFill patternType="solid">
          <fgColor rgb="FFE4EFE7"/>
          <bgColor rgb="FF000000"/>
        </patternFill>
      </fill>
    </dxf>
    <dxf>
      <fill>
        <patternFill patternType="solid">
          <fgColor rgb="FFF3E2DD"/>
          <bgColor rgb="FF000000"/>
        </patternFill>
      </fill>
    </dxf>
    <dxf>
      <fill>
        <patternFill patternType="solid">
          <fgColor rgb="FF3F7A54"/>
          <bgColor rgb="FF000000"/>
        </patternFill>
      </fill>
    </dxf>
    <dxf>
      <fill>
        <patternFill patternType="solid">
          <fgColor rgb="FFB0503F"/>
          <bgColor rgb="FF000000"/>
        </patternFill>
      </fill>
    </dxf>
    <dxf>
      <font>
        <name val="Calibri"/>
        <charset val="1"/>
        <family val="0"/>
        <b val="1"/>
        <color rgb="FF3F7A54"/>
        <sz val="10"/>
      </font>
      <fill>
        <patternFill>
          <bgColor rgb="FFE4EFE7"/>
        </patternFill>
      </fill>
    </dxf>
    <dxf>
      <font>
        <name val="Calibri"/>
        <charset val="1"/>
        <family val="0"/>
        <b val="1"/>
        <color rgb="FFB0503F"/>
        <sz val="10"/>
      </font>
      <fill>
        <patternFill>
          <bgColor rgb="FFF3E2DD"/>
        </patternFill>
      </fill>
    </dxf>
    <dxf>
      <font>
        <name val="Calibri"/>
        <charset val="1"/>
        <family val="0"/>
        <b val="1"/>
        <color rgb="FF4A4459"/>
        <sz val="1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B0503F"/>
      <rgbColor rgb="FFF5F2F8"/>
      <rgbColor rgb="FFE4EFE7"/>
      <rgbColor rgb="FF660066"/>
      <rgbColor rgb="FFFF8080"/>
      <rgbColor rgb="FF0066CC"/>
      <rgbColor rgb="FFD5CED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3E2DD"/>
      <rgbColor rgb="FF3366FF"/>
      <rgbColor rgb="FF33CCCC"/>
      <rgbColor rgb="FF99CC00"/>
      <rgbColor rgb="FFFFCC00"/>
      <rgbColor rgb="FFD99A4E"/>
      <rgbColor rgb="FFFF6600"/>
      <rgbColor rgb="FF666699"/>
      <rgbColor rgb="FF969696"/>
      <rgbColor rgb="FF003366"/>
      <rgbColor rgb="FF3F7A54"/>
      <rgbColor rgb="FF003300"/>
      <rgbColor rgb="FF4A4459"/>
      <rgbColor rgb="FF993300"/>
      <rgbColor rgb="FF993366"/>
      <rgbColor rgb="FF2450A4"/>
      <rgbColor rgb="FF2E2A3B"/>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D99A4E"/>
    <pageSetUpPr fitToPage="true"/>
  </sheetPr>
  <dimension ref="B2:M33"/>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B2" activeCellId="0" sqref="B2"/>
    </sheetView>
  </sheetViews>
  <sheetFormatPr defaultColWidth="8.6796875" defaultRowHeight="15" zeroHeight="false" outlineLevelRow="0" outlineLevelCol="0"/>
  <cols>
    <col collapsed="false" customWidth="true" hidden="false" outlineLevel="0" max="1" min="1" style="0" width="2"/>
    <col collapsed="false" customWidth="true" hidden="false" outlineLevel="0" max="13" min="2" style="0" width="12.5"/>
  </cols>
  <sheetData>
    <row r="2" customFormat="false" ht="30" hidden="false" customHeight="true" outlineLevel="0" collapsed="false">
      <c r="B2" s="1" t="s">
        <v>0</v>
      </c>
      <c r="C2" s="1"/>
      <c r="D2" s="1"/>
      <c r="E2" s="1"/>
      <c r="F2" s="1"/>
      <c r="G2" s="1"/>
      <c r="H2" s="1"/>
      <c r="I2" s="1"/>
      <c r="J2" s="1"/>
      <c r="K2" s="1"/>
      <c r="L2" s="1"/>
      <c r="M2" s="1"/>
    </row>
    <row r="3" customFormat="false" ht="15.75" hidden="false" customHeight="true" outlineLevel="0" collapsed="false">
      <c r="B3" s="2" t="s">
        <v>1</v>
      </c>
      <c r="C3" s="2"/>
      <c r="D3" s="2"/>
      <c r="E3" s="2"/>
      <c r="F3" s="2"/>
      <c r="G3" s="2"/>
      <c r="H3" s="2"/>
      <c r="I3" s="2"/>
      <c r="J3" s="2"/>
      <c r="K3" s="2"/>
      <c r="L3" s="2"/>
      <c r="M3" s="2"/>
    </row>
    <row r="5" customFormat="false" ht="18" hidden="false" customHeight="true" outlineLevel="0" collapsed="false">
      <c r="B5" s="3" t="s">
        <v>2</v>
      </c>
      <c r="C5" s="3"/>
      <c r="D5" s="3" t="s">
        <v>3</v>
      </c>
      <c r="E5" s="3"/>
      <c r="F5" s="3" t="s">
        <v>4</v>
      </c>
      <c r="G5" s="3"/>
      <c r="H5" s="3" t="s">
        <v>5</v>
      </c>
      <c r="I5" s="3"/>
      <c r="J5" s="3" t="s">
        <v>6</v>
      </c>
      <c r="K5" s="3"/>
      <c r="L5" s="3" t="s">
        <v>7</v>
      </c>
      <c r="M5" s="3"/>
    </row>
    <row r="6" customFormat="false" ht="19.5" hidden="false" customHeight="true" outlineLevel="0" collapsed="false">
      <c r="B6" s="4" t="n">
        <f aca="false">COUNTIF(Pipeline!$M$8:$M$47,"Offen")</f>
        <v>20</v>
      </c>
      <c r="C6" s="4"/>
      <c r="D6" s="5" t="n">
        <f aca="false">SUMIF(Pipeline!$M$8:$M$47,"Offen",Pipeline!$H$8:$H$47)</f>
        <v>865200</v>
      </c>
      <c r="E6" s="5"/>
      <c r="F6" s="5" t="n">
        <f aca="false">SUMIF(Pipeline!$M$8:$M$47,"Offen",Pipeline!$J$8:$J$47)</f>
        <v>460820</v>
      </c>
      <c r="G6" s="5"/>
      <c r="H6" s="5" t="n">
        <f aca="false">IFERROR(SUMIF(Pipeline!$M$8:$M$47,"Offen",Pipeline!$H$8:$H$47)/COUNTIF(Pipeline!$M$8:$M$47,"Offen"),0)</f>
        <v>43260</v>
      </c>
      <c r="I6" s="5"/>
      <c r="J6" s="6" t="n">
        <f aca="false">IFERROR(COUNTIF(Pipeline!$M$8:$M$47,"Gewonnen")/(COUNTIF(Pipeline!$M$8:$M$47,"Gewonnen")+COUNTIF(Pipeline!$M$8:$M$47,"Verloren")),0)</f>
        <v>0.666666666666667</v>
      </c>
      <c r="K6" s="6"/>
      <c r="L6" s="5" t="n">
        <f aca="false">SUMIF(Pipeline!$M$8:$M$47,"Gewonnen",Pipeline!$H$8:$H$47)</f>
        <v>168000</v>
      </c>
      <c r="M6" s="5"/>
    </row>
    <row r="7" customFormat="false" ht="19.5" hidden="false" customHeight="true" outlineLevel="0" collapsed="false">
      <c r="B7" s="4"/>
      <c r="C7" s="4"/>
      <c r="D7" s="5"/>
      <c r="E7" s="5"/>
      <c r="F7" s="5"/>
      <c r="G7" s="5"/>
      <c r="H7" s="5"/>
      <c r="I7" s="5"/>
      <c r="J7" s="6"/>
      <c r="K7" s="6"/>
      <c r="L7" s="5"/>
      <c r="M7" s="5"/>
    </row>
    <row r="9" customFormat="false" ht="15" hidden="false" customHeight="false" outlineLevel="0" collapsed="false">
      <c r="B9" s="7" t="s">
        <v>8</v>
      </c>
      <c r="C9" s="7"/>
      <c r="D9" s="7"/>
      <c r="E9" s="7"/>
      <c r="F9" s="7"/>
      <c r="G9" s="7"/>
      <c r="I9" s="7" t="s">
        <v>9</v>
      </c>
      <c r="J9" s="7"/>
      <c r="K9" s="7"/>
      <c r="L9" s="7"/>
      <c r="M9" s="7"/>
    </row>
    <row r="10" customFormat="false" ht="15" hidden="false" customHeight="false" outlineLevel="0" collapsed="false">
      <c r="B10" s="8" t="s">
        <v>10</v>
      </c>
      <c r="C10" s="9" t="s">
        <v>11</v>
      </c>
      <c r="D10" s="9" t="s">
        <v>12</v>
      </c>
      <c r="E10" s="9"/>
      <c r="F10" s="9" t="s">
        <v>13</v>
      </c>
      <c r="G10" s="9"/>
      <c r="I10" s="8" t="s">
        <v>14</v>
      </c>
      <c r="J10" s="9" t="s">
        <v>15</v>
      </c>
      <c r="K10" s="9" t="s">
        <v>13</v>
      </c>
      <c r="L10" s="9" t="s">
        <v>16</v>
      </c>
      <c r="M10" s="9"/>
    </row>
    <row r="11" customFormat="false" ht="15" hidden="false" customHeight="false" outlineLevel="0" collapsed="false">
      <c r="B11" s="10" t="s">
        <v>17</v>
      </c>
      <c r="C11" s="11" t="n">
        <f aca="false">COUNTIF(Pipeline!$G$8:$G$47,B11)</f>
        <v>4</v>
      </c>
      <c r="D11" s="12" t="n">
        <f aca="false">SUMIF(Pipeline!$G$8:$G$47,B11,Pipeline!$H$8:$H$47)</f>
        <v>99000</v>
      </c>
      <c r="E11" s="12"/>
      <c r="F11" s="12" t="n">
        <f aca="false">SUMIF(Pipeline!$G$8:$G$47,B11,Pipeline!$J$8:$J$47)</f>
        <v>9900</v>
      </c>
      <c r="G11" s="12"/>
      <c r="I11" s="13" t="str">
        <f aca="false">Konfiguration!$E$6</f>
        <v>Anna Brandt</v>
      </c>
      <c r="J11" s="11" t="n">
        <f aca="false">COUNTIFS(Pipeline!$E$8:$E$47,I11,Pipeline!$M$8:$M$47,"Offen")</f>
        <v>4</v>
      </c>
      <c r="K11" s="12" t="n">
        <f aca="false">SUMIFS(Pipeline!$J$8:$J$47,Pipeline!$E$8:$E$47,I11,Pipeline!$M$8:$M$47,"Offen")</f>
        <v>119350</v>
      </c>
      <c r="L11" s="12" t="n">
        <f aca="false">SUMIFS(Pipeline!$H$8:$H$47,Pipeline!$E$8:$E$47,I11,Pipeline!$M$8:$M$47,"Gewonnen")</f>
        <v>73500</v>
      </c>
      <c r="M11" s="12"/>
    </row>
    <row r="12" customFormat="false" ht="15" hidden="false" customHeight="false" outlineLevel="0" collapsed="false">
      <c r="B12" s="14" t="s">
        <v>18</v>
      </c>
      <c r="C12" s="15" t="n">
        <f aca="false">COUNTIF(Pipeline!$G$8:$G$47,B12)</f>
        <v>4</v>
      </c>
      <c r="D12" s="16" t="n">
        <f aca="false">SUMIF(Pipeline!$G$8:$G$47,B12,Pipeline!$H$8:$H$47)</f>
        <v>151600</v>
      </c>
      <c r="E12" s="16"/>
      <c r="F12" s="16" t="n">
        <f aca="false">SUMIF(Pipeline!$G$8:$G$47,B12,Pipeline!$J$8:$J$47)</f>
        <v>37900</v>
      </c>
      <c r="G12" s="16"/>
      <c r="I12" s="17" t="str">
        <f aca="false">Konfiguration!$E$7</f>
        <v>Markus Vogel</v>
      </c>
      <c r="J12" s="15" t="n">
        <f aca="false">COUNTIFS(Pipeline!$E$8:$E$47,I12,Pipeline!$M$8:$M$47,"Offen")</f>
        <v>5</v>
      </c>
      <c r="K12" s="16" t="n">
        <f aca="false">SUMIFS(Pipeline!$J$8:$J$47,Pipeline!$E$8:$E$47,I12,Pipeline!$M$8:$M$47,"Offen")</f>
        <v>114240</v>
      </c>
      <c r="L12" s="16" t="n">
        <f aca="false">SUMIFS(Pipeline!$H$8:$H$47,Pipeline!$E$8:$E$47,I12,Pipeline!$M$8:$M$47,"Gewonnen")</f>
        <v>0</v>
      </c>
      <c r="M12" s="16"/>
    </row>
    <row r="13" customFormat="false" ht="15" hidden="false" customHeight="false" outlineLevel="0" collapsed="false">
      <c r="B13" s="10" t="s">
        <v>19</v>
      </c>
      <c r="C13" s="11" t="n">
        <f aca="false">COUNTIF(Pipeline!$G$8:$G$47,B13)</f>
        <v>4</v>
      </c>
      <c r="D13" s="12" t="n">
        <f aca="false">SUMIF(Pipeline!$G$8:$G$47,B13,Pipeline!$H$8:$H$47)</f>
        <v>117700</v>
      </c>
      <c r="E13" s="12"/>
      <c r="F13" s="12" t="n">
        <f aca="false">SUMIF(Pipeline!$G$8:$G$47,B13,Pipeline!$J$8:$J$47)</f>
        <v>47080</v>
      </c>
      <c r="G13" s="12"/>
      <c r="I13" s="13" t="str">
        <f aca="false">Konfiguration!$E$8</f>
        <v>Julia Kern</v>
      </c>
      <c r="J13" s="11" t="n">
        <f aca="false">COUNTIFS(Pipeline!$E$8:$E$47,I13,Pipeline!$M$8:$M$47,"Offen")</f>
        <v>3</v>
      </c>
      <c r="K13" s="12" t="n">
        <f aca="false">SUMIFS(Pipeline!$J$8:$J$47,Pipeline!$E$8:$E$47,I13,Pipeline!$M$8:$M$47,"Offen")</f>
        <v>128400</v>
      </c>
      <c r="L13" s="12" t="n">
        <f aca="false">SUMIFS(Pipeline!$H$8:$H$47,Pipeline!$E$8:$E$47,I13,Pipeline!$M$8:$M$47,"Gewonnen")</f>
        <v>61000</v>
      </c>
      <c r="M13" s="12"/>
    </row>
    <row r="14" customFormat="false" ht="15" hidden="false" customHeight="false" outlineLevel="0" collapsed="false">
      <c r="B14" s="14" t="s">
        <v>20</v>
      </c>
      <c r="C14" s="15" t="n">
        <f aca="false">COUNTIF(Pipeline!$G$8:$G$47,B14)</f>
        <v>4</v>
      </c>
      <c r="D14" s="16" t="n">
        <f aca="false">SUMIF(Pipeline!$G$8:$G$47,B14,Pipeline!$H$8:$H$47)</f>
        <v>157900</v>
      </c>
      <c r="E14" s="16"/>
      <c r="F14" s="16" t="n">
        <f aca="false">SUMIF(Pipeline!$G$8:$G$47,B14,Pipeline!$J$8:$J$47)</f>
        <v>94740</v>
      </c>
      <c r="G14" s="16"/>
      <c r="I14" s="17" t="str">
        <f aca="false">Konfiguration!$E$9</f>
        <v>Stefan Roth</v>
      </c>
      <c r="J14" s="15" t="n">
        <f aca="false">COUNTIFS(Pipeline!$E$8:$E$47,I14,Pipeline!$M$8:$M$47,"Offen")</f>
        <v>4</v>
      </c>
      <c r="K14" s="16" t="n">
        <f aca="false">SUMIFS(Pipeline!$J$8:$J$47,Pipeline!$E$8:$E$47,I14,Pipeline!$M$8:$M$47,"Offen")</f>
        <v>41560</v>
      </c>
      <c r="L14" s="16" t="n">
        <f aca="false">SUMIFS(Pipeline!$H$8:$H$47,Pipeline!$E$8:$E$47,I14,Pipeline!$M$8:$M$47,"Gewonnen")</f>
        <v>33500</v>
      </c>
      <c r="M14" s="16"/>
    </row>
    <row r="15" customFormat="false" ht="15" hidden="false" customHeight="false" outlineLevel="0" collapsed="false">
      <c r="B15" s="10" t="s">
        <v>21</v>
      </c>
      <c r="C15" s="11" t="n">
        <f aca="false">COUNTIF(Pipeline!$G$8:$G$47,B15)</f>
        <v>4</v>
      </c>
      <c r="D15" s="12" t="n">
        <f aca="false">SUMIF(Pipeline!$G$8:$G$47,B15,Pipeline!$H$8:$H$47)</f>
        <v>339000</v>
      </c>
      <c r="E15" s="12"/>
      <c r="F15" s="12" t="n">
        <f aca="false">SUMIF(Pipeline!$G$8:$G$47,B15,Pipeline!$J$8:$J$47)</f>
        <v>271200</v>
      </c>
      <c r="G15" s="12"/>
      <c r="I15" s="13" t="str">
        <f aca="false">Konfiguration!$E$10</f>
        <v>Nadine Löw</v>
      </c>
      <c r="J15" s="11" t="n">
        <f aca="false">COUNTIFS(Pipeline!$E$8:$E$47,I15,Pipeline!$M$8:$M$47,"Offen")</f>
        <v>4</v>
      </c>
      <c r="K15" s="12" t="n">
        <f aca="false">SUMIFS(Pipeline!$J$8:$J$47,Pipeline!$E$8:$E$47,I15,Pipeline!$M$8:$M$47,"Offen")</f>
        <v>57270</v>
      </c>
      <c r="L15" s="12" t="n">
        <f aca="false">SUMIFS(Pipeline!$H$8:$H$47,Pipeline!$E$8:$E$47,I15,Pipeline!$M$8:$M$47,"Gewonnen")</f>
        <v>0</v>
      </c>
      <c r="M15" s="12"/>
    </row>
    <row r="16" customFormat="false" ht="15" hidden="false" customHeight="false" outlineLevel="0" collapsed="false">
      <c r="B16" s="18" t="s">
        <v>22</v>
      </c>
      <c r="C16" s="19" t="n">
        <f aca="false">SUM(C11:C15)</f>
        <v>20</v>
      </c>
      <c r="D16" s="20" t="n">
        <f aca="false">SUM(D11:D15)</f>
        <v>865200</v>
      </c>
      <c r="E16" s="20"/>
      <c r="F16" s="20" t="n">
        <f aca="false">SUM(F11:F15)</f>
        <v>460820</v>
      </c>
      <c r="G16" s="20"/>
      <c r="I16" s="18" t="s">
        <v>23</v>
      </c>
      <c r="J16" s="19" t="n">
        <f aca="false">SUM(J11:J15)</f>
        <v>20</v>
      </c>
      <c r="K16" s="20" t="n">
        <f aca="false">SUM(K11:K15)</f>
        <v>460820</v>
      </c>
      <c r="L16" s="20" t="n">
        <f aca="false">SUM(L11:L15)</f>
        <v>168000</v>
      </c>
      <c r="M16" s="20"/>
    </row>
    <row r="19" customFormat="false" ht="15" hidden="false" customHeight="false" outlineLevel="0" collapsed="false">
      <c r="B19" s="7" t="s">
        <v>24</v>
      </c>
      <c r="C19" s="7"/>
      <c r="D19" s="7"/>
      <c r="E19" s="7"/>
      <c r="F19" s="7"/>
      <c r="G19" s="7"/>
      <c r="I19" s="7" t="s">
        <v>25</v>
      </c>
      <c r="J19" s="7"/>
      <c r="K19" s="7"/>
      <c r="L19" s="7"/>
      <c r="M19" s="7"/>
    </row>
    <row r="20" customFormat="false" ht="15" hidden="false" customHeight="true" outlineLevel="0" collapsed="false">
      <c r="B20" s="8" t="s">
        <v>26</v>
      </c>
      <c r="C20" s="9" t="s">
        <v>11</v>
      </c>
      <c r="D20" s="9" t="s">
        <v>27</v>
      </c>
      <c r="E20" s="9"/>
      <c r="F20" s="9" t="s">
        <v>13</v>
      </c>
      <c r="G20" s="9"/>
      <c r="I20" s="21" t="s">
        <v>28</v>
      </c>
      <c r="J20" s="21"/>
      <c r="K20" s="21"/>
      <c r="L20" s="21"/>
      <c r="M20" s="21"/>
    </row>
    <row r="21" customFormat="false" ht="15" hidden="false" customHeight="false" outlineLevel="0" collapsed="false">
      <c r="B21" s="22" t="n">
        <v>46023</v>
      </c>
      <c r="C21" s="11" t="n">
        <f aca="false">COUNTIFS(Pipeline!$L$8:$L$47,"&gt;="&amp;B21,Pipeline!$L$8:$L$47,"&lt;="&amp;EOMONTH(B21,0),Pipeline!$M$8:$M$47,"Offen")</f>
        <v>0</v>
      </c>
      <c r="D21" s="12" t="n">
        <f aca="false">SUMIFS(Pipeline!$H$8:$H$47,Pipeline!$L$8:$L$47,"&gt;="&amp;B21,Pipeline!$L$8:$L$47,"&lt;="&amp;EOMONTH(B21,0),Pipeline!$M$8:$M$47,"Offen")</f>
        <v>0</v>
      </c>
      <c r="E21" s="12"/>
      <c r="F21" s="12" t="n">
        <f aca="false">SUMIFS(Pipeline!$J$8:$J$47,Pipeline!$L$8:$L$47,"&gt;="&amp;B21,Pipeline!$L$8:$L$47,"&lt;="&amp;EOMONTH(B21,0),Pipeline!$M$8:$M$47,"Offen")</f>
        <v>0</v>
      </c>
      <c r="G21" s="12"/>
      <c r="I21" s="21"/>
      <c r="J21" s="21"/>
      <c r="K21" s="21"/>
      <c r="L21" s="21"/>
      <c r="M21" s="21"/>
    </row>
    <row r="22" customFormat="false" ht="15" hidden="false" customHeight="false" outlineLevel="0" collapsed="false">
      <c r="B22" s="23" t="n">
        <v>46054</v>
      </c>
      <c r="C22" s="15" t="n">
        <f aca="false">COUNTIFS(Pipeline!$L$8:$L$47,"&gt;="&amp;B22,Pipeline!$L$8:$L$47,"&lt;="&amp;EOMONTH(B22,0),Pipeline!$M$8:$M$47,"Offen")</f>
        <v>0</v>
      </c>
      <c r="D22" s="16" t="n">
        <f aca="false">SUMIFS(Pipeline!$H$8:$H$47,Pipeline!$L$8:$L$47,"&gt;="&amp;B22,Pipeline!$L$8:$L$47,"&lt;="&amp;EOMONTH(B22,0),Pipeline!$M$8:$M$47,"Offen")</f>
        <v>0</v>
      </c>
      <c r="E22" s="16"/>
      <c r="F22" s="16" t="n">
        <f aca="false">SUMIFS(Pipeline!$J$8:$J$47,Pipeline!$L$8:$L$47,"&gt;="&amp;B22,Pipeline!$L$8:$L$47,"&lt;="&amp;EOMONTH(B22,0),Pipeline!$M$8:$M$47,"Offen")</f>
        <v>0</v>
      </c>
      <c r="G22" s="16"/>
      <c r="I22" s="21"/>
      <c r="J22" s="21"/>
      <c r="K22" s="21"/>
      <c r="L22" s="21"/>
      <c r="M22" s="21"/>
    </row>
    <row r="23" customFormat="false" ht="15" hidden="false" customHeight="false" outlineLevel="0" collapsed="false">
      <c r="B23" s="22" t="n">
        <v>46082</v>
      </c>
      <c r="C23" s="11" t="n">
        <f aca="false">COUNTIFS(Pipeline!$L$8:$L$47,"&gt;="&amp;B23,Pipeline!$L$8:$L$47,"&lt;="&amp;EOMONTH(B23,0),Pipeline!$M$8:$M$47,"Offen")</f>
        <v>0</v>
      </c>
      <c r="D23" s="12" t="n">
        <f aca="false">SUMIFS(Pipeline!$H$8:$H$47,Pipeline!$L$8:$L$47,"&gt;="&amp;B23,Pipeline!$L$8:$L$47,"&lt;="&amp;EOMONTH(B23,0),Pipeline!$M$8:$M$47,"Offen")</f>
        <v>0</v>
      </c>
      <c r="E23" s="12"/>
      <c r="F23" s="12" t="n">
        <f aca="false">SUMIFS(Pipeline!$J$8:$J$47,Pipeline!$L$8:$L$47,"&gt;="&amp;B23,Pipeline!$L$8:$L$47,"&lt;="&amp;EOMONTH(B23,0),Pipeline!$M$8:$M$47,"Offen")</f>
        <v>0</v>
      </c>
      <c r="G23" s="12"/>
      <c r="I23" s="21"/>
      <c r="J23" s="21"/>
      <c r="K23" s="21"/>
      <c r="L23" s="21"/>
      <c r="M23" s="21"/>
    </row>
    <row r="24" customFormat="false" ht="15" hidden="false" customHeight="false" outlineLevel="0" collapsed="false">
      <c r="B24" s="23" t="n">
        <v>46113</v>
      </c>
      <c r="C24" s="15" t="n">
        <f aca="false">COUNTIFS(Pipeline!$L$8:$L$47,"&gt;="&amp;B24,Pipeline!$L$8:$L$47,"&lt;="&amp;EOMONTH(B24,0),Pipeline!$M$8:$M$47,"Offen")</f>
        <v>0</v>
      </c>
      <c r="D24" s="16" t="n">
        <f aca="false">SUMIFS(Pipeline!$H$8:$H$47,Pipeline!$L$8:$L$47,"&gt;="&amp;B24,Pipeline!$L$8:$L$47,"&lt;="&amp;EOMONTH(B24,0),Pipeline!$M$8:$M$47,"Offen")</f>
        <v>0</v>
      </c>
      <c r="E24" s="16"/>
      <c r="F24" s="16" t="n">
        <f aca="false">SUMIFS(Pipeline!$J$8:$J$47,Pipeline!$L$8:$L$47,"&gt;="&amp;B24,Pipeline!$L$8:$L$47,"&lt;="&amp;EOMONTH(B24,0),Pipeline!$M$8:$M$47,"Offen")</f>
        <v>0</v>
      </c>
      <c r="G24" s="16"/>
      <c r="I24" s="21"/>
      <c r="J24" s="21"/>
      <c r="K24" s="21"/>
      <c r="L24" s="21"/>
      <c r="M24" s="21"/>
    </row>
    <row r="25" customFormat="false" ht="15" hidden="false" customHeight="false" outlineLevel="0" collapsed="false">
      <c r="B25" s="22" t="n">
        <v>46143</v>
      </c>
      <c r="C25" s="11" t="n">
        <f aca="false">COUNTIFS(Pipeline!$L$8:$L$47,"&gt;="&amp;B25,Pipeline!$L$8:$L$47,"&lt;="&amp;EOMONTH(B25,0),Pipeline!$M$8:$M$47,"Offen")</f>
        <v>0</v>
      </c>
      <c r="D25" s="12" t="n">
        <f aca="false">SUMIFS(Pipeline!$H$8:$H$47,Pipeline!$L$8:$L$47,"&gt;="&amp;B25,Pipeline!$L$8:$L$47,"&lt;="&amp;EOMONTH(B25,0),Pipeline!$M$8:$M$47,"Offen")</f>
        <v>0</v>
      </c>
      <c r="E25" s="12"/>
      <c r="F25" s="12" t="n">
        <f aca="false">SUMIFS(Pipeline!$J$8:$J$47,Pipeline!$L$8:$L$47,"&gt;="&amp;B25,Pipeline!$L$8:$L$47,"&lt;="&amp;EOMONTH(B25,0),Pipeline!$M$8:$M$47,"Offen")</f>
        <v>0</v>
      </c>
      <c r="G25" s="12"/>
      <c r="I25" s="21"/>
      <c r="J25" s="21"/>
      <c r="K25" s="21"/>
      <c r="L25" s="21"/>
      <c r="M25" s="21"/>
    </row>
    <row r="26" customFormat="false" ht="15" hidden="false" customHeight="false" outlineLevel="0" collapsed="false">
      <c r="B26" s="23" t="n">
        <v>46174</v>
      </c>
      <c r="C26" s="15" t="n">
        <f aca="false">COUNTIFS(Pipeline!$L$8:$L$47,"&gt;="&amp;B26,Pipeline!$L$8:$L$47,"&lt;="&amp;EOMONTH(B26,0),Pipeline!$M$8:$M$47,"Offen")</f>
        <v>2</v>
      </c>
      <c r="D26" s="16" t="n">
        <f aca="false">SUMIFS(Pipeline!$H$8:$H$47,Pipeline!$L$8:$L$47,"&gt;="&amp;B26,Pipeline!$L$8:$L$47,"&lt;="&amp;EOMONTH(B26,0),Pipeline!$M$8:$M$47,"Offen")</f>
        <v>86400</v>
      </c>
      <c r="E26" s="16"/>
      <c r="F26" s="16" t="n">
        <f aca="false">SUMIFS(Pipeline!$J$8:$J$47,Pipeline!$L$8:$L$47,"&gt;="&amp;B26,Pipeline!$L$8:$L$47,"&lt;="&amp;EOMONTH(B26,0),Pipeline!$M$8:$M$47,"Offen")</f>
        <v>51840</v>
      </c>
      <c r="G26" s="16"/>
      <c r="I26" s="21"/>
      <c r="J26" s="21"/>
      <c r="K26" s="21"/>
      <c r="L26" s="21"/>
      <c r="M26" s="21"/>
    </row>
    <row r="27" customFormat="false" ht="15" hidden="false" customHeight="false" outlineLevel="0" collapsed="false">
      <c r="B27" s="22" t="n">
        <v>46204</v>
      </c>
      <c r="C27" s="11" t="n">
        <f aca="false">COUNTIFS(Pipeline!$L$8:$L$47,"&gt;="&amp;B27,Pipeline!$L$8:$L$47,"&lt;="&amp;EOMONTH(B27,0),Pipeline!$M$8:$M$47,"Offen")</f>
        <v>3</v>
      </c>
      <c r="D27" s="12" t="n">
        <f aca="false">SUMIFS(Pipeline!$H$8:$H$47,Pipeline!$L$8:$L$47,"&gt;="&amp;B27,Pipeline!$L$8:$L$47,"&lt;="&amp;EOMONTH(B27,0),Pipeline!$M$8:$M$47,"Offen")</f>
        <v>234000</v>
      </c>
      <c r="E27" s="12"/>
      <c r="F27" s="12" t="n">
        <f aca="false">SUMIFS(Pipeline!$J$8:$J$47,Pipeline!$L$8:$L$47,"&gt;="&amp;B27,Pipeline!$L$8:$L$47,"&lt;="&amp;EOMONTH(B27,0),Pipeline!$M$8:$M$47,"Offen")</f>
        <v>187200</v>
      </c>
      <c r="G27" s="12"/>
      <c r="I27" s="21"/>
      <c r="J27" s="21"/>
      <c r="K27" s="21"/>
      <c r="L27" s="21"/>
      <c r="M27" s="21"/>
    </row>
    <row r="28" customFormat="false" ht="15" hidden="false" customHeight="false" outlineLevel="0" collapsed="false">
      <c r="B28" s="23" t="n">
        <v>46235</v>
      </c>
      <c r="C28" s="15" t="n">
        <f aca="false">COUNTIFS(Pipeline!$L$8:$L$47,"&gt;="&amp;B28,Pipeline!$L$8:$L$47,"&lt;="&amp;EOMONTH(B28,0),Pipeline!$M$8:$M$47,"Offen")</f>
        <v>3</v>
      </c>
      <c r="D28" s="16" t="n">
        <f aca="false">SUMIFS(Pipeline!$H$8:$H$47,Pipeline!$L$8:$L$47,"&gt;="&amp;B28,Pipeline!$L$8:$L$47,"&lt;="&amp;EOMONTH(B28,0),Pipeline!$M$8:$M$47,"Offen")</f>
        <v>176500</v>
      </c>
      <c r="E28" s="16"/>
      <c r="F28" s="16" t="n">
        <f aca="false">SUMIFS(Pipeline!$J$8:$J$47,Pipeline!$L$8:$L$47,"&gt;="&amp;B28,Pipeline!$L$8:$L$47,"&lt;="&amp;EOMONTH(B28,0),Pipeline!$M$8:$M$47,"Offen")</f>
        <v>126900</v>
      </c>
      <c r="G28" s="16"/>
      <c r="I28" s="21"/>
      <c r="J28" s="21"/>
      <c r="K28" s="21"/>
      <c r="L28" s="21"/>
      <c r="M28" s="21"/>
    </row>
    <row r="29" customFormat="false" ht="15" hidden="false" customHeight="false" outlineLevel="0" collapsed="false">
      <c r="B29" s="22" t="n">
        <v>46266</v>
      </c>
      <c r="C29" s="11" t="n">
        <f aca="false">COUNTIFS(Pipeline!$L$8:$L$47,"&gt;="&amp;B29,Pipeline!$L$8:$L$47,"&lt;="&amp;EOMONTH(B29,0),Pipeline!$M$8:$M$47,"Offen")</f>
        <v>3</v>
      </c>
      <c r="D29" s="12" t="n">
        <f aca="false">SUMIFS(Pipeline!$H$8:$H$47,Pipeline!$L$8:$L$47,"&gt;="&amp;B29,Pipeline!$L$8:$L$47,"&lt;="&amp;EOMONTH(B29,0),Pipeline!$M$8:$M$47,"Offen")</f>
        <v>81300</v>
      </c>
      <c r="E29" s="12"/>
      <c r="F29" s="12" t="n">
        <f aca="false">SUMIFS(Pipeline!$J$8:$J$47,Pipeline!$L$8:$L$47,"&gt;="&amp;B29,Pipeline!$L$8:$L$47,"&lt;="&amp;EOMONTH(B29,0),Pipeline!$M$8:$M$47,"Offen")</f>
        <v>29370</v>
      </c>
      <c r="G29" s="12"/>
      <c r="I29" s="21"/>
      <c r="J29" s="21"/>
      <c r="K29" s="21"/>
      <c r="L29" s="21"/>
      <c r="M29" s="21"/>
    </row>
    <row r="30" customFormat="false" ht="15" hidden="false" customHeight="false" outlineLevel="0" collapsed="false">
      <c r="B30" s="23" t="n">
        <v>46296</v>
      </c>
      <c r="C30" s="15" t="n">
        <f aca="false">COUNTIFS(Pipeline!$L$8:$L$47,"&gt;="&amp;B30,Pipeline!$L$8:$L$47,"&lt;="&amp;EOMONTH(B30,0),Pipeline!$M$8:$M$47,"Offen")</f>
        <v>4</v>
      </c>
      <c r="D30" s="16" t="n">
        <f aca="false">SUMIFS(Pipeline!$H$8:$H$47,Pipeline!$L$8:$L$47,"&gt;="&amp;B30,Pipeline!$L$8:$L$47,"&lt;="&amp;EOMONTH(B30,0),Pipeline!$M$8:$M$47,"Offen")</f>
        <v>115000</v>
      </c>
      <c r="E30" s="16"/>
      <c r="F30" s="16" t="n">
        <f aca="false">SUMIFS(Pipeline!$J$8:$J$47,Pipeline!$L$8:$L$47,"&gt;="&amp;B30,Pipeline!$L$8:$L$47,"&lt;="&amp;EOMONTH(B30,0),Pipeline!$M$8:$M$47,"Offen")</f>
        <v>37360</v>
      </c>
      <c r="G30" s="16"/>
      <c r="I30" s="21"/>
      <c r="J30" s="21"/>
      <c r="K30" s="21"/>
      <c r="L30" s="21"/>
      <c r="M30" s="21"/>
    </row>
    <row r="31" customFormat="false" ht="15" hidden="false" customHeight="false" outlineLevel="0" collapsed="false">
      <c r="B31" s="22" t="n">
        <v>46327</v>
      </c>
      <c r="C31" s="11" t="n">
        <f aca="false">COUNTIFS(Pipeline!$L$8:$L$47,"&gt;="&amp;B31,Pipeline!$L$8:$L$47,"&lt;="&amp;EOMONTH(B31,0),Pipeline!$M$8:$M$47,"Offen")</f>
        <v>2</v>
      </c>
      <c r="D31" s="12" t="n">
        <f aca="false">SUMIFS(Pipeline!$H$8:$H$47,Pipeline!$L$8:$L$47,"&gt;="&amp;B31,Pipeline!$L$8:$L$47,"&lt;="&amp;EOMONTH(B31,0),Pipeline!$M$8:$M$47,"Offen")</f>
        <v>104000</v>
      </c>
      <c r="E31" s="12"/>
      <c r="F31" s="12" t="n">
        <f aca="false">SUMIFS(Pipeline!$J$8:$J$47,Pipeline!$L$8:$L$47,"&gt;="&amp;B31,Pipeline!$L$8:$L$47,"&lt;="&amp;EOMONTH(B31,0),Pipeline!$M$8:$M$47,"Offen")</f>
        <v>21350</v>
      </c>
      <c r="G31" s="12"/>
      <c r="I31" s="21"/>
      <c r="J31" s="21"/>
      <c r="K31" s="21"/>
      <c r="L31" s="21"/>
      <c r="M31" s="21"/>
    </row>
    <row r="32" customFormat="false" ht="15" hidden="false" customHeight="false" outlineLevel="0" collapsed="false">
      <c r="B32" s="23" t="n">
        <v>46357</v>
      </c>
      <c r="C32" s="15" t="n">
        <f aca="false">COUNTIFS(Pipeline!$L$8:$L$47,"&gt;="&amp;B32,Pipeline!$L$8:$L$47,"&lt;="&amp;EOMONTH(B32,0),Pipeline!$M$8:$M$47,"Offen")</f>
        <v>3</v>
      </c>
      <c r="D32" s="16" t="n">
        <f aca="false">SUMIFS(Pipeline!$H$8:$H$47,Pipeline!$L$8:$L$47,"&gt;="&amp;B32,Pipeline!$L$8:$L$47,"&lt;="&amp;EOMONTH(B32,0),Pipeline!$M$8:$M$47,"Offen")</f>
        <v>68000</v>
      </c>
      <c r="E32" s="16"/>
      <c r="F32" s="16" t="n">
        <f aca="false">SUMIFS(Pipeline!$J$8:$J$47,Pipeline!$L$8:$L$47,"&gt;="&amp;B32,Pipeline!$L$8:$L$47,"&lt;="&amp;EOMONTH(B32,0),Pipeline!$M$8:$M$47,"Offen")</f>
        <v>6800</v>
      </c>
      <c r="G32" s="16"/>
      <c r="I32" s="21"/>
      <c r="J32" s="21"/>
      <c r="K32" s="21"/>
      <c r="L32" s="21"/>
      <c r="M32" s="21"/>
    </row>
    <row r="33" customFormat="false" ht="15" hidden="false" customHeight="false" outlineLevel="0" collapsed="false">
      <c r="B33" s="18" t="s">
        <v>29</v>
      </c>
      <c r="C33" s="19" t="n">
        <f aca="false">SUM(C21:C32)</f>
        <v>20</v>
      </c>
      <c r="D33" s="20" t="n">
        <f aca="false">SUM(D21:D32)</f>
        <v>865200</v>
      </c>
      <c r="E33" s="20"/>
      <c r="F33" s="20" t="n">
        <f aca="false">SUM(F21:F32)</f>
        <v>460820</v>
      </c>
      <c r="G33" s="20"/>
      <c r="I33" s="21"/>
      <c r="J33" s="21"/>
      <c r="K33" s="21"/>
      <c r="L33" s="21"/>
      <c r="M33" s="21"/>
    </row>
  </sheetData>
  <mergeCells count="68">
    <mergeCell ref="B2:M2"/>
    <mergeCell ref="B3:M3"/>
    <mergeCell ref="B5:C5"/>
    <mergeCell ref="D5:E5"/>
    <mergeCell ref="F5:G5"/>
    <mergeCell ref="H5:I5"/>
    <mergeCell ref="J5:K5"/>
    <mergeCell ref="L5:M5"/>
    <mergeCell ref="B6:C7"/>
    <mergeCell ref="D6:E7"/>
    <mergeCell ref="F6:G7"/>
    <mergeCell ref="H6:I7"/>
    <mergeCell ref="J6:K7"/>
    <mergeCell ref="L6:M7"/>
    <mergeCell ref="B9:G9"/>
    <mergeCell ref="I9:M9"/>
    <mergeCell ref="D10:E10"/>
    <mergeCell ref="F10:G10"/>
    <mergeCell ref="L10:M10"/>
    <mergeCell ref="D11:E11"/>
    <mergeCell ref="F11:G11"/>
    <mergeCell ref="L11:M11"/>
    <mergeCell ref="D12:E12"/>
    <mergeCell ref="F12:G12"/>
    <mergeCell ref="L12:M12"/>
    <mergeCell ref="D13:E13"/>
    <mergeCell ref="F13:G13"/>
    <mergeCell ref="L13:M13"/>
    <mergeCell ref="D14:E14"/>
    <mergeCell ref="F14:G14"/>
    <mergeCell ref="L14:M14"/>
    <mergeCell ref="D15:E15"/>
    <mergeCell ref="F15:G15"/>
    <mergeCell ref="L15:M15"/>
    <mergeCell ref="D16:E16"/>
    <mergeCell ref="F16:G16"/>
    <mergeCell ref="L16:M16"/>
    <mergeCell ref="B19:G19"/>
    <mergeCell ref="I19:M19"/>
    <mergeCell ref="D20:E20"/>
    <mergeCell ref="F20:G20"/>
    <mergeCell ref="I20:M33"/>
    <mergeCell ref="D21:E21"/>
    <mergeCell ref="F21:G21"/>
    <mergeCell ref="D22:E22"/>
    <mergeCell ref="F22:G22"/>
    <mergeCell ref="D23:E23"/>
    <mergeCell ref="F23:G23"/>
    <mergeCell ref="D24:E24"/>
    <mergeCell ref="F24:G24"/>
    <mergeCell ref="D25:E25"/>
    <mergeCell ref="F25:G25"/>
    <mergeCell ref="D26:E26"/>
    <mergeCell ref="F26:G26"/>
    <mergeCell ref="D27:E27"/>
    <mergeCell ref="F27:G27"/>
    <mergeCell ref="D28:E28"/>
    <mergeCell ref="F28:G28"/>
    <mergeCell ref="D29:E29"/>
    <mergeCell ref="F29:G29"/>
    <mergeCell ref="D30:E30"/>
    <mergeCell ref="F30:G30"/>
    <mergeCell ref="D31:E31"/>
    <mergeCell ref="F31:G31"/>
    <mergeCell ref="D32:E32"/>
    <mergeCell ref="F32:G32"/>
    <mergeCell ref="D33:E33"/>
    <mergeCell ref="F33:G33"/>
  </mergeCells>
  <conditionalFormatting sqref="D11:D15">
    <cfRule type="dataBar" priority="2">
      <dataBar showValue="1" minLength="10" maxLength="90">
        <cfvo type="num" val="0"/>
        <cfvo type="max" val="0"/>
        <color rgb="FFD99A4E"/>
      </dataBar>
      <extLst>
        <ext xmlns:x14="http://schemas.microsoft.com/office/spreadsheetml/2009/9/main" uri="{B025F937-C7B1-47D3-B67F-A62EFF666E3E}">
          <x14:id>{A0CEBB96-70EA-4213-ADD0-2A4978ABEB8C}</x14:id>
        </ext>
      </extLst>
    </cfRule>
  </conditionalFormatting>
  <conditionalFormatting sqref="K11:K15">
    <cfRule type="dataBar" priority="3">
      <dataBar showValue="1" minLength="10" maxLength="90">
        <cfvo type="num" val="0"/>
        <cfvo type="max" val="0"/>
        <color rgb="FF8E7FB0"/>
      </dataBar>
      <extLst>
        <ext xmlns:x14="http://schemas.microsoft.com/office/spreadsheetml/2009/9/main" uri="{B025F937-C7B1-47D3-B67F-A62EFF666E3E}">
          <x14:id>{99CCE839-96BB-46A5-AA48-88C0EA1E90DC}</x14:id>
        </ext>
      </extLst>
    </cfRule>
  </conditionalFormatting>
  <conditionalFormatting sqref="F21:F32">
    <cfRule type="dataBar" priority="4">
      <dataBar showValue="1" minLength="10" maxLength="90">
        <cfvo type="num" val="0"/>
        <cfvo type="max" val="0"/>
        <color rgb="FF3F7A54"/>
      </dataBar>
      <extLst>
        <ext xmlns:x14="http://schemas.microsoft.com/office/spreadsheetml/2009/9/main" uri="{B025F937-C7B1-47D3-B67F-A62EFF666E3E}">
          <x14:id>{37DA46F4-67D5-44EE-BB83-585648932370}</x14:id>
        </ext>
      </extLst>
    </cfRule>
  </conditionalFormatting>
  <printOptions headings="false" gridLines="false" gridLinesSet="true" horizontalCentered="false" verticalCentered="false"/>
  <pageMargins left="0.3" right="0.3" top="0.4" bottom="0.4"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extLst>
    <ext xmlns:x14="http://schemas.microsoft.com/office/spreadsheetml/2009/9/main" uri="{78C0D931-6437-407d-A8EE-F0AAD7539E65}">
      <x14:conditionalFormattings>
        <x14:conditionalFormatting xmlns:xm="http://schemas.microsoft.com/office/excel/2006/main">
          <x14:cfRule type="dataBar" id="{A0CEBB96-70EA-4213-ADD0-2A4978ABEB8C}">
            <x14:dataBar minLength="10" maxLength="90" axisPosition="none" gradient="true">
              <x14:cfvo type="num">
                <xm:f>0</xm:f>
              </x14:cfvo>
              <x14:cfvo type="max"/>
              <x14:negativeFillColor rgb="FFD99A4E"/>
              <x14:axisColor rgb="FF000000"/>
            </x14:dataBar>
          </x14:cfRule>
          <xm:sqref>D11:D15</xm:sqref>
        </x14:conditionalFormatting>
        <x14:conditionalFormatting xmlns:xm="http://schemas.microsoft.com/office/excel/2006/main">
          <x14:cfRule type="dataBar" id="{99CCE839-96BB-46A5-AA48-88C0EA1E90DC}">
            <x14:dataBar minLength="10" maxLength="90" axisPosition="none" gradient="true">
              <x14:cfvo type="num">
                <xm:f>0</xm:f>
              </x14:cfvo>
              <x14:cfvo type="max"/>
              <x14:negativeFillColor rgb="FF8E7FB0"/>
              <x14:axisColor rgb="FF000000"/>
            </x14:dataBar>
          </x14:cfRule>
          <xm:sqref>K11:K15</xm:sqref>
        </x14:conditionalFormatting>
        <x14:conditionalFormatting xmlns:xm="http://schemas.microsoft.com/office/excel/2006/main">
          <x14:cfRule type="dataBar" id="{37DA46F4-67D5-44EE-BB83-585648932370}">
            <x14:dataBar minLength="10" maxLength="90" axisPosition="none" gradient="true">
              <x14:cfvo type="num">
                <xm:f>0</xm:f>
              </x14:cfvo>
              <x14:cfvo type="max"/>
              <x14:negativeFillColor rgb="FF3F7A54"/>
              <x14:axisColor rgb="FF000000"/>
            </x14:dataBar>
          </x14:cfRule>
          <xm:sqref>F21:F32</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A4459"/>
    <pageSetUpPr fitToPage="true"/>
  </sheetPr>
  <dimension ref="B2:H1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2" min="2" style="0" width="18"/>
    <col collapsed="false" customWidth="true" hidden="false" outlineLevel="0" max="3" min="3" style="0" width="16"/>
    <col collapsed="false" customWidth="true" hidden="false" outlineLevel="0" max="4" min="4" style="0" width="3"/>
    <col collapsed="false" customWidth="true" hidden="false" outlineLevel="0" max="5" min="5" style="0" width="22"/>
    <col collapsed="false" customWidth="true" hidden="false" outlineLevel="0" max="6" min="6" style="0" width="3"/>
    <col collapsed="false" customWidth="true" hidden="false" outlineLevel="0" max="7" min="7" style="0" width="18"/>
    <col collapsed="false" customWidth="true" hidden="false" outlineLevel="0" max="8" min="8" style="0" width="6"/>
  </cols>
  <sheetData>
    <row r="2" customFormat="false" ht="25.5" hidden="false" customHeight="true" outlineLevel="0" collapsed="false">
      <c r="B2" s="24" t="s">
        <v>30</v>
      </c>
      <c r="C2" s="24"/>
      <c r="D2" s="24"/>
      <c r="E2" s="24"/>
      <c r="F2" s="24"/>
      <c r="G2" s="24"/>
      <c r="H2" s="24"/>
    </row>
    <row r="3" customFormat="false" ht="15" hidden="false" customHeight="false" outlineLevel="0" collapsed="false">
      <c r="B3" s="25" t="s">
        <v>31</v>
      </c>
      <c r="C3" s="25"/>
      <c r="D3" s="25"/>
      <c r="E3" s="25"/>
      <c r="F3" s="25"/>
      <c r="G3" s="25"/>
      <c r="H3" s="25"/>
    </row>
    <row r="5" customFormat="false" ht="15" hidden="false" customHeight="false" outlineLevel="0" collapsed="false">
      <c r="B5" s="26" t="s">
        <v>32</v>
      </c>
      <c r="C5" s="27" t="s">
        <v>33</v>
      </c>
      <c r="E5" s="26" t="s">
        <v>34</v>
      </c>
      <c r="G5" s="26" t="s">
        <v>35</v>
      </c>
    </row>
    <row r="6" customFormat="false" ht="15" hidden="false" customHeight="false" outlineLevel="0" collapsed="false">
      <c r="B6" s="28" t="s">
        <v>17</v>
      </c>
      <c r="C6" s="29" t="n">
        <v>0.1</v>
      </c>
      <c r="E6" s="28" t="s">
        <v>36</v>
      </c>
      <c r="G6" s="28" t="s">
        <v>37</v>
      </c>
    </row>
    <row r="7" customFormat="false" ht="15" hidden="false" customHeight="false" outlineLevel="0" collapsed="false">
      <c r="B7" s="30" t="s">
        <v>18</v>
      </c>
      <c r="C7" s="31" t="n">
        <v>0.25</v>
      </c>
      <c r="E7" s="30" t="s">
        <v>38</v>
      </c>
      <c r="G7" s="30" t="s">
        <v>39</v>
      </c>
    </row>
    <row r="8" customFormat="false" ht="15" hidden="false" customHeight="false" outlineLevel="0" collapsed="false">
      <c r="B8" s="28" t="s">
        <v>19</v>
      </c>
      <c r="C8" s="29" t="n">
        <v>0.4</v>
      </c>
      <c r="E8" s="28" t="s">
        <v>40</v>
      </c>
      <c r="G8" s="28" t="s">
        <v>41</v>
      </c>
    </row>
    <row r="9" customFormat="false" ht="15" hidden="false" customHeight="false" outlineLevel="0" collapsed="false">
      <c r="B9" s="30" t="s">
        <v>20</v>
      </c>
      <c r="C9" s="31" t="n">
        <v>0.6</v>
      </c>
      <c r="E9" s="30" t="s">
        <v>42</v>
      </c>
      <c r="G9" s="30" t="s">
        <v>43</v>
      </c>
    </row>
    <row r="10" customFormat="false" ht="15" hidden="false" customHeight="false" outlineLevel="0" collapsed="false">
      <c r="B10" s="28" t="s">
        <v>21</v>
      </c>
      <c r="C10" s="29" t="n">
        <v>0.8</v>
      </c>
      <c r="E10" s="28" t="s">
        <v>44</v>
      </c>
      <c r="G10" s="28" t="s">
        <v>45</v>
      </c>
    </row>
    <row r="11" customFormat="false" ht="15" hidden="false" customHeight="false" outlineLevel="0" collapsed="false">
      <c r="B11" s="32" t="s">
        <v>46</v>
      </c>
      <c r="C11" s="31" t="n">
        <v>1</v>
      </c>
      <c r="G11" s="30" t="s">
        <v>47</v>
      </c>
    </row>
    <row r="12" customFormat="false" ht="15" hidden="false" customHeight="false" outlineLevel="0" collapsed="false">
      <c r="B12" s="33" t="s">
        <v>48</v>
      </c>
      <c r="C12" s="29" t="n">
        <v>0</v>
      </c>
      <c r="G12" s="28" t="s">
        <v>49</v>
      </c>
    </row>
    <row r="15" customFormat="false" ht="15" hidden="false" customHeight="true" outlineLevel="0" collapsed="false">
      <c r="B15" s="34" t="s">
        <v>50</v>
      </c>
      <c r="C15" s="34"/>
      <c r="D15" s="34"/>
      <c r="E15" s="34"/>
      <c r="F15" s="34"/>
      <c r="G15" s="34"/>
      <c r="H15" s="34"/>
    </row>
    <row r="16" customFormat="false" ht="15" hidden="false" customHeight="false" outlineLevel="0" collapsed="false">
      <c r="B16" s="34"/>
      <c r="C16" s="34"/>
      <c r="D16" s="34"/>
      <c r="E16" s="34"/>
      <c r="F16" s="34"/>
      <c r="G16" s="34"/>
      <c r="H16" s="34"/>
    </row>
    <row r="17" customFormat="false" ht="15" hidden="false" customHeight="false" outlineLevel="0" collapsed="false">
      <c r="B17" s="34"/>
      <c r="C17" s="34"/>
      <c r="D17" s="34"/>
      <c r="E17" s="34"/>
      <c r="F17" s="34"/>
      <c r="G17" s="34"/>
      <c r="H17" s="34"/>
    </row>
  </sheetData>
  <mergeCells count="3">
    <mergeCell ref="B2:H2"/>
    <mergeCell ref="B3:H3"/>
    <mergeCell ref="B15:H17"/>
  </mergeCells>
  <printOptions headings="false" gridLines="false" gridLinesSet="true" horizontalCentered="false" verticalCentered="false"/>
  <pageMargins left="0.3" right="0.3" top="0.4" bottom="0.4"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2A3B"/>
    <pageSetUpPr fitToPage="true"/>
  </sheetPr>
  <dimension ref="B2:O4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7" topLeftCell="B8" activePane="bottomRight" state="frozen"/>
      <selection pane="topLeft" activeCell="A1" activeCellId="0" sqref="A1"/>
      <selection pane="topRight" activeCell="B1" activeCellId="0" sqref="B1"/>
      <selection pane="bottomLeft" activeCell="A8" activeCellId="0" sqref="A8"/>
      <selection pane="bottomRigh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2" min="2" style="0" width="12"/>
    <col collapsed="false" customWidth="true" hidden="false" outlineLevel="0" max="3" min="3" style="0" width="22"/>
    <col collapsed="false" customWidth="true" hidden="false" outlineLevel="0" max="5" min="4" style="0" width="18"/>
    <col collapsed="false" customWidth="true" hidden="false" outlineLevel="0" max="6" min="6" style="0" width="14"/>
    <col collapsed="false" customWidth="true" hidden="false" outlineLevel="0" max="7" min="7" style="0" width="15"/>
    <col collapsed="false" customWidth="true" hidden="false" outlineLevel="0" max="8" min="8" style="0" width="14"/>
    <col collapsed="false" customWidth="true" hidden="false" outlineLevel="0" max="9" min="9" style="0" width="9"/>
    <col collapsed="false" customWidth="true" hidden="false" outlineLevel="0" max="11" min="10" style="0" width="13"/>
    <col collapsed="false" customWidth="true" hidden="false" outlineLevel="0" max="12" min="12" style="0" width="14"/>
    <col collapsed="false" customWidth="true" hidden="false" outlineLevel="0" max="13" min="13" style="0" width="11"/>
    <col collapsed="false" customWidth="true" hidden="false" outlineLevel="0" max="14" min="14" style="0" width="10"/>
    <col collapsed="false" customWidth="true" hidden="false" outlineLevel="0" max="15" min="15" style="0" width="26"/>
  </cols>
  <sheetData>
    <row r="2" customFormat="false" ht="25.5" hidden="false" customHeight="true" outlineLevel="0" collapsed="false">
      <c r="B2" s="24" t="s">
        <v>51</v>
      </c>
      <c r="C2" s="24"/>
      <c r="D2" s="24"/>
      <c r="E2" s="24"/>
      <c r="F2" s="24"/>
      <c r="G2" s="24"/>
      <c r="H2" s="24"/>
      <c r="I2" s="24"/>
      <c r="J2" s="24"/>
      <c r="K2" s="24"/>
      <c r="L2" s="24"/>
      <c r="M2" s="24"/>
      <c r="N2" s="24"/>
    </row>
    <row r="3" customFormat="false" ht="15" hidden="false" customHeight="false" outlineLevel="0" collapsed="false">
      <c r="B3" s="25" t="s">
        <v>52</v>
      </c>
      <c r="C3" s="25"/>
      <c r="D3" s="25"/>
      <c r="E3" s="25"/>
      <c r="F3" s="25"/>
      <c r="G3" s="25"/>
      <c r="H3" s="25"/>
      <c r="I3" s="25"/>
      <c r="J3" s="25"/>
      <c r="K3" s="25"/>
      <c r="L3" s="25"/>
      <c r="M3" s="25"/>
      <c r="N3" s="25"/>
    </row>
    <row r="4" customFormat="false" ht="15" hidden="false" customHeight="false" outlineLevel="0" collapsed="false">
      <c r="B4" s="35" t="s">
        <v>53</v>
      </c>
      <c r="C4" s="35"/>
      <c r="D4" s="35"/>
      <c r="E4" s="35"/>
      <c r="F4" s="35"/>
      <c r="G4" s="35"/>
      <c r="H4" s="35"/>
      <c r="I4" s="35"/>
      <c r="J4" s="35"/>
      <c r="K4" s="35"/>
      <c r="L4" s="35"/>
      <c r="M4" s="35"/>
      <c r="N4" s="35"/>
    </row>
    <row r="7" customFormat="false" ht="30" hidden="false" customHeight="true" outlineLevel="0" collapsed="false">
      <c r="B7" s="36" t="s">
        <v>54</v>
      </c>
      <c r="C7" s="36" t="s">
        <v>55</v>
      </c>
      <c r="D7" s="36" t="s">
        <v>56</v>
      </c>
      <c r="E7" s="36" t="s">
        <v>34</v>
      </c>
      <c r="F7" s="36" t="s">
        <v>35</v>
      </c>
      <c r="G7" s="36" t="s">
        <v>32</v>
      </c>
      <c r="H7" s="36" t="s">
        <v>12</v>
      </c>
      <c r="I7" s="36" t="s">
        <v>57</v>
      </c>
      <c r="J7" s="36" t="s">
        <v>13</v>
      </c>
      <c r="K7" s="36" t="s">
        <v>17</v>
      </c>
      <c r="L7" s="36" t="s">
        <v>58</v>
      </c>
      <c r="M7" s="36" t="s">
        <v>59</v>
      </c>
      <c r="N7" s="36" t="s">
        <v>60</v>
      </c>
      <c r="O7" s="36" t="s">
        <v>61</v>
      </c>
    </row>
    <row r="8" customFormat="false" ht="16.5" hidden="false" customHeight="true" outlineLevel="0" collapsed="false">
      <c r="B8" s="37" t="s">
        <v>62</v>
      </c>
      <c r="C8" s="38" t="s">
        <v>63</v>
      </c>
      <c r="D8" s="38" t="s">
        <v>64</v>
      </c>
      <c r="E8" s="38" t="s">
        <v>36</v>
      </c>
      <c r="F8" s="38" t="s">
        <v>37</v>
      </c>
      <c r="G8" s="38" t="s">
        <v>20</v>
      </c>
      <c r="H8" s="39" t="n">
        <v>18500</v>
      </c>
      <c r="I8" s="40" t="n">
        <f aca="false">IF($G8="","",IFERROR(VLOOKUP($G8,Konfiguration!$B$6:$C$12,2,FALSE()),""))</f>
        <v>0.6</v>
      </c>
      <c r="J8" s="12" t="n">
        <f aca="false">IF(OR($G8="",$H8="",$I8=""),"",$H8*$I8)</f>
        <v>11100</v>
      </c>
      <c r="K8" s="41" t="n">
        <v>46120</v>
      </c>
      <c r="L8" s="41" t="n">
        <v>46249</v>
      </c>
      <c r="M8" s="42" t="str">
        <f aca="false">IF($G8="","",IF($G8="Gewonnen","Gewonnen",IF($G8="Verloren","Verloren","Offen")))</f>
        <v>Offen</v>
      </c>
      <c r="N8" s="11" t="n">
        <f aca="true">IF(OR($L8="",$M8&lt;&gt;"Offen"),"",$L8-TODAY())</f>
        <v>41</v>
      </c>
      <c r="O8" s="38" t="s">
        <v>65</v>
      </c>
    </row>
    <row r="9" customFormat="false" ht="16.5" hidden="false" customHeight="true" outlineLevel="0" collapsed="false">
      <c r="B9" s="43" t="s">
        <v>66</v>
      </c>
      <c r="C9" s="44" t="s">
        <v>67</v>
      </c>
      <c r="D9" s="44" t="s">
        <v>68</v>
      </c>
      <c r="E9" s="44" t="s">
        <v>38</v>
      </c>
      <c r="F9" s="44" t="s">
        <v>45</v>
      </c>
      <c r="G9" s="44" t="s">
        <v>18</v>
      </c>
      <c r="H9" s="45" t="n">
        <v>42000</v>
      </c>
      <c r="I9" s="46" t="n">
        <f aca="false">IF($G9="","",IFERROR(VLOOKUP($G9,Konfiguration!$B$6:$C$12,2,FALSE()),""))</f>
        <v>0.25</v>
      </c>
      <c r="J9" s="16" t="n">
        <f aca="false">IF(OR($G9="",$H9="",$I9=""),"",$H9*$I9)</f>
        <v>10500</v>
      </c>
      <c r="K9" s="47" t="n">
        <v>46162</v>
      </c>
      <c r="L9" s="47" t="n">
        <v>46325</v>
      </c>
      <c r="M9" s="48" t="str">
        <f aca="false">IF($G9="","",IF($G9="Gewonnen","Gewonnen",IF($G9="Verloren","Verloren","Offen")))</f>
        <v>Offen</v>
      </c>
      <c r="N9" s="15" t="n">
        <f aca="true">IF(OR($L9="",$M9&lt;&gt;"Offen"),"",$L9-TODAY())</f>
        <v>117</v>
      </c>
      <c r="O9" s="44" t="s">
        <v>69</v>
      </c>
    </row>
    <row r="10" customFormat="false" ht="16.5" hidden="false" customHeight="true" outlineLevel="0" collapsed="false">
      <c r="B10" s="37" t="s">
        <v>70</v>
      </c>
      <c r="C10" s="38" t="s">
        <v>71</v>
      </c>
      <c r="D10" s="38" t="s">
        <v>72</v>
      </c>
      <c r="E10" s="38" t="s">
        <v>40</v>
      </c>
      <c r="F10" s="38" t="s">
        <v>39</v>
      </c>
      <c r="G10" s="38" t="s">
        <v>21</v>
      </c>
      <c r="H10" s="39" t="n">
        <v>67000</v>
      </c>
      <c r="I10" s="40" t="n">
        <f aca="false">IF($G10="","",IFERROR(VLOOKUP($G10,Konfiguration!$B$6:$C$12,2,FALSE()),""))</f>
        <v>0.8</v>
      </c>
      <c r="J10" s="12" t="n">
        <f aca="false">IF(OR($G10="",$H10="",$I10=""),"",$H10*$I10)</f>
        <v>53600</v>
      </c>
      <c r="K10" s="41" t="n">
        <v>46083</v>
      </c>
      <c r="L10" s="41" t="n">
        <v>46221</v>
      </c>
      <c r="M10" s="42" t="str">
        <f aca="false">IF($G10="","",IF($G10="Gewonnen","Gewonnen",IF($G10="Verloren","Verloren","Offen")))</f>
        <v>Offen</v>
      </c>
      <c r="N10" s="11" t="n">
        <f aca="true">IF(OR($L10="",$M10&lt;&gt;"Offen"),"",$L10-TODAY())</f>
        <v>13</v>
      </c>
      <c r="O10" s="38" t="s">
        <v>73</v>
      </c>
    </row>
    <row r="11" customFormat="false" ht="16.5" hidden="false" customHeight="true" outlineLevel="0" collapsed="false">
      <c r="B11" s="43" t="s">
        <v>74</v>
      </c>
      <c r="C11" s="44" t="s">
        <v>75</v>
      </c>
      <c r="D11" s="44" t="s">
        <v>76</v>
      </c>
      <c r="E11" s="44" t="s">
        <v>42</v>
      </c>
      <c r="F11" s="44" t="s">
        <v>41</v>
      </c>
      <c r="G11" s="44" t="s">
        <v>19</v>
      </c>
      <c r="H11" s="45" t="n">
        <v>12800</v>
      </c>
      <c r="I11" s="46" t="n">
        <f aca="false">IF($G11="","",IFERROR(VLOOKUP($G11,Konfiguration!$B$6:$C$12,2,FALSE()),""))</f>
        <v>0.4</v>
      </c>
      <c r="J11" s="16" t="n">
        <f aca="false">IF(OR($G11="",$H11="",$I11=""),"",$H11*$I11)</f>
        <v>5120</v>
      </c>
      <c r="K11" s="47" t="n">
        <v>46153</v>
      </c>
      <c r="L11" s="47" t="n">
        <v>46270</v>
      </c>
      <c r="M11" s="48" t="str">
        <f aca="false">IF($G11="","",IF($G11="Gewonnen","Gewonnen",IF($G11="Verloren","Verloren","Offen")))</f>
        <v>Offen</v>
      </c>
      <c r="N11" s="15" t="n">
        <f aca="true">IF(OR($L11="",$M11&lt;&gt;"Offen"),"",$L11-TODAY())</f>
        <v>62</v>
      </c>
      <c r="O11" s="44" t="s">
        <v>77</v>
      </c>
    </row>
    <row r="12" customFormat="false" ht="16.5" hidden="false" customHeight="true" outlineLevel="0" collapsed="false">
      <c r="B12" s="37" t="s">
        <v>78</v>
      </c>
      <c r="C12" s="38" t="s">
        <v>79</v>
      </c>
      <c r="D12" s="38" t="s">
        <v>80</v>
      </c>
      <c r="E12" s="38" t="s">
        <v>44</v>
      </c>
      <c r="F12" s="38" t="s">
        <v>43</v>
      </c>
      <c r="G12" s="38" t="s">
        <v>17</v>
      </c>
      <c r="H12" s="39" t="n">
        <v>31000</v>
      </c>
      <c r="I12" s="40" t="n">
        <f aca="false">IF($G12="","",IFERROR(VLOOKUP($G12,Konfiguration!$B$6:$C$12,2,FALSE()),""))</f>
        <v>0.1</v>
      </c>
      <c r="J12" s="12" t="n">
        <f aca="false">IF(OR($G12="",$H12="",$I12=""),"",$H12*$I12)</f>
        <v>3100</v>
      </c>
      <c r="K12" s="41" t="n">
        <v>46174</v>
      </c>
      <c r="L12" s="41" t="n">
        <v>46346</v>
      </c>
      <c r="M12" s="42" t="str">
        <f aca="false">IF($G12="","",IF($G12="Gewonnen","Gewonnen",IF($G12="Verloren","Verloren","Offen")))</f>
        <v>Offen</v>
      </c>
      <c r="N12" s="11" t="n">
        <f aca="true">IF(OR($L12="",$M12&lt;&gt;"Offen"),"",$L12-TODAY())</f>
        <v>138</v>
      </c>
      <c r="O12" s="38" t="s">
        <v>81</v>
      </c>
    </row>
    <row r="13" customFormat="false" ht="16.5" hidden="false" customHeight="true" outlineLevel="0" collapsed="false">
      <c r="B13" s="43" t="s">
        <v>82</v>
      </c>
      <c r="C13" s="44" t="s">
        <v>83</v>
      </c>
      <c r="D13" s="44" t="s">
        <v>84</v>
      </c>
      <c r="E13" s="44" t="s">
        <v>36</v>
      </c>
      <c r="F13" s="44" t="s">
        <v>47</v>
      </c>
      <c r="G13" s="44" t="s">
        <v>46</v>
      </c>
      <c r="H13" s="45" t="n">
        <v>24500</v>
      </c>
      <c r="I13" s="46" t="n">
        <f aca="false">IF($G13="","",IFERROR(VLOOKUP($G13,Konfiguration!$B$6:$C$12,2,FALSE()),""))</f>
        <v>1</v>
      </c>
      <c r="J13" s="16" t="n">
        <f aca="false">IF(OR($G13="",$H13="",$I13=""),"",$H13*$I13)</f>
        <v>24500</v>
      </c>
      <c r="K13" s="47" t="n">
        <v>46037</v>
      </c>
      <c r="L13" s="47" t="n">
        <v>46122</v>
      </c>
      <c r="M13" s="48" t="str">
        <f aca="false">IF($G13="","",IF($G13="Gewonnen","Gewonnen",IF($G13="Verloren","Verloren","Offen")))</f>
        <v>Gewonnen</v>
      </c>
      <c r="N13" s="15" t="str">
        <f aca="true">IF(OR($L13="",$M13&lt;&gt;"Offen"),"",$L13-TODAY())</f>
        <v/>
      </c>
      <c r="O13" s="44" t="s">
        <v>85</v>
      </c>
    </row>
    <row r="14" customFormat="false" ht="16.5" hidden="false" customHeight="true" outlineLevel="0" collapsed="false">
      <c r="B14" s="37" t="s">
        <v>86</v>
      </c>
      <c r="C14" s="38" t="s">
        <v>87</v>
      </c>
      <c r="D14" s="38" t="s">
        <v>88</v>
      </c>
      <c r="E14" s="38" t="s">
        <v>38</v>
      </c>
      <c r="F14" s="38" t="s">
        <v>37</v>
      </c>
      <c r="G14" s="38" t="s">
        <v>20</v>
      </c>
      <c r="H14" s="39" t="n">
        <v>53000</v>
      </c>
      <c r="I14" s="40" t="n">
        <f aca="false">IF($G14="","",IFERROR(VLOOKUP($G14,Konfiguration!$B$6:$C$12,2,FALSE()),""))</f>
        <v>0.6</v>
      </c>
      <c r="J14" s="12" t="n">
        <f aca="false">IF(OR($G14="",$H14="",$I14=""),"",$H14*$I14)</f>
        <v>31800</v>
      </c>
      <c r="K14" s="41" t="n">
        <v>46134</v>
      </c>
      <c r="L14" s="41" t="n">
        <v>46262</v>
      </c>
      <c r="M14" s="42" t="str">
        <f aca="false">IF($G14="","",IF($G14="Gewonnen","Gewonnen",IF($G14="Verloren","Verloren","Offen")))</f>
        <v>Offen</v>
      </c>
      <c r="N14" s="11" t="n">
        <f aca="true">IF(OR($L14="",$M14&lt;&gt;"Offen"),"",$L14-TODAY())</f>
        <v>54</v>
      </c>
      <c r="O14" s="38" t="s">
        <v>89</v>
      </c>
    </row>
    <row r="15" customFormat="false" ht="16.5" hidden="false" customHeight="true" outlineLevel="0" collapsed="false">
      <c r="B15" s="43" t="s">
        <v>90</v>
      </c>
      <c r="C15" s="44" t="s">
        <v>91</v>
      </c>
      <c r="D15" s="44" t="s">
        <v>92</v>
      </c>
      <c r="E15" s="44" t="s">
        <v>40</v>
      </c>
      <c r="F15" s="44" t="s">
        <v>49</v>
      </c>
      <c r="G15" s="44" t="s">
        <v>21</v>
      </c>
      <c r="H15" s="45" t="n">
        <v>88000</v>
      </c>
      <c r="I15" s="46" t="n">
        <f aca="false">IF($G15="","",IFERROR(VLOOKUP($G15,Konfiguration!$B$6:$C$12,2,FALSE()),""))</f>
        <v>0.8</v>
      </c>
      <c r="J15" s="16" t="n">
        <f aca="false">IF(OR($G15="",$H15="",$I15=""),"",$H15*$I15)</f>
        <v>70400</v>
      </c>
      <c r="K15" s="47" t="n">
        <v>46071</v>
      </c>
      <c r="L15" s="47" t="n">
        <v>46234</v>
      </c>
      <c r="M15" s="48" t="str">
        <f aca="false">IF($G15="","",IF($G15="Gewonnen","Gewonnen",IF($G15="Verloren","Verloren","Offen")))</f>
        <v>Offen</v>
      </c>
      <c r="N15" s="15" t="n">
        <f aca="true">IF(OR($L15="",$M15&lt;&gt;"Offen"),"",$L15-TODAY())</f>
        <v>26</v>
      </c>
      <c r="O15" s="44" t="s">
        <v>93</v>
      </c>
    </row>
    <row r="16" customFormat="false" ht="16.5" hidden="false" customHeight="true" outlineLevel="0" collapsed="false">
      <c r="B16" s="37" t="s">
        <v>94</v>
      </c>
      <c r="C16" s="38" t="s">
        <v>95</v>
      </c>
      <c r="D16" s="38" t="s">
        <v>96</v>
      </c>
      <c r="E16" s="38" t="s">
        <v>42</v>
      </c>
      <c r="F16" s="38" t="s">
        <v>45</v>
      </c>
      <c r="G16" s="38" t="s">
        <v>18</v>
      </c>
      <c r="H16" s="39" t="n">
        <v>15600</v>
      </c>
      <c r="I16" s="40" t="n">
        <f aca="false">IF($G16="","",IFERROR(VLOOKUP($G16,Konfiguration!$B$6:$C$12,2,FALSE()),""))</f>
        <v>0.25</v>
      </c>
      <c r="J16" s="12" t="n">
        <f aca="false">IF(OR($G16="",$H16="",$I16=""),"",$H16*$I16)</f>
        <v>3900</v>
      </c>
      <c r="K16" s="41" t="n">
        <v>46171</v>
      </c>
      <c r="L16" s="41" t="n">
        <v>46310</v>
      </c>
      <c r="M16" s="42" t="str">
        <f aca="false">IF($G16="","",IF($G16="Gewonnen","Gewonnen",IF($G16="Verloren","Verloren","Offen")))</f>
        <v>Offen</v>
      </c>
      <c r="N16" s="11" t="n">
        <f aca="true">IF(OR($L16="",$M16&lt;&gt;"Offen"),"",$L16-TODAY())</f>
        <v>102</v>
      </c>
      <c r="O16" s="38" t="s">
        <v>97</v>
      </c>
    </row>
    <row r="17" customFormat="false" ht="16.5" hidden="false" customHeight="true" outlineLevel="0" collapsed="false">
      <c r="B17" s="43" t="s">
        <v>98</v>
      </c>
      <c r="C17" s="44" t="s">
        <v>99</v>
      </c>
      <c r="D17" s="44" t="s">
        <v>100</v>
      </c>
      <c r="E17" s="44" t="s">
        <v>44</v>
      </c>
      <c r="F17" s="44" t="s">
        <v>39</v>
      </c>
      <c r="G17" s="44" t="s">
        <v>48</v>
      </c>
      <c r="H17" s="45" t="n">
        <v>36000</v>
      </c>
      <c r="I17" s="46" t="n">
        <f aca="false">IF($G17="","",IFERROR(VLOOKUP($G17,Konfiguration!$B$6:$C$12,2,FALSE()),""))</f>
        <v>0</v>
      </c>
      <c r="J17" s="16" t="n">
        <f aca="false">IF(OR($G17="",$H17="",$I17=""),"",$H17*$I17)</f>
        <v>0</v>
      </c>
      <c r="K17" s="47" t="n">
        <v>46058</v>
      </c>
      <c r="L17" s="47" t="n">
        <v>46164</v>
      </c>
      <c r="M17" s="48" t="str">
        <f aca="false">IF($G17="","",IF($G17="Gewonnen","Gewonnen",IF($G17="Verloren","Verloren","Offen")))</f>
        <v>Verloren</v>
      </c>
      <c r="N17" s="15" t="str">
        <f aca="true">IF(OR($L17="",$M17&lt;&gt;"Offen"),"",$L17-TODAY())</f>
        <v/>
      </c>
      <c r="O17" s="44" t="s">
        <v>101</v>
      </c>
    </row>
    <row r="18" customFormat="false" ht="16.5" hidden="false" customHeight="true" outlineLevel="0" collapsed="false">
      <c r="B18" s="37" t="s">
        <v>102</v>
      </c>
      <c r="C18" s="38" t="s">
        <v>103</v>
      </c>
      <c r="D18" s="38" t="s">
        <v>104</v>
      </c>
      <c r="E18" s="38" t="s">
        <v>36</v>
      </c>
      <c r="F18" s="38" t="s">
        <v>41</v>
      </c>
      <c r="G18" s="38" t="s">
        <v>19</v>
      </c>
      <c r="H18" s="39" t="n">
        <v>47500</v>
      </c>
      <c r="I18" s="40" t="n">
        <f aca="false">IF($G18="","",IFERROR(VLOOKUP($G18,Konfiguration!$B$6:$C$12,2,FALSE()),""))</f>
        <v>0.4</v>
      </c>
      <c r="J18" s="12" t="n">
        <f aca="false">IF(OR($G18="",$H18="",$I18=""),"",$H18*$I18)</f>
        <v>19000</v>
      </c>
      <c r="K18" s="41" t="n">
        <v>46142</v>
      </c>
      <c r="L18" s="41" t="n">
        <v>46284</v>
      </c>
      <c r="M18" s="42" t="str">
        <f aca="false">IF($G18="","",IF($G18="Gewonnen","Gewonnen",IF($G18="Verloren","Verloren","Offen")))</f>
        <v>Offen</v>
      </c>
      <c r="N18" s="11" t="n">
        <f aca="true">IF(OR($L18="",$M18&lt;&gt;"Offen"),"",$L18-TODAY())</f>
        <v>76</v>
      </c>
      <c r="O18" s="38" t="s">
        <v>105</v>
      </c>
    </row>
    <row r="19" customFormat="false" ht="16.5" hidden="false" customHeight="true" outlineLevel="0" collapsed="false">
      <c r="B19" s="43" t="s">
        <v>106</v>
      </c>
      <c r="C19" s="44" t="s">
        <v>107</v>
      </c>
      <c r="D19" s="44" t="s">
        <v>108</v>
      </c>
      <c r="E19" s="44" t="s">
        <v>38</v>
      </c>
      <c r="F19" s="44" t="s">
        <v>43</v>
      </c>
      <c r="G19" s="44" t="s">
        <v>17</v>
      </c>
      <c r="H19" s="45" t="n">
        <v>9800</v>
      </c>
      <c r="I19" s="46" t="n">
        <f aca="false">IF($G19="","",IFERROR(VLOOKUP($G19,Konfiguration!$B$6:$C$12,2,FALSE()),""))</f>
        <v>0.1</v>
      </c>
      <c r="J19" s="16" t="n">
        <f aca="false">IF(OR($G19="",$H19="",$I19=""),"",$H19*$I19)</f>
        <v>980</v>
      </c>
      <c r="K19" s="47" t="n">
        <v>46187</v>
      </c>
      <c r="L19" s="47" t="n">
        <v>46360</v>
      </c>
      <c r="M19" s="48" t="str">
        <f aca="false">IF($G19="","",IF($G19="Gewonnen","Gewonnen",IF($G19="Verloren","Verloren","Offen")))</f>
        <v>Offen</v>
      </c>
      <c r="N19" s="15" t="n">
        <f aca="true">IF(OR($L19="",$M19&lt;&gt;"Offen"),"",$L19-TODAY())</f>
        <v>152</v>
      </c>
      <c r="O19" s="44" t="s">
        <v>109</v>
      </c>
    </row>
    <row r="20" customFormat="false" ht="16.5" hidden="false" customHeight="true" outlineLevel="0" collapsed="false">
      <c r="B20" s="37" t="s">
        <v>110</v>
      </c>
      <c r="C20" s="38" t="s">
        <v>111</v>
      </c>
      <c r="D20" s="38" t="s">
        <v>112</v>
      </c>
      <c r="E20" s="38" t="s">
        <v>40</v>
      </c>
      <c r="F20" s="38" t="s">
        <v>47</v>
      </c>
      <c r="G20" s="38" t="s">
        <v>46</v>
      </c>
      <c r="H20" s="39" t="n">
        <v>61000</v>
      </c>
      <c r="I20" s="40" t="n">
        <f aca="false">IF($G20="","",IFERROR(VLOOKUP($G20,Konfiguration!$B$6:$C$12,2,FALSE()),""))</f>
        <v>1</v>
      </c>
      <c r="J20" s="12" t="n">
        <f aca="false">IF(OR($G20="",$H20="",$I20=""),"",$H20*$I20)</f>
        <v>61000</v>
      </c>
      <c r="K20" s="41" t="n">
        <v>46050</v>
      </c>
      <c r="L20" s="41" t="n">
        <v>46150</v>
      </c>
      <c r="M20" s="42" t="str">
        <f aca="false">IF($G20="","",IF($G20="Gewonnen","Gewonnen",IF($G20="Verloren","Verloren","Offen")))</f>
        <v>Gewonnen</v>
      </c>
      <c r="N20" s="11" t="str">
        <f aca="true">IF(OR($L20="",$M20&lt;&gt;"Offen"),"",$L20-TODAY())</f>
        <v/>
      </c>
      <c r="O20" s="38" t="s">
        <v>113</v>
      </c>
    </row>
    <row r="21" customFormat="false" ht="16.5" hidden="false" customHeight="true" outlineLevel="0" collapsed="false">
      <c r="B21" s="43" t="s">
        <v>114</v>
      </c>
      <c r="C21" s="44" t="s">
        <v>115</v>
      </c>
      <c r="D21" s="44" t="s">
        <v>116</v>
      </c>
      <c r="E21" s="44" t="s">
        <v>42</v>
      </c>
      <c r="F21" s="44" t="s">
        <v>37</v>
      </c>
      <c r="G21" s="44" t="s">
        <v>20</v>
      </c>
      <c r="H21" s="45" t="n">
        <v>28900</v>
      </c>
      <c r="I21" s="46" t="n">
        <f aca="false">IF($G21="","",IFERROR(VLOOKUP($G21,Konfiguration!$B$6:$C$12,2,FALSE()),""))</f>
        <v>0.6</v>
      </c>
      <c r="J21" s="16" t="n">
        <f aca="false">IF(OR($G21="",$H21="",$I21=""),"",$H21*$I21)</f>
        <v>17340</v>
      </c>
      <c r="K21" s="47" t="n">
        <v>46148</v>
      </c>
      <c r="L21" s="47" t="n">
        <v>46199</v>
      </c>
      <c r="M21" s="48" t="str">
        <f aca="false">IF($G21="","",IF($G21="Gewonnen","Gewonnen",IF($G21="Verloren","Verloren","Offen")))</f>
        <v>Offen</v>
      </c>
      <c r="N21" s="15" t="n">
        <f aca="true">IF(OR($L21="",$M21&lt;&gt;"Offen"),"",$L21-TODAY())</f>
        <v>-9</v>
      </c>
      <c r="O21" s="44" t="s">
        <v>117</v>
      </c>
    </row>
    <row r="22" customFormat="false" ht="16.5" hidden="false" customHeight="true" outlineLevel="0" collapsed="false">
      <c r="B22" s="37" t="s">
        <v>118</v>
      </c>
      <c r="C22" s="38" t="s">
        <v>119</v>
      </c>
      <c r="D22" s="38" t="s">
        <v>120</v>
      </c>
      <c r="E22" s="38" t="s">
        <v>44</v>
      </c>
      <c r="F22" s="38" t="s">
        <v>49</v>
      </c>
      <c r="G22" s="38" t="s">
        <v>18</v>
      </c>
      <c r="H22" s="39" t="n">
        <v>73000</v>
      </c>
      <c r="I22" s="40" t="n">
        <f aca="false">IF($G22="","",IFERROR(VLOOKUP($G22,Konfiguration!$B$6:$C$12,2,FALSE()),""))</f>
        <v>0.25</v>
      </c>
      <c r="J22" s="12" t="n">
        <f aca="false">IF(OR($G22="",$H22="",$I22=""),"",$H22*$I22)</f>
        <v>18250</v>
      </c>
      <c r="K22" s="41" t="n">
        <v>46160</v>
      </c>
      <c r="L22" s="41" t="n">
        <v>46339</v>
      </c>
      <c r="M22" s="42" t="str">
        <f aca="false">IF($G22="","",IF($G22="Gewonnen","Gewonnen",IF($G22="Verloren","Verloren","Offen")))</f>
        <v>Offen</v>
      </c>
      <c r="N22" s="11" t="n">
        <f aca="true">IF(OR($L22="",$M22&lt;&gt;"Offen"),"",$L22-TODAY())</f>
        <v>131</v>
      </c>
      <c r="O22" s="38" t="s">
        <v>121</v>
      </c>
    </row>
    <row r="23" customFormat="false" ht="16.5" hidden="false" customHeight="true" outlineLevel="0" collapsed="false">
      <c r="B23" s="43" t="s">
        <v>122</v>
      </c>
      <c r="C23" s="44" t="s">
        <v>123</v>
      </c>
      <c r="D23" s="44" t="s">
        <v>124</v>
      </c>
      <c r="E23" s="44" t="s">
        <v>36</v>
      </c>
      <c r="F23" s="44" t="s">
        <v>39</v>
      </c>
      <c r="G23" s="44" t="s">
        <v>21</v>
      </c>
      <c r="H23" s="45" t="n">
        <v>105000</v>
      </c>
      <c r="I23" s="46" t="n">
        <f aca="false">IF($G23="","",IFERROR(VLOOKUP($G23,Konfiguration!$B$6:$C$12,2,FALSE()),""))</f>
        <v>0.8</v>
      </c>
      <c r="J23" s="16" t="n">
        <f aca="false">IF(OR($G23="",$H23="",$I23=""),"",$H23*$I23)</f>
        <v>84000</v>
      </c>
      <c r="K23" s="47" t="n">
        <v>46106</v>
      </c>
      <c r="L23" s="47" t="n">
        <v>46241</v>
      </c>
      <c r="M23" s="48" t="str">
        <f aca="false">IF($G23="","",IF($G23="Gewonnen","Gewonnen",IF($G23="Verloren","Verloren","Offen")))</f>
        <v>Offen</v>
      </c>
      <c r="N23" s="15" t="n">
        <f aca="true">IF(OR($L23="",$M23&lt;&gt;"Offen"),"",$L23-TODAY())</f>
        <v>33</v>
      </c>
      <c r="O23" s="44" t="s">
        <v>125</v>
      </c>
    </row>
    <row r="24" customFormat="false" ht="16.5" hidden="false" customHeight="true" outlineLevel="0" collapsed="false">
      <c r="B24" s="37" t="s">
        <v>126</v>
      </c>
      <c r="C24" s="38" t="s">
        <v>127</v>
      </c>
      <c r="D24" s="38" t="s">
        <v>128</v>
      </c>
      <c r="E24" s="38" t="s">
        <v>38</v>
      </c>
      <c r="F24" s="38" t="s">
        <v>45</v>
      </c>
      <c r="G24" s="38" t="s">
        <v>19</v>
      </c>
      <c r="H24" s="39" t="n">
        <v>19400</v>
      </c>
      <c r="I24" s="40" t="n">
        <f aca="false">IF($G24="","",IFERROR(VLOOKUP($G24,Konfiguration!$B$6:$C$12,2,FALSE()),""))</f>
        <v>0.4</v>
      </c>
      <c r="J24" s="12" t="n">
        <f aca="false">IF(OR($G24="",$H24="",$I24=""),"",$H24*$I24)</f>
        <v>7760</v>
      </c>
      <c r="K24" s="41" t="n">
        <v>46166</v>
      </c>
      <c r="L24" s="41" t="n">
        <v>46297</v>
      </c>
      <c r="M24" s="42" t="str">
        <f aca="false">IF($G24="","",IF($G24="Gewonnen","Gewonnen",IF($G24="Verloren","Verloren","Offen")))</f>
        <v>Offen</v>
      </c>
      <c r="N24" s="11" t="n">
        <f aca="true">IF(OR($L24="",$M24&lt;&gt;"Offen"),"",$L24-TODAY())</f>
        <v>89</v>
      </c>
      <c r="O24" s="38" t="s">
        <v>65</v>
      </c>
    </row>
    <row r="25" customFormat="false" ht="16.5" hidden="false" customHeight="true" outlineLevel="0" collapsed="false">
      <c r="B25" s="43" t="s">
        <v>129</v>
      </c>
      <c r="C25" s="44" t="s">
        <v>130</v>
      </c>
      <c r="D25" s="44" t="s">
        <v>131</v>
      </c>
      <c r="E25" s="44" t="s">
        <v>40</v>
      </c>
      <c r="F25" s="44" t="s">
        <v>41</v>
      </c>
      <c r="G25" s="44" t="s">
        <v>17</v>
      </c>
      <c r="H25" s="45" t="n">
        <v>44000</v>
      </c>
      <c r="I25" s="46" t="n">
        <f aca="false">IF($G25="","",IFERROR(VLOOKUP($G25,Konfiguration!$B$6:$C$12,2,FALSE()),""))</f>
        <v>0.1</v>
      </c>
      <c r="J25" s="16" t="n">
        <f aca="false">IF(OR($G25="",$H25="",$I25=""),"",$H25*$I25)</f>
        <v>4400</v>
      </c>
      <c r="K25" s="47" t="n">
        <v>46182</v>
      </c>
      <c r="L25" s="47" t="n">
        <v>46374</v>
      </c>
      <c r="M25" s="48" t="str">
        <f aca="false">IF($G25="","",IF($G25="Gewonnen","Gewonnen",IF($G25="Verloren","Verloren","Offen")))</f>
        <v>Offen</v>
      </c>
      <c r="N25" s="15" t="n">
        <f aca="true">IF(OR($L25="",$M25&lt;&gt;"Offen"),"",$L25-TODAY())</f>
        <v>166</v>
      </c>
      <c r="O25" s="44" t="s">
        <v>69</v>
      </c>
    </row>
    <row r="26" customFormat="false" ht="16.5" hidden="false" customHeight="true" outlineLevel="0" collapsed="false">
      <c r="B26" s="37" t="s">
        <v>132</v>
      </c>
      <c r="C26" s="38" t="s">
        <v>133</v>
      </c>
      <c r="D26" s="38" t="s">
        <v>134</v>
      </c>
      <c r="E26" s="38" t="s">
        <v>42</v>
      </c>
      <c r="F26" s="38" t="s">
        <v>47</v>
      </c>
      <c r="G26" s="38" t="s">
        <v>46</v>
      </c>
      <c r="H26" s="39" t="n">
        <v>33500</v>
      </c>
      <c r="I26" s="40" t="n">
        <f aca="false">IF($G26="","",IFERROR(VLOOKUP($G26,Konfiguration!$B$6:$C$12,2,FALSE()),""))</f>
        <v>1</v>
      </c>
      <c r="J26" s="12" t="n">
        <f aca="false">IF(OR($G26="",$H26="",$I26=""),"",$H26*$I26)</f>
        <v>33500</v>
      </c>
      <c r="K26" s="41" t="n">
        <v>46064</v>
      </c>
      <c r="L26" s="41" t="n">
        <v>46192</v>
      </c>
      <c r="M26" s="42" t="str">
        <f aca="false">IF($G26="","",IF($G26="Gewonnen","Gewonnen",IF($G26="Verloren","Verloren","Offen")))</f>
        <v>Gewonnen</v>
      </c>
      <c r="N26" s="11" t="str">
        <f aca="true">IF(OR($L26="",$M26&lt;&gt;"Offen"),"",$L26-TODAY())</f>
        <v/>
      </c>
      <c r="O26" s="38" t="s">
        <v>73</v>
      </c>
    </row>
    <row r="27" customFormat="false" ht="16.5" hidden="false" customHeight="true" outlineLevel="0" collapsed="false">
      <c r="B27" s="43" t="s">
        <v>135</v>
      </c>
      <c r="C27" s="44" t="s">
        <v>136</v>
      </c>
      <c r="D27" s="44" t="s">
        <v>137</v>
      </c>
      <c r="E27" s="44" t="s">
        <v>44</v>
      </c>
      <c r="F27" s="44" t="s">
        <v>43</v>
      </c>
      <c r="G27" s="44" t="s">
        <v>20</v>
      </c>
      <c r="H27" s="45" t="n">
        <v>57500</v>
      </c>
      <c r="I27" s="46" t="n">
        <f aca="false">IF($G27="","",IFERROR(VLOOKUP($G27,Konfiguration!$B$6:$C$12,2,FALSE()),""))</f>
        <v>0.6</v>
      </c>
      <c r="J27" s="16" t="n">
        <f aca="false">IF(OR($G27="",$H27="",$I27=""),"",$H27*$I27)</f>
        <v>34500</v>
      </c>
      <c r="K27" s="47" t="n">
        <v>46127</v>
      </c>
      <c r="L27" s="47" t="n">
        <v>46203</v>
      </c>
      <c r="M27" s="48" t="str">
        <f aca="false">IF($G27="","",IF($G27="Gewonnen","Gewonnen",IF($G27="Verloren","Verloren","Offen")))</f>
        <v>Offen</v>
      </c>
      <c r="N27" s="15" t="n">
        <f aca="true">IF(OR($L27="",$M27&lt;&gt;"Offen"),"",$L27-TODAY())</f>
        <v>-5</v>
      </c>
      <c r="O27" s="44" t="s">
        <v>77</v>
      </c>
    </row>
    <row r="28" customFormat="false" ht="16.5" hidden="false" customHeight="true" outlineLevel="0" collapsed="false">
      <c r="B28" s="37" t="s">
        <v>138</v>
      </c>
      <c r="C28" s="38" t="s">
        <v>139</v>
      </c>
      <c r="D28" s="38" t="s">
        <v>140</v>
      </c>
      <c r="E28" s="38" t="s">
        <v>36</v>
      </c>
      <c r="F28" s="38" t="s">
        <v>37</v>
      </c>
      <c r="G28" s="38" t="s">
        <v>18</v>
      </c>
      <c r="H28" s="39" t="n">
        <v>21000</v>
      </c>
      <c r="I28" s="40" t="n">
        <f aca="false">IF($G28="","",IFERROR(VLOOKUP($G28,Konfiguration!$B$6:$C$12,2,FALSE()),""))</f>
        <v>0.25</v>
      </c>
      <c r="J28" s="12" t="n">
        <f aca="false">IF(OR($G28="",$H28="",$I28=""),"",$H28*$I28)</f>
        <v>5250</v>
      </c>
      <c r="K28" s="41" t="n">
        <v>46173</v>
      </c>
      <c r="L28" s="41" t="n">
        <v>46291</v>
      </c>
      <c r="M28" s="42" t="str">
        <f aca="false">IF($G28="","",IF($G28="Gewonnen","Gewonnen",IF($G28="Verloren","Verloren","Offen")))</f>
        <v>Offen</v>
      </c>
      <c r="N28" s="11" t="n">
        <f aca="true">IF(OR($L28="",$M28&lt;&gt;"Offen"),"",$L28-TODAY())</f>
        <v>83</v>
      </c>
      <c r="O28" s="38" t="s">
        <v>81</v>
      </c>
    </row>
    <row r="29" customFormat="false" ht="16.5" hidden="false" customHeight="true" outlineLevel="0" collapsed="false">
      <c r="B29" s="43" t="s">
        <v>141</v>
      </c>
      <c r="C29" s="44" t="s">
        <v>142</v>
      </c>
      <c r="D29" s="44" t="s">
        <v>143</v>
      </c>
      <c r="E29" s="44" t="s">
        <v>38</v>
      </c>
      <c r="F29" s="44" t="s">
        <v>49</v>
      </c>
      <c r="G29" s="44" t="s">
        <v>21</v>
      </c>
      <c r="H29" s="45" t="n">
        <v>79000</v>
      </c>
      <c r="I29" s="46" t="n">
        <f aca="false">IF($G29="","",IFERROR(VLOOKUP($G29,Konfiguration!$B$6:$C$12,2,FALSE()),""))</f>
        <v>0.8</v>
      </c>
      <c r="J29" s="16" t="n">
        <f aca="false">IF(OR($G29="",$H29="",$I29=""),"",$H29*$I29)</f>
        <v>63200</v>
      </c>
      <c r="K29" s="47" t="n">
        <v>46095</v>
      </c>
      <c r="L29" s="47" t="n">
        <v>46227</v>
      </c>
      <c r="M29" s="48" t="str">
        <f aca="false">IF($G29="","",IF($G29="Gewonnen","Gewonnen",IF($G29="Verloren","Verloren","Offen")))</f>
        <v>Offen</v>
      </c>
      <c r="N29" s="15" t="n">
        <f aca="true">IF(OR($L29="",$M29&lt;&gt;"Offen"),"",$L29-TODAY())</f>
        <v>19</v>
      </c>
      <c r="O29" s="44" t="s">
        <v>85</v>
      </c>
    </row>
    <row r="30" customFormat="false" ht="16.5" hidden="false" customHeight="true" outlineLevel="0" collapsed="false">
      <c r="B30" s="37" t="s">
        <v>144</v>
      </c>
      <c r="C30" s="38" t="s">
        <v>145</v>
      </c>
      <c r="D30" s="38" t="s">
        <v>146</v>
      </c>
      <c r="E30" s="38" t="s">
        <v>40</v>
      </c>
      <c r="F30" s="38" t="s">
        <v>45</v>
      </c>
      <c r="G30" s="38" t="s">
        <v>48</v>
      </c>
      <c r="H30" s="39" t="n">
        <v>26500</v>
      </c>
      <c r="I30" s="40" t="n">
        <f aca="false">IF($G30="","",IFERROR(VLOOKUP($G30,Konfiguration!$B$6:$C$12,2,FALSE()),""))</f>
        <v>0</v>
      </c>
      <c r="J30" s="12" t="n">
        <f aca="false">IF(OR($G30="",$H30="",$I30=""),"",$H30*$I30)</f>
        <v>0</v>
      </c>
      <c r="K30" s="41" t="n">
        <v>46042</v>
      </c>
      <c r="L30" s="41" t="n">
        <v>46140</v>
      </c>
      <c r="M30" s="42" t="str">
        <f aca="false">IF($G30="","",IF($G30="Gewonnen","Gewonnen",IF($G30="Verloren","Verloren","Offen")))</f>
        <v>Verloren</v>
      </c>
      <c r="N30" s="11" t="str">
        <f aca="true">IF(OR($L30="",$M30&lt;&gt;"Offen"),"",$L30-TODAY())</f>
        <v/>
      </c>
      <c r="O30" s="38" t="s">
        <v>89</v>
      </c>
    </row>
    <row r="31" customFormat="false" ht="16.5" hidden="false" customHeight="true" outlineLevel="0" collapsed="false">
      <c r="B31" s="43" t="s">
        <v>147</v>
      </c>
      <c r="C31" s="44" t="s">
        <v>148</v>
      </c>
      <c r="D31" s="44" t="s">
        <v>149</v>
      </c>
      <c r="E31" s="44" t="s">
        <v>42</v>
      </c>
      <c r="F31" s="44" t="s">
        <v>39</v>
      </c>
      <c r="G31" s="44" t="s">
        <v>19</v>
      </c>
      <c r="H31" s="45" t="n">
        <v>38000</v>
      </c>
      <c r="I31" s="46" t="n">
        <f aca="false">IF($G31="","",IFERROR(VLOOKUP($G31,Konfiguration!$B$6:$C$12,2,FALSE()),""))</f>
        <v>0.4</v>
      </c>
      <c r="J31" s="16" t="n">
        <f aca="false">IF(OR($G31="",$H31="",$I31=""),"",$H31*$I31)</f>
        <v>15200</v>
      </c>
      <c r="K31" s="47" t="n">
        <v>46144</v>
      </c>
      <c r="L31" s="47" t="n">
        <v>46316</v>
      </c>
      <c r="M31" s="48" t="str">
        <f aca="false">IF($G31="","",IF($G31="Gewonnen","Gewonnen",IF($G31="Verloren","Verloren","Offen")))</f>
        <v>Offen</v>
      </c>
      <c r="N31" s="15" t="n">
        <f aca="true">IF(OR($L31="",$M31&lt;&gt;"Offen"),"",$L31-TODAY())</f>
        <v>108</v>
      </c>
      <c r="O31" s="44" t="s">
        <v>93</v>
      </c>
    </row>
    <row r="32" customFormat="false" ht="16.5" hidden="false" customHeight="true" outlineLevel="0" collapsed="false">
      <c r="B32" s="37" t="s">
        <v>150</v>
      </c>
      <c r="C32" s="38" t="s">
        <v>151</v>
      </c>
      <c r="D32" s="38" t="s">
        <v>152</v>
      </c>
      <c r="E32" s="38" t="s">
        <v>44</v>
      </c>
      <c r="F32" s="38" t="s">
        <v>41</v>
      </c>
      <c r="G32" s="38" t="s">
        <v>17</v>
      </c>
      <c r="H32" s="39" t="n">
        <v>14200</v>
      </c>
      <c r="I32" s="40" t="n">
        <f aca="false">IF($G32="","",IFERROR(VLOOKUP($G32,Konfiguration!$B$6:$C$12,2,FALSE()),""))</f>
        <v>0.1</v>
      </c>
      <c r="J32" s="12" t="n">
        <f aca="false">IF(OR($G32="",$H32="",$I32=""),"",$H32*$I32)</f>
        <v>1420</v>
      </c>
      <c r="K32" s="41" t="n">
        <v>46193</v>
      </c>
      <c r="L32" s="41" t="n">
        <v>46367</v>
      </c>
      <c r="M32" s="42" t="str">
        <f aca="false">IF($G32="","",IF($G32="Gewonnen","Gewonnen",IF($G32="Verloren","Verloren","Offen")))</f>
        <v>Offen</v>
      </c>
      <c r="N32" s="11" t="n">
        <f aca="true">IF(OR($L32="",$M32&lt;&gt;"Offen"),"",$L32-TODAY())</f>
        <v>159</v>
      </c>
      <c r="O32" s="38" t="s">
        <v>97</v>
      </c>
    </row>
    <row r="33" customFormat="false" ht="16.5" hidden="false" customHeight="true" outlineLevel="0" collapsed="false">
      <c r="B33" s="43" t="s">
        <v>153</v>
      </c>
      <c r="C33" s="44" t="s">
        <v>154</v>
      </c>
      <c r="D33" s="44" t="s">
        <v>155</v>
      </c>
      <c r="E33" s="44" t="s">
        <v>36</v>
      </c>
      <c r="F33" s="44" t="s">
        <v>43</v>
      </c>
      <c r="G33" s="44" t="s">
        <v>46</v>
      </c>
      <c r="H33" s="45" t="n">
        <v>49000</v>
      </c>
      <c r="I33" s="46" t="n">
        <f aca="false">IF($G33="","",IFERROR(VLOOKUP($G33,Konfiguration!$B$6:$C$12,2,FALSE()),""))</f>
        <v>1</v>
      </c>
      <c r="J33" s="16" t="n">
        <f aca="false">IF(OR($G33="",$H33="",$I33=""),"",$H33*$I33)</f>
        <v>49000</v>
      </c>
      <c r="K33" s="47" t="n">
        <v>46077</v>
      </c>
      <c r="L33" s="47" t="n">
        <v>46172</v>
      </c>
      <c r="M33" s="48" t="str">
        <f aca="false">IF($G33="","",IF($G33="Gewonnen","Gewonnen",IF($G33="Verloren","Verloren","Offen")))</f>
        <v>Gewonnen</v>
      </c>
      <c r="N33" s="15" t="str">
        <f aca="true">IF(OR($L33="",$M33&lt;&gt;"Offen"),"",$L33-TODAY())</f>
        <v/>
      </c>
      <c r="O33" s="44" t="s">
        <v>101</v>
      </c>
    </row>
    <row r="34" customFormat="false" ht="16.5" hidden="false" customHeight="true" outlineLevel="0" collapsed="false">
      <c r="B34" s="37"/>
      <c r="C34" s="38"/>
      <c r="D34" s="38"/>
      <c r="E34" s="38"/>
      <c r="F34" s="38"/>
      <c r="G34" s="38"/>
      <c r="H34" s="39"/>
      <c r="I34" s="40" t="str">
        <f aca="false">IF($G34="","",IFERROR(VLOOKUP($G34,Konfiguration!$B$6:$C$12,2,FALSE()),""))</f>
        <v/>
      </c>
      <c r="J34" s="12" t="str">
        <f aca="false">IF(OR($G34="",$H34="",$I34=""),"",$H34*$I34)</f>
        <v/>
      </c>
      <c r="K34" s="41"/>
      <c r="L34" s="41"/>
      <c r="M34" s="42" t="str">
        <f aca="false">IF($G34="","",IF($G34="Gewonnen","Gewonnen",IF($G34="Verloren","Verloren","Offen")))</f>
        <v/>
      </c>
      <c r="N34" s="11" t="str">
        <f aca="true">IF(OR($L34="",$M34&lt;&gt;"Offen"),"",$L34-TODAY())</f>
        <v/>
      </c>
      <c r="O34" s="38"/>
    </row>
    <row r="35" customFormat="false" ht="16.5" hidden="false" customHeight="true" outlineLevel="0" collapsed="false">
      <c r="B35" s="43"/>
      <c r="C35" s="44"/>
      <c r="D35" s="44"/>
      <c r="E35" s="44"/>
      <c r="F35" s="44"/>
      <c r="G35" s="44"/>
      <c r="H35" s="45"/>
      <c r="I35" s="46" t="str">
        <f aca="false">IF($G35="","",IFERROR(VLOOKUP($G35,Konfiguration!$B$6:$C$12,2,FALSE()),""))</f>
        <v/>
      </c>
      <c r="J35" s="16" t="str">
        <f aca="false">IF(OR($G35="",$H35="",$I35=""),"",$H35*$I35)</f>
        <v/>
      </c>
      <c r="K35" s="47"/>
      <c r="L35" s="47"/>
      <c r="M35" s="48" t="str">
        <f aca="false">IF($G35="","",IF($G35="Gewonnen","Gewonnen",IF($G35="Verloren","Verloren","Offen")))</f>
        <v/>
      </c>
      <c r="N35" s="15" t="str">
        <f aca="true">IF(OR($L35="",$M35&lt;&gt;"Offen"),"",$L35-TODAY())</f>
        <v/>
      </c>
      <c r="O35" s="44"/>
    </row>
    <row r="36" customFormat="false" ht="16.5" hidden="false" customHeight="true" outlineLevel="0" collapsed="false">
      <c r="B36" s="37"/>
      <c r="C36" s="38"/>
      <c r="D36" s="38"/>
      <c r="E36" s="38"/>
      <c r="F36" s="38"/>
      <c r="G36" s="38"/>
      <c r="H36" s="39"/>
      <c r="I36" s="40" t="str">
        <f aca="false">IF($G36="","",IFERROR(VLOOKUP($G36,Konfiguration!$B$6:$C$12,2,FALSE()),""))</f>
        <v/>
      </c>
      <c r="J36" s="12" t="str">
        <f aca="false">IF(OR($G36="",$H36="",$I36=""),"",$H36*$I36)</f>
        <v/>
      </c>
      <c r="K36" s="41"/>
      <c r="L36" s="41"/>
      <c r="M36" s="42" t="str">
        <f aca="false">IF($G36="","",IF($G36="Gewonnen","Gewonnen",IF($G36="Verloren","Verloren","Offen")))</f>
        <v/>
      </c>
      <c r="N36" s="11" t="str">
        <f aca="true">IF(OR($L36="",$M36&lt;&gt;"Offen"),"",$L36-TODAY())</f>
        <v/>
      </c>
      <c r="O36" s="38"/>
    </row>
    <row r="37" customFormat="false" ht="16.5" hidden="false" customHeight="true" outlineLevel="0" collapsed="false">
      <c r="B37" s="43"/>
      <c r="C37" s="44"/>
      <c r="D37" s="44"/>
      <c r="E37" s="44"/>
      <c r="F37" s="44"/>
      <c r="G37" s="44"/>
      <c r="H37" s="45"/>
      <c r="I37" s="46" t="str">
        <f aca="false">IF($G37="","",IFERROR(VLOOKUP($G37,Konfiguration!$B$6:$C$12,2,FALSE()),""))</f>
        <v/>
      </c>
      <c r="J37" s="16" t="str">
        <f aca="false">IF(OR($G37="",$H37="",$I37=""),"",$H37*$I37)</f>
        <v/>
      </c>
      <c r="K37" s="47"/>
      <c r="L37" s="47"/>
      <c r="M37" s="48" t="str">
        <f aca="false">IF($G37="","",IF($G37="Gewonnen","Gewonnen",IF($G37="Verloren","Verloren","Offen")))</f>
        <v/>
      </c>
      <c r="N37" s="15" t="str">
        <f aca="true">IF(OR($L37="",$M37&lt;&gt;"Offen"),"",$L37-TODAY())</f>
        <v/>
      </c>
      <c r="O37" s="44"/>
    </row>
    <row r="38" customFormat="false" ht="16.5" hidden="false" customHeight="true" outlineLevel="0" collapsed="false">
      <c r="B38" s="37"/>
      <c r="C38" s="38"/>
      <c r="D38" s="38"/>
      <c r="E38" s="38"/>
      <c r="F38" s="38"/>
      <c r="G38" s="38"/>
      <c r="H38" s="39"/>
      <c r="I38" s="40" t="str">
        <f aca="false">IF($G38="","",IFERROR(VLOOKUP($G38,Konfiguration!$B$6:$C$12,2,FALSE()),""))</f>
        <v/>
      </c>
      <c r="J38" s="12" t="str">
        <f aca="false">IF(OR($G38="",$H38="",$I38=""),"",$H38*$I38)</f>
        <v/>
      </c>
      <c r="K38" s="41"/>
      <c r="L38" s="41"/>
      <c r="M38" s="42" t="str">
        <f aca="false">IF($G38="","",IF($G38="Gewonnen","Gewonnen",IF($G38="Verloren","Verloren","Offen")))</f>
        <v/>
      </c>
      <c r="N38" s="11" t="str">
        <f aca="true">IF(OR($L38="",$M38&lt;&gt;"Offen"),"",$L38-TODAY())</f>
        <v/>
      </c>
      <c r="O38" s="38"/>
    </row>
    <row r="39" customFormat="false" ht="16.5" hidden="false" customHeight="true" outlineLevel="0" collapsed="false">
      <c r="B39" s="43"/>
      <c r="C39" s="44"/>
      <c r="D39" s="44"/>
      <c r="E39" s="44"/>
      <c r="F39" s="44"/>
      <c r="G39" s="44"/>
      <c r="H39" s="45"/>
      <c r="I39" s="46" t="str">
        <f aca="false">IF($G39="","",IFERROR(VLOOKUP($G39,Konfiguration!$B$6:$C$12,2,FALSE()),""))</f>
        <v/>
      </c>
      <c r="J39" s="16" t="str">
        <f aca="false">IF(OR($G39="",$H39="",$I39=""),"",$H39*$I39)</f>
        <v/>
      </c>
      <c r="K39" s="47"/>
      <c r="L39" s="47"/>
      <c r="M39" s="48" t="str">
        <f aca="false">IF($G39="","",IF($G39="Gewonnen","Gewonnen",IF($G39="Verloren","Verloren","Offen")))</f>
        <v/>
      </c>
      <c r="N39" s="15" t="str">
        <f aca="true">IF(OR($L39="",$M39&lt;&gt;"Offen"),"",$L39-TODAY())</f>
        <v/>
      </c>
      <c r="O39" s="44"/>
    </row>
    <row r="40" customFormat="false" ht="16.5" hidden="false" customHeight="true" outlineLevel="0" collapsed="false">
      <c r="B40" s="37"/>
      <c r="C40" s="38"/>
      <c r="D40" s="38"/>
      <c r="E40" s="38"/>
      <c r="F40" s="38"/>
      <c r="G40" s="38"/>
      <c r="H40" s="39"/>
      <c r="I40" s="40" t="str">
        <f aca="false">IF($G40="","",IFERROR(VLOOKUP($G40,Konfiguration!$B$6:$C$12,2,FALSE()),""))</f>
        <v/>
      </c>
      <c r="J40" s="12" t="str">
        <f aca="false">IF(OR($G40="",$H40="",$I40=""),"",$H40*$I40)</f>
        <v/>
      </c>
      <c r="K40" s="41"/>
      <c r="L40" s="41"/>
      <c r="M40" s="42" t="str">
        <f aca="false">IF($G40="","",IF($G40="Gewonnen","Gewonnen",IF($G40="Verloren","Verloren","Offen")))</f>
        <v/>
      </c>
      <c r="N40" s="11" t="str">
        <f aca="true">IF(OR($L40="",$M40&lt;&gt;"Offen"),"",$L40-TODAY())</f>
        <v/>
      </c>
      <c r="O40" s="38"/>
    </row>
    <row r="41" customFormat="false" ht="16.5" hidden="false" customHeight="true" outlineLevel="0" collapsed="false">
      <c r="B41" s="43"/>
      <c r="C41" s="44"/>
      <c r="D41" s="44"/>
      <c r="E41" s="44"/>
      <c r="F41" s="44"/>
      <c r="G41" s="44"/>
      <c r="H41" s="45"/>
      <c r="I41" s="46" t="str">
        <f aca="false">IF($G41="","",IFERROR(VLOOKUP($G41,Konfiguration!$B$6:$C$12,2,FALSE()),""))</f>
        <v/>
      </c>
      <c r="J41" s="16" t="str">
        <f aca="false">IF(OR($G41="",$H41="",$I41=""),"",$H41*$I41)</f>
        <v/>
      </c>
      <c r="K41" s="47"/>
      <c r="L41" s="47"/>
      <c r="M41" s="48" t="str">
        <f aca="false">IF($G41="","",IF($G41="Gewonnen","Gewonnen",IF($G41="Verloren","Verloren","Offen")))</f>
        <v/>
      </c>
      <c r="N41" s="15" t="str">
        <f aca="true">IF(OR($L41="",$M41&lt;&gt;"Offen"),"",$L41-TODAY())</f>
        <v/>
      </c>
      <c r="O41" s="44"/>
    </row>
    <row r="42" customFormat="false" ht="16.5" hidden="false" customHeight="true" outlineLevel="0" collapsed="false">
      <c r="B42" s="37"/>
      <c r="C42" s="38"/>
      <c r="D42" s="38"/>
      <c r="E42" s="38"/>
      <c r="F42" s="38"/>
      <c r="G42" s="38"/>
      <c r="H42" s="39"/>
      <c r="I42" s="40" t="str">
        <f aca="false">IF($G42="","",IFERROR(VLOOKUP($G42,Konfiguration!$B$6:$C$12,2,FALSE()),""))</f>
        <v/>
      </c>
      <c r="J42" s="12" t="str">
        <f aca="false">IF(OR($G42="",$H42="",$I42=""),"",$H42*$I42)</f>
        <v/>
      </c>
      <c r="K42" s="41"/>
      <c r="L42" s="41"/>
      <c r="M42" s="42" t="str">
        <f aca="false">IF($G42="","",IF($G42="Gewonnen","Gewonnen",IF($G42="Verloren","Verloren","Offen")))</f>
        <v/>
      </c>
      <c r="N42" s="11" t="str">
        <f aca="true">IF(OR($L42="",$M42&lt;&gt;"Offen"),"",$L42-TODAY())</f>
        <v/>
      </c>
      <c r="O42" s="38"/>
    </row>
    <row r="43" customFormat="false" ht="16.5" hidden="false" customHeight="true" outlineLevel="0" collapsed="false">
      <c r="B43" s="43"/>
      <c r="C43" s="44"/>
      <c r="D43" s="44"/>
      <c r="E43" s="44"/>
      <c r="F43" s="44"/>
      <c r="G43" s="44"/>
      <c r="H43" s="45"/>
      <c r="I43" s="46" t="str">
        <f aca="false">IF($G43="","",IFERROR(VLOOKUP($G43,Konfiguration!$B$6:$C$12,2,FALSE()),""))</f>
        <v/>
      </c>
      <c r="J43" s="16" t="str">
        <f aca="false">IF(OR($G43="",$H43="",$I43=""),"",$H43*$I43)</f>
        <v/>
      </c>
      <c r="K43" s="47"/>
      <c r="L43" s="47"/>
      <c r="M43" s="48" t="str">
        <f aca="false">IF($G43="","",IF($G43="Gewonnen","Gewonnen",IF($G43="Verloren","Verloren","Offen")))</f>
        <v/>
      </c>
      <c r="N43" s="15" t="str">
        <f aca="true">IF(OR($L43="",$M43&lt;&gt;"Offen"),"",$L43-TODAY())</f>
        <v/>
      </c>
      <c r="O43" s="44"/>
    </row>
    <row r="44" customFormat="false" ht="16.5" hidden="false" customHeight="true" outlineLevel="0" collapsed="false">
      <c r="B44" s="37"/>
      <c r="C44" s="38"/>
      <c r="D44" s="38"/>
      <c r="E44" s="38"/>
      <c r="F44" s="38"/>
      <c r="G44" s="38"/>
      <c r="H44" s="39"/>
      <c r="I44" s="40" t="str">
        <f aca="false">IF($G44="","",IFERROR(VLOOKUP($G44,Konfiguration!$B$6:$C$12,2,FALSE()),""))</f>
        <v/>
      </c>
      <c r="J44" s="12" t="str">
        <f aca="false">IF(OR($G44="",$H44="",$I44=""),"",$H44*$I44)</f>
        <v/>
      </c>
      <c r="K44" s="41"/>
      <c r="L44" s="41"/>
      <c r="M44" s="42" t="str">
        <f aca="false">IF($G44="","",IF($G44="Gewonnen","Gewonnen",IF($G44="Verloren","Verloren","Offen")))</f>
        <v/>
      </c>
      <c r="N44" s="11" t="str">
        <f aca="true">IF(OR($L44="",$M44&lt;&gt;"Offen"),"",$L44-TODAY())</f>
        <v/>
      </c>
      <c r="O44" s="38"/>
    </row>
    <row r="45" customFormat="false" ht="16.5" hidden="false" customHeight="true" outlineLevel="0" collapsed="false">
      <c r="B45" s="43"/>
      <c r="C45" s="44"/>
      <c r="D45" s="44"/>
      <c r="E45" s="44"/>
      <c r="F45" s="44"/>
      <c r="G45" s="44"/>
      <c r="H45" s="45"/>
      <c r="I45" s="46" t="str">
        <f aca="false">IF($G45="","",IFERROR(VLOOKUP($G45,Konfiguration!$B$6:$C$12,2,FALSE()),""))</f>
        <v/>
      </c>
      <c r="J45" s="16" t="str">
        <f aca="false">IF(OR($G45="",$H45="",$I45=""),"",$H45*$I45)</f>
        <v/>
      </c>
      <c r="K45" s="47"/>
      <c r="L45" s="47"/>
      <c r="M45" s="48" t="str">
        <f aca="false">IF($G45="","",IF($G45="Gewonnen","Gewonnen",IF($G45="Verloren","Verloren","Offen")))</f>
        <v/>
      </c>
      <c r="N45" s="15" t="str">
        <f aca="true">IF(OR($L45="",$M45&lt;&gt;"Offen"),"",$L45-TODAY())</f>
        <v/>
      </c>
      <c r="O45" s="44"/>
    </row>
    <row r="46" customFormat="false" ht="16.5" hidden="false" customHeight="true" outlineLevel="0" collapsed="false">
      <c r="B46" s="37"/>
      <c r="C46" s="38"/>
      <c r="D46" s="38"/>
      <c r="E46" s="38"/>
      <c r="F46" s="38"/>
      <c r="G46" s="38"/>
      <c r="H46" s="39"/>
      <c r="I46" s="40" t="str">
        <f aca="false">IF($G46="","",IFERROR(VLOOKUP($G46,Konfiguration!$B$6:$C$12,2,FALSE()),""))</f>
        <v/>
      </c>
      <c r="J46" s="12" t="str">
        <f aca="false">IF(OR($G46="",$H46="",$I46=""),"",$H46*$I46)</f>
        <v/>
      </c>
      <c r="K46" s="41"/>
      <c r="L46" s="41"/>
      <c r="M46" s="42" t="str">
        <f aca="false">IF($G46="","",IF($G46="Gewonnen","Gewonnen",IF($G46="Verloren","Verloren","Offen")))</f>
        <v/>
      </c>
      <c r="N46" s="11" t="str">
        <f aca="true">IF(OR($L46="",$M46&lt;&gt;"Offen"),"",$L46-TODAY())</f>
        <v/>
      </c>
      <c r="O46" s="38"/>
    </row>
    <row r="47" customFormat="false" ht="16.5" hidden="false" customHeight="true" outlineLevel="0" collapsed="false">
      <c r="B47" s="43"/>
      <c r="C47" s="44"/>
      <c r="D47" s="44"/>
      <c r="E47" s="44"/>
      <c r="F47" s="44"/>
      <c r="G47" s="44"/>
      <c r="H47" s="45"/>
      <c r="I47" s="46" t="str">
        <f aca="false">IF($G47="","",IFERROR(VLOOKUP($G47,Konfiguration!$B$6:$C$12,2,FALSE()),""))</f>
        <v/>
      </c>
      <c r="J47" s="16" t="str">
        <f aca="false">IF(OR($G47="",$H47="",$I47=""),"",$H47*$I47)</f>
        <v/>
      </c>
      <c r="K47" s="47"/>
      <c r="L47" s="47"/>
      <c r="M47" s="48" t="str">
        <f aca="false">IF($G47="","",IF($G47="Gewonnen","Gewonnen",IF($G47="Verloren","Verloren","Offen")))</f>
        <v/>
      </c>
      <c r="N47" s="15" t="str">
        <f aca="true">IF(OR($L47="",$M47&lt;&gt;"Offen"),"",$L47-TODAY())</f>
        <v/>
      </c>
      <c r="O47" s="44"/>
    </row>
  </sheetData>
  <autoFilter ref="B7:O47"/>
  <mergeCells count="3">
    <mergeCell ref="B2:N2"/>
    <mergeCell ref="B3:N3"/>
    <mergeCell ref="B4:N4"/>
  </mergeCells>
  <conditionalFormatting sqref="M8:M47">
    <cfRule type="cellIs" priority="2" operator="equal" aboveAverage="0" equalAverage="0" bottom="0" percent="0" rank="0" text="" dxfId="9">
      <formula>"Gewonnen"</formula>
    </cfRule>
    <cfRule type="cellIs" priority="3" operator="equal" aboveAverage="0" equalAverage="0" bottom="0" percent="0" rank="0" text="" dxfId="10">
      <formula>"Verloren"</formula>
    </cfRule>
    <cfRule type="cellIs" priority="4" operator="equal" aboveAverage="0" equalAverage="0" bottom="0" percent="0" rank="0" text="" dxfId="11">
      <formula>"Offen"</formula>
    </cfRule>
  </conditionalFormatting>
  <conditionalFormatting sqref="N8:N47">
    <cfRule type="cellIs" priority="5" operator="lessThan" aboveAverage="0" equalAverage="0" bottom="0" percent="0" rank="0" text="" dxfId="10">
      <formula>0</formula>
    </cfRule>
  </conditionalFormatting>
  <conditionalFormatting sqref="J8:J47">
    <cfRule type="dataBar" priority="6">
      <dataBar showValue="1" minLength="10" maxLength="90">
        <cfvo type="num" val="0"/>
        <cfvo type="max" val="0"/>
        <color rgb="FFD99A4E"/>
      </dataBar>
      <extLst>
        <ext xmlns:x14="http://schemas.microsoft.com/office/spreadsheetml/2009/9/main" uri="{B025F937-C7B1-47D3-B67F-A62EFF666E3E}">
          <x14:id>{83504AA0-E976-4882-8FA9-85A2B423EDE2}</x14:id>
        </ext>
      </extLst>
    </cfRule>
  </conditionalFormatting>
  <dataValidations count="3">
    <dataValidation allowBlank="true" errorStyle="stop" operator="between" showDropDown="false" showErrorMessage="false" showInputMessage="false" sqref="G8:G47" type="list">
      <formula1>Konfiguration!$B$6:$B$12</formula1>
      <formula2>0</formula2>
    </dataValidation>
    <dataValidation allowBlank="true" errorStyle="stop" operator="between" showDropDown="false" showErrorMessage="false" showInputMessage="false" sqref="E8:E47" type="list">
      <formula1>Konfiguration!$E$6:$E$10</formula1>
      <formula2>0</formula2>
    </dataValidation>
    <dataValidation allowBlank="true" errorStyle="stop" operator="between" showDropDown="false" showErrorMessage="false" showInputMessage="false" sqref="F8:F47" type="list">
      <formula1>Konfiguration!$G$6:$G$12</formula1>
      <formula2>0</formula2>
    </dataValidation>
  </dataValidations>
  <printOptions headings="false" gridLines="false" gridLinesSet="true" horizontalCentered="false" verticalCentered="false"/>
  <pageMargins left="0.3" right="0.3" top="0.4" bottom="0.4"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drawing r:id="rId1"/>
  <extLst>
    <ext xmlns:x14="http://schemas.microsoft.com/office/spreadsheetml/2009/9/main" uri="{78C0D931-6437-407d-A8EE-F0AAD7539E65}">
      <x14:conditionalFormattings>
        <x14:conditionalFormatting xmlns:xm="http://schemas.microsoft.com/office/excel/2006/main">
          <x14:cfRule type="dataBar" id="{83504AA0-E976-4882-8FA9-85A2B423EDE2}">
            <x14:dataBar minLength="10" maxLength="90" axisPosition="none" gradient="true">
              <x14:cfvo type="num">
                <xm:f>0</xm:f>
              </x14:cfvo>
              <x14:cfvo type="max"/>
              <x14:negativeFillColor rgb="FFD99A4E"/>
              <x14:axisColor rgb="FF000000"/>
            </x14:dataBar>
          </x14:cfRule>
          <xm:sqref>J8:J47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2026-07-05T16:03:15Z</dcterms:created>
  <dc:creator>openpyxl</dc:creator>
  <dc:description/>
  <dc:language>en-US</dc:language>
  <cp:lastModifiedBy/>
  <dcterms:modified xsi:type="dcterms:W3CDTF">2026-07-05T16:03:15Z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