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7C8C6CF-ACE5-4E8F-8AC1-B64132C28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Pipeline" sheetId="2" r:id="rId2"/>
    <sheet name="Konfiguration" sheetId="3" r:id="rId3"/>
  </sheets>
  <definedNames>
    <definedName name="_xlnm._FilterDatabase" localSheetId="1" hidden="1">Pipeline!$A$4:$P$46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  <c r="O46" i="2"/>
  <c r="N46" i="2"/>
  <c r="I46" i="2"/>
  <c r="J46" i="2" s="1"/>
  <c r="O45" i="2"/>
  <c r="N45" i="2"/>
  <c r="I45" i="2"/>
  <c r="J45" i="2" s="1"/>
  <c r="O44" i="2"/>
  <c r="N44" i="2"/>
  <c r="I44" i="2"/>
  <c r="J44" i="2" s="1"/>
  <c r="O43" i="2"/>
  <c r="N43" i="2"/>
  <c r="I43" i="2"/>
  <c r="J43" i="2" s="1"/>
  <c r="O42" i="2"/>
  <c r="N42" i="2"/>
  <c r="I42" i="2"/>
  <c r="J42" i="2" s="1"/>
  <c r="O41" i="2"/>
  <c r="N41" i="2"/>
  <c r="I41" i="2"/>
  <c r="J41" i="2" s="1"/>
  <c r="O40" i="2"/>
  <c r="N40" i="2"/>
  <c r="I40" i="2"/>
  <c r="J40" i="2" s="1"/>
  <c r="O39" i="2"/>
  <c r="N39" i="2"/>
  <c r="I39" i="2"/>
  <c r="J39" i="2" s="1"/>
  <c r="O38" i="2"/>
  <c r="N38" i="2"/>
  <c r="I38" i="2"/>
  <c r="J38" i="2" s="1"/>
  <c r="O37" i="2"/>
  <c r="N37" i="2"/>
  <c r="I37" i="2"/>
  <c r="J37" i="2" s="1"/>
  <c r="O36" i="2"/>
  <c r="N36" i="2"/>
  <c r="I36" i="2"/>
  <c r="J36" i="2" s="1"/>
  <c r="O35" i="2"/>
  <c r="N35" i="2"/>
  <c r="I35" i="2"/>
  <c r="J35" i="2" s="1"/>
  <c r="O34" i="2"/>
  <c r="N34" i="2"/>
  <c r="I34" i="2"/>
  <c r="J34" i="2" s="1"/>
  <c r="O33" i="2"/>
  <c r="N33" i="2"/>
  <c r="I33" i="2"/>
  <c r="J33" i="2" s="1"/>
  <c r="O32" i="2"/>
  <c r="N32" i="2"/>
  <c r="I32" i="2"/>
  <c r="J32" i="2" s="1"/>
  <c r="O31" i="2"/>
  <c r="N31" i="2"/>
  <c r="I31" i="2"/>
  <c r="J31" i="2" s="1"/>
  <c r="O30" i="2"/>
  <c r="N30" i="2"/>
  <c r="I30" i="2"/>
  <c r="J30" i="2" s="1"/>
  <c r="O29" i="2"/>
  <c r="N29" i="2"/>
  <c r="I29" i="2"/>
  <c r="J29" i="2" s="1"/>
  <c r="O28" i="2"/>
  <c r="N28" i="2"/>
  <c r="I28" i="2"/>
  <c r="J28" i="2" s="1"/>
  <c r="O27" i="2"/>
  <c r="N27" i="2"/>
  <c r="I27" i="2"/>
  <c r="J27" i="2" s="1"/>
  <c r="O26" i="2"/>
  <c r="N26" i="2"/>
  <c r="I26" i="2"/>
  <c r="J26" i="2" s="1"/>
  <c r="O25" i="2"/>
  <c r="N25" i="2"/>
  <c r="I25" i="2"/>
  <c r="J25" i="2" s="1"/>
  <c r="O24" i="2"/>
  <c r="N24" i="2"/>
  <c r="I24" i="2"/>
  <c r="J24" i="2" s="1"/>
  <c r="O23" i="2"/>
  <c r="N23" i="2"/>
  <c r="I23" i="2"/>
  <c r="J23" i="2" s="1"/>
  <c r="O22" i="2"/>
  <c r="N22" i="2" s="1"/>
  <c r="I22" i="2"/>
  <c r="J22" i="2" s="1"/>
  <c r="O21" i="2"/>
  <c r="N21" i="2"/>
  <c r="I21" i="2"/>
  <c r="J21" i="2" s="1"/>
  <c r="O20" i="2"/>
  <c r="N20" i="2"/>
  <c r="I20" i="2"/>
  <c r="J20" i="2" s="1"/>
  <c r="O19" i="2"/>
  <c r="N19" i="2"/>
  <c r="I19" i="2"/>
  <c r="J19" i="2" s="1"/>
  <c r="O18" i="2"/>
  <c r="N18" i="2"/>
  <c r="I18" i="2"/>
  <c r="J18" i="2" s="1"/>
  <c r="O17" i="2"/>
  <c r="N17" i="2" s="1"/>
  <c r="I17" i="2"/>
  <c r="J17" i="2" s="1"/>
  <c r="O16" i="2"/>
  <c r="N16" i="2"/>
  <c r="I16" i="2"/>
  <c r="J16" i="2" s="1"/>
  <c r="O15" i="2"/>
  <c r="N15" i="2"/>
  <c r="I15" i="2"/>
  <c r="J15" i="2" s="1"/>
  <c r="O14" i="2"/>
  <c r="N14" i="2"/>
  <c r="I14" i="2"/>
  <c r="J14" i="2" s="1"/>
  <c r="O13" i="2"/>
  <c r="N13" i="2"/>
  <c r="I13" i="2"/>
  <c r="J13" i="2" s="1"/>
  <c r="O12" i="2"/>
  <c r="N12" i="2" s="1"/>
  <c r="I12" i="2"/>
  <c r="J12" i="2" s="1"/>
  <c r="O11" i="2"/>
  <c r="N11" i="2"/>
  <c r="I11" i="2"/>
  <c r="J11" i="2" s="1"/>
  <c r="O10" i="2"/>
  <c r="N10" i="2"/>
  <c r="I10" i="2"/>
  <c r="J10" i="2" s="1"/>
  <c r="O9" i="2"/>
  <c r="N9" i="2"/>
  <c r="I9" i="2"/>
  <c r="J9" i="2" s="1"/>
  <c r="O8" i="2"/>
  <c r="N8" i="2"/>
  <c r="I8" i="2"/>
  <c r="J8" i="2" s="1"/>
  <c r="O7" i="2"/>
  <c r="N7" i="2" s="1"/>
  <c r="I7" i="2"/>
  <c r="J7" i="2" s="1"/>
  <c r="O6" i="2"/>
  <c r="N6" i="2"/>
  <c r="I6" i="2"/>
  <c r="J6" i="2" s="1"/>
  <c r="O5" i="2"/>
  <c r="N5" i="2"/>
  <c r="I5" i="2"/>
  <c r="J5" i="2" s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D17" i="1"/>
  <c r="J16" i="1"/>
  <c r="H16" i="1"/>
  <c r="K16" i="1" s="1"/>
  <c r="D16" i="1"/>
  <c r="C16" i="1"/>
  <c r="J15" i="1"/>
  <c r="H15" i="1"/>
  <c r="K15" i="1" s="1"/>
  <c r="D15" i="1"/>
  <c r="C15" i="1"/>
  <c r="J14" i="1"/>
  <c r="K14" i="1" s="1"/>
  <c r="H14" i="1"/>
  <c r="D14" i="1"/>
  <c r="C14" i="1"/>
  <c r="J13" i="1"/>
  <c r="J17" i="1" s="1"/>
  <c r="H13" i="1"/>
  <c r="H17" i="1" s="1"/>
  <c r="K17" i="1" s="1"/>
  <c r="D13" i="1"/>
  <c r="C13" i="1"/>
  <c r="C17" i="1" s="1"/>
  <c r="H9" i="1"/>
  <c r="E9" i="1"/>
  <c r="B9" i="1"/>
  <c r="E6" i="1"/>
  <c r="B6" i="1"/>
  <c r="E15" i="1" l="1"/>
  <c r="I14" i="1"/>
  <c r="I15" i="1"/>
  <c r="E14" i="1"/>
  <c r="J47" i="2"/>
  <c r="H6" i="1"/>
  <c r="I13" i="1"/>
  <c r="I17" i="1" s="1"/>
  <c r="E16" i="1"/>
  <c r="E13" i="1"/>
  <c r="E17" i="1" s="1"/>
  <c r="I16" i="1"/>
  <c r="K13" i="1"/>
</calcChain>
</file>

<file path=xl/sharedStrings.xml><?xml version="1.0" encoding="utf-8"?>
<sst xmlns="http://schemas.openxmlformats.org/spreadsheetml/2006/main" count="252" uniqueCount="164">
  <si>
    <t>Auswertung in Echtzeit aus dem Tabellenblatt »Pipeline«  ·  Stand: heute</t>
  </si>
  <si>
    <t>OFFENE DEALS</t>
  </si>
  <si>
    <t>PIPELINE-WERT (OFFEN)</t>
  </si>
  <si>
    <t>GEW. FORECAST</t>
  </si>
  <si>
    <t>UMSATZ GEWONNEN</t>
  </si>
  <si>
    <t>WIN-RATE</t>
  </si>
  <si>
    <t>Ø DEAL-WERT (GEW.)</t>
  </si>
  <si>
    <t>PIPELINE NACH PHASE</t>
  </si>
  <si>
    <t>FORECAST NACH VERTRIEBSMITARBEITER</t>
  </si>
  <si>
    <t>Phase</t>
  </si>
  <si>
    <t>Anzahl</t>
  </si>
  <si>
    <t>Deal-Wert</t>
  </si>
  <si>
    <t>Forecast</t>
  </si>
  <si>
    <t>Mitarbeiter</t>
  </si>
  <si>
    <t>Gewonnen</t>
  </si>
  <si>
    <t>Offen (gew.)</t>
  </si>
  <si>
    <t>Jahresziel</t>
  </si>
  <si>
    <t>Zielerr.</t>
  </si>
  <si>
    <t>Lead-Qualifizierung</t>
  </si>
  <si>
    <t>Anna Felder</t>
  </si>
  <si>
    <t>Bedarfsanalyse</t>
  </si>
  <si>
    <t>Mehmet Yılmaz</t>
  </si>
  <si>
    <t>Angebot</t>
  </si>
  <si>
    <t>Sabrina Köhler</t>
  </si>
  <si>
    <t>Verhandlung</t>
  </si>
  <si>
    <t>Tobias Reinhardt</t>
  </si>
  <si>
    <t>Aktive Pipeline</t>
  </si>
  <si>
    <t>Team gesamt</t>
  </si>
  <si>
    <t>PIPELINE NACH LEAD-QUELLE</t>
  </si>
  <si>
    <t>Quelle</t>
  </si>
  <si>
    <t>Deals</t>
  </si>
  <si>
    <t>Pipeline-Wert</t>
  </si>
  <si>
    <t>Website</t>
  </si>
  <si>
    <t>Empfehlung</t>
  </si>
  <si>
    <t>Messe</t>
  </si>
  <si>
    <t>Kaltakquise</t>
  </si>
  <si>
    <t>Partner</t>
  </si>
  <si>
    <t>LinkedIn</t>
  </si>
  <si>
    <t>VERTRIEBS-PIPELINE 2026</t>
  </si>
  <si>
    <t>Deal-Tracking  ·  Blaue Felder = manuelle Eingabe  ·  Wahrscheinlichkeit, Forecast und Status werden automatisch berechnet</t>
  </si>
  <si>
    <t>Deal-ID</t>
  </si>
  <si>
    <t>Deal-Bezeichnung</t>
  </si>
  <si>
    <t>Unternehmen</t>
  </si>
  <si>
    <t>Ansprechpartner</t>
  </si>
  <si>
    <t>Lead-Quelle</t>
  </si>
  <si>
    <t>Vertriebsmitarbeiter</t>
  </si>
  <si>
    <t>Wahrsch.</t>
  </si>
  <si>
    <t>Gew. Forecast</t>
  </si>
  <si>
    <t>Erstkontakt</t>
  </si>
  <si>
    <t>Geplant. Abschluss</t>
  </si>
  <si>
    <t>Letzte Aktivität</t>
  </si>
  <si>
    <t>Tage inaktiv</t>
  </si>
  <si>
    <t>Status</t>
  </si>
  <si>
    <t>Nächster Schritt</t>
  </si>
  <si>
    <t>D-2026-001</t>
  </si>
  <si>
    <t>Migration ERP-System</t>
  </si>
  <si>
    <t>Nordlicht Logistik GmbH</t>
  </si>
  <si>
    <t>Dr. Katrin Holzmann</t>
  </si>
  <si>
    <t>Vertragsentwurf nachfassen</t>
  </si>
  <si>
    <t>D-2026-002</t>
  </si>
  <si>
    <t>Wartungsvertrag Anlagen</t>
  </si>
  <si>
    <t>Hofmann Maschinenbau GmbH</t>
  </si>
  <si>
    <t>Stefan Brandt</t>
  </si>
  <si>
    <t>Angebot V2 versenden</t>
  </si>
  <si>
    <t>D-2026-003</t>
  </si>
  <si>
    <t>Cloud-Lizenzpaket</t>
  </si>
  <si>
    <t>Lindquist Software GmbH</t>
  </si>
  <si>
    <t>Andrea Vogt</t>
  </si>
  <si>
    <t>Workshop-Termin abstimmen</t>
  </si>
  <si>
    <t>D-2026-004</t>
  </si>
  <si>
    <t>Photovoltaik-Erweiterung</t>
  </si>
  <si>
    <t>Solaria Energietechnik GmbH</t>
  </si>
  <si>
    <t>Michael Keßler</t>
  </si>
  <si>
    <t>Onboarding gestartet</t>
  </si>
  <si>
    <t>D-2026-005</t>
  </si>
  <si>
    <t>Beratungsmandat Q3</t>
  </si>
  <si>
    <t>Meridian Consulting GmbH</t>
  </si>
  <si>
    <t>Petra Sommer</t>
  </si>
  <si>
    <t>Entscheidergespräch planen</t>
  </si>
  <si>
    <t>D-2026-006</t>
  </si>
  <si>
    <t>Druckauftrag Jahreskatalog</t>
  </si>
  <si>
    <t>Bergmann Druck &amp; Medien</t>
  </si>
  <si>
    <t>Jan Reuter</t>
  </si>
  <si>
    <t>Verloren</t>
  </si>
  <si>
    <t>Wettbewerber günstiger</t>
  </si>
  <si>
    <t>D-2026-007</t>
  </si>
  <si>
    <t>Versicherungsportfolio</t>
  </si>
  <si>
    <t>Delphi Versicherungsmakler</t>
  </si>
  <si>
    <t>Claudia Neumann</t>
  </si>
  <si>
    <t>Konditionen final klären</t>
  </si>
  <si>
    <t>D-2026-008</t>
  </si>
  <si>
    <t>Reinigungsservice Standort Süd</t>
  </si>
  <si>
    <t>Aquila Reinigungsservice GmbH</t>
  </si>
  <si>
    <t>Thomas Bauer</t>
  </si>
  <si>
    <t>Bedarf qualifizieren</t>
  </si>
  <si>
    <t>D-2026-009</t>
  </si>
  <si>
    <t>Medizintechnik-Schulung</t>
  </si>
  <si>
    <t>Cordis Medizintechnik GmbH</t>
  </si>
  <si>
    <t>Sabine Lorenz</t>
  </si>
  <si>
    <t>Anforderungen aufnehmen</t>
  </si>
  <si>
    <t>D-2026-010</t>
  </si>
  <si>
    <t>Großhandels-Rahmenvertrag</t>
  </si>
  <si>
    <t>Fürst &amp; Söhne Großhandel</t>
  </si>
  <si>
    <t>Markus Engel</t>
  </si>
  <si>
    <t>Rechnung gestellt</t>
  </si>
  <si>
    <t>D-2026-011</t>
  </si>
  <si>
    <t>Eventkonzept Firmenjubiläum</t>
  </si>
  <si>
    <t>Mosaik Eventagentur</t>
  </si>
  <si>
    <t>Nadine Wolff</t>
  </si>
  <si>
    <t>Budget bestätigen lassen</t>
  </si>
  <si>
    <t>D-2026-012</t>
  </si>
  <si>
    <t>Möbelausstattung Filiale</t>
  </si>
  <si>
    <t>Eichenwald Möbelwerke</t>
  </si>
  <si>
    <t>Florian Keller</t>
  </si>
  <si>
    <t>Liefertermin verhandeln</t>
  </si>
  <si>
    <t>D-2026-013</t>
  </si>
  <si>
    <t>Marketing-Retainer 2026</t>
  </si>
  <si>
    <t>Pleiades Marketing GmbH</t>
  </si>
  <si>
    <t>Birgit Hartmann</t>
  </si>
  <si>
    <t>KPIs definieren</t>
  </si>
  <si>
    <t>D-2026-014</t>
  </si>
  <si>
    <t>Stahlbau-Komponenten</t>
  </si>
  <si>
    <t>Stahlwerk Rheinau GmbH</t>
  </si>
  <si>
    <t>Oliver Krause</t>
  </si>
  <si>
    <t>Erstgespräch terminieren</t>
  </si>
  <si>
    <t>D-2026-015</t>
  </si>
  <si>
    <t>Hotelsoftware-Lizenz</t>
  </si>
  <si>
    <t>Tannberg Hotelbetriebe GmbH</t>
  </si>
  <si>
    <t>Julia Schäfer</t>
  </si>
  <si>
    <t>Demo-Feedback einholen</t>
  </si>
  <si>
    <t>D-2026-016</t>
  </si>
  <si>
    <t>Steuerberatungs-Paket</t>
  </si>
  <si>
    <t>Brennecke &amp; Partner</t>
  </si>
  <si>
    <t>Daniel Pohl</t>
  </si>
  <si>
    <t>Mandat aktiv</t>
  </si>
  <si>
    <t>D-2026-017</t>
  </si>
  <si>
    <t>Pharma-Logistiklösung</t>
  </si>
  <si>
    <t>Vitaris Pharma AG</t>
  </si>
  <si>
    <t>Christina Berger</t>
  </si>
  <si>
    <t>Pilotphase abstimmen</t>
  </si>
  <si>
    <t>D-2026-018</t>
  </si>
  <si>
    <t>Großküchen-Ausstattung</t>
  </si>
  <si>
    <t>Kastner Lebensmittel GmbH</t>
  </si>
  <si>
    <t>Lukas Frank</t>
  </si>
  <si>
    <t>Standortbesichtigung</t>
  </si>
  <si>
    <t>D-2026-019</t>
  </si>
  <si>
    <t>Immobilien-Verwaltung</t>
  </si>
  <si>
    <t>Wagner Bau &amp; Immobilien</t>
  </si>
  <si>
    <t>Portfolio sichten</t>
  </si>
  <si>
    <t>D-2026-020</t>
  </si>
  <si>
    <t>Handels-Plattform Integration</t>
  </si>
  <si>
    <t>Auresta Handels GmbH</t>
  </si>
  <si>
    <t>Projekt intern verschoben</t>
  </si>
  <si>
    <t>GESAMT-PIPELINE</t>
  </si>
  <si>
    <t>KONFIGURATION</t>
  </si>
  <si>
    <t>Stammdaten für Auswahllisten und automatische Berechnungen. Diese Werte steuern Wahrscheinlichkeit, Forecast und Dashboard.</t>
  </si>
  <si>
    <t>VERTRIEBSPHASEN</t>
  </si>
  <si>
    <t>VERTRIEBSTEAM &amp; ZIELE 2026</t>
  </si>
  <si>
    <t>LEAD-QUELLEN</t>
  </si>
  <si>
    <t>Wahrscheinlichkeit</t>
  </si>
  <si>
    <t>Typ</t>
  </si>
  <si>
    <t>Jahresziel 2026</t>
  </si>
  <si>
    <t>Aktiv</t>
  </si>
  <si>
    <t>VERTRIEBS-PIPELINE  · 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</si>
</sst>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%"/>
    <numFmt numFmtId="165" formatCode="#,##0\ &quot;€&quot;"/>
    <numFmt numFmtId="167" formatCode="dd\.mm\.yyyy"/>
  </numFmts>
  <fonts count="17" x14ac:knownFonts="1">
    <font>
      <sz val="11"/>
      <color theme="1"/>
      <name val="Calibri"/>
      <family val="2"/>
      <scheme val="minor"/>
    </font>
    <font>
      <b/>
      <sz val="16"/>
      <color rgb="FF5A1A2B"/>
      <name val="Calibri"/>
    </font>
    <font>
      <i/>
      <sz val="10"/>
      <color rgb="FF6B6460"/>
      <name val="Calibri"/>
    </font>
    <font>
      <b/>
      <sz val="12"/>
      <color rgb="FFFFFFFF"/>
      <name val="Calibri"/>
    </font>
    <font>
      <b/>
      <sz val="10"/>
      <color rgb="FFFFFFFF"/>
      <name val="Calibri"/>
    </font>
    <font>
      <sz val="10"/>
      <color rgb="FF2E2A28"/>
      <name val="Calibri"/>
    </font>
    <font>
      <sz val="10"/>
      <color rgb="FF6B6460"/>
      <name val="Calibri"/>
    </font>
    <font>
      <b/>
      <sz val="20"/>
      <color rgb="FFFFFFFF"/>
      <name val="Calibri"/>
    </font>
    <font>
      <i/>
      <sz val="10"/>
      <color rgb="FFFFFFFF"/>
      <name val="Calibri"/>
    </font>
    <font>
      <sz val="10"/>
      <color rgb="FF1F3FBF"/>
      <name val="Calibri"/>
    </font>
    <font>
      <b/>
      <sz val="10"/>
      <color rgb="FF7C2433"/>
      <name val="Calibri"/>
    </font>
    <font>
      <b/>
      <sz val="10"/>
      <color rgb="FF2E2A28"/>
      <name val="Calibri"/>
    </font>
    <font>
      <b/>
      <sz val="11"/>
      <color rgb="FFFFFFFF"/>
      <name val="Calibri"/>
    </font>
    <font>
      <b/>
      <sz val="11"/>
      <color rgb="FFD9B86A"/>
      <name val="Calibri"/>
    </font>
    <font>
      <b/>
      <sz val="9"/>
      <color rgb="FFFFFFFF"/>
      <name val="Calibri"/>
    </font>
    <font>
      <b/>
      <sz val="20"/>
      <color rgb="FF5A1A2B"/>
      <name val="Calibri"/>
    </font>
    <font>
      <b/>
      <sz val="10"/>
      <color rgb="FFD9B86A"/>
      <name val="Calibri"/>
    </font>
  </fonts>
  <fills count="8">
    <fill>
      <patternFill patternType="none"/>
    </fill>
    <fill>
      <patternFill patternType="gray125"/>
    </fill>
    <fill>
      <patternFill patternType="solid">
        <fgColor rgb="FF7C2433"/>
      </patternFill>
    </fill>
    <fill>
      <patternFill patternType="solid">
        <fgColor rgb="FF9E3B47"/>
      </patternFill>
    </fill>
    <fill>
      <patternFill patternType="solid">
        <fgColor rgb="FFF4EEE5"/>
      </patternFill>
    </fill>
    <fill>
      <patternFill patternType="solid">
        <fgColor rgb="FF5A1A2B"/>
      </patternFill>
    </fill>
    <fill>
      <patternFill patternType="solid">
        <fgColor rgb="FFB8893B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EAE0D2"/>
      </left>
      <right style="thin">
        <color rgb="FFEAE0D2"/>
      </right>
      <top style="thin">
        <color rgb="FFEAE0D2"/>
      </top>
      <bottom style="thin">
        <color rgb="FFEAE0D2"/>
      </bottom>
      <diagonal/>
    </border>
    <border>
      <left/>
      <right/>
      <top/>
      <bottom style="medium">
        <color rgb="FFB8893B"/>
      </bottom>
      <diagonal/>
    </border>
    <border>
      <left/>
      <right/>
      <top style="medium">
        <color rgb="FFB8893B"/>
      </top>
      <bottom/>
      <diagonal/>
    </border>
    <border>
      <left style="thin">
        <color rgb="FFB8893B"/>
      </left>
      <right style="thin">
        <color rgb="FFB8893B"/>
      </right>
      <top/>
      <bottom style="thin">
        <color rgb="FFB8893B"/>
      </bottom>
      <diagonal/>
    </border>
    <border>
      <left style="thin">
        <color rgb="FF7C2433"/>
      </left>
      <right style="thin">
        <color rgb="FF7C2433"/>
      </right>
      <top/>
      <bottom style="thin">
        <color rgb="FF7C2433"/>
      </bottom>
      <diagonal/>
    </border>
    <border>
      <left style="thin">
        <color rgb="FF9E3B47"/>
      </left>
      <right style="thin">
        <color rgb="FF9E3B47"/>
      </right>
      <top/>
      <bottom style="thin">
        <color rgb="FF9E3B47"/>
      </bottom>
      <diagonal/>
    </border>
    <border>
      <left style="thin">
        <color rgb="FFB8893B"/>
      </left>
      <right style="thin">
        <color rgb="FFB8893B"/>
      </right>
      <top style="thin">
        <color rgb="FFB8893B"/>
      </top>
      <bottom style="thin">
        <color rgb="FFB8893B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right" vertical="center"/>
    </xf>
    <xf numFmtId="165" fontId="10" fillId="4" borderId="1" xfId="0" applyNumberFormat="1" applyFont="1" applyFill="1" applyBorder="1" applyAlignment="1">
      <alignment horizontal="right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left" vertical="center"/>
    </xf>
    <xf numFmtId="1" fontId="16" fillId="5" borderId="7" xfId="0" applyNumberFormat="1" applyFont="1" applyFill="1" applyBorder="1" applyAlignment="1">
      <alignment horizontal="center" vertical="center" wrapText="1"/>
    </xf>
    <xf numFmtId="165" fontId="16" fillId="5" borderId="7" xfId="0" applyNumberFormat="1" applyFont="1" applyFill="1" applyBorder="1" applyAlignment="1">
      <alignment horizontal="right" vertical="center"/>
    </xf>
    <xf numFmtId="164" fontId="16" fillId="5" borderId="7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165" fontId="9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167" fontId="9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5" borderId="3" xfId="0" applyFill="1" applyBorder="1"/>
    <xf numFmtId="165" fontId="13" fillId="5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left" vertical="center" indent="1"/>
    </xf>
    <xf numFmtId="0" fontId="0" fillId="0" borderId="0" xfId="0"/>
    <xf numFmtId="0" fontId="14" fillId="2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1"/>
    </xf>
    <xf numFmtId="165" fontId="15" fillId="7" borderId="4" xfId="0" applyNumberFormat="1" applyFont="1" applyFill="1" applyBorder="1" applyAlignment="1">
      <alignment horizontal="left" vertical="center" indent="1"/>
    </xf>
    <xf numFmtId="0" fontId="0" fillId="0" borderId="4" xfId="0" applyBorder="1"/>
    <xf numFmtId="0" fontId="3" fillId="2" borderId="0" xfId="0" applyFont="1" applyFill="1" applyAlignment="1">
      <alignment horizontal="left" vertical="center" indent="1"/>
    </xf>
    <xf numFmtId="164" fontId="15" fillId="7" borderId="5" xfId="0" applyNumberFormat="1" applyFont="1" applyFill="1" applyBorder="1" applyAlignment="1">
      <alignment horizontal="left" vertical="center" indent="1"/>
    </xf>
    <xf numFmtId="0" fontId="0" fillId="0" borderId="5" xfId="0" applyBorder="1"/>
    <xf numFmtId="165" fontId="15" fillId="7" borderId="6" xfId="0" applyNumberFormat="1" applyFont="1" applyFill="1" applyBorder="1" applyAlignment="1">
      <alignment horizontal="left" vertical="center" indent="1"/>
    </xf>
    <xf numFmtId="0" fontId="0" fillId="0" borderId="6" xfId="0" applyBorder="1"/>
    <xf numFmtId="165" fontId="15" fillId="7" borderId="5" xfId="0" applyNumberFormat="1" applyFont="1" applyFill="1" applyBorder="1" applyAlignment="1">
      <alignment horizontal="left" vertical="center" indent="1"/>
    </xf>
    <xf numFmtId="0" fontId="7" fillId="5" borderId="0" xfId="0" applyFont="1" applyFill="1" applyAlignment="1">
      <alignment horizontal="left" vertical="center" indent="1"/>
    </xf>
    <xf numFmtId="1" fontId="15" fillId="7" borderId="4" xfId="0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12" fillId="5" borderId="3" xfId="0" applyFont="1" applyFill="1" applyBorder="1" applyAlignment="1">
      <alignment horizontal="right" vertical="center" indent="1"/>
    </xf>
    <xf numFmtId="0" fontId="0" fillId="5" borderId="3" xfId="0" applyFill="1" applyBorder="1"/>
    <xf numFmtId="0" fontId="8" fillId="2" borderId="0" xfId="0" applyFont="1" applyFill="1" applyAlignment="1">
      <alignment horizontal="left" vertical="center" indent="1"/>
    </xf>
    <xf numFmtId="0" fontId="3" fillId="2" borderId="0" xfId="0" applyFont="1" applyFill="1"/>
    <xf numFmtId="0" fontId="0" fillId="2" borderId="0" xfId="0" applyFill="1"/>
  </cellXfs>
  <cellStyles count="1">
    <cellStyle name="Standard" xfId="0" builtinId="0"/>
  </cellStyles>
  <dxfs count="5">
    <dxf>
      <font>
        <b/>
        <sz val="10"/>
        <color rgb="FF6B6460"/>
        <name val="Calibri"/>
      </font>
      <fill>
        <patternFill patternType="solid">
          <fgColor rgb="FFF4EEE5"/>
        </patternFill>
      </fill>
    </dxf>
    <dxf>
      <font>
        <b/>
        <sz val="10"/>
        <color rgb="FF9E3B47"/>
        <name val="Calibri"/>
      </font>
      <fill>
        <patternFill patternType="solid">
          <fgColor rgb="FFF2DCDC"/>
        </patternFill>
      </fill>
    </dxf>
    <dxf>
      <font>
        <b/>
        <sz val="10"/>
        <color rgb="FF2E6B3A"/>
        <name val="Calibri"/>
      </font>
      <fill>
        <patternFill patternType="solid">
          <fgColor rgb="FFE4EFE4"/>
        </patternFill>
      </fill>
    </dxf>
    <dxf>
      <font>
        <b/>
        <sz val="10"/>
        <color rgb="FF8A5A12"/>
        <name val="Calibri"/>
      </font>
      <fill>
        <patternFill patternType="solid">
          <fgColor rgb="FFF7E4C4"/>
        </patternFill>
      </fill>
    </dxf>
    <dxf>
      <font>
        <b/>
        <sz val="10"/>
        <color rgb="FF8E2A20"/>
        <name val="Calibri"/>
      </font>
      <fill>
        <patternFill patternType="solid">
          <fgColor rgb="FFF2D3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de-DE"/>
              <a:t>Pipeline-Wert nach Phase (€)</a:t>
            </a:r>
          </a:p>
        </c:rich>
      </c:tx>
      <c:layout>
        <c:manualLayout>
          <c:xMode val="edge"/>
          <c:yMode val="edge"/>
          <c:x val="0.34120754716981133"/>
          <c:y val="5.8796296296296296E-3"/>
        </c:manualLayout>
      </c:layout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Dashboard!$D$12</c:f>
              <c:strCache>
                <c:ptCount val="1"/>
                <c:pt idx="0">
                  <c:v>Deal-Wert</c:v>
                </c:pt>
              </c:strCache>
            </c:strRef>
          </c:tx>
          <c:spPr>
            <a:solidFill>
              <a:srgbClr val="B8893B"/>
            </a:solidFill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Dashboard!$B$13:$B$16</c:f>
              <c:strCache>
                <c:ptCount val="4"/>
                <c:pt idx="0">
                  <c:v>Lead-Qualifizierung</c:v>
                </c:pt>
                <c:pt idx="1">
                  <c:v>Bedarfsanalyse</c:v>
                </c:pt>
                <c:pt idx="2">
                  <c:v>Angebot</c:v>
                </c:pt>
                <c:pt idx="3">
                  <c:v>Verhandlung</c:v>
                </c:pt>
              </c:strCache>
            </c:strRef>
          </c:cat>
          <c:val>
            <c:numRef>
              <c:f>Dashboard!$D$13:$D$16</c:f>
              <c:numCache>
                <c:formatCode>#,##0\ "€"</c:formatCode>
                <c:ptCount val="4"/>
                <c:pt idx="0">
                  <c:v>178000</c:v>
                </c:pt>
                <c:pt idx="1">
                  <c:v>315000</c:v>
                </c:pt>
                <c:pt idx="2">
                  <c:v>159000</c:v>
                </c:pt>
                <c:pt idx="3">
                  <c:v>369000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45A-4C58-9FE0-95A74BCA3B8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numFmt formatCode="#,##0\ &quot;€&quot;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1"/>
  </c:chart>
  <c:spPr>
    <a:solidFill>
      <a:schemeClr val="bg1">
        <a:lumMod val="9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de-DE"/>
              <a:t>Gewonnen vs. Jahresziel (€)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Dashboard!$H$12</c:f>
              <c:strCache>
                <c:ptCount val="1"/>
                <c:pt idx="0">
                  <c:v>Gewonnen</c:v>
                </c:pt>
              </c:strCache>
            </c:strRef>
          </c:tx>
          <c:spPr>
            <a:solidFill>
              <a:srgbClr val="7C2433"/>
            </a:solidFill>
            <a:ln>
              <a:prstDash val="solid"/>
            </a:ln>
          </c:spPr>
          <c:invertIfNegative val="1"/>
          <c:cat>
            <c:strRef>
              <c:f>Dashboard!$G$13:$G$16</c:f>
              <c:strCache>
                <c:ptCount val="4"/>
                <c:pt idx="0">
                  <c:v>Anna Felder</c:v>
                </c:pt>
                <c:pt idx="1">
                  <c:v>Mehmet Yılmaz</c:v>
                </c:pt>
                <c:pt idx="2">
                  <c:v>Sabrina Köhler</c:v>
                </c:pt>
                <c:pt idx="3">
                  <c:v>Tobias Reinhardt</c:v>
                </c:pt>
              </c:strCache>
            </c:strRef>
          </c:cat>
          <c:val>
            <c:numRef>
              <c:f>Dashboard!$H$13:$H$16</c:f>
              <c:numCache>
                <c:formatCode>#,##0\ "€"</c:formatCode>
                <c:ptCount val="4"/>
                <c:pt idx="0">
                  <c:v>0</c:v>
                </c:pt>
                <c:pt idx="1">
                  <c:v>96000</c:v>
                </c:pt>
                <c:pt idx="2">
                  <c:v>0</c:v>
                </c:pt>
                <c:pt idx="3">
                  <c:v>208000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685-4BCB-95FB-83EE3F0CB4E5}"/>
            </c:ext>
          </c:extLst>
        </c:ser>
        <c:ser>
          <c:idx val="1"/>
          <c:order val="1"/>
          <c:tx>
            <c:strRef>
              <c:f>Dashboard!$J$12</c:f>
              <c:strCache>
                <c:ptCount val="1"/>
                <c:pt idx="0">
                  <c:v>Jahresziel</c:v>
                </c:pt>
              </c:strCache>
            </c:strRef>
          </c:tx>
          <c:spPr>
            <a:solidFill>
              <a:srgbClr val="D9B86A"/>
            </a:solidFill>
            <a:ln>
              <a:prstDash val="solid"/>
            </a:ln>
          </c:spPr>
          <c:invertIfNegative val="1"/>
          <c:cat>
            <c:strRef>
              <c:f>Dashboard!$G$13:$G$16</c:f>
              <c:strCache>
                <c:ptCount val="4"/>
                <c:pt idx="0">
                  <c:v>Anna Felder</c:v>
                </c:pt>
                <c:pt idx="1">
                  <c:v>Mehmet Yılmaz</c:v>
                </c:pt>
                <c:pt idx="2">
                  <c:v>Sabrina Köhler</c:v>
                </c:pt>
                <c:pt idx="3">
                  <c:v>Tobias Reinhardt</c:v>
                </c:pt>
              </c:strCache>
            </c:strRef>
          </c:cat>
          <c:val>
            <c:numRef>
              <c:f>Dashboard!$J$13:$J$16</c:f>
              <c:numCache>
                <c:formatCode>#,##0\ "€"</c:formatCode>
                <c:ptCount val="4"/>
                <c:pt idx="0">
                  <c:v>320000</c:v>
                </c:pt>
                <c:pt idx="1">
                  <c:v>360000</c:v>
                </c:pt>
                <c:pt idx="2">
                  <c:v>280000</c:v>
                </c:pt>
                <c:pt idx="3">
                  <c:v>300000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685-4BCB-95FB-83EE3F0CB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#,##0\ &quot;€&quot;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18</xdr:row>
      <xdr:rowOff>0</xdr:rowOff>
    </xdr:from>
    <xdr:ext cx="5048250" cy="216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0</xdr:colOff>
      <xdr:row>32</xdr:row>
      <xdr:rowOff>0</xdr:rowOff>
    </xdr:from>
    <xdr:ext cx="4500000" cy="234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A1A2B"/>
    <pageSetUpPr fitToPage="1"/>
  </sheetPr>
  <dimension ref="B2:K26"/>
  <sheetViews>
    <sheetView showGridLines="0" tabSelected="1" workbookViewId="0">
      <selection activeCell="B3" sqref="B3:K3"/>
    </sheetView>
  </sheetViews>
  <sheetFormatPr baseColWidth="10" defaultColWidth="9.140625" defaultRowHeight="15" x14ac:dyDescent="0.25"/>
  <cols>
    <col min="1" max="1" width="2.42578125" customWidth="1"/>
    <col min="2" max="2" width="20" customWidth="1"/>
    <col min="3" max="5" width="14" customWidth="1"/>
    <col min="6" max="6" width="4" customWidth="1"/>
    <col min="7" max="7" width="20" customWidth="1"/>
    <col min="8" max="11" width="14" customWidth="1"/>
    <col min="12" max="12" width="3" customWidth="1"/>
  </cols>
  <sheetData>
    <row r="2" spans="2:11" ht="39.950000000000003" customHeight="1" x14ac:dyDescent="0.25">
      <c r="B2" s="50" t="s">
        <v>163</v>
      </c>
      <c r="C2" s="39"/>
      <c r="D2" s="39"/>
      <c r="E2" s="39"/>
      <c r="F2" s="39"/>
      <c r="G2" s="39"/>
      <c r="H2" s="39"/>
      <c r="I2" s="39"/>
      <c r="J2" s="39"/>
      <c r="K2" s="39"/>
    </row>
    <row r="3" spans="2:11" x14ac:dyDescent="0.25">
      <c r="B3" s="52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5" spans="2:11" ht="18" customHeight="1" x14ac:dyDescent="0.25">
      <c r="B5" s="38" t="s">
        <v>1</v>
      </c>
      <c r="C5" s="39"/>
      <c r="D5" s="39"/>
      <c r="E5" s="40" t="s">
        <v>2</v>
      </c>
      <c r="F5" s="39"/>
      <c r="G5" s="39"/>
      <c r="H5" s="41" t="s">
        <v>3</v>
      </c>
      <c r="I5" s="39"/>
      <c r="J5" s="39"/>
    </row>
    <row r="6" spans="2:11" ht="33.950000000000003" customHeight="1" x14ac:dyDescent="0.25">
      <c r="B6" s="51">
        <f>COUNTIF(Pipeline!$O$5:$O$46,"Offen")</f>
        <v>15</v>
      </c>
      <c r="C6" s="43"/>
      <c r="D6" s="43"/>
      <c r="E6" s="49">
        <f>SUMIF(Pipeline!$O$5:$O$46,"Offen",Pipeline!$H$5:$H$46)</f>
        <v>1021000</v>
      </c>
      <c r="F6" s="46"/>
      <c r="G6" s="46"/>
      <c r="H6" s="47">
        <f>SUMIF(Pipeline!$O$5:$O$46,"Offen",Pipeline!$J$5:$J$46)</f>
        <v>468550</v>
      </c>
      <c r="I6" s="48"/>
      <c r="J6" s="48"/>
    </row>
    <row r="8" spans="2:11" ht="18" customHeight="1" x14ac:dyDescent="0.25">
      <c r="B8" s="38" t="s">
        <v>4</v>
      </c>
      <c r="C8" s="39"/>
      <c r="D8" s="39"/>
      <c r="E8" s="40" t="s">
        <v>5</v>
      </c>
      <c r="F8" s="39"/>
      <c r="G8" s="39"/>
      <c r="H8" s="41" t="s">
        <v>6</v>
      </c>
      <c r="I8" s="39"/>
      <c r="J8" s="39"/>
    </row>
    <row r="9" spans="2:11" ht="33.950000000000003" customHeight="1" x14ac:dyDescent="0.25">
      <c r="B9" s="42">
        <f>SUMIF(Pipeline!$O$5:$O$46,"Gewonnen",Pipeline!$H$5:$H$46)</f>
        <v>304000</v>
      </c>
      <c r="C9" s="43"/>
      <c r="D9" s="43"/>
      <c r="E9" s="45">
        <f>IFERROR(COUNTIF(Pipeline!$O$5:$O$46,"Gewonnen")/(COUNTIF(Pipeline!$O$5:$O$46,"Gewonnen")+COUNTIF(Pipeline!$O$5:$O$46,"Verloren")),0)</f>
        <v>0.6</v>
      </c>
      <c r="F9" s="46"/>
      <c r="G9" s="46"/>
      <c r="H9" s="47">
        <f>IFERROR(AVERAGEIF(Pipeline!$O$5:$O$46,"Gewonnen",Pipeline!$H$5:$H$46),0)</f>
        <v>101333.33333333333</v>
      </c>
      <c r="I9" s="48"/>
      <c r="J9" s="48"/>
    </row>
    <row r="11" spans="2:11" ht="21.95" customHeight="1" x14ac:dyDescent="0.25">
      <c r="B11" s="44" t="s">
        <v>7</v>
      </c>
      <c r="C11" s="39"/>
      <c r="D11" s="39"/>
      <c r="E11" s="39"/>
      <c r="G11" s="44" t="s">
        <v>8</v>
      </c>
      <c r="H11" s="39"/>
      <c r="I11" s="39"/>
      <c r="J11" s="39"/>
      <c r="K11" s="39"/>
    </row>
    <row r="12" spans="2:11" x14ac:dyDescent="0.25">
      <c r="B12" s="1" t="s">
        <v>9</v>
      </c>
      <c r="C12" s="1" t="s">
        <v>10</v>
      </c>
      <c r="D12" s="1" t="s">
        <v>11</v>
      </c>
      <c r="E12" s="1" t="s">
        <v>12</v>
      </c>
      <c r="G12" s="1" t="s">
        <v>13</v>
      </c>
      <c r="H12" s="1" t="s">
        <v>14</v>
      </c>
      <c r="I12" s="1" t="s">
        <v>15</v>
      </c>
      <c r="J12" s="1" t="s">
        <v>16</v>
      </c>
      <c r="K12" s="1" t="s">
        <v>17</v>
      </c>
    </row>
    <row r="13" spans="2:11" x14ac:dyDescent="0.25">
      <c r="B13" s="2" t="s">
        <v>18</v>
      </c>
      <c r="C13" s="3">
        <f>COUNTIF(Pipeline!$G$5:$G$46,$B13)</f>
        <v>3</v>
      </c>
      <c r="D13" s="4">
        <f>SUMIF(Pipeline!$G$5:$G$46,$B13,Pipeline!$H$5:$H$46)</f>
        <v>178000</v>
      </c>
      <c r="E13" s="5">
        <f>SUMIF(Pipeline!$G$5:$G$46,$B13,Pipeline!$J$5:$J$46)</f>
        <v>17800</v>
      </c>
      <c r="G13" s="2" t="s">
        <v>19</v>
      </c>
      <c r="H13" s="4">
        <f>SUMIFS(Pipeline!$H$5:$H$46,Pipeline!$F$5:$F$46,$G13,Pipeline!$O$5:$O$46,"Gewonnen")</f>
        <v>0</v>
      </c>
      <c r="I13" s="4">
        <f>SUMIFS(Pipeline!$J$5:$J$46,Pipeline!$F$5:$F$46,$G13,Pipeline!$O$5:$O$46,"Offen")</f>
        <v>228400</v>
      </c>
      <c r="J13" s="4">
        <f>VLOOKUP($G13,Konfiguration!$F$7:$G$10,2,FALSE)</f>
        <v>320000</v>
      </c>
      <c r="K13" s="6">
        <f>IFERROR(H13/J13,0)</f>
        <v>0</v>
      </c>
    </row>
    <row r="14" spans="2:11" x14ac:dyDescent="0.25">
      <c r="B14" s="7" t="s">
        <v>20</v>
      </c>
      <c r="C14" s="8">
        <f>COUNTIF(Pipeline!$G$5:$G$46,$B14)</f>
        <v>4</v>
      </c>
      <c r="D14" s="9">
        <f>SUMIF(Pipeline!$G$5:$G$46,$B14,Pipeline!$H$5:$H$46)</f>
        <v>315000</v>
      </c>
      <c r="E14" s="10">
        <f>SUMIF(Pipeline!$G$5:$G$46,$B14,Pipeline!$J$5:$J$46)</f>
        <v>94500</v>
      </c>
      <c r="G14" s="7" t="s">
        <v>21</v>
      </c>
      <c r="H14" s="9">
        <f>SUMIFS(Pipeline!$H$5:$H$46,Pipeline!$F$5:$F$46,$G14,Pipeline!$O$5:$O$46,"Gewonnen")</f>
        <v>96000</v>
      </c>
      <c r="I14" s="9">
        <f>SUMIFS(Pipeline!$J$5:$J$46,Pipeline!$F$5:$F$46,$G14,Pipeline!$O$5:$O$46,"Offen")</f>
        <v>55150</v>
      </c>
      <c r="J14" s="9">
        <f>VLOOKUP($G14,Konfiguration!$F$7:$G$10,2,FALSE)</f>
        <v>360000</v>
      </c>
      <c r="K14" s="11">
        <f>IFERROR(H14/J14,0)</f>
        <v>0.26666666666666666</v>
      </c>
    </row>
    <row r="15" spans="2:11" x14ac:dyDescent="0.25">
      <c r="B15" s="2" t="s">
        <v>22</v>
      </c>
      <c r="C15" s="3">
        <f>COUNTIF(Pipeline!$G$5:$G$46,$B15)</f>
        <v>4</v>
      </c>
      <c r="D15" s="4">
        <f>SUMIF(Pipeline!$G$5:$G$46,$B15,Pipeline!$H$5:$H$46)</f>
        <v>159000</v>
      </c>
      <c r="E15" s="5">
        <f>SUMIF(Pipeline!$G$5:$G$46,$B15,Pipeline!$J$5:$J$46)</f>
        <v>79500</v>
      </c>
      <c r="G15" s="2" t="s">
        <v>23</v>
      </c>
      <c r="H15" s="4">
        <f>SUMIFS(Pipeline!$H$5:$H$46,Pipeline!$F$5:$F$46,$G15,Pipeline!$O$5:$O$46,"Gewonnen")</f>
        <v>0</v>
      </c>
      <c r="I15" s="4">
        <f>SUMIFS(Pipeline!$J$5:$J$46,Pipeline!$F$5:$F$46,$G15,Pipeline!$O$5:$O$46,"Offen")</f>
        <v>124400</v>
      </c>
      <c r="J15" s="4">
        <f>VLOOKUP($G15,Konfiguration!$F$7:$G$10,2,FALSE)</f>
        <v>280000</v>
      </c>
      <c r="K15" s="6">
        <f>IFERROR(H15/J15,0)</f>
        <v>0</v>
      </c>
    </row>
    <row r="16" spans="2:11" x14ac:dyDescent="0.25">
      <c r="B16" s="7" t="s">
        <v>24</v>
      </c>
      <c r="C16" s="8">
        <f>COUNTIF(Pipeline!$G$5:$G$46,$B16)</f>
        <v>4</v>
      </c>
      <c r="D16" s="9">
        <f>SUMIF(Pipeline!$G$5:$G$46,$B16,Pipeline!$H$5:$H$46)</f>
        <v>369000</v>
      </c>
      <c r="E16" s="10">
        <f>SUMIF(Pipeline!$G$5:$G$46,$B16,Pipeline!$J$5:$J$46)</f>
        <v>276750</v>
      </c>
      <c r="G16" s="7" t="s">
        <v>25</v>
      </c>
      <c r="H16" s="9">
        <f>SUMIFS(Pipeline!$H$5:$H$46,Pipeline!$F$5:$F$46,$G16,Pipeline!$O$5:$O$46,"Gewonnen")</f>
        <v>208000</v>
      </c>
      <c r="I16" s="9">
        <f>SUMIFS(Pipeline!$J$5:$J$46,Pipeline!$F$5:$F$46,$G16,Pipeline!$O$5:$O$46,"Offen")</f>
        <v>60600</v>
      </c>
      <c r="J16" s="9">
        <f>VLOOKUP($G16,Konfiguration!$F$7:$G$10,2,FALSE)</f>
        <v>300000</v>
      </c>
      <c r="K16" s="11">
        <f>IFERROR(H16/J16,0)</f>
        <v>0.69333333333333336</v>
      </c>
    </row>
    <row r="17" spans="2:11" x14ac:dyDescent="0.25">
      <c r="B17" s="12" t="s">
        <v>26</v>
      </c>
      <c r="C17" s="13">
        <f>SUM(C13:C16)</f>
        <v>15</v>
      </c>
      <c r="D17" s="14">
        <f>SUM(D13:D16)</f>
        <v>1021000</v>
      </c>
      <c r="E17" s="14">
        <f>SUM(E13:E16)</f>
        <v>468550</v>
      </c>
      <c r="G17" s="12" t="s">
        <v>27</v>
      </c>
      <c r="H17" s="14">
        <f>SUM(H13:H16)</f>
        <v>304000</v>
      </c>
      <c r="I17" s="14">
        <f>SUM(I13:I16)</f>
        <v>468550</v>
      </c>
      <c r="J17" s="14">
        <f>SUM(J13:J16)</f>
        <v>1260000</v>
      </c>
      <c r="K17" s="15">
        <f>IFERROR(H17/J17,0)</f>
        <v>0.24126984126984127</v>
      </c>
    </row>
    <row r="19" spans="2:11" ht="21.95" customHeight="1" x14ac:dyDescent="0.25">
      <c r="B19" s="44" t="s">
        <v>28</v>
      </c>
      <c r="C19" s="39"/>
      <c r="D19" s="39"/>
      <c r="E19" s="39"/>
    </row>
    <row r="20" spans="2:11" x14ac:dyDescent="0.25">
      <c r="B20" s="1" t="s">
        <v>29</v>
      </c>
      <c r="C20" s="1" t="s">
        <v>30</v>
      </c>
      <c r="D20" s="1" t="s">
        <v>31</v>
      </c>
      <c r="E20" s="1" t="s">
        <v>14</v>
      </c>
    </row>
    <row r="21" spans="2:11" x14ac:dyDescent="0.25">
      <c r="B21" s="2" t="s">
        <v>32</v>
      </c>
      <c r="C21" s="3">
        <f>COUNTIF(Pipeline!$E$5:$E$46,$B21)</f>
        <v>4</v>
      </c>
      <c r="D21" s="4">
        <f>SUMIF(Pipeline!$E$5:$E$46,$B21,Pipeline!$H$5:$H$46)</f>
        <v>181500</v>
      </c>
      <c r="E21" s="5">
        <f>SUMIFS(Pipeline!$H$5:$H$46,Pipeline!$E$5:$E$46,$B21,Pipeline!$O$5:$O$46,"Gewonnen")</f>
        <v>36000</v>
      </c>
    </row>
    <row r="22" spans="2:11" x14ac:dyDescent="0.25">
      <c r="B22" s="7" t="s">
        <v>33</v>
      </c>
      <c r="C22" s="8">
        <f>COUNTIF(Pipeline!$E$5:$E$46,$B22)</f>
        <v>4</v>
      </c>
      <c r="D22" s="9">
        <f>SUMIF(Pipeline!$E$5:$E$46,$B22,Pipeline!$H$5:$H$46)</f>
        <v>242000</v>
      </c>
      <c r="E22" s="10">
        <f>SUMIFS(Pipeline!$H$5:$H$46,Pipeline!$E$5:$E$46,$B22,Pipeline!$O$5:$O$46,"Gewonnen")</f>
        <v>0</v>
      </c>
    </row>
    <row r="23" spans="2:11" x14ac:dyDescent="0.25">
      <c r="B23" s="2" t="s">
        <v>34</v>
      </c>
      <c r="C23" s="3">
        <f>COUNTIF(Pipeline!$E$5:$E$46,$B23)</f>
        <v>3</v>
      </c>
      <c r="D23" s="4">
        <f>SUMIF(Pipeline!$E$5:$E$46,$B23,Pipeline!$H$5:$H$46)</f>
        <v>233000</v>
      </c>
      <c r="E23" s="5">
        <f>SUMIFS(Pipeline!$H$5:$H$46,Pipeline!$E$5:$E$46,$B23,Pipeline!$O$5:$O$46,"Gewonnen")</f>
        <v>0</v>
      </c>
    </row>
    <row r="24" spans="2:11" x14ac:dyDescent="0.25">
      <c r="B24" s="7" t="s">
        <v>35</v>
      </c>
      <c r="C24" s="8">
        <f>COUNTIF(Pipeline!$E$5:$E$46,$B24)</f>
        <v>3</v>
      </c>
      <c r="D24" s="9">
        <f>SUMIF(Pipeline!$E$5:$E$46,$B24,Pipeline!$H$5:$H$46)</f>
        <v>191500</v>
      </c>
      <c r="E24" s="10">
        <f>SUMIFS(Pipeline!$H$5:$H$46,Pipeline!$E$5:$E$46,$B24,Pipeline!$O$5:$O$46,"Gewonnen")</f>
        <v>0</v>
      </c>
    </row>
    <row r="25" spans="2:11" x14ac:dyDescent="0.25">
      <c r="B25" s="2" t="s">
        <v>36</v>
      </c>
      <c r="C25" s="3">
        <f>COUNTIF(Pipeline!$E$5:$E$46,$B25)</f>
        <v>3</v>
      </c>
      <c r="D25" s="4">
        <f>SUMIF(Pipeline!$E$5:$E$46,$B25,Pipeline!$H$5:$H$46)</f>
        <v>416000</v>
      </c>
      <c r="E25" s="5">
        <f>SUMIFS(Pipeline!$H$5:$H$46,Pipeline!$E$5:$E$46,$B25,Pipeline!$O$5:$O$46,"Gewonnen")</f>
        <v>268000</v>
      </c>
    </row>
    <row r="26" spans="2:11" x14ac:dyDescent="0.25">
      <c r="B26" s="7" t="s">
        <v>37</v>
      </c>
      <c r="C26" s="8">
        <f>COUNTIF(Pipeline!$E$5:$E$46,$B26)</f>
        <v>3</v>
      </c>
      <c r="D26" s="9">
        <f>SUMIF(Pipeline!$E$5:$E$46,$B26,Pipeline!$H$5:$H$46)</f>
        <v>140500</v>
      </c>
      <c r="E26" s="10">
        <f>SUMIFS(Pipeline!$H$5:$H$46,Pipeline!$E$5:$E$46,$B26,Pipeline!$O$5:$O$46,"Gewonnen")</f>
        <v>0</v>
      </c>
    </row>
  </sheetData>
  <mergeCells count="17">
    <mergeCell ref="B2:K2"/>
    <mergeCell ref="B19:E19"/>
    <mergeCell ref="B6:D6"/>
    <mergeCell ref="B3:K3"/>
    <mergeCell ref="H6:J6"/>
    <mergeCell ref="B9:D9"/>
    <mergeCell ref="G11:K11"/>
    <mergeCell ref="E9:G9"/>
    <mergeCell ref="B11:E11"/>
    <mergeCell ref="H9:J9"/>
    <mergeCell ref="B5:D5"/>
    <mergeCell ref="E5:G5"/>
    <mergeCell ref="H5:J5"/>
    <mergeCell ref="B8:D8"/>
    <mergeCell ref="E8:G8"/>
    <mergeCell ref="H8:J8"/>
    <mergeCell ref="E6:G6"/>
  </mergeCells>
  <conditionalFormatting sqref="D13:D16">
    <cfRule type="dataBar" priority="1">
      <dataBar>
        <cfvo type="num" val="0"/>
        <cfvo type="max"/>
        <color rgb="FFB8893B"/>
      </dataBar>
    </cfRule>
  </conditionalFormatting>
  <pageMargins left="0.75" right="0.75" top="1" bottom="1" header="0.5" footer="0.5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C2433"/>
    <pageSetUpPr fitToPage="1"/>
  </sheetPr>
  <dimension ref="A1:P47"/>
  <sheetViews>
    <sheetView showGridLines="0" workbookViewId="0">
      <pane ySplit="4" topLeftCell="A5" activePane="bottomLeft" state="frozen"/>
      <selection pane="bottomLeft" sqref="A1:P1"/>
    </sheetView>
  </sheetViews>
  <sheetFormatPr baseColWidth="10" defaultColWidth="9.140625" defaultRowHeight="15" x14ac:dyDescent="0.25"/>
  <cols>
    <col min="1" max="1" width="11" customWidth="1"/>
    <col min="2" max="2" width="30" customWidth="1"/>
    <col min="3" max="3" width="25" customWidth="1"/>
    <col min="4" max="4" width="21" customWidth="1"/>
    <col min="5" max="5" width="15" customWidth="1"/>
    <col min="6" max="6" width="21" customWidth="1"/>
    <col min="7" max="7" width="18" customWidth="1"/>
    <col min="8" max="8" width="14" customWidth="1"/>
    <col min="9" max="9" width="10" customWidth="1"/>
    <col min="10" max="10" width="15" customWidth="1"/>
    <col min="11" max="11" width="14" customWidth="1"/>
    <col min="12" max="12" width="16" customWidth="1"/>
    <col min="13" max="13" width="15" customWidth="1"/>
    <col min="14" max="14" width="11" customWidth="1"/>
    <col min="15" max="15" width="12" customWidth="1"/>
    <col min="16" max="16" width="30" customWidth="1"/>
  </cols>
  <sheetData>
    <row r="1" spans="1:16" ht="38.1" customHeight="1" x14ac:dyDescent="0.25">
      <c r="A1" s="50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0.100000000000001" customHeight="1" x14ac:dyDescent="0.25">
      <c r="A2" s="55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4" spans="1:16" ht="30" customHeight="1" x14ac:dyDescent="0.25">
      <c r="A4" s="16" t="s">
        <v>40</v>
      </c>
      <c r="B4" s="16" t="s">
        <v>41</v>
      </c>
      <c r="C4" s="16" t="s">
        <v>42</v>
      </c>
      <c r="D4" s="16" t="s">
        <v>43</v>
      </c>
      <c r="E4" s="16" t="s">
        <v>44</v>
      </c>
      <c r="F4" s="16" t="s">
        <v>45</v>
      </c>
      <c r="G4" s="16" t="s">
        <v>9</v>
      </c>
      <c r="H4" s="16" t="s">
        <v>11</v>
      </c>
      <c r="I4" s="16" t="s">
        <v>46</v>
      </c>
      <c r="J4" s="16" t="s">
        <v>47</v>
      </c>
      <c r="K4" s="16" t="s">
        <v>48</v>
      </c>
      <c r="L4" s="16" t="s">
        <v>49</v>
      </c>
      <c r="M4" s="16" t="s">
        <v>50</v>
      </c>
      <c r="N4" s="16" t="s">
        <v>51</v>
      </c>
      <c r="O4" s="16" t="s">
        <v>52</v>
      </c>
      <c r="P4" s="16" t="s">
        <v>53</v>
      </c>
    </row>
    <row r="5" spans="1:16" ht="26.1" customHeight="1" x14ac:dyDescent="0.25">
      <c r="A5" s="17" t="s">
        <v>54</v>
      </c>
      <c r="B5" s="18" t="s">
        <v>55</v>
      </c>
      <c r="C5" s="18" t="s">
        <v>56</v>
      </c>
      <c r="D5" s="18" t="s">
        <v>57</v>
      </c>
      <c r="E5" s="17" t="s">
        <v>33</v>
      </c>
      <c r="F5" s="18" t="s">
        <v>19</v>
      </c>
      <c r="G5" s="17" t="s">
        <v>24</v>
      </c>
      <c r="H5" s="19">
        <v>84000</v>
      </c>
      <c r="I5" s="20">
        <f>IF($G5="","",IFERROR(VLOOKUP($G5,Konfiguration!$B$7:$C$12,2,FALSE),""))</f>
        <v>0.75</v>
      </c>
      <c r="J5" s="5">
        <f t="shared" ref="J5:J46" si="0">IF(OR($H5="",$I5=""),"",$H5*$I5)</f>
        <v>63000</v>
      </c>
      <c r="K5" s="21">
        <v>46063</v>
      </c>
      <c r="L5" s="21">
        <v>46218</v>
      </c>
      <c r="M5" s="21">
        <v>46197</v>
      </c>
      <c r="N5" s="3">
        <f t="shared" ref="N5:N46" ca="1" si="1">IF($B5="","",IF($O5="Offen",IF($M5="","",TODAY()-$M5),"—"))</f>
        <v>11</v>
      </c>
      <c r="O5" s="22" t="str">
        <f t="shared" ref="O5:O46" si="2">IF($B5="","",IF($G5="Gewonnen","Gewonnen",IF($G5="Verloren","Verloren","Offen")))</f>
        <v>Offen</v>
      </c>
      <c r="P5" s="18" t="s">
        <v>58</v>
      </c>
    </row>
    <row r="6" spans="1:16" ht="26.1" customHeight="1" x14ac:dyDescent="0.25">
      <c r="A6" s="23" t="s">
        <v>59</v>
      </c>
      <c r="B6" s="24" t="s">
        <v>60</v>
      </c>
      <c r="C6" s="24" t="s">
        <v>61</v>
      </c>
      <c r="D6" s="24" t="s">
        <v>62</v>
      </c>
      <c r="E6" s="23" t="s">
        <v>32</v>
      </c>
      <c r="F6" s="24" t="s">
        <v>21</v>
      </c>
      <c r="G6" s="23" t="s">
        <v>22</v>
      </c>
      <c r="H6" s="25">
        <v>46500</v>
      </c>
      <c r="I6" s="26">
        <f>IF($G6="","",IFERROR(VLOOKUP($G6,Konfiguration!$B$7:$C$12,2,FALSE),""))</f>
        <v>0.5</v>
      </c>
      <c r="J6" s="10">
        <f t="shared" si="0"/>
        <v>23250</v>
      </c>
      <c r="K6" s="27">
        <v>46085</v>
      </c>
      <c r="L6" s="27">
        <v>46239</v>
      </c>
      <c r="M6" s="27">
        <v>46191</v>
      </c>
      <c r="N6" s="8">
        <f t="shared" ca="1" si="1"/>
        <v>17</v>
      </c>
      <c r="O6" s="28" t="str">
        <f t="shared" si="2"/>
        <v>Offen</v>
      </c>
      <c r="P6" s="24" t="s">
        <v>63</v>
      </c>
    </row>
    <row r="7" spans="1:16" ht="26.1" customHeight="1" x14ac:dyDescent="0.25">
      <c r="A7" s="17" t="s">
        <v>64</v>
      </c>
      <c r="B7" s="18" t="s">
        <v>65</v>
      </c>
      <c r="C7" s="18" t="s">
        <v>66</v>
      </c>
      <c r="D7" s="18" t="s">
        <v>67</v>
      </c>
      <c r="E7" s="17" t="s">
        <v>34</v>
      </c>
      <c r="F7" s="18" t="s">
        <v>23</v>
      </c>
      <c r="G7" s="17" t="s">
        <v>20</v>
      </c>
      <c r="H7" s="19">
        <v>128000</v>
      </c>
      <c r="I7" s="20">
        <f>IF($G7="","",IFERROR(VLOOKUP($G7,Konfiguration!$B$7:$C$12,2,FALSE),""))</f>
        <v>0.3</v>
      </c>
      <c r="J7" s="5">
        <f t="shared" si="0"/>
        <v>38400</v>
      </c>
      <c r="K7" s="21">
        <v>46134</v>
      </c>
      <c r="L7" s="21">
        <v>46295</v>
      </c>
      <c r="M7" s="21">
        <v>46199</v>
      </c>
      <c r="N7" s="3">
        <f t="shared" ca="1" si="1"/>
        <v>9</v>
      </c>
      <c r="O7" s="22" t="str">
        <f t="shared" si="2"/>
        <v>Offen</v>
      </c>
      <c r="P7" s="18" t="s">
        <v>68</v>
      </c>
    </row>
    <row r="8" spans="1:16" ht="26.1" customHeight="1" x14ac:dyDescent="0.25">
      <c r="A8" s="23" t="s">
        <v>69</v>
      </c>
      <c r="B8" s="24" t="s">
        <v>70</v>
      </c>
      <c r="C8" s="24" t="s">
        <v>71</v>
      </c>
      <c r="D8" s="24" t="s">
        <v>72</v>
      </c>
      <c r="E8" s="23" t="s">
        <v>36</v>
      </c>
      <c r="F8" s="24" t="s">
        <v>25</v>
      </c>
      <c r="G8" s="23" t="s">
        <v>14</v>
      </c>
      <c r="H8" s="25">
        <v>172000</v>
      </c>
      <c r="I8" s="26">
        <f>IF($G8="","",IFERROR(VLOOKUP($G8,Konfiguration!$B$7:$C$12,2,FALSE),""))</f>
        <v>1</v>
      </c>
      <c r="J8" s="10">
        <f t="shared" si="0"/>
        <v>172000</v>
      </c>
      <c r="K8" s="27">
        <v>46037</v>
      </c>
      <c r="L8" s="27">
        <v>46162</v>
      </c>
      <c r="M8" s="27">
        <v>46162</v>
      </c>
      <c r="N8" s="8" t="str">
        <f t="shared" ca="1" si="1"/>
        <v>—</v>
      </c>
      <c r="O8" s="28" t="str">
        <f t="shared" si="2"/>
        <v>Gewonnen</v>
      </c>
      <c r="P8" s="24" t="s">
        <v>73</v>
      </c>
    </row>
    <row r="9" spans="1:16" ht="26.1" customHeight="1" x14ac:dyDescent="0.25">
      <c r="A9" s="17" t="s">
        <v>74</v>
      </c>
      <c r="B9" s="18" t="s">
        <v>75</v>
      </c>
      <c r="C9" s="18" t="s">
        <v>76</v>
      </c>
      <c r="D9" s="18" t="s">
        <v>77</v>
      </c>
      <c r="E9" s="17" t="s">
        <v>37</v>
      </c>
      <c r="F9" s="18" t="s">
        <v>19</v>
      </c>
      <c r="G9" s="17" t="s">
        <v>22</v>
      </c>
      <c r="H9" s="19">
        <v>38000</v>
      </c>
      <c r="I9" s="20">
        <f>IF($G9="","",IFERROR(VLOOKUP($G9,Konfiguration!$B$7:$C$12,2,FALSE),""))</f>
        <v>0.5</v>
      </c>
      <c r="J9" s="5">
        <f t="shared" si="0"/>
        <v>19000</v>
      </c>
      <c r="K9" s="21">
        <v>46144</v>
      </c>
      <c r="L9" s="21">
        <v>46234</v>
      </c>
      <c r="M9" s="21">
        <v>46198</v>
      </c>
      <c r="N9" s="3">
        <f t="shared" ca="1" si="1"/>
        <v>10</v>
      </c>
      <c r="O9" s="22" t="str">
        <f t="shared" si="2"/>
        <v>Offen</v>
      </c>
      <c r="P9" s="18" t="s">
        <v>78</v>
      </c>
    </row>
    <row r="10" spans="1:16" ht="26.1" customHeight="1" x14ac:dyDescent="0.25">
      <c r="A10" s="23" t="s">
        <v>79</v>
      </c>
      <c r="B10" s="24" t="s">
        <v>80</v>
      </c>
      <c r="C10" s="24" t="s">
        <v>81</v>
      </c>
      <c r="D10" s="24" t="s">
        <v>82</v>
      </c>
      <c r="E10" s="23" t="s">
        <v>35</v>
      </c>
      <c r="F10" s="24" t="s">
        <v>21</v>
      </c>
      <c r="G10" s="23" t="s">
        <v>83</v>
      </c>
      <c r="H10" s="25">
        <v>27500</v>
      </c>
      <c r="I10" s="26">
        <f>IF($G10="","",IFERROR(VLOOKUP($G10,Konfiguration!$B$7:$C$12,2,FALSE),""))</f>
        <v>0</v>
      </c>
      <c r="J10" s="10">
        <f t="shared" si="0"/>
        <v>0</v>
      </c>
      <c r="K10" s="27">
        <v>46081</v>
      </c>
      <c r="L10" s="27">
        <v>46142</v>
      </c>
      <c r="M10" s="27">
        <v>46141</v>
      </c>
      <c r="N10" s="8" t="str">
        <f t="shared" ca="1" si="1"/>
        <v>—</v>
      </c>
      <c r="O10" s="28" t="str">
        <f t="shared" si="2"/>
        <v>Verloren</v>
      </c>
      <c r="P10" s="24" t="s">
        <v>84</v>
      </c>
    </row>
    <row r="11" spans="1:16" ht="26.1" customHeight="1" x14ac:dyDescent="0.25">
      <c r="A11" s="17" t="s">
        <v>85</v>
      </c>
      <c r="B11" s="18" t="s">
        <v>86</v>
      </c>
      <c r="C11" s="18" t="s">
        <v>87</v>
      </c>
      <c r="D11" s="18" t="s">
        <v>88</v>
      </c>
      <c r="E11" s="17" t="s">
        <v>33</v>
      </c>
      <c r="F11" s="18" t="s">
        <v>23</v>
      </c>
      <c r="G11" s="17" t="s">
        <v>24</v>
      </c>
      <c r="H11" s="19">
        <v>59000</v>
      </c>
      <c r="I11" s="20">
        <f>IF($G11="","",IFERROR(VLOOKUP($G11,Konfiguration!$B$7:$C$12,2,FALSE),""))</f>
        <v>0.75</v>
      </c>
      <c r="J11" s="5">
        <f t="shared" si="0"/>
        <v>44250</v>
      </c>
      <c r="K11" s="21">
        <v>46100</v>
      </c>
      <c r="L11" s="21">
        <v>46213</v>
      </c>
      <c r="M11" s="21">
        <v>46200</v>
      </c>
      <c r="N11" s="3">
        <f t="shared" ca="1" si="1"/>
        <v>8</v>
      </c>
      <c r="O11" s="22" t="str">
        <f t="shared" si="2"/>
        <v>Offen</v>
      </c>
      <c r="P11" s="18" t="s">
        <v>89</v>
      </c>
    </row>
    <row r="12" spans="1:16" ht="26.1" customHeight="1" x14ac:dyDescent="0.25">
      <c r="A12" s="23" t="s">
        <v>90</v>
      </c>
      <c r="B12" s="24" t="s">
        <v>91</v>
      </c>
      <c r="C12" s="24" t="s">
        <v>92</v>
      </c>
      <c r="D12" s="24" t="s">
        <v>93</v>
      </c>
      <c r="E12" s="23" t="s">
        <v>32</v>
      </c>
      <c r="F12" s="24" t="s">
        <v>25</v>
      </c>
      <c r="G12" s="23" t="s">
        <v>18</v>
      </c>
      <c r="H12" s="25">
        <v>21000</v>
      </c>
      <c r="I12" s="26">
        <f>IF($G12="","",IFERROR(VLOOKUP($G12,Konfiguration!$B$7:$C$12,2,FALSE),""))</f>
        <v>0.1</v>
      </c>
      <c r="J12" s="10">
        <f t="shared" si="0"/>
        <v>2100</v>
      </c>
      <c r="K12" s="27">
        <v>46182</v>
      </c>
      <c r="L12" s="27">
        <v>46310</v>
      </c>
      <c r="M12" s="27">
        <v>46185</v>
      </c>
      <c r="N12" s="8">
        <f t="shared" ca="1" si="1"/>
        <v>23</v>
      </c>
      <c r="O12" s="28" t="str">
        <f t="shared" si="2"/>
        <v>Offen</v>
      </c>
      <c r="P12" s="24" t="s">
        <v>94</v>
      </c>
    </row>
    <row r="13" spans="1:16" ht="26.1" customHeight="1" x14ac:dyDescent="0.25">
      <c r="A13" s="17" t="s">
        <v>95</v>
      </c>
      <c r="B13" s="18" t="s">
        <v>96</v>
      </c>
      <c r="C13" s="18" t="s">
        <v>97</v>
      </c>
      <c r="D13" s="18" t="s">
        <v>98</v>
      </c>
      <c r="E13" s="17" t="s">
        <v>34</v>
      </c>
      <c r="F13" s="18" t="s">
        <v>19</v>
      </c>
      <c r="G13" s="17" t="s">
        <v>20</v>
      </c>
      <c r="H13" s="19">
        <v>64000</v>
      </c>
      <c r="I13" s="20">
        <f>IF($G13="","",IFERROR(VLOOKUP($G13,Konfiguration!$B$7:$C$12,2,FALSE),""))</f>
        <v>0.3</v>
      </c>
      <c r="J13" s="5">
        <f t="shared" si="0"/>
        <v>19200</v>
      </c>
      <c r="K13" s="21">
        <v>46163</v>
      </c>
      <c r="L13" s="21">
        <v>46277</v>
      </c>
      <c r="M13" s="21">
        <v>46196</v>
      </c>
      <c r="N13" s="3">
        <f t="shared" ca="1" si="1"/>
        <v>12</v>
      </c>
      <c r="O13" s="22" t="str">
        <f t="shared" si="2"/>
        <v>Offen</v>
      </c>
      <c r="P13" s="18" t="s">
        <v>99</v>
      </c>
    </row>
    <row r="14" spans="1:16" ht="26.1" customHeight="1" x14ac:dyDescent="0.25">
      <c r="A14" s="23" t="s">
        <v>100</v>
      </c>
      <c r="B14" s="24" t="s">
        <v>101</v>
      </c>
      <c r="C14" s="24" t="s">
        <v>102</v>
      </c>
      <c r="D14" s="24" t="s">
        <v>103</v>
      </c>
      <c r="E14" s="23" t="s">
        <v>36</v>
      </c>
      <c r="F14" s="24" t="s">
        <v>21</v>
      </c>
      <c r="G14" s="23" t="s">
        <v>14</v>
      </c>
      <c r="H14" s="25">
        <v>96000</v>
      </c>
      <c r="I14" s="26">
        <f>IF($G14="","",IFERROR(VLOOKUP($G14,Konfiguration!$B$7:$C$12,2,FALSE),""))</f>
        <v>1</v>
      </c>
      <c r="J14" s="10">
        <f t="shared" si="0"/>
        <v>96000</v>
      </c>
      <c r="K14" s="27">
        <v>46058</v>
      </c>
      <c r="L14" s="27">
        <v>46174</v>
      </c>
      <c r="M14" s="27">
        <v>46175</v>
      </c>
      <c r="N14" s="8" t="str">
        <f t="shared" ca="1" si="1"/>
        <v>—</v>
      </c>
      <c r="O14" s="28" t="str">
        <f t="shared" si="2"/>
        <v>Gewonnen</v>
      </c>
      <c r="P14" s="24" t="s">
        <v>104</v>
      </c>
    </row>
    <row r="15" spans="1:16" ht="26.1" customHeight="1" x14ac:dyDescent="0.25">
      <c r="A15" s="17" t="s">
        <v>105</v>
      </c>
      <c r="B15" s="18" t="s">
        <v>106</v>
      </c>
      <c r="C15" s="18" t="s">
        <v>107</v>
      </c>
      <c r="D15" s="18" t="s">
        <v>108</v>
      </c>
      <c r="E15" s="17" t="s">
        <v>37</v>
      </c>
      <c r="F15" s="18" t="s">
        <v>23</v>
      </c>
      <c r="G15" s="17" t="s">
        <v>22</v>
      </c>
      <c r="H15" s="19">
        <v>33500</v>
      </c>
      <c r="I15" s="20">
        <f>IF($G15="","",IFERROR(VLOOKUP($G15,Konfiguration!$B$7:$C$12,2,FALSE),""))</f>
        <v>0.5</v>
      </c>
      <c r="J15" s="5">
        <f t="shared" si="0"/>
        <v>16750</v>
      </c>
      <c r="K15" s="21">
        <v>46142</v>
      </c>
      <c r="L15" s="21">
        <v>46254</v>
      </c>
      <c r="M15" s="21">
        <v>46193</v>
      </c>
      <c r="N15" s="3">
        <f t="shared" ca="1" si="1"/>
        <v>15</v>
      </c>
      <c r="O15" s="22" t="str">
        <f t="shared" si="2"/>
        <v>Offen</v>
      </c>
      <c r="P15" s="18" t="s">
        <v>109</v>
      </c>
    </row>
    <row r="16" spans="1:16" ht="26.1" customHeight="1" x14ac:dyDescent="0.25">
      <c r="A16" s="23" t="s">
        <v>110</v>
      </c>
      <c r="B16" s="24" t="s">
        <v>111</v>
      </c>
      <c r="C16" s="24" t="s">
        <v>112</v>
      </c>
      <c r="D16" s="24" t="s">
        <v>113</v>
      </c>
      <c r="E16" s="23" t="s">
        <v>32</v>
      </c>
      <c r="F16" s="24" t="s">
        <v>25</v>
      </c>
      <c r="G16" s="23" t="s">
        <v>24</v>
      </c>
      <c r="H16" s="25">
        <v>78000</v>
      </c>
      <c r="I16" s="26">
        <f>IF($G16="","",IFERROR(VLOOKUP($G16,Konfiguration!$B$7:$C$12,2,FALSE),""))</f>
        <v>0.75</v>
      </c>
      <c r="J16" s="10">
        <f t="shared" si="0"/>
        <v>58500</v>
      </c>
      <c r="K16" s="27">
        <v>46092</v>
      </c>
      <c r="L16" s="27">
        <v>46228</v>
      </c>
      <c r="M16" s="27">
        <v>46199</v>
      </c>
      <c r="N16" s="8">
        <f t="shared" ca="1" si="1"/>
        <v>9</v>
      </c>
      <c r="O16" s="28" t="str">
        <f t="shared" si="2"/>
        <v>Offen</v>
      </c>
      <c r="P16" s="24" t="s">
        <v>114</v>
      </c>
    </row>
    <row r="17" spans="1:16" ht="26.1" customHeight="1" x14ac:dyDescent="0.25">
      <c r="A17" s="17" t="s">
        <v>115</v>
      </c>
      <c r="B17" s="18" t="s">
        <v>116</v>
      </c>
      <c r="C17" s="18" t="s">
        <v>117</v>
      </c>
      <c r="D17" s="18" t="s">
        <v>118</v>
      </c>
      <c r="E17" s="17" t="s">
        <v>33</v>
      </c>
      <c r="F17" s="18" t="s">
        <v>19</v>
      </c>
      <c r="G17" s="17" t="s">
        <v>20</v>
      </c>
      <c r="H17" s="19">
        <v>54000</v>
      </c>
      <c r="I17" s="20">
        <f>IF($G17="","",IFERROR(VLOOKUP($G17,Konfiguration!$B$7:$C$12,2,FALSE),""))</f>
        <v>0.3</v>
      </c>
      <c r="J17" s="5">
        <f t="shared" si="0"/>
        <v>16200</v>
      </c>
      <c r="K17" s="21">
        <v>46156</v>
      </c>
      <c r="L17" s="21">
        <v>46270</v>
      </c>
      <c r="M17" s="21">
        <v>46192</v>
      </c>
      <c r="N17" s="3">
        <f t="shared" ca="1" si="1"/>
        <v>16</v>
      </c>
      <c r="O17" s="22" t="str">
        <f t="shared" si="2"/>
        <v>Offen</v>
      </c>
      <c r="P17" s="18" t="s">
        <v>119</v>
      </c>
    </row>
    <row r="18" spans="1:16" ht="26.1" customHeight="1" x14ac:dyDescent="0.25">
      <c r="A18" s="23" t="s">
        <v>120</v>
      </c>
      <c r="B18" s="24" t="s">
        <v>121</v>
      </c>
      <c r="C18" s="24" t="s">
        <v>122</v>
      </c>
      <c r="D18" s="24" t="s">
        <v>123</v>
      </c>
      <c r="E18" s="23" t="s">
        <v>35</v>
      </c>
      <c r="F18" s="24" t="s">
        <v>21</v>
      </c>
      <c r="G18" s="23" t="s">
        <v>18</v>
      </c>
      <c r="H18" s="25">
        <v>112000</v>
      </c>
      <c r="I18" s="26">
        <f>IF($G18="","",IFERROR(VLOOKUP($G18,Konfiguration!$B$7:$C$12,2,FALSE),""))</f>
        <v>0.1</v>
      </c>
      <c r="J18" s="10">
        <f t="shared" si="0"/>
        <v>11200</v>
      </c>
      <c r="K18" s="27">
        <v>46189</v>
      </c>
      <c r="L18" s="27">
        <v>46356</v>
      </c>
      <c r="M18" s="27">
        <v>46201</v>
      </c>
      <c r="N18" s="8">
        <f t="shared" ca="1" si="1"/>
        <v>7</v>
      </c>
      <c r="O18" s="28" t="str">
        <f t="shared" si="2"/>
        <v>Offen</v>
      </c>
      <c r="P18" s="24" t="s">
        <v>124</v>
      </c>
    </row>
    <row r="19" spans="1:16" ht="26.1" customHeight="1" x14ac:dyDescent="0.25">
      <c r="A19" s="17" t="s">
        <v>125</v>
      </c>
      <c r="B19" s="18" t="s">
        <v>126</v>
      </c>
      <c r="C19" s="18" t="s">
        <v>127</v>
      </c>
      <c r="D19" s="18" t="s">
        <v>128</v>
      </c>
      <c r="E19" s="17" t="s">
        <v>34</v>
      </c>
      <c r="F19" s="18" t="s">
        <v>23</v>
      </c>
      <c r="G19" s="17" t="s">
        <v>22</v>
      </c>
      <c r="H19" s="19">
        <v>41000</v>
      </c>
      <c r="I19" s="20">
        <f>IF($G19="","",IFERROR(VLOOKUP($G19,Konfiguration!$B$7:$C$12,2,FALSE),""))</f>
        <v>0.5</v>
      </c>
      <c r="J19" s="5">
        <f t="shared" si="0"/>
        <v>20500</v>
      </c>
      <c r="K19" s="21">
        <v>46120</v>
      </c>
      <c r="L19" s="21">
        <v>46249</v>
      </c>
      <c r="M19" s="21">
        <v>46172</v>
      </c>
      <c r="N19" s="3">
        <f t="shared" ca="1" si="1"/>
        <v>36</v>
      </c>
      <c r="O19" s="22" t="str">
        <f t="shared" si="2"/>
        <v>Offen</v>
      </c>
      <c r="P19" s="18" t="s">
        <v>129</v>
      </c>
    </row>
    <row r="20" spans="1:16" ht="26.1" customHeight="1" x14ac:dyDescent="0.25">
      <c r="A20" s="23" t="s">
        <v>130</v>
      </c>
      <c r="B20" s="24" t="s">
        <v>131</v>
      </c>
      <c r="C20" s="24" t="s">
        <v>132</v>
      </c>
      <c r="D20" s="24" t="s">
        <v>133</v>
      </c>
      <c r="E20" s="23" t="s">
        <v>32</v>
      </c>
      <c r="F20" s="24" t="s">
        <v>25</v>
      </c>
      <c r="G20" s="23" t="s">
        <v>14</v>
      </c>
      <c r="H20" s="25">
        <v>36000</v>
      </c>
      <c r="I20" s="26">
        <f>IF($G20="","",IFERROR(VLOOKUP($G20,Konfiguration!$B$7:$C$12,2,FALSE),""))</f>
        <v>1</v>
      </c>
      <c r="J20" s="10">
        <f t="shared" si="0"/>
        <v>36000</v>
      </c>
      <c r="K20" s="27">
        <v>46050</v>
      </c>
      <c r="L20" s="27">
        <v>46127</v>
      </c>
      <c r="M20" s="27">
        <v>46128</v>
      </c>
      <c r="N20" s="8" t="str">
        <f t="shared" ca="1" si="1"/>
        <v>—</v>
      </c>
      <c r="O20" s="28" t="str">
        <f t="shared" si="2"/>
        <v>Gewonnen</v>
      </c>
      <c r="P20" s="24" t="s">
        <v>134</v>
      </c>
    </row>
    <row r="21" spans="1:16" ht="26.1" customHeight="1" x14ac:dyDescent="0.25">
      <c r="A21" s="17" t="s">
        <v>135</v>
      </c>
      <c r="B21" s="18" t="s">
        <v>136</v>
      </c>
      <c r="C21" s="18" t="s">
        <v>137</v>
      </c>
      <c r="D21" s="18" t="s">
        <v>138</v>
      </c>
      <c r="E21" s="17" t="s">
        <v>36</v>
      </c>
      <c r="F21" s="18" t="s">
        <v>19</v>
      </c>
      <c r="G21" s="17" t="s">
        <v>24</v>
      </c>
      <c r="H21" s="19">
        <v>148000</v>
      </c>
      <c r="I21" s="20">
        <f>IF($G21="","",IFERROR(VLOOKUP($G21,Konfiguration!$B$7:$C$12,2,FALSE),""))</f>
        <v>0.75</v>
      </c>
      <c r="J21" s="5">
        <f t="shared" si="0"/>
        <v>111000</v>
      </c>
      <c r="K21" s="21">
        <v>46073</v>
      </c>
      <c r="L21" s="21">
        <v>46233</v>
      </c>
      <c r="M21" s="21">
        <v>46200</v>
      </c>
      <c r="N21" s="3">
        <f t="shared" ca="1" si="1"/>
        <v>8</v>
      </c>
      <c r="O21" s="22" t="str">
        <f t="shared" si="2"/>
        <v>Offen</v>
      </c>
      <c r="P21" s="18" t="s">
        <v>139</v>
      </c>
    </row>
    <row r="22" spans="1:16" ht="26.1" customHeight="1" x14ac:dyDescent="0.25">
      <c r="A22" s="23" t="s">
        <v>140</v>
      </c>
      <c r="B22" s="24" t="s">
        <v>141</v>
      </c>
      <c r="C22" s="24" t="s">
        <v>142</v>
      </c>
      <c r="D22" s="24" t="s">
        <v>143</v>
      </c>
      <c r="E22" s="23" t="s">
        <v>37</v>
      </c>
      <c r="F22" s="24" t="s">
        <v>21</v>
      </c>
      <c r="G22" s="23" t="s">
        <v>20</v>
      </c>
      <c r="H22" s="25">
        <v>69000</v>
      </c>
      <c r="I22" s="26">
        <f>IF($G22="","",IFERROR(VLOOKUP($G22,Konfiguration!$B$7:$C$12,2,FALSE),""))</f>
        <v>0.3</v>
      </c>
      <c r="J22" s="10">
        <f t="shared" si="0"/>
        <v>20700</v>
      </c>
      <c r="K22" s="27">
        <v>46169</v>
      </c>
      <c r="L22" s="27">
        <v>46305</v>
      </c>
      <c r="M22" s="27">
        <v>46197</v>
      </c>
      <c r="N22" s="8">
        <f t="shared" ca="1" si="1"/>
        <v>11</v>
      </c>
      <c r="O22" s="28" t="str">
        <f t="shared" si="2"/>
        <v>Offen</v>
      </c>
      <c r="P22" s="24" t="s">
        <v>144</v>
      </c>
    </row>
    <row r="23" spans="1:16" ht="26.1" customHeight="1" x14ac:dyDescent="0.25">
      <c r="A23" s="17" t="s">
        <v>145</v>
      </c>
      <c r="B23" s="18" t="s">
        <v>146</v>
      </c>
      <c r="C23" s="18" t="s">
        <v>147</v>
      </c>
      <c r="D23" s="18" t="s">
        <v>67</v>
      </c>
      <c r="E23" s="17" t="s">
        <v>33</v>
      </c>
      <c r="F23" s="18" t="s">
        <v>23</v>
      </c>
      <c r="G23" s="17" t="s">
        <v>18</v>
      </c>
      <c r="H23" s="19">
        <v>45000</v>
      </c>
      <c r="I23" s="20">
        <f>IF($G23="","",IFERROR(VLOOKUP($G23,Konfiguration!$B$7:$C$12,2,FALSE),""))</f>
        <v>0.1</v>
      </c>
      <c r="J23" s="5">
        <f t="shared" si="0"/>
        <v>4500</v>
      </c>
      <c r="K23" s="21">
        <v>46195</v>
      </c>
      <c r="L23" s="21">
        <v>46357</v>
      </c>
      <c r="M23" s="21">
        <v>46195</v>
      </c>
      <c r="N23" s="3">
        <f t="shared" ca="1" si="1"/>
        <v>13</v>
      </c>
      <c r="O23" s="22" t="str">
        <f t="shared" si="2"/>
        <v>Offen</v>
      </c>
      <c r="P23" s="18" t="s">
        <v>148</v>
      </c>
    </row>
    <row r="24" spans="1:16" ht="26.1" customHeight="1" x14ac:dyDescent="0.25">
      <c r="A24" s="23" t="s">
        <v>149</v>
      </c>
      <c r="B24" s="24" t="s">
        <v>150</v>
      </c>
      <c r="C24" s="24" t="s">
        <v>151</v>
      </c>
      <c r="D24" s="24" t="s">
        <v>62</v>
      </c>
      <c r="E24" s="23" t="s">
        <v>35</v>
      </c>
      <c r="F24" s="24" t="s">
        <v>25</v>
      </c>
      <c r="G24" s="23" t="s">
        <v>83</v>
      </c>
      <c r="H24" s="25">
        <v>52000</v>
      </c>
      <c r="I24" s="26">
        <f>IF($G24="","",IFERROR(VLOOKUP($G24,Konfiguration!$B$7:$C$12,2,FALSE),""))</f>
        <v>0</v>
      </c>
      <c r="J24" s="10">
        <f t="shared" si="0"/>
        <v>0</v>
      </c>
      <c r="K24" s="27">
        <v>46032</v>
      </c>
      <c r="L24" s="27">
        <v>46112</v>
      </c>
      <c r="M24" s="27">
        <v>46106</v>
      </c>
      <c r="N24" s="8" t="str">
        <f t="shared" ca="1" si="1"/>
        <v>—</v>
      </c>
      <c r="O24" s="28" t="str">
        <f t="shared" si="2"/>
        <v>Verloren</v>
      </c>
      <c r="P24" s="24" t="s">
        <v>152</v>
      </c>
    </row>
    <row r="25" spans="1:16" ht="26.1" customHeight="1" x14ac:dyDescent="0.25">
      <c r="A25" s="17"/>
      <c r="B25" s="18"/>
      <c r="C25" s="18"/>
      <c r="D25" s="18"/>
      <c r="E25" s="17"/>
      <c r="F25" s="18"/>
      <c r="G25" s="17"/>
      <c r="H25" s="19"/>
      <c r="I25" s="20" t="str">
        <f>IF($G25="","",IFERROR(VLOOKUP($G25,Konfiguration!$B$7:$C$12,2,FALSE),""))</f>
        <v/>
      </c>
      <c r="J25" s="5" t="str">
        <f t="shared" si="0"/>
        <v/>
      </c>
      <c r="K25" s="21"/>
      <c r="L25" s="21"/>
      <c r="M25" s="21"/>
      <c r="N25" s="3" t="str">
        <f t="shared" ca="1" si="1"/>
        <v/>
      </c>
      <c r="O25" s="22" t="str">
        <f t="shared" si="2"/>
        <v/>
      </c>
      <c r="P25" s="18"/>
    </row>
    <row r="26" spans="1:16" ht="26.1" customHeight="1" x14ac:dyDescent="0.25">
      <c r="A26" s="23"/>
      <c r="B26" s="24"/>
      <c r="C26" s="24"/>
      <c r="D26" s="24"/>
      <c r="E26" s="23"/>
      <c r="F26" s="24"/>
      <c r="G26" s="23"/>
      <c r="H26" s="25"/>
      <c r="I26" s="26" t="str">
        <f>IF($G26="","",IFERROR(VLOOKUP($G26,Konfiguration!$B$7:$C$12,2,FALSE),""))</f>
        <v/>
      </c>
      <c r="J26" s="10" t="str">
        <f t="shared" si="0"/>
        <v/>
      </c>
      <c r="K26" s="27"/>
      <c r="L26" s="27"/>
      <c r="M26" s="27"/>
      <c r="N26" s="8" t="str">
        <f t="shared" ca="1" si="1"/>
        <v/>
      </c>
      <c r="O26" s="28" t="str">
        <f t="shared" si="2"/>
        <v/>
      </c>
      <c r="P26" s="24"/>
    </row>
    <row r="27" spans="1:16" ht="26.1" customHeight="1" x14ac:dyDescent="0.25">
      <c r="A27" s="17"/>
      <c r="B27" s="18"/>
      <c r="C27" s="18"/>
      <c r="D27" s="18"/>
      <c r="E27" s="17"/>
      <c r="F27" s="18"/>
      <c r="G27" s="17"/>
      <c r="H27" s="19"/>
      <c r="I27" s="20" t="str">
        <f>IF($G27="","",IFERROR(VLOOKUP($G27,Konfiguration!$B$7:$C$12,2,FALSE),""))</f>
        <v/>
      </c>
      <c r="J27" s="5" t="str">
        <f t="shared" si="0"/>
        <v/>
      </c>
      <c r="K27" s="21"/>
      <c r="L27" s="21"/>
      <c r="M27" s="21"/>
      <c r="N27" s="3" t="str">
        <f t="shared" ca="1" si="1"/>
        <v/>
      </c>
      <c r="O27" s="22" t="str">
        <f t="shared" si="2"/>
        <v/>
      </c>
      <c r="P27" s="18"/>
    </row>
    <row r="28" spans="1:16" ht="26.1" customHeight="1" x14ac:dyDescent="0.25">
      <c r="A28" s="23"/>
      <c r="B28" s="24"/>
      <c r="C28" s="24"/>
      <c r="D28" s="24"/>
      <c r="E28" s="23"/>
      <c r="F28" s="24"/>
      <c r="G28" s="23"/>
      <c r="H28" s="25"/>
      <c r="I28" s="26" t="str">
        <f>IF($G28="","",IFERROR(VLOOKUP($G28,Konfiguration!$B$7:$C$12,2,FALSE),""))</f>
        <v/>
      </c>
      <c r="J28" s="10" t="str">
        <f t="shared" si="0"/>
        <v/>
      </c>
      <c r="K28" s="27"/>
      <c r="L28" s="27"/>
      <c r="M28" s="27"/>
      <c r="N28" s="8" t="str">
        <f t="shared" ca="1" si="1"/>
        <v/>
      </c>
      <c r="O28" s="28" t="str">
        <f t="shared" si="2"/>
        <v/>
      </c>
      <c r="P28" s="24"/>
    </row>
    <row r="29" spans="1:16" ht="26.1" customHeight="1" x14ac:dyDescent="0.25">
      <c r="A29" s="17"/>
      <c r="B29" s="18"/>
      <c r="C29" s="18"/>
      <c r="D29" s="18"/>
      <c r="E29" s="17"/>
      <c r="F29" s="18"/>
      <c r="G29" s="17"/>
      <c r="H29" s="19"/>
      <c r="I29" s="20" t="str">
        <f>IF($G29="","",IFERROR(VLOOKUP($G29,Konfiguration!$B$7:$C$12,2,FALSE),""))</f>
        <v/>
      </c>
      <c r="J29" s="5" t="str">
        <f t="shared" si="0"/>
        <v/>
      </c>
      <c r="K29" s="21"/>
      <c r="L29" s="21"/>
      <c r="M29" s="21"/>
      <c r="N29" s="3" t="str">
        <f t="shared" ca="1" si="1"/>
        <v/>
      </c>
      <c r="O29" s="22" t="str">
        <f t="shared" si="2"/>
        <v/>
      </c>
      <c r="P29" s="18"/>
    </row>
    <row r="30" spans="1:16" ht="26.1" customHeight="1" x14ac:dyDescent="0.25">
      <c r="A30" s="23"/>
      <c r="B30" s="24"/>
      <c r="C30" s="24"/>
      <c r="D30" s="24"/>
      <c r="E30" s="23"/>
      <c r="F30" s="24"/>
      <c r="G30" s="23"/>
      <c r="H30" s="25"/>
      <c r="I30" s="26" t="str">
        <f>IF($G30="","",IFERROR(VLOOKUP($G30,Konfiguration!$B$7:$C$12,2,FALSE),""))</f>
        <v/>
      </c>
      <c r="J30" s="10" t="str">
        <f t="shared" si="0"/>
        <v/>
      </c>
      <c r="K30" s="27"/>
      <c r="L30" s="27"/>
      <c r="M30" s="27"/>
      <c r="N30" s="8" t="str">
        <f t="shared" ca="1" si="1"/>
        <v/>
      </c>
      <c r="O30" s="28" t="str">
        <f t="shared" si="2"/>
        <v/>
      </c>
      <c r="P30" s="24"/>
    </row>
    <row r="31" spans="1:16" ht="26.1" customHeight="1" x14ac:dyDescent="0.25">
      <c r="A31" s="17"/>
      <c r="B31" s="18"/>
      <c r="C31" s="18"/>
      <c r="D31" s="18"/>
      <c r="E31" s="17"/>
      <c r="F31" s="18"/>
      <c r="G31" s="17"/>
      <c r="H31" s="19"/>
      <c r="I31" s="20" t="str">
        <f>IF($G31="","",IFERROR(VLOOKUP($G31,Konfiguration!$B$7:$C$12,2,FALSE),""))</f>
        <v/>
      </c>
      <c r="J31" s="5" t="str">
        <f t="shared" si="0"/>
        <v/>
      </c>
      <c r="K31" s="21"/>
      <c r="L31" s="21"/>
      <c r="M31" s="21"/>
      <c r="N31" s="3" t="str">
        <f t="shared" ca="1" si="1"/>
        <v/>
      </c>
      <c r="O31" s="22" t="str">
        <f t="shared" si="2"/>
        <v/>
      </c>
      <c r="P31" s="18"/>
    </row>
    <row r="32" spans="1:16" ht="26.1" customHeight="1" x14ac:dyDescent="0.25">
      <c r="A32" s="23"/>
      <c r="B32" s="24"/>
      <c r="C32" s="24"/>
      <c r="D32" s="24"/>
      <c r="E32" s="23"/>
      <c r="F32" s="24"/>
      <c r="G32" s="23"/>
      <c r="H32" s="25"/>
      <c r="I32" s="26" t="str">
        <f>IF($G32="","",IFERROR(VLOOKUP($G32,Konfiguration!$B$7:$C$12,2,FALSE),""))</f>
        <v/>
      </c>
      <c r="J32" s="10" t="str">
        <f t="shared" si="0"/>
        <v/>
      </c>
      <c r="K32" s="27"/>
      <c r="L32" s="27"/>
      <c r="M32" s="27"/>
      <c r="N32" s="8" t="str">
        <f t="shared" ca="1" si="1"/>
        <v/>
      </c>
      <c r="O32" s="28" t="str">
        <f t="shared" si="2"/>
        <v/>
      </c>
      <c r="P32" s="24"/>
    </row>
    <row r="33" spans="1:16" ht="26.1" customHeight="1" x14ac:dyDescent="0.25">
      <c r="A33" s="17"/>
      <c r="B33" s="18"/>
      <c r="C33" s="18"/>
      <c r="D33" s="18"/>
      <c r="E33" s="17"/>
      <c r="F33" s="18"/>
      <c r="G33" s="17"/>
      <c r="H33" s="19"/>
      <c r="I33" s="20" t="str">
        <f>IF($G33="","",IFERROR(VLOOKUP($G33,Konfiguration!$B$7:$C$12,2,FALSE),""))</f>
        <v/>
      </c>
      <c r="J33" s="5" t="str">
        <f t="shared" si="0"/>
        <v/>
      </c>
      <c r="K33" s="21"/>
      <c r="L33" s="21"/>
      <c r="M33" s="21"/>
      <c r="N33" s="3" t="str">
        <f t="shared" ca="1" si="1"/>
        <v/>
      </c>
      <c r="O33" s="22" t="str">
        <f t="shared" si="2"/>
        <v/>
      </c>
      <c r="P33" s="18"/>
    </row>
    <row r="34" spans="1:16" ht="26.1" customHeight="1" x14ac:dyDescent="0.25">
      <c r="A34" s="23"/>
      <c r="B34" s="24"/>
      <c r="C34" s="24"/>
      <c r="D34" s="24"/>
      <c r="E34" s="23"/>
      <c r="F34" s="24"/>
      <c r="G34" s="23"/>
      <c r="H34" s="25"/>
      <c r="I34" s="26" t="str">
        <f>IF($G34="","",IFERROR(VLOOKUP($G34,Konfiguration!$B$7:$C$12,2,FALSE),""))</f>
        <v/>
      </c>
      <c r="J34" s="10" t="str">
        <f t="shared" si="0"/>
        <v/>
      </c>
      <c r="K34" s="27"/>
      <c r="L34" s="27"/>
      <c r="M34" s="27"/>
      <c r="N34" s="8" t="str">
        <f t="shared" ca="1" si="1"/>
        <v/>
      </c>
      <c r="O34" s="28" t="str">
        <f t="shared" si="2"/>
        <v/>
      </c>
      <c r="P34" s="24"/>
    </row>
    <row r="35" spans="1:16" ht="26.1" customHeight="1" x14ac:dyDescent="0.25">
      <c r="A35" s="17"/>
      <c r="B35" s="18"/>
      <c r="C35" s="18"/>
      <c r="D35" s="18"/>
      <c r="E35" s="17"/>
      <c r="F35" s="18"/>
      <c r="G35" s="17"/>
      <c r="H35" s="19"/>
      <c r="I35" s="20" t="str">
        <f>IF($G35="","",IFERROR(VLOOKUP($G35,Konfiguration!$B$7:$C$12,2,FALSE),""))</f>
        <v/>
      </c>
      <c r="J35" s="5" t="str">
        <f t="shared" si="0"/>
        <v/>
      </c>
      <c r="K35" s="21"/>
      <c r="L35" s="21"/>
      <c r="M35" s="21"/>
      <c r="N35" s="3" t="str">
        <f t="shared" ca="1" si="1"/>
        <v/>
      </c>
      <c r="O35" s="22" t="str">
        <f t="shared" si="2"/>
        <v/>
      </c>
      <c r="P35" s="18"/>
    </row>
    <row r="36" spans="1:16" ht="26.1" customHeight="1" x14ac:dyDescent="0.25">
      <c r="A36" s="23"/>
      <c r="B36" s="24"/>
      <c r="C36" s="24"/>
      <c r="D36" s="24"/>
      <c r="E36" s="23"/>
      <c r="F36" s="24"/>
      <c r="G36" s="23"/>
      <c r="H36" s="25"/>
      <c r="I36" s="26" t="str">
        <f>IF($G36="","",IFERROR(VLOOKUP($G36,Konfiguration!$B$7:$C$12,2,FALSE),""))</f>
        <v/>
      </c>
      <c r="J36" s="10" t="str">
        <f t="shared" si="0"/>
        <v/>
      </c>
      <c r="K36" s="27"/>
      <c r="L36" s="27"/>
      <c r="M36" s="27"/>
      <c r="N36" s="8" t="str">
        <f t="shared" ca="1" si="1"/>
        <v/>
      </c>
      <c r="O36" s="28" t="str">
        <f t="shared" si="2"/>
        <v/>
      </c>
      <c r="P36" s="24"/>
    </row>
    <row r="37" spans="1:16" ht="26.1" customHeight="1" x14ac:dyDescent="0.25">
      <c r="A37" s="17"/>
      <c r="B37" s="18"/>
      <c r="C37" s="18"/>
      <c r="D37" s="18"/>
      <c r="E37" s="17"/>
      <c r="F37" s="18"/>
      <c r="G37" s="17"/>
      <c r="H37" s="19"/>
      <c r="I37" s="20" t="str">
        <f>IF($G37="","",IFERROR(VLOOKUP($G37,Konfiguration!$B$7:$C$12,2,FALSE),""))</f>
        <v/>
      </c>
      <c r="J37" s="5" t="str">
        <f t="shared" si="0"/>
        <v/>
      </c>
      <c r="K37" s="21"/>
      <c r="L37" s="21"/>
      <c r="M37" s="21"/>
      <c r="N37" s="3" t="str">
        <f t="shared" ca="1" si="1"/>
        <v/>
      </c>
      <c r="O37" s="22" t="str">
        <f t="shared" si="2"/>
        <v/>
      </c>
      <c r="P37" s="18"/>
    </row>
    <row r="38" spans="1:16" ht="26.1" customHeight="1" x14ac:dyDescent="0.25">
      <c r="A38" s="23"/>
      <c r="B38" s="24"/>
      <c r="C38" s="24"/>
      <c r="D38" s="24"/>
      <c r="E38" s="23"/>
      <c r="F38" s="24"/>
      <c r="G38" s="23"/>
      <c r="H38" s="25"/>
      <c r="I38" s="26" t="str">
        <f>IF($G38="","",IFERROR(VLOOKUP($G38,Konfiguration!$B$7:$C$12,2,FALSE),""))</f>
        <v/>
      </c>
      <c r="J38" s="10" t="str">
        <f t="shared" si="0"/>
        <v/>
      </c>
      <c r="K38" s="27"/>
      <c r="L38" s="27"/>
      <c r="M38" s="27"/>
      <c r="N38" s="8" t="str">
        <f t="shared" ca="1" si="1"/>
        <v/>
      </c>
      <c r="O38" s="28" t="str">
        <f t="shared" si="2"/>
        <v/>
      </c>
      <c r="P38" s="24"/>
    </row>
    <row r="39" spans="1:16" ht="26.1" customHeight="1" x14ac:dyDescent="0.25">
      <c r="A39" s="17"/>
      <c r="B39" s="18"/>
      <c r="C39" s="18"/>
      <c r="D39" s="18"/>
      <c r="E39" s="17"/>
      <c r="F39" s="18"/>
      <c r="G39" s="17"/>
      <c r="H39" s="19"/>
      <c r="I39" s="20" t="str">
        <f>IF($G39="","",IFERROR(VLOOKUP($G39,Konfiguration!$B$7:$C$12,2,FALSE),""))</f>
        <v/>
      </c>
      <c r="J39" s="5" t="str">
        <f t="shared" si="0"/>
        <v/>
      </c>
      <c r="K39" s="21"/>
      <c r="L39" s="21"/>
      <c r="M39" s="21"/>
      <c r="N39" s="3" t="str">
        <f t="shared" ca="1" si="1"/>
        <v/>
      </c>
      <c r="O39" s="22" t="str">
        <f t="shared" si="2"/>
        <v/>
      </c>
      <c r="P39" s="18"/>
    </row>
    <row r="40" spans="1:16" ht="26.1" customHeight="1" x14ac:dyDescent="0.25">
      <c r="A40" s="23"/>
      <c r="B40" s="24"/>
      <c r="C40" s="24"/>
      <c r="D40" s="24"/>
      <c r="E40" s="23"/>
      <c r="F40" s="24"/>
      <c r="G40" s="23"/>
      <c r="H40" s="25"/>
      <c r="I40" s="26" t="str">
        <f>IF($G40="","",IFERROR(VLOOKUP($G40,Konfiguration!$B$7:$C$12,2,FALSE),""))</f>
        <v/>
      </c>
      <c r="J40" s="10" t="str">
        <f t="shared" si="0"/>
        <v/>
      </c>
      <c r="K40" s="27"/>
      <c r="L40" s="27"/>
      <c r="M40" s="27"/>
      <c r="N40" s="8" t="str">
        <f t="shared" ca="1" si="1"/>
        <v/>
      </c>
      <c r="O40" s="28" t="str">
        <f t="shared" si="2"/>
        <v/>
      </c>
      <c r="P40" s="24"/>
    </row>
    <row r="41" spans="1:16" ht="26.1" customHeight="1" x14ac:dyDescent="0.25">
      <c r="A41" s="17"/>
      <c r="B41" s="18"/>
      <c r="C41" s="18"/>
      <c r="D41" s="18"/>
      <c r="E41" s="17"/>
      <c r="F41" s="18"/>
      <c r="G41" s="17"/>
      <c r="H41" s="19"/>
      <c r="I41" s="20" t="str">
        <f>IF($G41="","",IFERROR(VLOOKUP($G41,Konfiguration!$B$7:$C$12,2,FALSE),""))</f>
        <v/>
      </c>
      <c r="J41" s="5" t="str">
        <f t="shared" si="0"/>
        <v/>
      </c>
      <c r="K41" s="21"/>
      <c r="L41" s="21"/>
      <c r="M41" s="21"/>
      <c r="N41" s="3" t="str">
        <f t="shared" ca="1" si="1"/>
        <v/>
      </c>
      <c r="O41" s="22" t="str">
        <f t="shared" si="2"/>
        <v/>
      </c>
      <c r="P41" s="18"/>
    </row>
    <row r="42" spans="1:16" ht="26.1" customHeight="1" x14ac:dyDescent="0.25">
      <c r="A42" s="23"/>
      <c r="B42" s="24"/>
      <c r="C42" s="24"/>
      <c r="D42" s="24"/>
      <c r="E42" s="23"/>
      <c r="F42" s="24"/>
      <c r="G42" s="23"/>
      <c r="H42" s="25"/>
      <c r="I42" s="26" t="str">
        <f>IF($G42="","",IFERROR(VLOOKUP($G42,Konfiguration!$B$7:$C$12,2,FALSE),""))</f>
        <v/>
      </c>
      <c r="J42" s="10" t="str">
        <f t="shared" si="0"/>
        <v/>
      </c>
      <c r="K42" s="27"/>
      <c r="L42" s="27"/>
      <c r="M42" s="27"/>
      <c r="N42" s="8" t="str">
        <f t="shared" ca="1" si="1"/>
        <v/>
      </c>
      <c r="O42" s="28" t="str">
        <f t="shared" si="2"/>
        <v/>
      </c>
      <c r="P42" s="24"/>
    </row>
    <row r="43" spans="1:16" ht="26.1" customHeight="1" x14ac:dyDescent="0.25">
      <c r="A43" s="17"/>
      <c r="B43" s="18"/>
      <c r="C43" s="18"/>
      <c r="D43" s="18"/>
      <c r="E43" s="17"/>
      <c r="F43" s="18"/>
      <c r="G43" s="17"/>
      <c r="H43" s="19"/>
      <c r="I43" s="20" t="str">
        <f>IF($G43="","",IFERROR(VLOOKUP($G43,Konfiguration!$B$7:$C$12,2,FALSE),""))</f>
        <v/>
      </c>
      <c r="J43" s="5" t="str">
        <f t="shared" si="0"/>
        <v/>
      </c>
      <c r="K43" s="21"/>
      <c r="L43" s="21"/>
      <c r="M43" s="21"/>
      <c r="N43" s="3" t="str">
        <f t="shared" ca="1" si="1"/>
        <v/>
      </c>
      <c r="O43" s="22" t="str">
        <f t="shared" si="2"/>
        <v/>
      </c>
      <c r="P43" s="18"/>
    </row>
    <row r="44" spans="1:16" ht="26.1" customHeight="1" x14ac:dyDescent="0.25">
      <c r="A44" s="23"/>
      <c r="B44" s="24"/>
      <c r="C44" s="24"/>
      <c r="D44" s="24"/>
      <c r="E44" s="23"/>
      <c r="F44" s="24"/>
      <c r="G44" s="23"/>
      <c r="H44" s="25"/>
      <c r="I44" s="26" t="str">
        <f>IF($G44="","",IFERROR(VLOOKUP($G44,Konfiguration!$B$7:$C$12,2,FALSE),""))</f>
        <v/>
      </c>
      <c r="J44" s="10" t="str">
        <f t="shared" si="0"/>
        <v/>
      </c>
      <c r="K44" s="27"/>
      <c r="L44" s="27"/>
      <c r="M44" s="27"/>
      <c r="N44" s="8" t="str">
        <f t="shared" ca="1" si="1"/>
        <v/>
      </c>
      <c r="O44" s="28" t="str">
        <f t="shared" si="2"/>
        <v/>
      </c>
      <c r="P44" s="24"/>
    </row>
    <row r="45" spans="1:16" ht="26.1" customHeight="1" x14ac:dyDescent="0.25">
      <c r="A45" s="17"/>
      <c r="B45" s="18"/>
      <c r="C45" s="18"/>
      <c r="D45" s="18"/>
      <c r="E45" s="17"/>
      <c r="F45" s="18"/>
      <c r="G45" s="17"/>
      <c r="H45" s="19"/>
      <c r="I45" s="20" t="str">
        <f>IF($G45="","",IFERROR(VLOOKUP($G45,Konfiguration!$B$7:$C$12,2,FALSE),""))</f>
        <v/>
      </c>
      <c r="J45" s="5" t="str">
        <f t="shared" si="0"/>
        <v/>
      </c>
      <c r="K45" s="21"/>
      <c r="L45" s="21"/>
      <c r="M45" s="21"/>
      <c r="N45" s="3" t="str">
        <f t="shared" ca="1" si="1"/>
        <v/>
      </c>
      <c r="O45" s="22" t="str">
        <f t="shared" si="2"/>
        <v/>
      </c>
      <c r="P45" s="18"/>
    </row>
    <row r="46" spans="1:16" ht="26.1" customHeight="1" x14ac:dyDescent="0.25">
      <c r="A46" s="23"/>
      <c r="B46" s="24"/>
      <c r="C46" s="24"/>
      <c r="D46" s="24"/>
      <c r="E46" s="23"/>
      <c r="F46" s="24"/>
      <c r="G46" s="23"/>
      <c r="H46" s="25"/>
      <c r="I46" s="26" t="str">
        <f>IF($G46="","",IFERROR(VLOOKUP($G46,Konfiguration!$B$7:$C$12,2,FALSE),""))</f>
        <v/>
      </c>
      <c r="J46" s="10" t="str">
        <f t="shared" si="0"/>
        <v/>
      </c>
      <c r="K46" s="27"/>
      <c r="L46" s="27"/>
      <c r="M46" s="27"/>
      <c r="N46" s="8" t="str">
        <f t="shared" ca="1" si="1"/>
        <v/>
      </c>
      <c r="O46" s="28" t="str">
        <f t="shared" si="2"/>
        <v/>
      </c>
      <c r="P46" s="24"/>
    </row>
    <row r="47" spans="1:16" ht="27.95" customHeight="1" x14ac:dyDescent="0.25">
      <c r="A47" s="53" t="s">
        <v>153</v>
      </c>
      <c r="B47" s="54"/>
      <c r="C47" s="54"/>
      <c r="D47" s="54"/>
      <c r="E47" s="54"/>
      <c r="F47" s="54"/>
      <c r="G47" s="54"/>
      <c r="H47" s="30">
        <f>SUM(H5:H46)</f>
        <v>1404500</v>
      </c>
      <c r="I47" s="29"/>
      <c r="J47" s="30">
        <f>SUM(J5:J46)</f>
        <v>772550</v>
      </c>
      <c r="K47" s="29"/>
      <c r="L47" s="29"/>
      <c r="M47" s="29"/>
      <c r="N47" s="29"/>
      <c r="O47" s="29"/>
      <c r="P47" s="29"/>
    </row>
  </sheetData>
  <autoFilter ref="A4:P46" xr:uid="{00000000-0009-0000-0000-000001000000}"/>
  <mergeCells count="3">
    <mergeCell ref="A1:P1"/>
    <mergeCell ref="A47:G47"/>
    <mergeCell ref="A2:P2"/>
  </mergeCells>
  <conditionalFormatting sqref="N5:N46">
    <cfRule type="cellIs" dxfId="4" priority="1" operator="greaterThan">
      <formula>30</formula>
    </cfRule>
    <cfRule type="cellIs" dxfId="3" priority="2" operator="between">
      <formula>15</formula>
      <formula>30</formula>
    </cfRule>
  </conditionalFormatting>
  <conditionalFormatting sqref="O5:O46">
    <cfRule type="cellIs" dxfId="2" priority="3" operator="equal">
      <formula>"Gewonnen"</formula>
    </cfRule>
    <cfRule type="cellIs" dxfId="1" priority="4" operator="equal">
      <formula>"Verloren"</formula>
    </cfRule>
    <cfRule type="cellIs" dxfId="0" priority="5" operator="equal">
      <formula>"Offen"</formula>
    </cfRule>
  </conditionalFormatting>
  <pageMargins left="0.75" right="0.75" top="1" bottom="1" header="0.5" footer="0.5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100-000000000000}">
          <x14:formula1>
            <xm:f>Konfiguration!$B$7:$B$12</xm:f>
          </x14:formula1>
          <xm:sqref>G5:G46</xm:sqref>
        </x14:dataValidation>
        <x14:dataValidation type="list" allowBlank="1" xr:uid="{00000000-0002-0000-0100-000001000000}">
          <x14:formula1>
            <xm:f>Konfiguration!$I$7:$I$12</xm:f>
          </x14:formula1>
          <xm:sqref>E5:E46</xm:sqref>
        </x14:dataValidation>
        <x14:dataValidation type="list" allowBlank="1" xr:uid="{00000000-0002-0000-0100-000002000000}">
          <x14:formula1>
            <xm:f>Konfiguration!$F$7:$F$10</xm:f>
          </x14:formula1>
          <xm:sqref>F5:F46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8893B"/>
    <pageSetUpPr fitToPage="1"/>
  </sheetPr>
  <dimension ref="B2:I12"/>
  <sheetViews>
    <sheetView showGridLines="0" workbookViewId="0"/>
  </sheetViews>
  <sheetFormatPr baseColWidth="10" defaultColWidth="9.140625" defaultRowHeight="15" x14ac:dyDescent="0.25"/>
  <cols>
    <col min="1" max="1" width="2.42578125" customWidth="1"/>
    <col min="2" max="2" width="22" customWidth="1"/>
    <col min="3" max="3" width="16" customWidth="1"/>
    <col min="4" max="4" width="12" customWidth="1"/>
    <col min="5" max="5" width="3" customWidth="1"/>
    <col min="6" max="6" width="22" customWidth="1"/>
    <col min="7" max="7" width="16" customWidth="1"/>
    <col min="8" max="8" width="3" customWidth="1"/>
    <col min="9" max="9" width="16" customWidth="1"/>
  </cols>
  <sheetData>
    <row r="2" spans="2:9" ht="21" x14ac:dyDescent="0.35">
      <c r="B2" s="31" t="s">
        <v>154</v>
      </c>
    </row>
    <row r="3" spans="2:9" x14ac:dyDescent="0.25">
      <c r="B3" s="32" t="s">
        <v>155</v>
      </c>
    </row>
    <row r="5" spans="2:9" ht="15.75" x14ac:dyDescent="0.25">
      <c r="B5" s="56" t="s">
        <v>156</v>
      </c>
      <c r="C5" s="57"/>
      <c r="D5" s="57"/>
      <c r="F5" s="56" t="s">
        <v>157</v>
      </c>
      <c r="G5" s="56"/>
      <c r="I5" s="33" t="s">
        <v>158</v>
      </c>
    </row>
    <row r="6" spans="2:9" x14ac:dyDescent="0.25">
      <c r="B6" s="1" t="s">
        <v>9</v>
      </c>
      <c r="C6" s="1" t="s">
        <v>159</v>
      </c>
      <c r="D6" s="1" t="s">
        <v>160</v>
      </c>
      <c r="F6" s="1" t="s">
        <v>45</v>
      </c>
      <c r="G6" s="1" t="s">
        <v>161</v>
      </c>
      <c r="I6" s="1" t="s">
        <v>29</v>
      </c>
    </row>
    <row r="7" spans="2:9" x14ac:dyDescent="0.25">
      <c r="B7" s="34" t="s">
        <v>18</v>
      </c>
      <c r="C7" s="20">
        <v>0.1</v>
      </c>
      <c r="D7" s="35" t="s">
        <v>162</v>
      </c>
      <c r="F7" s="34" t="s">
        <v>19</v>
      </c>
      <c r="G7" s="4">
        <v>320000</v>
      </c>
      <c r="I7" s="34" t="s">
        <v>32</v>
      </c>
    </row>
    <row r="8" spans="2:9" x14ac:dyDescent="0.25">
      <c r="B8" s="36" t="s">
        <v>20</v>
      </c>
      <c r="C8" s="26">
        <v>0.3</v>
      </c>
      <c r="D8" s="37" t="s">
        <v>162</v>
      </c>
      <c r="F8" s="36" t="s">
        <v>21</v>
      </c>
      <c r="G8" s="9">
        <v>360000</v>
      </c>
      <c r="I8" s="36" t="s">
        <v>33</v>
      </c>
    </row>
    <row r="9" spans="2:9" x14ac:dyDescent="0.25">
      <c r="B9" s="34" t="s">
        <v>22</v>
      </c>
      <c r="C9" s="20">
        <v>0.5</v>
      </c>
      <c r="D9" s="35" t="s">
        <v>162</v>
      </c>
      <c r="F9" s="34" t="s">
        <v>23</v>
      </c>
      <c r="G9" s="4">
        <v>280000</v>
      </c>
      <c r="I9" s="34" t="s">
        <v>34</v>
      </c>
    </row>
    <row r="10" spans="2:9" x14ac:dyDescent="0.25">
      <c r="B10" s="36" t="s">
        <v>24</v>
      </c>
      <c r="C10" s="26">
        <v>0.75</v>
      </c>
      <c r="D10" s="37" t="s">
        <v>162</v>
      </c>
      <c r="F10" s="36" t="s">
        <v>25</v>
      </c>
      <c r="G10" s="9">
        <v>300000</v>
      </c>
      <c r="I10" s="36" t="s">
        <v>35</v>
      </c>
    </row>
    <row r="11" spans="2:9" x14ac:dyDescent="0.25">
      <c r="B11" s="34" t="s">
        <v>14</v>
      </c>
      <c r="C11" s="20">
        <v>1</v>
      </c>
      <c r="D11" s="35" t="s">
        <v>14</v>
      </c>
      <c r="I11" s="34" t="s">
        <v>36</v>
      </c>
    </row>
    <row r="12" spans="2:9" x14ac:dyDescent="0.25">
      <c r="B12" s="36" t="s">
        <v>83</v>
      </c>
      <c r="C12" s="26">
        <v>0</v>
      </c>
      <c r="D12" s="37" t="s">
        <v>83</v>
      </c>
      <c r="I12" s="36" t="s">
        <v>37</v>
      </c>
    </row>
  </sheetData>
  <mergeCells count="2">
    <mergeCell ref="B5:D5"/>
    <mergeCell ref="F5:G5"/>
  </mergeCells>
  <pageMargins left="0.75" right="0.75" top="1" bottom="1" header="0.5" footer="0.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Dashboard</vt:lpstr>
      <vt:lpstr>Pipeline</vt:lpstr>
      <vt:lpstr>Konfiguration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2026-07-05T15:51:38Z</dcterms:created>
  <dcterms:modified xsi:type="dcterms:W3CDTF">2026-07-05T16:07:07Z</dcterms:modified>
</cp:coreProperties>
</file>