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BB086DA-C2B3-448A-9D72-CEE0A2158D46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Rechnungsliste" sheetId="2" r:id="rId2"/>
  </sheets>
  <definedNames>
    <definedName name="_xlnm._FilterDatabase" localSheetId="1" hidden="1">Rechnungsliste!$B$5:$Q$45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5" i="2" l="1"/>
  <c r="J45" i="2"/>
  <c r="Q45" i="2" s="1"/>
  <c r="I45" i="2"/>
  <c r="B45" i="2"/>
  <c r="L44" i="2"/>
  <c r="J44" i="2"/>
  <c r="Q44" i="2" s="1"/>
  <c r="I44" i="2"/>
  <c r="B44" i="2"/>
  <c r="L43" i="2"/>
  <c r="J43" i="2"/>
  <c r="Q43" i="2" s="1"/>
  <c r="I43" i="2"/>
  <c r="B43" i="2"/>
  <c r="L42" i="2"/>
  <c r="J42" i="2"/>
  <c r="Q42" i="2" s="1"/>
  <c r="I42" i="2"/>
  <c r="B42" i="2"/>
  <c r="O41" i="2"/>
  <c r="L41" i="2"/>
  <c r="J41" i="2"/>
  <c r="Q41" i="2" s="1"/>
  <c r="I41" i="2"/>
  <c r="B41" i="2"/>
  <c r="O40" i="2"/>
  <c r="L40" i="2"/>
  <c r="J40" i="2"/>
  <c r="Q40" i="2" s="1"/>
  <c r="I40" i="2"/>
  <c r="B40" i="2"/>
  <c r="P39" i="2"/>
  <c r="O39" i="2"/>
  <c r="L39" i="2"/>
  <c r="J39" i="2"/>
  <c r="Q39" i="2" s="1"/>
  <c r="I39" i="2"/>
  <c r="B39" i="2"/>
  <c r="P38" i="2"/>
  <c r="O38" i="2"/>
  <c r="L38" i="2"/>
  <c r="J38" i="2"/>
  <c r="Q38" i="2" s="1"/>
  <c r="I38" i="2"/>
  <c r="B38" i="2"/>
  <c r="P37" i="2"/>
  <c r="O37" i="2"/>
  <c r="L37" i="2"/>
  <c r="J37" i="2"/>
  <c r="Q37" i="2" s="1"/>
  <c r="I37" i="2"/>
  <c r="B37" i="2"/>
  <c r="P36" i="2"/>
  <c r="L36" i="2"/>
  <c r="J36" i="2"/>
  <c r="Q36" i="2" s="1"/>
  <c r="I36" i="2"/>
  <c r="B36" i="2"/>
  <c r="Q35" i="2"/>
  <c r="P35" i="2"/>
  <c r="O35" i="2"/>
  <c r="L35" i="2"/>
  <c r="J35" i="2"/>
  <c r="I35" i="2"/>
  <c r="B35" i="2"/>
  <c r="Q34" i="2"/>
  <c r="P34" i="2"/>
  <c r="O34" i="2"/>
  <c r="L34" i="2"/>
  <c r="J34" i="2"/>
  <c r="I34" i="2"/>
  <c r="B34" i="2"/>
  <c r="Q33" i="2"/>
  <c r="O33" i="2"/>
  <c r="L33" i="2"/>
  <c r="J33" i="2"/>
  <c r="P33" i="2" s="1"/>
  <c r="I33" i="2"/>
  <c r="B33" i="2"/>
  <c r="Q32" i="2"/>
  <c r="P32" i="2"/>
  <c r="O32" i="2"/>
  <c r="L32" i="2"/>
  <c r="J32" i="2"/>
  <c r="I32" i="2"/>
  <c r="B32" i="2"/>
  <c r="L31" i="2"/>
  <c r="J31" i="2"/>
  <c r="O31" i="2" s="1"/>
  <c r="I31" i="2"/>
  <c r="B31" i="2"/>
  <c r="P30" i="2"/>
  <c r="L30" i="2"/>
  <c r="J30" i="2"/>
  <c r="Q30" i="2" s="1"/>
  <c r="I30" i="2"/>
  <c r="B30" i="2"/>
  <c r="Q29" i="2"/>
  <c r="P29" i="2"/>
  <c r="O29" i="2"/>
  <c r="L29" i="2"/>
  <c r="J29" i="2"/>
  <c r="I29" i="2"/>
  <c r="B29" i="2"/>
  <c r="Q28" i="2"/>
  <c r="P28" i="2"/>
  <c r="O28" i="2"/>
  <c r="L28" i="2"/>
  <c r="J28" i="2"/>
  <c r="I28" i="2"/>
  <c r="B28" i="2"/>
  <c r="Q27" i="2"/>
  <c r="P27" i="2"/>
  <c r="O27" i="2"/>
  <c r="L27" i="2"/>
  <c r="J27" i="2"/>
  <c r="I27" i="2"/>
  <c r="B27" i="2"/>
  <c r="Q26" i="2"/>
  <c r="P26" i="2"/>
  <c r="L26" i="2"/>
  <c r="J26" i="2"/>
  <c r="O26" i="2" s="1"/>
  <c r="I26" i="2"/>
  <c r="B26" i="2"/>
  <c r="L25" i="2"/>
  <c r="J25" i="2"/>
  <c r="Q25" i="2" s="1"/>
  <c r="I25" i="2"/>
  <c r="B25" i="2"/>
  <c r="L24" i="2"/>
  <c r="J24" i="2"/>
  <c r="Q24" i="2" s="1"/>
  <c r="I24" i="2"/>
  <c r="B24" i="2"/>
  <c r="L23" i="2"/>
  <c r="J23" i="2"/>
  <c r="I23" i="2"/>
  <c r="B23" i="2"/>
  <c r="L22" i="2"/>
  <c r="I22" i="2"/>
  <c r="J22" i="2" s="1"/>
  <c r="B22" i="2"/>
  <c r="L21" i="2"/>
  <c r="J21" i="2"/>
  <c r="I21" i="2"/>
  <c r="B21" i="2"/>
  <c r="L20" i="2"/>
  <c r="I20" i="2"/>
  <c r="J20" i="2" s="1"/>
  <c r="B20" i="2"/>
  <c r="L19" i="2"/>
  <c r="J19" i="2"/>
  <c r="I19" i="2"/>
  <c r="B19" i="2"/>
  <c r="O18" i="2"/>
  <c r="P18" i="2" s="1"/>
  <c r="L18" i="2"/>
  <c r="J18" i="2"/>
  <c r="I18" i="2"/>
  <c r="B18" i="2"/>
  <c r="N17" i="2"/>
  <c r="L17" i="2"/>
  <c r="J17" i="2"/>
  <c r="I17" i="2"/>
  <c r="B17" i="2"/>
  <c r="O16" i="2"/>
  <c r="L16" i="2"/>
  <c r="J16" i="2"/>
  <c r="I16" i="2"/>
  <c r="B16" i="2"/>
  <c r="L15" i="2"/>
  <c r="I15" i="2"/>
  <c r="J15" i="2" s="1"/>
  <c r="B15" i="2"/>
  <c r="L14" i="2"/>
  <c r="J14" i="2"/>
  <c r="O14" i="2" s="1"/>
  <c r="P14" i="2" s="1"/>
  <c r="Q14" i="2" s="1"/>
  <c r="I14" i="2"/>
  <c r="B14" i="2"/>
  <c r="L13" i="2"/>
  <c r="J13" i="2"/>
  <c r="I13" i="2"/>
  <c r="B13" i="2"/>
  <c r="L12" i="2"/>
  <c r="J12" i="2"/>
  <c r="I12" i="2"/>
  <c r="B12" i="2"/>
  <c r="L11" i="2"/>
  <c r="I11" i="2"/>
  <c r="J11" i="2" s="1"/>
  <c r="B11" i="2"/>
  <c r="N10" i="2"/>
  <c r="L10" i="2"/>
  <c r="J10" i="2"/>
  <c r="I10" i="2"/>
  <c r="B10" i="2"/>
  <c r="L9" i="2"/>
  <c r="J9" i="2"/>
  <c r="N9" i="2" s="1"/>
  <c r="O9" i="2" s="1"/>
  <c r="P9" i="2" s="1"/>
  <c r="Q9" i="2" s="1"/>
  <c r="I9" i="2"/>
  <c r="B9" i="2"/>
  <c r="N8" i="2"/>
  <c r="O8" i="2" s="1"/>
  <c r="L8" i="2"/>
  <c r="J8" i="2"/>
  <c r="I8" i="2"/>
  <c r="B8" i="2"/>
  <c r="L7" i="2"/>
  <c r="J7" i="2"/>
  <c r="I7" i="2"/>
  <c r="B7" i="2"/>
  <c r="L6" i="2"/>
  <c r="I6" i="2"/>
  <c r="J6" i="2" s="1"/>
  <c r="B6" i="2"/>
  <c r="D34" i="1"/>
  <c r="C34" i="1"/>
  <c r="E34" i="1" s="1"/>
  <c r="D33" i="1"/>
  <c r="C33" i="1"/>
  <c r="E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D26" i="1"/>
  <c r="C26" i="1"/>
  <c r="E26" i="1" s="1"/>
  <c r="D25" i="1"/>
  <c r="C25" i="1"/>
  <c r="E25" i="1" s="1"/>
  <c r="D24" i="1"/>
  <c r="C24" i="1"/>
  <c r="E24" i="1" s="1"/>
  <c r="D23" i="1"/>
  <c r="D35" i="1" s="1"/>
  <c r="C23" i="1"/>
  <c r="E23" i="1" s="1"/>
  <c r="H8" i="1"/>
  <c r="D8" i="1"/>
  <c r="B8" i="1"/>
  <c r="F5" i="1"/>
  <c r="O22" i="2" l="1"/>
  <c r="P22" i="2" s="1"/>
  <c r="Q22" i="2" s="1"/>
  <c r="O20" i="2"/>
  <c r="P20" i="2" s="1"/>
  <c r="Q20" i="2" s="1"/>
  <c r="N6" i="2"/>
  <c r="H11" i="1"/>
  <c r="F8" i="1"/>
  <c r="E35" i="1"/>
  <c r="N15" i="2"/>
  <c r="O15" i="2" s="1"/>
  <c r="P15" i="2" s="1"/>
  <c r="Q15" i="2" s="1"/>
  <c r="P8" i="2"/>
  <c r="Q8" i="2" s="1"/>
  <c r="N11" i="2"/>
  <c r="O11" i="2" s="1"/>
  <c r="P11" i="2" s="1"/>
  <c r="Q11" i="2" s="1"/>
  <c r="P13" i="2"/>
  <c r="Q13" i="2" s="1"/>
  <c r="Q18" i="2"/>
  <c r="O17" i="2"/>
  <c r="P31" i="2"/>
  <c r="N7" i="2"/>
  <c r="N12" i="2"/>
  <c r="P17" i="2"/>
  <c r="Q17" i="2" s="1"/>
  <c r="Q31" i="2"/>
  <c r="O7" i="2"/>
  <c r="O12" i="2"/>
  <c r="P7" i="2"/>
  <c r="Q7" i="2" s="1"/>
  <c r="P12" i="2"/>
  <c r="Q12" i="2" s="1"/>
  <c r="O23" i="2"/>
  <c r="P23" i="2" s="1"/>
  <c r="Q23" i="2" s="1"/>
  <c r="P40" i="2"/>
  <c r="O43" i="2"/>
  <c r="C35" i="1"/>
  <c r="P43" i="2"/>
  <c r="O10" i="2"/>
  <c r="P10" i="2" s="1"/>
  <c r="Q10" i="2" s="1"/>
  <c r="N13" i="2"/>
  <c r="O13" i="2" s="1"/>
  <c r="O21" i="2"/>
  <c r="P21" i="2" s="1"/>
  <c r="Q21" i="2" s="1"/>
  <c r="O24" i="2"/>
  <c r="P41" i="2"/>
  <c r="O44" i="2"/>
  <c r="P24" i="2"/>
  <c r="P44" i="2"/>
  <c r="O30" i="2"/>
  <c r="P16" i="2"/>
  <c r="Q16" i="2" s="1"/>
  <c r="N19" i="2"/>
  <c r="O36" i="2"/>
  <c r="O19" i="2"/>
  <c r="P19" i="2"/>
  <c r="Q19" i="2" s="1"/>
  <c r="O42" i="2"/>
  <c r="O25" i="2"/>
  <c r="P42" i="2"/>
  <c r="O45" i="2"/>
  <c r="P25" i="2"/>
  <c r="P45" i="2"/>
  <c r="F33" i="1" l="1"/>
  <c r="G33" i="1" s="1"/>
  <c r="F29" i="1"/>
  <c r="G29" i="1" s="1"/>
  <c r="F25" i="1"/>
  <c r="G25" i="1" s="1"/>
  <c r="F32" i="1"/>
  <c r="G32" i="1" s="1"/>
  <c r="F28" i="1"/>
  <c r="G28" i="1" s="1"/>
  <c r="F24" i="1"/>
  <c r="G24" i="1" s="1"/>
  <c r="F27" i="1"/>
  <c r="G27" i="1" s="1"/>
  <c r="F23" i="1"/>
  <c r="F31" i="1"/>
  <c r="G31" i="1" s="1"/>
  <c r="B11" i="1"/>
  <c r="F30" i="1"/>
  <c r="G30" i="1" s="1"/>
  <c r="F26" i="1"/>
  <c r="G26" i="1" s="1"/>
  <c r="F34" i="1"/>
  <c r="G34" i="1" s="1"/>
  <c r="O6" i="2"/>
  <c r="D11" i="1" l="1"/>
  <c r="P6" i="2"/>
  <c r="F35" i="1"/>
  <c r="G23" i="1"/>
  <c r="G35" i="1" s="1"/>
  <c r="D18" i="1" l="1"/>
  <c r="C18" i="1"/>
  <c r="E17" i="1"/>
  <c r="D17" i="1"/>
  <c r="E16" i="1"/>
  <c r="D16" i="1"/>
  <c r="C16" i="1"/>
  <c r="E15" i="1"/>
  <c r="D15" i="1"/>
  <c r="F11" i="1"/>
  <c r="C15" i="1"/>
  <c r="C17" i="1"/>
  <c r="E18" i="1"/>
  <c r="Q6" i="2"/>
  <c r="D19" i="1" l="1"/>
  <c r="E19" i="1"/>
  <c r="C19" i="1"/>
</calcChain>
</file>

<file path=xl/sharedStrings.xml><?xml version="1.0" encoding="utf-8"?>
<sst xmlns="http://schemas.openxmlformats.org/spreadsheetml/2006/main" count="115" uniqueCount="107">
  <si>
    <t>RECHNUNGSLISTE 2026</t>
  </si>
  <si>
    <t>Übersicht &amp; Zahlungsauswertung</t>
  </si>
  <si>
    <t>Geschäftsjahr</t>
  </si>
  <si>
    <t>Stand</t>
  </si>
  <si>
    <t>UMSATZ NETTO (GESAMT)</t>
  </si>
  <si>
    <t>UMSATZSTEUER (GESAMT)</t>
  </si>
  <si>
    <t>UMSATZ BRUTTO (GESAMT)</t>
  </si>
  <si>
    <t>ANZAHL RECHNUNGEN</t>
  </si>
  <si>
    <t>BEZAHLT (GESAMT)</t>
  </si>
  <si>
    <t>OFFEN (GESAMT)</t>
  </si>
  <si>
    <t>DAVON ÜBERFÄLLIG</t>
  </si>
  <si>
    <t>BEZAHLT-QUOTE</t>
  </si>
  <si>
    <t>STATUS-ÜBERSICHT</t>
  </si>
  <si>
    <t>Status</t>
  </si>
  <si>
    <t>Anzahl</t>
  </si>
  <si>
    <t>Brutto (€)</t>
  </si>
  <si>
    <t>Offen (€)</t>
  </si>
  <si>
    <t>Bezahlt</t>
  </si>
  <si>
    <t>Teilbezahlt</t>
  </si>
  <si>
    <t>Offen</t>
  </si>
  <si>
    <t>Überfällig</t>
  </si>
  <si>
    <t>Gesamt</t>
  </si>
  <si>
    <t>MONATSAUSWERTUNG 2026</t>
  </si>
  <si>
    <t>Monat</t>
  </si>
  <si>
    <t>Umsatz netto (€)</t>
  </si>
  <si>
    <t>USt. (€)</t>
  </si>
  <si>
    <t>Umsatz brutto (€)</t>
  </si>
  <si>
    <t>Bezahlt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</si>
  <si>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</si>
  <si>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</si>
  <si>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</si>
  <si>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</si>
  <si>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</si>
  <si>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</si>
  <si>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</si>
  <si>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</si>
  <si>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</si>
  <si>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</si>
  <si>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</si>
  <si>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</si>
  <si>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Ausgangsrechnungen im Überblick  ·  Status, Fälligkeit und offener Betrag werden automatisch berechnet</t>
  </si>
  <si>
    <t>Legende:  blaue Werte = Eingabefelder  ·  schwarze Werte = automatisch berechnet (bitte nicht überschreiben)</t>
  </si>
  <si>
    <t>Nr.</t>
  </si>
  <si>
    <t>Rechnungs-
nummer</t>
  </si>
  <si>
    <t>Rechnungs-
datum</t>
  </si>
  <si>
    <t>Kunde</t>
  </si>
  <si>
    <t>Leistung / Beschreibung</t>
  </si>
  <si>
    <t>Netto (€)</t>
  </si>
  <si>
    <t>USt.-
Satz</t>
  </si>
  <si>
    <t>Ziel
(Tage)</t>
  </si>
  <si>
    <t>Fällig am</t>
  </si>
  <si>
    <t>Zahlungs-
datum</t>
  </si>
  <si>
    <t>Tage
überfällig</t>
  </si>
  <si>
    <t>RE-2026-0001</t>
  </si>
  <si>
    <t>Nordwind Handels GmbH</t>
  </si>
  <si>
    <t>Beratungsleistung Januar</t>
  </si>
  <si>
    <t>RE-2026-0002</t>
  </si>
  <si>
    <t>Berger &amp; Söhne KG</t>
  </si>
  <si>
    <t>Wartung &amp; Support Q1</t>
  </si>
  <si>
    <t>RE-2026-0003</t>
  </si>
  <si>
    <t>Lindemann Consulting</t>
  </si>
  <si>
    <t>Projektarbeit Konzeptphase</t>
  </si>
  <si>
    <t>RE-2026-0004</t>
  </si>
  <si>
    <t>Aurelia Design UG</t>
  </si>
  <si>
    <t>Grafikdesign Broschüre</t>
  </si>
  <si>
    <t>RE-2026-0005</t>
  </si>
  <si>
    <t>Weber Logistik GmbH</t>
  </si>
  <si>
    <t>Materiallieferung Paletten</t>
  </si>
  <si>
    <t>RE-2026-0006</t>
  </si>
  <si>
    <t>Kranich Bauträger GmbH</t>
  </si>
  <si>
    <t>Ausführungsplanung</t>
  </si>
  <si>
    <t>RE-2026-0007</t>
  </si>
  <si>
    <t>Solveig Werbeagentur</t>
  </si>
  <si>
    <t>Kampagnenkonzept</t>
  </si>
  <si>
    <t>RE-2026-0008</t>
  </si>
  <si>
    <t>Delphin IT-Services</t>
  </si>
  <si>
    <t>Serverwartung März</t>
  </si>
  <si>
    <t>RE-2026-0009</t>
  </si>
  <si>
    <t>Habicht &amp; Partner</t>
  </si>
  <si>
    <t>Rechtsberatung Pauschale</t>
  </si>
  <si>
    <t>RE-2026-0010</t>
  </si>
  <si>
    <t>Morgenstern Verlag GmbH</t>
  </si>
  <si>
    <t>Lektorat Fachbuch</t>
  </si>
  <si>
    <t>RE-2026-0011</t>
  </si>
  <si>
    <t>Falkner Elektrotechnik</t>
  </si>
  <si>
    <t>Installation Schaltschrank</t>
  </si>
  <si>
    <t>RE-2026-0012</t>
  </si>
  <si>
    <t>Seidel Immobilien GmbH</t>
  </si>
  <si>
    <t>Hausverwaltung Q2</t>
  </si>
  <si>
    <t>RE-2026-0013</t>
  </si>
  <si>
    <t>Brunnen Gastro GmbH</t>
  </si>
  <si>
    <t>Cateringservice Event</t>
  </si>
  <si>
    <t>RE-2026-0014</t>
  </si>
  <si>
    <t>Ada Cloud Solutions GmbH</t>
  </si>
  <si>
    <t>Cloud-Hosting Juni</t>
  </si>
  <si>
    <t>RE-2026-0015</t>
  </si>
  <si>
    <t>Wagner Maschinenbau</t>
  </si>
  <si>
    <t>Konstruktionsleistung</t>
  </si>
  <si>
    <t>RE-2026-0016</t>
  </si>
  <si>
    <t>Phoenix Medien GmbH</t>
  </si>
  <si>
    <t>Lizenzgebühr Software</t>
  </si>
  <si>
    <t>RE-2026-0017</t>
  </si>
  <si>
    <t>Rheinblick Handel GmbH</t>
  </si>
  <si>
    <t>Beratungsleistung Juli</t>
  </si>
  <si>
    <t>RE-2026-0018</t>
  </si>
  <si>
    <t>Kastanie Catering</t>
  </si>
  <si>
    <t>Materiallieferung Getränke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</si>
</sst>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22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.5"/>
      <color rgb="FFFFFFFF"/>
      <name val="Calibri"/>
      <charset val="1"/>
    </font>
    <font>
      <b/>
      <sz val="9"/>
      <color rgb="FF5A6B75"/>
      <name val="Calibri"/>
      <charset val="1"/>
    </font>
    <font>
      <b/>
      <sz val="11"/>
      <color rgb="FF1155CC"/>
      <name val="Calibri"/>
      <charset val="1"/>
    </font>
    <font>
      <b/>
      <sz val="11"/>
      <color rgb="FF1F3A4D"/>
      <name val="Calibri"/>
      <charset val="1"/>
    </font>
    <font>
      <b/>
      <sz val="15"/>
      <color rgb="FF1F3A4D"/>
      <name val="Calibri"/>
      <charset val="1"/>
    </font>
    <font>
      <b/>
      <sz val="15"/>
      <color rgb="FF2C7A7B"/>
      <name val="Calibri"/>
      <charset val="1"/>
    </font>
    <font>
      <b/>
      <sz val="16"/>
      <color rgb="FF1F3A4D"/>
      <name val="Calibri"/>
      <charset val="1"/>
    </font>
    <font>
      <b/>
      <sz val="15"/>
      <color rgb="FF5A6B75"/>
      <name val="Calibri"/>
      <charset val="1"/>
    </font>
    <font>
      <b/>
      <sz val="15"/>
      <color rgb="FF2E7D32"/>
      <name val="Calibri"/>
      <charset val="1"/>
    </font>
    <font>
      <b/>
      <sz val="15"/>
      <color rgb="FFB9770E"/>
      <name val="Calibri"/>
      <charset val="1"/>
    </font>
    <font>
      <b/>
      <sz val="15"/>
      <color rgb="FFC0392B"/>
      <name val="Calibri"/>
      <charset val="1"/>
    </font>
    <font>
      <b/>
      <sz val="10"/>
      <color rgb="FFFFFFFF"/>
      <name val="Calibri"/>
      <charset val="1"/>
    </font>
    <font>
      <b/>
      <sz val="10"/>
      <color rgb="FF256B29"/>
      <name val="Calibri"/>
      <charset val="1"/>
    </font>
    <font>
      <sz val="10"/>
      <color rgb="FF1B1B1B"/>
      <name val="Calibri"/>
      <charset val="1"/>
    </font>
    <font>
      <b/>
      <sz val="10"/>
      <color rgb="FFB9770E"/>
      <name val="Calibri"/>
      <charset val="1"/>
    </font>
    <font>
      <b/>
      <sz val="10"/>
      <color rgb="FF2C5468"/>
      <name val="Calibri"/>
      <charset val="1"/>
    </font>
    <font>
      <b/>
      <sz val="10"/>
      <color rgb="FFC0392B"/>
      <name val="Calibri"/>
      <charset val="1"/>
    </font>
    <font>
      <i/>
      <sz val="9"/>
      <color rgb="FF5A6B75"/>
      <name val="Calibri"/>
      <charset val="1"/>
    </font>
    <font>
      <sz val="10"/>
      <color rgb="FF1155CC"/>
      <name val="Calibri"/>
      <charset val="1"/>
    </font>
    <font>
      <b/>
      <sz val="10"/>
      <color rgb="FF1B1B1B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A4D"/>
        <bgColor rgb="FF003366"/>
      </patternFill>
    </fill>
    <fill>
      <patternFill patternType="solid">
        <fgColor rgb="FF2C5468"/>
        <bgColor rgb="FF1F3A4D"/>
      </patternFill>
    </fill>
    <fill>
      <patternFill patternType="solid">
        <fgColor rgb="FFEDF1F4"/>
        <bgColor rgb="FFE7EEF3"/>
      </patternFill>
    </fill>
    <fill>
      <patternFill patternType="solid">
        <fgColor rgb="FFFFFFFF"/>
        <bgColor rgb="FFF4F7F9"/>
      </patternFill>
    </fill>
    <fill>
      <patternFill patternType="solid">
        <fgColor rgb="FFE3F2E4"/>
        <bgColor rgb="FFE7EEF3"/>
      </patternFill>
    </fill>
    <fill>
      <patternFill patternType="solid">
        <fgColor rgb="FFFCEFD6"/>
        <bgColor rgb="FFEDF1F4"/>
      </patternFill>
    </fill>
    <fill>
      <patternFill patternType="solid">
        <fgColor rgb="FFE7EEF3"/>
        <bgColor rgb="FFEDF1F4"/>
      </patternFill>
    </fill>
    <fill>
      <patternFill patternType="solid">
        <fgColor rgb="FFFADBD8"/>
        <bgColor rgb="FFFCEFD6"/>
      </patternFill>
    </fill>
    <fill>
      <patternFill patternType="solid">
        <fgColor rgb="FFF4F7F9"/>
        <bgColor rgb="FFEDF1F4"/>
      </patternFill>
    </fill>
  </fills>
  <borders count="8">
    <border>
      <left/>
      <right/>
      <top/>
      <bottom/>
      <diagonal/>
    </border>
    <border>
      <left style="thin">
        <color rgb="FFC9D3D9"/>
      </left>
      <right style="thin">
        <color rgb="FFC9D3D9"/>
      </right>
      <top style="thin">
        <color rgb="FFC9D3D9"/>
      </top>
      <bottom style="thin">
        <color rgb="FFC9D3D9"/>
      </bottom>
      <diagonal/>
    </border>
    <border>
      <left style="thin">
        <color rgb="FFC9D3D9"/>
      </left>
      <right style="thin">
        <color rgb="FFC9D3D9"/>
      </right>
      <top style="thin">
        <color rgb="FFC9D3D9"/>
      </top>
      <bottom/>
      <diagonal/>
    </border>
    <border>
      <left style="thin">
        <color rgb="FFC9D3D9"/>
      </left>
      <right style="thin">
        <color rgb="FFC9D3D9"/>
      </right>
      <top/>
      <bottom style="thin">
        <color rgb="FFC9D3D9"/>
      </bottom>
      <diagonal/>
    </border>
    <border>
      <left/>
      <right/>
      <top/>
      <bottom style="medium">
        <color rgb="FF2C7A7B"/>
      </bottom>
      <diagonal/>
    </border>
    <border>
      <left style="thin">
        <color rgb="FF2C5468"/>
      </left>
      <right style="thin">
        <color rgb="FF2C5468"/>
      </right>
      <top style="thin">
        <color rgb="FF2C5468"/>
      </top>
      <bottom style="thin">
        <color rgb="FF2C5468"/>
      </bottom>
      <diagonal/>
    </border>
    <border>
      <left style="thin">
        <color rgb="FFD5DCE0"/>
      </left>
      <right style="thin">
        <color rgb="FFD5DCE0"/>
      </right>
      <top/>
      <bottom style="thin">
        <color rgb="FFD5DCE0"/>
      </bottom>
      <diagonal/>
    </border>
    <border>
      <left style="thin">
        <color rgb="FF1F3A4D"/>
      </left>
      <right style="thin">
        <color rgb="FF1F3A4D"/>
      </right>
      <top style="thin">
        <color rgb="FF1F3A4D"/>
      </top>
      <bottom style="thin">
        <color rgb="FF1F3A4D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9" fillId="0" borderId="0" xfId="0" applyFont="1" applyAlignment="1">
      <alignment horizontal="left" vertical="center" indent="1"/>
    </xf>
    <xf numFmtId="0" fontId="5" fillId="0" borderId="4" xfId="0" applyFont="1" applyBorder="1"/>
    <xf numFmtId="9" fontId="7" fillId="5" borderId="3" xfId="0" applyNumberFormat="1" applyFont="1" applyFill="1" applyBorder="1" applyAlignment="1">
      <alignment horizontal="left" vertical="center" indent="1"/>
    </xf>
    <xf numFmtId="165" fontId="12" fillId="5" borderId="3" xfId="0" applyNumberFormat="1" applyFont="1" applyFill="1" applyBorder="1" applyAlignment="1">
      <alignment horizontal="left" vertical="center" indent="1"/>
    </xf>
    <xf numFmtId="165" fontId="11" fillId="5" borderId="3" xfId="0" applyNumberFormat="1" applyFont="1" applyFill="1" applyBorder="1" applyAlignment="1">
      <alignment horizontal="left" vertical="center" indent="1"/>
    </xf>
    <xf numFmtId="165" fontId="10" fillId="5" borderId="3" xfId="0" applyNumberFormat="1" applyFont="1" applyFill="1" applyBorder="1" applyAlignment="1">
      <alignment horizontal="left" vertical="center" indent="1"/>
    </xf>
    <xf numFmtId="1" fontId="9" fillId="5" borderId="3" xfId="0" applyNumberFormat="1" applyFont="1" applyFill="1" applyBorder="1" applyAlignment="1">
      <alignment horizontal="left" vertical="center" indent="1"/>
    </xf>
    <xf numFmtId="165" fontId="8" fillId="5" borderId="3" xfId="0" applyNumberFormat="1" applyFont="1" applyFill="1" applyBorder="1" applyAlignment="1">
      <alignment horizontal="left" vertical="center" indent="1"/>
    </xf>
    <xf numFmtId="165" fontId="7" fillId="5" borderId="3" xfId="0" applyNumberFormat="1" applyFont="1" applyFill="1" applyBorder="1" applyAlignment="1">
      <alignment horizontal="left" vertical="center" indent="1"/>
    </xf>
    <xf numFmtId="165" fontId="6" fillId="5" borderId="3" xfId="0" applyNumberFormat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/>
    <xf numFmtId="1" fontId="4" fillId="4" borderId="1" xfId="0" applyNumberFormat="1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13" fillId="3" borderId="5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 indent="1"/>
    </xf>
    <xf numFmtId="1" fontId="15" fillId="5" borderId="6" xfId="0" applyNumberFormat="1" applyFont="1" applyFill="1" applyBorder="1" applyAlignment="1">
      <alignment horizontal="right" vertical="center"/>
    </xf>
    <xf numFmtId="165" fontId="15" fillId="5" borderId="6" xfId="0" applyNumberFormat="1" applyFont="1" applyFill="1" applyBorder="1" applyAlignment="1">
      <alignment horizontal="right" vertical="center"/>
    </xf>
    <xf numFmtId="0" fontId="16" fillId="7" borderId="6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8" fillId="9" borderId="6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left" vertical="center" indent="1"/>
    </xf>
    <xf numFmtId="1" fontId="13" fillId="2" borderId="7" xfId="0" applyNumberFormat="1" applyFont="1" applyFill="1" applyBorder="1" applyAlignment="1">
      <alignment horizontal="right" vertical="center"/>
    </xf>
    <xf numFmtId="165" fontId="13" fillId="2" borderId="7" xfId="0" applyNumberFormat="1" applyFont="1" applyFill="1" applyBorder="1" applyAlignment="1">
      <alignment horizontal="right" vertical="center"/>
    </xf>
    <xf numFmtId="0" fontId="15" fillId="5" borderId="6" xfId="0" applyFont="1" applyFill="1" applyBorder="1" applyAlignment="1">
      <alignment horizontal="left" vertical="center" indent="1"/>
    </xf>
    <xf numFmtId="0" fontId="15" fillId="10" borderId="6" xfId="0" applyFont="1" applyFill="1" applyBorder="1" applyAlignment="1">
      <alignment horizontal="left" vertical="center" indent="1"/>
    </xf>
    <xf numFmtId="165" fontId="15" fillId="10" borderId="6" xfId="0" applyNumberFormat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left" vertical="center"/>
    </xf>
    <xf numFmtId="164" fontId="20" fillId="5" borderId="6" xfId="0" applyNumberFormat="1" applyFont="1" applyFill="1" applyBorder="1" applyAlignment="1">
      <alignment horizontal="center" vertical="center" wrapText="1"/>
    </xf>
    <xf numFmtId="165" fontId="20" fillId="5" borderId="6" xfId="0" applyNumberFormat="1" applyFont="1" applyFill="1" applyBorder="1" applyAlignment="1">
      <alignment horizontal="right" vertical="center"/>
    </xf>
    <xf numFmtId="9" fontId="20" fillId="5" borderId="6" xfId="0" applyNumberFormat="1" applyFont="1" applyFill="1" applyBorder="1" applyAlignment="1">
      <alignment horizontal="center" vertical="center" wrapText="1"/>
    </xf>
    <xf numFmtId="165" fontId="21" fillId="5" borderId="6" xfId="0" applyNumberFormat="1" applyFont="1" applyFill="1" applyBorder="1" applyAlignment="1">
      <alignment horizontal="right" vertical="center"/>
    </xf>
    <xf numFmtId="1" fontId="20" fillId="5" borderId="6" xfId="0" applyNumberFormat="1" applyFont="1" applyFill="1" applyBorder="1" applyAlignment="1">
      <alignment horizontal="center" vertical="center" wrapText="1"/>
    </xf>
    <xf numFmtId="164" fontId="15" fillId="5" borderId="6" xfId="0" applyNumberFormat="1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1" fontId="15" fillId="10" borderId="6" xfId="0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left" vertical="center"/>
    </xf>
    <xf numFmtId="164" fontId="20" fillId="10" borderId="6" xfId="0" applyNumberFormat="1" applyFont="1" applyFill="1" applyBorder="1" applyAlignment="1">
      <alignment horizontal="center" vertical="center" wrapText="1"/>
    </xf>
    <xf numFmtId="165" fontId="20" fillId="10" borderId="6" xfId="0" applyNumberFormat="1" applyFont="1" applyFill="1" applyBorder="1" applyAlignment="1">
      <alignment horizontal="right" vertical="center"/>
    </xf>
    <xf numFmtId="9" fontId="20" fillId="10" borderId="6" xfId="0" applyNumberFormat="1" applyFont="1" applyFill="1" applyBorder="1" applyAlignment="1">
      <alignment horizontal="center" vertical="center" wrapText="1"/>
    </xf>
    <xf numFmtId="165" fontId="21" fillId="10" borderId="6" xfId="0" applyNumberFormat="1" applyFont="1" applyFill="1" applyBorder="1" applyAlignment="1">
      <alignment horizontal="right" vertical="center"/>
    </xf>
    <xf numFmtId="1" fontId="20" fillId="10" borderId="6" xfId="0" applyNumberFormat="1" applyFont="1" applyFill="1" applyBorder="1" applyAlignment="1">
      <alignment horizontal="center" vertical="center" wrapText="1"/>
    </xf>
    <xf numFmtId="164" fontId="15" fillId="10" borderId="6" xfId="0" applyNumberFormat="1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4">
    <dxf>
      <font>
        <b/>
        <sz val="10"/>
        <color rgb="FFC0392B"/>
        <name val="Calibri"/>
        <charset val="1"/>
      </font>
      <fill>
        <patternFill>
          <bgColor rgb="FFFADBD8"/>
        </patternFill>
      </fill>
    </dxf>
    <dxf>
      <font>
        <b/>
        <sz val="10"/>
        <color rgb="FF2C5468"/>
        <name val="Calibri"/>
        <charset val="1"/>
      </font>
      <fill>
        <patternFill>
          <bgColor rgb="FFE7EEF3"/>
        </patternFill>
      </fill>
    </dxf>
    <dxf>
      <font>
        <b/>
        <sz val="10"/>
        <color rgb="FFB9770E"/>
        <name val="Calibri"/>
        <charset val="1"/>
      </font>
      <fill>
        <patternFill>
          <bgColor rgb="FFFCEFD6"/>
        </patternFill>
      </fill>
    </dxf>
    <dxf>
      <font>
        <b/>
        <sz val="10"/>
        <color rgb="FF256B29"/>
        <name val="Calibri"/>
        <charset val="1"/>
      </font>
      <fill>
        <patternFill>
          <bgColor rgb="FFE3F2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56B29"/>
      <rgbColor rgb="FF000080"/>
      <rgbColor rgb="FFB9770E"/>
      <rgbColor rgb="FF800080"/>
      <rgbColor rgb="FF2C7A7B"/>
      <rgbColor rgb="FFD9D9D9"/>
      <rgbColor rgb="FF878787"/>
      <rgbColor rgb="FF9999FF"/>
      <rgbColor rgb="FF993366"/>
      <rgbColor rgb="FFFCEFD6"/>
      <rgbColor rgb="FFE7EEF3"/>
      <rgbColor rgb="FF660066"/>
      <rgbColor rgb="FFFF8080"/>
      <rgbColor rgb="FF1155CC"/>
      <rgbColor rgb="FFC9D3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1F4"/>
      <rgbColor rgb="FFE3F2E4"/>
      <rgbColor rgb="FFF4F7F9"/>
      <rgbColor rgb="FFD5DCE0"/>
      <rgbColor rgb="FFFF99CC"/>
      <rgbColor rgb="FFCC99FF"/>
      <rgbColor rgb="FFFADBD8"/>
      <rgbColor rgb="FF4F81BD"/>
      <rgbColor rgb="FF33CCCC"/>
      <rgbColor rgb="FF99CC00"/>
      <rgbColor rgb="FFFFCC00"/>
      <rgbColor rgb="FFFF9900"/>
      <rgbColor rgb="FFFF6600"/>
      <rgbColor rgb="FF5A6B75"/>
      <rgbColor rgb="FF969696"/>
      <rgbColor rgb="FF003366"/>
      <rgbColor rgb="FF2E7D32"/>
      <rgbColor rgb="FF003300"/>
      <rgbColor rgb="FF1B1B1B"/>
      <rgbColor rgb="FFC0392B"/>
      <rgbColor rgb="FF993366"/>
      <rgbColor rgb="FF2C5468"/>
      <rgbColor rgb="FF1F3A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5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500" b="1" strike="noStrike" spc="-1">
                <a:solidFill>
                  <a:srgbClr val="000000"/>
                </a:solidFill>
                <a:latin typeface="Calibri"/>
              </a:rPr>
              <a:t>Rechnungen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Übersicht!$C$14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2E7D3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D1A2-4C87-BDDE-794420D855AC}"/>
              </c:ext>
            </c:extLst>
          </c:dPt>
          <c:dPt>
            <c:idx val="1"/>
            <c:bubble3D val="0"/>
            <c:spPr>
              <a:solidFill>
                <a:srgbClr val="B9770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D1A2-4C87-BDDE-794420D855AC}"/>
              </c:ext>
            </c:extLst>
          </c:dPt>
          <c:dPt>
            <c:idx val="2"/>
            <c:bubble3D val="0"/>
            <c:spPr>
              <a:solidFill>
                <a:srgbClr val="2C546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D1A2-4C87-BDDE-794420D855AC}"/>
              </c:ext>
            </c:extLst>
          </c:dPt>
          <c:dPt>
            <c:idx val="3"/>
            <c:bubble3D val="0"/>
            <c:spPr>
              <a:solidFill>
                <a:srgbClr val="C0392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D1A2-4C87-BDDE-794420D855AC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D1A2-4C87-BDDE-794420D855AC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D1A2-4C87-BDDE-794420D855AC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D1A2-4C87-BDDE-794420D855AC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D1A2-4C87-BDDE-794420D855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Übersicht!$B$15:$B$18</c:f>
              <c:strCache>
                <c:ptCount val="4"/>
                <c:pt idx="0">
                  <c:v>Bezahlt</c:v>
                </c:pt>
                <c:pt idx="1">
                  <c:v>Teilbezahlt</c:v>
                </c:pt>
                <c:pt idx="2">
                  <c:v>Offen</c:v>
                </c:pt>
                <c:pt idx="3">
                  <c:v>Überfällig</c:v>
                </c:pt>
              </c:strCache>
            </c:strRef>
          </c:cat>
          <c:val>
            <c:numRef>
              <c:f>Übersicht!$C$15:$C$18</c:f>
              <c:numCache>
                <c:formatCode>0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A2-4C87-BDDE-794420D8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Umsatz brutto pro Monat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Übersicht!$E$22</c:f>
              <c:strCache>
                <c:ptCount val="1"/>
                <c:pt idx="0">
                  <c:v>Umsatz brutto (€)</c:v>
                </c:pt>
              </c:strCache>
            </c:strRef>
          </c:tx>
          <c:spPr>
            <a:solidFill>
              <a:srgbClr val="2C7A7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Übersicht!$B$23:$B$34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Übersicht!$E$23:$E$34</c:f>
              <c:numCache>
                <c:formatCode>#,##0.00" €"</c:formatCode>
                <c:ptCount val="12"/>
                <c:pt idx="0">
                  <c:v>8746.5</c:v>
                </c:pt>
                <c:pt idx="1">
                  <c:v>7931.9</c:v>
                </c:pt>
                <c:pt idx="2">
                  <c:v>5152.7</c:v>
                </c:pt>
                <c:pt idx="3">
                  <c:v>5517.9</c:v>
                </c:pt>
                <c:pt idx="4">
                  <c:v>2761.6</c:v>
                </c:pt>
                <c:pt idx="5">
                  <c:v>6735.4</c:v>
                </c:pt>
                <c:pt idx="6">
                  <c:v>3031.4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8-41CE-B7A8-47445F74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98650"/>
        <c:axId val="85491936"/>
      </c:barChart>
      <c:catAx>
        <c:axId val="673986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5491936"/>
        <c:crosses val="autoZero"/>
        <c:auto val="1"/>
        <c:lblAlgn val="ctr"/>
        <c:lblOffset val="100"/>
        <c:noMultiLvlLbl val="0"/>
      </c:catAx>
      <c:valAx>
        <c:axId val="85491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73986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11</xdr:row>
      <xdr:rowOff>0</xdr:rowOff>
    </xdr:from>
    <xdr:to>
      <xdr:col>9</xdr:col>
      <xdr:colOff>0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36</xdr:row>
      <xdr:rowOff>0</xdr:rowOff>
    </xdr:from>
    <xdr:to>
      <xdr:col>9</xdr:col>
      <xdr:colOff>66675</xdr:colOff>
      <xdr:row>48</xdr:row>
      <xdr:rowOff>161640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8" sqref="R18"/>
    </sheetView>
  </sheetViews>
  <sheetFormatPr baseColWidth="10" defaultColWidth="8.7109375" defaultRowHeight="15" x14ac:dyDescent="0.25"/>
  <cols>
    <col min="1" max="1" width="0.42578125" customWidth="1"/>
    <col min="2" max="2" width="21" customWidth="1"/>
    <col min="3" max="4" width="15" customWidth="1"/>
    <col min="5" max="9" width="16" customWidth="1"/>
  </cols>
  <sheetData>
    <row r="1" spans="2:9" ht="4.5" customHeight="1" x14ac:dyDescent="0.25"/>
    <row r="2" spans="2:9" ht="31.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</row>
    <row r="3" spans="2:9" ht="19.5" customHeight="1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9" ht="7.5" customHeight="1" x14ac:dyDescent="0.25"/>
    <row r="5" spans="2:9" ht="18" customHeight="1" x14ac:dyDescent="0.25">
      <c r="B5" s="14" t="s">
        <v>2</v>
      </c>
      <c r="C5" s="15">
        <v>2026</v>
      </c>
      <c r="E5" s="14" t="s">
        <v>3</v>
      </c>
      <c r="F5" s="16">
        <f ca="1">TODAY()</f>
        <v>46213</v>
      </c>
    </row>
    <row r="6" spans="2:9" ht="6" customHeight="1" x14ac:dyDescent="0.25"/>
    <row r="7" spans="2:9" ht="15.75" customHeight="1" x14ac:dyDescent="0.25">
      <c r="B7" s="11" t="s">
        <v>4</v>
      </c>
      <c r="C7" s="11"/>
      <c r="D7" s="11" t="s">
        <v>5</v>
      </c>
      <c r="E7" s="11"/>
      <c r="F7" s="11" t="s">
        <v>6</v>
      </c>
      <c r="G7" s="11"/>
      <c r="H7" s="11" t="s">
        <v>7</v>
      </c>
      <c r="I7" s="11"/>
    </row>
    <row r="8" spans="2:9" ht="27.75" customHeight="1" x14ac:dyDescent="0.25">
      <c r="B8" s="10">
        <f>SUM(Rechnungsliste!$G$6:$G$45)</f>
        <v>33940</v>
      </c>
      <c r="C8" s="10"/>
      <c r="D8" s="9">
        <f>SUM(Rechnungsliste!$I$6:$I$45)</f>
        <v>5937.4</v>
      </c>
      <c r="E8" s="9"/>
      <c r="F8" s="8">
        <f>SUM(Rechnungsliste!$J$6:$J$45)</f>
        <v>39877.4</v>
      </c>
      <c r="G8" s="8"/>
      <c r="H8" s="7">
        <f>COUNTA(Rechnungsliste!$C$6:$C$45)</f>
        <v>18</v>
      </c>
      <c r="I8" s="7"/>
    </row>
    <row r="9" spans="2:9" ht="6" customHeight="1" x14ac:dyDescent="0.25"/>
    <row r="10" spans="2:9" ht="15.75" customHeight="1" x14ac:dyDescent="0.25">
      <c r="B10" s="11" t="s">
        <v>8</v>
      </c>
      <c r="C10" s="11"/>
      <c r="D10" s="11" t="s">
        <v>9</v>
      </c>
      <c r="E10" s="11"/>
      <c r="F10" s="11" t="s">
        <v>10</v>
      </c>
      <c r="G10" s="11"/>
      <c r="H10" s="11" t="s">
        <v>11</v>
      </c>
      <c r="I10" s="11"/>
    </row>
    <row r="11" spans="2:9" ht="27.75" customHeight="1" x14ac:dyDescent="0.25">
      <c r="B11" s="6">
        <f>SUM(Rechnungsliste!$N$6:$N$45)</f>
        <v>22724.900000000005</v>
      </c>
      <c r="C11" s="6"/>
      <c r="D11" s="5">
        <f>SUM(Rechnungsliste!$O$6:$O$45)</f>
        <v>17152.5</v>
      </c>
      <c r="E11" s="5"/>
      <c r="F11" s="4">
        <f ca="1">SUMIF(Rechnungsliste!$P$6:$P$45,"Überfällig",Rechnungsliste!$O$6:$O$45)</f>
        <v>8295.1</v>
      </c>
      <c r="G11" s="4"/>
      <c r="H11" s="3">
        <f>IF(SUM(Rechnungsliste!$J$6:$J$45)=0,0,SUM(Rechnungsliste!$N$6:$N$45)/SUM(Rechnungsliste!$J$6:$J$45))</f>
        <v>0.56986914894150587</v>
      </c>
      <c r="I11" s="3"/>
    </row>
    <row r="12" spans="2:9" ht="6" customHeight="1" x14ac:dyDescent="0.25"/>
    <row r="13" spans="2:9" x14ac:dyDescent="0.25">
      <c r="B13" s="2" t="s">
        <v>12</v>
      </c>
      <c r="C13" s="2"/>
      <c r="D13" s="2"/>
      <c r="E13" s="2"/>
    </row>
    <row r="14" spans="2:9" x14ac:dyDescent="0.25">
      <c r="B14" s="17" t="s">
        <v>13</v>
      </c>
      <c r="C14" s="18" t="s">
        <v>14</v>
      </c>
      <c r="D14" s="18" t="s">
        <v>15</v>
      </c>
      <c r="E14" s="18" t="s">
        <v>16</v>
      </c>
    </row>
    <row r="15" spans="2:9" x14ac:dyDescent="0.25">
      <c r="B15" s="19" t="s">
        <v>17</v>
      </c>
      <c r="C15" s="20">
        <f ca="1">COUNTIF(Rechnungsliste!$P$6:$P$45,"Bezahlt")</f>
        <v>11</v>
      </c>
      <c r="D15" s="21">
        <f ca="1">SUMIF(Rechnungsliste!$P$6:$P$45,"Bezahlt",Rechnungsliste!$J$6:$J$45)</f>
        <v>22124.900000000005</v>
      </c>
      <c r="E15" s="21">
        <f ca="1">SUMIF(Rechnungsliste!$P$6:$P$45,"Bezahlt",Rechnungsliste!$O$6:$O$45)</f>
        <v>0</v>
      </c>
    </row>
    <row r="16" spans="2:9" x14ac:dyDescent="0.25">
      <c r="B16" s="22" t="s">
        <v>18</v>
      </c>
      <c r="C16" s="20">
        <f ca="1">COUNTIF(Rechnungsliste!$P$6:$P$45,"Teilbezahlt")</f>
        <v>1</v>
      </c>
      <c r="D16" s="21">
        <f ca="1">SUMIF(Rechnungsliste!$P$6:$P$45,"Teilbezahlt",Rechnungsliste!$J$6:$J$45)</f>
        <v>1428</v>
      </c>
      <c r="E16" s="21">
        <f ca="1">SUMIF(Rechnungsliste!$P$6:$P$45,"Teilbezahlt",Rechnungsliste!$O$6:$O$45)</f>
        <v>828</v>
      </c>
    </row>
    <row r="17" spans="2:7" x14ac:dyDescent="0.25">
      <c r="B17" s="23" t="s">
        <v>19</v>
      </c>
      <c r="C17" s="20">
        <f ca="1">COUNTIF(Rechnungsliste!$P$6:$P$45,"Offen")</f>
        <v>3</v>
      </c>
      <c r="D17" s="21">
        <f ca="1">SUMIF(Rechnungsliste!$P$6:$P$45,"Offen",Rechnungsliste!$J$6:$J$45)</f>
        <v>8029.4</v>
      </c>
      <c r="E17" s="21">
        <f ca="1">SUMIF(Rechnungsliste!$P$6:$P$45,"Offen",Rechnungsliste!$O$6:$O$45)</f>
        <v>8029.4</v>
      </c>
    </row>
    <row r="18" spans="2:7" x14ac:dyDescent="0.25">
      <c r="B18" s="24" t="s">
        <v>20</v>
      </c>
      <c r="C18" s="20">
        <f ca="1">COUNTIF(Rechnungsliste!$P$6:$P$45,"Überfällig")</f>
        <v>3</v>
      </c>
      <c r="D18" s="21">
        <f ca="1">SUMIF(Rechnungsliste!$P$6:$P$45,"Überfällig",Rechnungsliste!$J$6:$J$45)</f>
        <v>8295.1</v>
      </c>
      <c r="E18" s="21">
        <f ca="1">SUMIF(Rechnungsliste!$P$6:$P$45,"Überfällig",Rechnungsliste!$O$6:$O$45)</f>
        <v>8295.1</v>
      </c>
    </row>
    <row r="19" spans="2:7" x14ac:dyDescent="0.25">
      <c r="B19" s="25" t="s">
        <v>21</v>
      </c>
      <c r="C19" s="26">
        <f ca="1">SUM(C15:C18)</f>
        <v>18</v>
      </c>
      <c r="D19" s="27">
        <f ca="1">SUM(D15:D18)</f>
        <v>39877.4</v>
      </c>
      <c r="E19" s="27">
        <f ca="1">SUM(E15:E18)</f>
        <v>17152.5</v>
      </c>
    </row>
    <row r="21" spans="2:7" x14ac:dyDescent="0.25">
      <c r="B21" s="2" t="s">
        <v>22</v>
      </c>
      <c r="C21" s="2"/>
      <c r="D21" s="2"/>
      <c r="E21" s="2"/>
      <c r="F21" s="2"/>
      <c r="G21" s="2"/>
    </row>
    <row r="22" spans="2:7" x14ac:dyDescent="0.25">
      <c r="B22" s="17" t="s">
        <v>23</v>
      </c>
      <c r="C22" s="18" t="s">
        <v>24</v>
      </c>
      <c r="D22" s="18" t="s">
        <v>25</v>
      </c>
      <c r="E22" s="18" t="s">
        <v>26</v>
      </c>
      <c r="F22" s="18" t="s">
        <v>27</v>
      </c>
      <c r="G22" s="18" t="s">
        <v>16</v>
      </c>
    </row>
    <row r="23" spans="2:7" ht="15.75" customHeight="1" x14ac:dyDescent="0.25">
      <c r="B23" s="28" t="s">
        <v>28</v>
      </c>
      <c r="C23" s="21">
        <f>SUMPRODUCT((YEAR(Rechnungsliste!$D$6:$D$45)=$C$5)*(MONTH(Rechnungsliste!$D$6:$D$45)=1)*Rechnungsliste!$G$6:$G$45)</f>
        <v>7350</v>
      </c>
      <c r="D23" s="21">
        <f>SUMPRODUCT((YEAR(Rechnungsliste!$D$6:$D$45)=$C$5)*(MONTH(Rechnungsliste!$D$6:$D$45)=1)*Rechnungsliste!$G$6:$G$45*Rechnungsliste!$H$6:$H$45)</f>
        <v>1396.5</v>
      </c>
      <c r="E23" s="21">
        <f t="shared" ref="E23:E34" si="0">C23+D23</f>
        <v>8746.5</v>
      </c>
      <c r="F23" s="21">
        <f>SUMPRODUCT((YEAR(Rechnungsliste!$D$6:$D$45)=$C$5)*(MONTH(Rechnungsliste!$D$6:$D$45)=1)*Rechnungsliste!$N$6:$N$45)</f>
        <v>8746.5</v>
      </c>
      <c r="G23" s="21">
        <f t="shared" ref="G23:G34" si="1">E23-F23</f>
        <v>0</v>
      </c>
    </row>
    <row r="24" spans="2:7" ht="15.75" customHeight="1" x14ac:dyDescent="0.25">
      <c r="B24" s="29" t="s">
        <v>29</v>
      </c>
      <c r="C24" s="30">
        <f>SUMPRODUCT((YEAR(Rechnungsliste!$D$6:$D$45)=$C$5)*(MONTH(Rechnungsliste!$D$6:$D$45)=2)*Rechnungsliste!$G$6:$G$45)</f>
        <v>6730</v>
      </c>
      <c r="D24" s="30">
        <f>SUMPRODUCT((YEAR(Rechnungsliste!$D$6:$D$45)=$C$5)*(MONTH(Rechnungsliste!$D$6:$D$45)=2)*Rechnungsliste!$G$6:$G$45*Rechnungsliste!$H$6:$H$45)</f>
        <v>1201.9000000000001</v>
      </c>
      <c r="E24" s="30">
        <f t="shared" si="0"/>
        <v>7931.9</v>
      </c>
      <c r="F24" s="30">
        <f>SUMPRODUCT((YEAR(Rechnungsliste!$D$6:$D$45)=$C$5)*(MONTH(Rechnungsliste!$D$6:$D$45)=2)*Rechnungsliste!$N$6:$N$45)</f>
        <v>7931.9</v>
      </c>
      <c r="G24" s="30">
        <f t="shared" si="1"/>
        <v>0</v>
      </c>
    </row>
    <row r="25" spans="2:7" ht="15.75" customHeight="1" x14ac:dyDescent="0.25">
      <c r="B25" s="28" t="s">
        <v>30</v>
      </c>
      <c r="C25" s="21">
        <f>SUMPRODUCT((YEAR(Rechnungsliste!$D$6:$D$45)=$C$5)*(MONTH(Rechnungsliste!$D$6:$D$45)=3)*Rechnungsliste!$G$6:$G$45)</f>
        <v>4330</v>
      </c>
      <c r="D25" s="21">
        <f>SUMPRODUCT((YEAR(Rechnungsliste!$D$6:$D$45)=$C$5)*(MONTH(Rechnungsliste!$D$6:$D$45)=3)*Rechnungsliste!$G$6:$G$45*Rechnungsliste!$H$6:$H$45)</f>
        <v>822.7</v>
      </c>
      <c r="E25" s="21">
        <f t="shared" si="0"/>
        <v>5152.7</v>
      </c>
      <c r="F25" s="21">
        <f>SUMPRODUCT((YEAR(Rechnungsliste!$D$6:$D$45)=$C$5)*(MONTH(Rechnungsliste!$D$6:$D$45)=3)*Rechnungsliste!$N$6:$N$45)</f>
        <v>2653.7</v>
      </c>
      <c r="G25" s="21">
        <f t="shared" si="1"/>
        <v>2499</v>
      </c>
    </row>
    <row r="26" spans="2:7" ht="15.75" customHeight="1" x14ac:dyDescent="0.25">
      <c r="B26" s="29" t="s">
        <v>31</v>
      </c>
      <c r="C26" s="30">
        <f>SUMPRODUCT((YEAR(Rechnungsliste!$D$6:$D$45)=$C$5)*(MONTH(Rechnungsliste!$D$6:$D$45)=4)*Rechnungsliste!$G$6:$G$45)</f>
        <v>4770</v>
      </c>
      <c r="D26" s="30">
        <f>SUMPRODUCT((YEAR(Rechnungsliste!$D$6:$D$45)=$C$5)*(MONTH(Rechnungsliste!$D$6:$D$45)=4)*Rechnungsliste!$G$6:$G$45*Rechnungsliste!$H$6:$H$45)</f>
        <v>747.9</v>
      </c>
      <c r="E26" s="30">
        <f t="shared" si="0"/>
        <v>5517.9</v>
      </c>
      <c r="F26" s="30">
        <f>SUMPRODUCT((YEAR(Rechnungsliste!$D$6:$D$45)=$C$5)*(MONTH(Rechnungsliste!$D$6:$D$45)=4)*Rechnungsliste!$N$6:$N$45)</f>
        <v>1412.4</v>
      </c>
      <c r="G26" s="30">
        <f t="shared" si="1"/>
        <v>4105.5</v>
      </c>
    </row>
    <row r="27" spans="2:7" ht="15.75" customHeight="1" x14ac:dyDescent="0.25">
      <c r="B27" s="28" t="s">
        <v>32</v>
      </c>
      <c r="C27" s="21">
        <f>SUMPRODUCT((YEAR(Rechnungsliste!$D$6:$D$45)=$C$5)*(MONTH(Rechnungsliste!$D$6:$D$45)=5)*Rechnungsliste!$G$6:$G$45)</f>
        <v>2480</v>
      </c>
      <c r="D27" s="21">
        <f>SUMPRODUCT((YEAR(Rechnungsliste!$D$6:$D$45)=$C$5)*(MONTH(Rechnungsliste!$D$6:$D$45)=5)*Rechnungsliste!$G$6:$G$45*Rechnungsliste!$H$6:$H$45)</f>
        <v>281.60000000000002</v>
      </c>
      <c r="E27" s="21">
        <f t="shared" si="0"/>
        <v>2761.6</v>
      </c>
      <c r="F27" s="21">
        <f>SUMPRODUCT((YEAR(Rechnungsliste!$D$6:$D$45)=$C$5)*(MONTH(Rechnungsliste!$D$6:$D$45)=5)*Rechnungsliste!$N$6:$N$45)</f>
        <v>1071</v>
      </c>
      <c r="G27" s="21">
        <f t="shared" si="1"/>
        <v>1690.6</v>
      </c>
    </row>
    <row r="28" spans="2:7" ht="15.75" customHeight="1" x14ac:dyDescent="0.25">
      <c r="B28" s="29" t="s">
        <v>33</v>
      </c>
      <c r="C28" s="30">
        <f>SUMPRODUCT((YEAR(Rechnungsliste!$D$6:$D$45)=$C$5)*(MONTH(Rechnungsliste!$D$6:$D$45)=6)*Rechnungsliste!$G$6:$G$45)</f>
        <v>5660</v>
      </c>
      <c r="D28" s="30">
        <f>SUMPRODUCT((YEAR(Rechnungsliste!$D$6:$D$45)=$C$5)*(MONTH(Rechnungsliste!$D$6:$D$45)=6)*Rechnungsliste!$G$6:$G$45*Rechnungsliste!$H$6:$H$45)</f>
        <v>1075.4000000000001</v>
      </c>
      <c r="E28" s="30">
        <f t="shared" si="0"/>
        <v>6735.4</v>
      </c>
      <c r="F28" s="30">
        <f>SUMPRODUCT((YEAR(Rechnungsliste!$D$6:$D$45)=$C$5)*(MONTH(Rechnungsliste!$D$6:$D$45)=6)*Rechnungsliste!$N$6:$N$45)</f>
        <v>909.4</v>
      </c>
      <c r="G28" s="30">
        <f t="shared" si="1"/>
        <v>5826</v>
      </c>
    </row>
    <row r="29" spans="2:7" ht="15.75" customHeight="1" x14ac:dyDescent="0.25">
      <c r="B29" s="28" t="s">
        <v>34</v>
      </c>
      <c r="C29" s="21">
        <f>SUMPRODUCT((YEAR(Rechnungsliste!$D$6:$D$45)=$C$5)*(MONTH(Rechnungsliste!$D$6:$D$45)=7)*Rechnungsliste!$G$6:$G$45)</f>
        <v>2620</v>
      </c>
      <c r="D29" s="21">
        <f>SUMPRODUCT((YEAR(Rechnungsliste!$D$6:$D$45)=$C$5)*(MONTH(Rechnungsliste!$D$6:$D$45)=7)*Rechnungsliste!$G$6:$G$45*Rechnungsliste!$H$6:$H$45)</f>
        <v>411.4</v>
      </c>
      <c r="E29" s="21">
        <f t="shared" si="0"/>
        <v>3031.4</v>
      </c>
      <c r="F29" s="21">
        <f>SUMPRODUCT((YEAR(Rechnungsliste!$D$6:$D$45)=$C$5)*(MONTH(Rechnungsliste!$D$6:$D$45)=7)*Rechnungsliste!$N$6:$N$45)</f>
        <v>0</v>
      </c>
      <c r="G29" s="21">
        <f t="shared" si="1"/>
        <v>3031.4</v>
      </c>
    </row>
    <row r="30" spans="2:7" ht="15.75" customHeight="1" x14ac:dyDescent="0.25">
      <c r="B30" s="29" t="s">
        <v>35</v>
      </c>
      <c r="C30" s="30">
        <f>SUMPRODUCT((YEAR(Rechnungsliste!$D$6:$D$45)=$C$5)*(MONTH(Rechnungsliste!$D$6:$D$45)=8)*Rechnungsliste!$G$6:$G$45)</f>
        <v>0</v>
      </c>
      <c r="D30" s="30">
        <f>SUMPRODUCT((YEAR(Rechnungsliste!$D$6:$D$45)=$C$5)*(MONTH(Rechnungsliste!$D$6:$D$45)=8)*Rechnungsliste!$G$6:$G$45*Rechnungsliste!$H$6:$H$45)</f>
        <v>0</v>
      </c>
      <c r="E30" s="30">
        <f t="shared" si="0"/>
        <v>0</v>
      </c>
      <c r="F30" s="30">
        <f>SUMPRODUCT((YEAR(Rechnungsliste!$D$6:$D$45)=$C$5)*(MONTH(Rechnungsliste!$D$6:$D$45)=8)*Rechnungsliste!$N$6:$N$45)</f>
        <v>0</v>
      </c>
      <c r="G30" s="30">
        <f t="shared" si="1"/>
        <v>0</v>
      </c>
    </row>
    <row r="31" spans="2:7" ht="15.75" customHeight="1" x14ac:dyDescent="0.25">
      <c r="B31" s="28" t="s">
        <v>36</v>
      </c>
      <c r="C31" s="21">
        <f>SUMPRODUCT((YEAR(Rechnungsliste!$D$6:$D$45)=$C$5)*(MONTH(Rechnungsliste!$D$6:$D$45)=9)*Rechnungsliste!$G$6:$G$45)</f>
        <v>0</v>
      </c>
      <c r="D31" s="21">
        <f>SUMPRODUCT((YEAR(Rechnungsliste!$D$6:$D$45)=$C$5)*(MONTH(Rechnungsliste!$D$6:$D$45)=9)*Rechnungsliste!$G$6:$G$45*Rechnungsliste!$H$6:$H$45)</f>
        <v>0</v>
      </c>
      <c r="E31" s="21">
        <f t="shared" si="0"/>
        <v>0</v>
      </c>
      <c r="F31" s="21">
        <f>SUMPRODUCT((YEAR(Rechnungsliste!$D$6:$D$45)=$C$5)*(MONTH(Rechnungsliste!$D$6:$D$45)=9)*Rechnungsliste!$N$6:$N$45)</f>
        <v>0</v>
      </c>
      <c r="G31" s="21">
        <f t="shared" si="1"/>
        <v>0</v>
      </c>
    </row>
    <row r="32" spans="2:7" ht="15.75" customHeight="1" x14ac:dyDescent="0.25">
      <c r="B32" s="29" t="s">
        <v>37</v>
      </c>
      <c r="C32" s="30">
        <f>SUMPRODUCT((YEAR(Rechnungsliste!$D$6:$D$45)=$C$5)*(MONTH(Rechnungsliste!$D$6:$D$45)=10)*Rechnungsliste!$G$6:$G$45)</f>
        <v>0</v>
      </c>
      <c r="D32" s="30">
        <f>SUMPRODUCT((YEAR(Rechnungsliste!$D$6:$D$45)=$C$5)*(MONTH(Rechnungsliste!$D$6:$D$45)=10)*Rechnungsliste!$G$6:$G$45*Rechnungsliste!$H$6:$H$45)</f>
        <v>0</v>
      </c>
      <c r="E32" s="30">
        <f t="shared" si="0"/>
        <v>0</v>
      </c>
      <c r="F32" s="30">
        <f>SUMPRODUCT((YEAR(Rechnungsliste!$D$6:$D$45)=$C$5)*(MONTH(Rechnungsliste!$D$6:$D$45)=10)*Rechnungsliste!$N$6:$N$45)</f>
        <v>0</v>
      </c>
      <c r="G32" s="30">
        <f t="shared" si="1"/>
        <v>0</v>
      </c>
    </row>
    <row r="33" spans="2:7" ht="15.75" customHeight="1" x14ac:dyDescent="0.25">
      <c r="B33" s="28" t="s">
        <v>38</v>
      </c>
      <c r="C33" s="21">
        <f>SUMPRODUCT((YEAR(Rechnungsliste!$D$6:$D$45)=$C$5)*(MONTH(Rechnungsliste!$D$6:$D$45)=11)*Rechnungsliste!$G$6:$G$45)</f>
        <v>0</v>
      </c>
      <c r="D33" s="21">
        <f>SUMPRODUCT((YEAR(Rechnungsliste!$D$6:$D$45)=$C$5)*(MONTH(Rechnungsliste!$D$6:$D$45)=11)*Rechnungsliste!$G$6:$G$45*Rechnungsliste!$H$6:$H$45)</f>
        <v>0</v>
      </c>
      <c r="E33" s="21">
        <f t="shared" si="0"/>
        <v>0</v>
      </c>
      <c r="F33" s="21">
        <f>SUMPRODUCT((YEAR(Rechnungsliste!$D$6:$D$45)=$C$5)*(MONTH(Rechnungsliste!$D$6:$D$45)=11)*Rechnungsliste!$N$6:$N$45)</f>
        <v>0</v>
      </c>
      <c r="G33" s="21">
        <f t="shared" si="1"/>
        <v>0</v>
      </c>
    </row>
    <row r="34" spans="2:7" ht="15.75" customHeight="1" x14ac:dyDescent="0.25">
      <c r="B34" s="29" t="s">
        <v>39</v>
      </c>
      <c r="C34" s="30">
        <f>SUMPRODUCT((YEAR(Rechnungsliste!$D$6:$D$45)=$C$5)*(MONTH(Rechnungsliste!$D$6:$D$45)=12)*Rechnungsliste!$G$6:$G$45)</f>
        <v>0</v>
      </c>
      <c r="D34" s="30">
        <f>SUMPRODUCT((YEAR(Rechnungsliste!$D$6:$D$45)=$C$5)*(MONTH(Rechnungsliste!$D$6:$D$45)=12)*Rechnungsliste!$G$6:$G$45*Rechnungsliste!$H$6:$H$45)</f>
        <v>0</v>
      </c>
      <c r="E34" s="30">
        <f t="shared" si="0"/>
        <v>0</v>
      </c>
      <c r="F34" s="30">
        <f>SUMPRODUCT((YEAR(Rechnungsliste!$D$6:$D$45)=$C$5)*(MONTH(Rechnungsliste!$D$6:$D$45)=12)*Rechnungsliste!$N$6:$N$45)</f>
        <v>0</v>
      </c>
      <c r="G34" s="30">
        <f t="shared" si="1"/>
        <v>0</v>
      </c>
    </row>
    <row r="35" spans="2:7" x14ac:dyDescent="0.25">
      <c r="B35" s="25" t="s">
        <v>21</v>
      </c>
      <c r="C35" s="27">
        <f>SUM(C23:C34)</f>
        <v>33940</v>
      </c>
      <c r="D35" s="27">
        <f>SUM(D23:D34)</f>
        <v>5937.4</v>
      </c>
      <c r="E35" s="27">
        <f>SUM(E23:E34)</f>
        <v>39877.4</v>
      </c>
      <c r="F35" s="27">
        <f>SUM(F23:F34)</f>
        <v>22724.900000000005</v>
      </c>
      <c r="G35" s="27">
        <f>SUM(G23:G34)</f>
        <v>17152.5</v>
      </c>
    </row>
  </sheetData>
  <mergeCells count="20">
    <mergeCell ref="B21:G21"/>
    <mergeCell ref="B11:C11"/>
    <mergeCell ref="D11:E11"/>
    <mergeCell ref="F11:G11"/>
    <mergeCell ref="H11:I11"/>
    <mergeCell ref="B13:E13"/>
    <mergeCell ref="B8:C8"/>
    <mergeCell ref="D8:E8"/>
    <mergeCell ref="F8:G8"/>
    <mergeCell ref="H8:I8"/>
    <mergeCell ref="B10:C10"/>
    <mergeCell ref="D10:E10"/>
    <mergeCell ref="F10:G10"/>
    <mergeCell ref="H10:I10"/>
    <mergeCell ref="B2:I2"/>
    <mergeCell ref="B3:I3"/>
    <mergeCell ref="B7:C7"/>
    <mergeCell ref="D7:E7"/>
    <mergeCell ref="F7:G7"/>
    <mergeCell ref="H7:I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6" customWidth="1"/>
    <col min="3" max="3" width="14" customWidth="1"/>
    <col min="4" max="4" width="12" customWidth="1"/>
    <col min="5" max="5" width="23" customWidth="1"/>
    <col min="6" max="6" width="27" customWidth="1"/>
    <col min="7" max="7" width="13" customWidth="1"/>
    <col min="8" max="8" width="9" customWidth="1"/>
    <col min="9" max="9" width="12" customWidth="1"/>
    <col min="10" max="10" width="13" customWidth="1"/>
    <col min="11" max="11" width="8" customWidth="1"/>
    <col min="12" max="12" width="12" customWidth="1"/>
    <col min="13" max="13" width="14" customWidth="1"/>
    <col min="14" max="15" width="12" customWidth="1"/>
    <col min="16" max="16" width="13" customWidth="1"/>
    <col min="17" max="17" width="11" customWidth="1"/>
  </cols>
  <sheetData>
    <row r="2" spans="2:17" ht="31.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 ht="19.5" customHeight="1" x14ac:dyDescent="0.25">
      <c r="B3" s="12" t="s">
        <v>40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2:17" ht="15.75" customHeight="1" x14ac:dyDescent="0.25">
      <c r="B4" s="1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30" customHeight="1" x14ac:dyDescent="0.25">
      <c r="B5" s="31" t="s">
        <v>42</v>
      </c>
      <c r="C5" s="31" t="s">
        <v>43</v>
      </c>
      <c r="D5" s="31" t="s">
        <v>44</v>
      </c>
      <c r="E5" s="31" t="s">
        <v>45</v>
      </c>
      <c r="F5" s="31" t="s">
        <v>46</v>
      </c>
      <c r="G5" s="31" t="s">
        <v>47</v>
      </c>
      <c r="H5" s="31" t="s">
        <v>48</v>
      </c>
      <c r="I5" s="31" t="s">
        <v>25</v>
      </c>
      <c r="J5" s="31" t="s">
        <v>15</v>
      </c>
      <c r="K5" s="31" t="s">
        <v>49</v>
      </c>
      <c r="L5" s="31" t="s">
        <v>50</v>
      </c>
      <c r="M5" s="31" t="s">
        <v>51</v>
      </c>
      <c r="N5" s="31" t="s">
        <v>27</v>
      </c>
      <c r="O5" s="31" t="s">
        <v>16</v>
      </c>
      <c r="P5" s="31" t="s">
        <v>13</v>
      </c>
      <c r="Q5" s="31" t="s">
        <v>52</v>
      </c>
    </row>
    <row r="6" spans="2:17" ht="18" customHeight="1" x14ac:dyDescent="0.25">
      <c r="B6" s="32">
        <f t="shared" ref="B6:B45" si="0">IF($D6="","",ROW()-5)</f>
        <v>1</v>
      </c>
      <c r="C6" s="33" t="s">
        <v>53</v>
      </c>
      <c r="D6" s="34">
        <v>46030</v>
      </c>
      <c r="E6" s="33" t="s">
        <v>54</v>
      </c>
      <c r="F6" s="33" t="s">
        <v>55</v>
      </c>
      <c r="G6" s="35">
        <v>2400</v>
      </c>
      <c r="H6" s="36">
        <v>0.19</v>
      </c>
      <c r="I6" s="21">
        <f t="shared" ref="I6:I45" si="1">IF($G6="","",$G6*$H6)</f>
        <v>456</v>
      </c>
      <c r="J6" s="37">
        <f t="shared" ref="J6:J45" si="2">IF($G6="","",$G6+$I6)</f>
        <v>2856</v>
      </c>
      <c r="K6" s="38">
        <v>14</v>
      </c>
      <c r="L6" s="39">
        <f t="shared" ref="L6:L45" si="3">IF(OR($D6="",$K6=""),"",$D6+$K6)</f>
        <v>46044</v>
      </c>
      <c r="M6" s="34">
        <v>46042</v>
      </c>
      <c r="N6" s="35">
        <f t="shared" ref="N6:N13" si="4">$J6</f>
        <v>2856</v>
      </c>
      <c r="O6" s="21">
        <f t="shared" ref="O6:O45" si="5">IF($J6="","",$J6-$N6)</f>
        <v>0</v>
      </c>
      <c r="P6" s="40" t="str">
        <f t="shared" ref="P6:P45" ca="1" si="6">IF($J6="","",IF(ROUND($O6,2)&lt;=0,"Bezahlt",IF(TODAY()&gt;$L6,"Überfällig",IF($N6&gt;0,"Teilbezahlt","Offen"))))</f>
        <v>Bezahlt</v>
      </c>
      <c r="Q6" s="32" t="str">
        <f t="shared" ref="Q6:Q45" ca="1" si="7">IF($J6="","",IF($P6="Überfällig",TODAY()-$L6,""))</f>
        <v/>
      </c>
    </row>
    <row r="7" spans="2:17" ht="18" customHeight="1" x14ac:dyDescent="0.25">
      <c r="B7" s="41">
        <f t="shared" si="0"/>
        <v>2</v>
      </c>
      <c r="C7" s="42" t="s">
        <v>56</v>
      </c>
      <c r="D7" s="43">
        <v>46037</v>
      </c>
      <c r="E7" s="42" t="s">
        <v>57</v>
      </c>
      <c r="F7" s="42" t="s">
        <v>58</v>
      </c>
      <c r="G7" s="44">
        <v>1150</v>
      </c>
      <c r="H7" s="45">
        <v>0.19</v>
      </c>
      <c r="I7" s="30">
        <f t="shared" si="1"/>
        <v>218.5</v>
      </c>
      <c r="J7" s="46">
        <f t="shared" si="2"/>
        <v>1368.5</v>
      </c>
      <c r="K7" s="47">
        <v>30</v>
      </c>
      <c r="L7" s="48">
        <f t="shared" si="3"/>
        <v>46067</v>
      </c>
      <c r="M7" s="43">
        <v>46063</v>
      </c>
      <c r="N7" s="44">
        <f t="shared" si="4"/>
        <v>1368.5</v>
      </c>
      <c r="O7" s="30">
        <f t="shared" si="5"/>
        <v>0</v>
      </c>
      <c r="P7" s="49" t="str">
        <f t="shared" ca="1" si="6"/>
        <v>Bezahlt</v>
      </c>
      <c r="Q7" s="41" t="str">
        <f t="shared" ca="1" si="7"/>
        <v/>
      </c>
    </row>
    <row r="8" spans="2:17" ht="18" customHeight="1" x14ac:dyDescent="0.25">
      <c r="B8" s="32">
        <f t="shared" si="0"/>
        <v>3</v>
      </c>
      <c r="C8" s="33" t="s">
        <v>59</v>
      </c>
      <c r="D8" s="34">
        <v>46049</v>
      </c>
      <c r="E8" s="33" t="s">
        <v>60</v>
      </c>
      <c r="F8" s="33" t="s">
        <v>61</v>
      </c>
      <c r="G8" s="35">
        <v>3800</v>
      </c>
      <c r="H8" s="36">
        <v>0.19</v>
      </c>
      <c r="I8" s="21">
        <f t="shared" si="1"/>
        <v>722</v>
      </c>
      <c r="J8" s="37">
        <f t="shared" si="2"/>
        <v>4522</v>
      </c>
      <c r="K8" s="38">
        <v>30</v>
      </c>
      <c r="L8" s="39">
        <f t="shared" si="3"/>
        <v>46079</v>
      </c>
      <c r="M8" s="34">
        <v>46077</v>
      </c>
      <c r="N8" s="35">
        <f t="shared" si="4"/>
        <v>4522</v>
      </c>
      <c r="O8" s="21">
        <f t="shared" si="5"/>
        <v>0</v>
      </c>
      <c r="P8" s="40" t="str">
        <f t="shared" ca="1" si="6"/>
        <v>Bezahlt</v>
      </c>
      <c r="Q8" s="32" t="str">
        <f t="shared" ca="1" si="7"/>
        <v/>
      </c>
    </row>
    <row r="9" spans="2:17" ht="18" customHeight="1" x14ac:dyDescent="0.25">
      <c r="B9" s="41">
        <f t="shared" si="0"/>
        <v>4</v>
      </c>
      <c r="C9" s="42" t="s">
        <v>62</v>
      </c>
      <c r="D9" s="43">
        <v>46058</v>
      </c>
      <c r="E9" s="42" t="s">
        <v>63</v>
      </c>
      <c r="F9" s="42" t="s">
        <v>64</v>
      </c>
      <c r="G9" s="44">
        <v>890</v>
      </c>
      <c r="H9" s="45">
        <v>0.19</v>
      </c>
      <c r="I9" s="30">
        <f t="shared" si="1"/>
        <v>169.1</v>
      </c>
      <c r="J9" s="46">
        <f t="shared" si="2"/>
        <v>1059.0999999999999</v>
      </c>
      <c r="K9" s="47">
        <v>14</v>
      </c>
      <c r="L9" s="48">
        <f t="shared" si="3"/>
        <v>46072</v>
      </c>
      <c r="M9" s="43">
        <v>46070</v>
      </c>
      <c r="N9" s="44">
        <f t="shared" si="4"/>
        <v>1059.0999999999999</v>
      </c>
      <c r="O9" s="30">
        <f t="shared" si="5"/>
        <v>0</v>
      </c>
      <c r="P9" s="49" t="str">
        <f t="shared" ca="1" si="6"/>
        <v>Bezahlt</v>
      </c>
      <c r="Q9" s="41" t="str">
        <f t="shared" ca="1" si="7"/>
        <v/>
      </c>
    </row>
    <row r="10" spans="2:17" ht="18" customHeight="1" x14ac:dyDescent="0.25">
      <c r="B10" s="32">
        <f t="shared" si="0"/>
        <v>5</v>
      </c>
      <c r="C10" s="33" t="s">
        <v>65</v>
      </c>
      <c r="D10" s="34">
        <v>46067</v>
      </c>
      <c r="E10" s="33" t="s">
        <v>66</v>
      </c>
      <c r="F10" s="33" t="s">
        <v>67</v>
      </c>
      <c r="G10" s="35">
        <v>640</v>
      </c>
      <c r="H10" s="36">
        <v>7.0000000000000007E-2</v>
      </c>
      <c r="I10" s="21">
        <f t="shared" si="1"/>
        <v>44.800000000000004</v>
      </c>
      <c r="J10" s="37">
        <f t="shared" si="2"/>
        <v>684.8</v>
      </c>
      <c r="K10" s="38">
        <v>14</v>
      </c>
      <c r="L10" s="39">
        <f t="shared" si="3"/>
        <v>46081</v>
      </c>
      <c r="M10" s="34">
        <v>46079</v>
      </c>
      <c r="N10" s="35">
        <f t="shared" si="4"/>
        <v>684.8</v>
      </c>
      <c r="O10" s="21">
        <f t="shared" si="5"/>
        <v>0</v>
      </c>
      <c r="P10" s="40" t="str">
        <f t="shared" ca="1" si="6"/>
        <v>Bezahlt</v>
      </c>
      <c r="Q10" s="32" t="str">
        <f t="shared" ca="1" si="7"/>
        <v/>
      </c>
    </row>
    <row r="11" spans="2:17" ht="18" customHeight="1" x14ac:dyDescent="0.25">
      <c r="B11" s="41">
        <f t="shared" si="0"/>
        <v>6</v>
      </c>
      <c r="C11" s="42" t="s">
        <v>68</v>
      </c>
      <c r="D11" s="43">
        <v>46076</v>
      </c>
      <c r="E11" s="42" t="s">
        <v>69</v>
      </c>
      <c r="F11" s="42" t="s">
        <v>70</v>
      </c>
      <c r="G11" s="44">
        <v>5200</v>
      </c>
      <c r="H11" s="45">
        <v>0.19</v>
      </c>
      <c r="I11" s="30">
        <f t="shared" si="1"/>
        <v>988</v>
      </c>
      <c r="J11" s="46">
        <f t="shared" si="2"/>
        <v>6188</v>
      </c>
      <c r="K11" s="47">
        <v>30</v>
      </c>
      <c r="L11" s="48">
        <f t="shared" si="3"/>
        <v>46106</v>
      </c>
      <c r="M11" s="43">
        <v>46101</v>
      </c>
      <c r="N11" s="44">
        <f t="shared" si="4"/>
        <v>6188</v>
      </c>
      <c r="O11" s="30">
        <f t="shared" si="5"/>
        <v>0</v>
      </c>
      <c r="P11" s="49" t="str">
        <f t="shared" ca="1" si="6"/>
        <v>Bezahlt</v>
      </c>
      <c r="Q11" s="41" t="str">
        <f t="shared" ca="1" si="7"/>
        <v/>
      </c>
    </row>
    <row r="12" spans="2:17" ht="18" customHeight="1" x14ac:dyDescent="0.25">
      <c r="B12" s="32">
        <f t="shared" si="0"/>
        <v>7</v>
      </c>
      <c r="C12" s="33" t="s">
        <v>71</v>
      </c>
      <c r="D12" s="34">
        <v>46087</v>
      </c>
      <c r="E12" s="33" t="s">
        <v>72</v>
      </c>
      <c r="F12" s="33" t="s">
        <v>73</v>
      </c>
      <c r="G12" s="35">
        <v>1750</v>
      </c>
      <c r="H12" s="36">
        <v>0.19</v>
      </c>
      <c r="I12" s="21">
        <f t="shared" si="1"/>
        <v>332.5</v>
      </c>
      <c r="J12" s="37">
        <f t="shared" si="2"/>
        <v>2082.5</v>
      </c>
      <c r="K12" s="38">
        <v>14</v>
      </c>
      <c r="L12" s="39">
        <f t="shared" si="3"/>
        <v>46101</v>
      </c>
      <c r="M12" s="34">
        <v>46100</v>
      </c>
      <c r="N12" s="35">
        <f t="shared" si="4"/>
        <v>2082.5</v>
      </c>
      <c r="O12" s="21">
        <f t="shared" si="5"/>
        <v>0</v>
      </c>
      <c r="P12" s="40" t="str">
        <f t="shared" ca="1" si="6"/>
        <v>Bezahlt</v>
      </c>
      <c r="Q12" s="32" t="str">
        <f t="shared" ca="1" si="7"/>
        <v/>
      </c>
    </row>
    <row r="13" spans="2:17" ht="18" customHeight="1" x14ac:dyDescent="0.25">
      <c r="B13" s="41">
        <f t="shared" si="0"/>
        <v>8</v>
      </c>
      <c r="C13" s="42" t="s">
        <v>74</v>
      </c>
      <c r="D13" s="43">
        <v>46099</v>
      </c>
      <c r="E13" s="42" t="s">
        <v>75</v>
      </c>
      <c r="F13" s="42" t="s">
        <v>76</v>
      </c>
      <c r="G13" s="44">
        <v>480</v>
      </c>
      <c r="H13" s="45">
        <v>0.19</v>
      </c>
      <c r="I13" s="30">
        <f t="shared" si="1"/>
        <v>91.2</v>
      </c>
      <c r="J13" s="46">
        <f t="shared" si="2"/>
        <v>571.20000000000005</v>
      </c>
      <c r="K13" s="47">
        <v>30</v>
      </c>
      <c r="L13" s="48">
        <f t="shared" si="3"/>
        <v>46129</v>
      </c>
      <c r="M13" s="43">
        <v>46124</v>
      </c>
      <c r="N13" s="44">
        <f t="shared" si="4"/>
        <v>571.20000000000005</v>
      </c>
      <c r="O13" s="30">
        <f t="shared" si="5"/>
        <v>0</v>
      </c>
      <c r="P13" s="49" t="str">
        <f t="shared" ca="1" si="6"/>
        <v>Bezahlt</v>
      </c>
      <c r="Q13" s="41" t="str">
        <f t="shared" ca="1" si="7"/>
        <v/>
      </c>
    </row>
    <row r="14" spans="2:17" ht="18" customHeight="1" x14ac:dyDescent="0.25">
      <c r="B14" s="32">
        <f t="shared" si="0"/>
        <v>9</v>
      </c>
      <c r="C14" s="33" t="s">
        <v>77</v>
      </c>
      <c r="D14" s="34">
        <v>46111</v>
      </c>
      <c r="E14" s="33" t="s">
        <v>78</v>
      </c>
      <c r="F14" s="33" t="s">
        <v>79</v>
      </c>
      <c r="G14" s="35">
        <v>2100</v>
      </c>
      <c r="H14" s="36">
        <v>0.19</v>
      </c>
      <c r="I14" s="21">
        <f t="shared" si="1"/>
        <v>399</v>
      </c>
      <c r="J14" s="37">
        <f t="shared" si="2"/>
        <v>2499</v>
      </c>
      <c r="K14" s="38">
        <v>30</v>
      </c>
      <c r="L14" s="39">
        <f t="shared" si="3"/>
        <v>46141</v>
      </c>
      <c r="M14" s="34"/>
      <c r="N14" s="35"/>
      <c r="O14" s="21">
        <f t="shared" si="5"/>
        <v>2499</v>
      </c>
      <c r="P14" s="40" t="str">
        <f t="shared" ca="1" si="6"/>
        <v>Überfällig</v>
      </c>
      <c r="Q14" s="32">
        <f t="shared" ca="1" si="7"/>
        <v>72</v>
      </c>
    </row>
    <row r="15" spans="2:17" ht="18" customHeight="1" x14ac:dyDescent="0.25">
      <c r="B15" s="41">
        <f t="shared" si="0"/>
        <v>10</v>
      </c>
      <c r="C15" s="42" t="s">
        <v>80</v>
      </c>
      <c r="D15" s="43">
        <v>46122</v>
      </c>
      <c r="E15" s="42" t="s">
        <v>81</v>
      </c>
      <c r="F15" s="42" t="s">
        <v>82</v>
      </c>
      <c r="G15" s="44">
        <v>1320</v>
      </c>
      <c r="H15" s="45">
        <v>7.0000000000000007E-2</v>
      </c>
      <c r="I15" s="30">
        <f t="shared" si="1"/>
        <v>92.4</v>
      </c>
      <c r="J15" s="46">
        <f t="shared" si="2"/>
        <v>1412.4</v>
      </c>
      <c r="K15" s="47">
        <v>30</v>
      </c>
      <c r="L15" s="48">
        <f t="shared" si="3"/>
        <v>46152</v>
      </c>
      <c r="M15" s="43">
        <v>46147</v>
      </c>
      <c r="N15" s="44">
        <f>$J15</f>
        <v>1412.4</v>
      </c>
      <c r="O15" s="30">
        <f t="shared" si="5"/>
        <v>0</v>
      </c>
      <c r="P15" s="49" t="str">
        <f t="shared" ca="1" si="6"/>
        <v>Bezahlt</v>
      </c>
      <c r="Q15" s="41" t="str">
        <f t="shared" ca="1" si="7"/>
        <v/>
      </c>
    </row>
    <row r="16" spans="2:17" ht="18" customHeight="1" x14ac:dyDescent="0.25">
      <c r="B16" s="32">
        <f t="shared" si="0"/>
        <v>11</v>
      </c>
      <c r="C16" s="33" t="s">
        <v>83</v>
      </c>
      <c r="D16" s="34">
        <v>46133</v>
      </c>
      <c r="E16" s="33" t="s">
        <v>84</v>
      </c>
      <c r="F16" s="33" t="s">
        <v>85</v>
      </c>
      <c r="G16" s="35">
        <v>3450</v>
      </c>
      <c r="H16" s="36">
        <v>0.19</v>
      </c>
      <c r="I16" s="21">
        <f t="shared" si="1"/>
        <v>655.5</v>
      </c>
      <c r="J16" s="37">
        <f t="shared" si="2"/>
        <v>4105.5</v>
      </c>
      <c r="K16" s="38">
        <v>14</v>
      </c>
      <c r="L16" s="39">
        <f t="shared" si="3"/>
        <v>46147</v>
      </c>
      <c r="M16" s="34"/>
      <c r="N16" s="35"/>
      <c r="O16" s="21">
        <f t="shared" si="5"/>
        <v>4105.5</v>
      </c>
      <c r="P16" s="40" t="str">
        <f t="shared" ca="1" si="6"/>
        <v>Überfällig</v>
      </c>
      <c r="Q16" s="32">
        <f t="shared" ca="1" si="7"/>
        <v>66</v>
      </c>
    </row>
    <row r="17" spans="2:17" ht="18" customHeight="1" x14ac:dyDescent="0.25">
      <c r="B17" s="41">
        <f t="shared" si="0"/>
        <v>12</v>
      </c>
      <c r="C17" s="42" t="s">
        <v>86</v>
      </c>
      <c r="D17" s="43">
        <v>46147</v>
      </c>
      <c r="E17" s="42" t="s">
        <v>87</v>
      </c>
      <c r="F17" s="42" t="s">
        <v>88</v>
      </c>
      <c r="G17" s="44">
        <v>900</v>
      </c>
      <c r="H17" s="45">
        <v>0.19</v>
      </c>
      <c r="I17" s="30">
        <f t="shared" si="1"/>
        <v>171</v>
      </c>
      <c r="J17" s="46">
        <f t="shared" si="2"/>
        <v>1071</v>
      </c>
      <c r="K17" s="47">
        <v>30</v>
      </c>
      <c r="L17" s="48">
        <f t="shared" si="3"/>
        <v>46177</v>
      </c>
      <c r="M17" s="43">
        <v>46170</v>
      </c>
      <c r="N17" s="44">
        <f>$J17</f>
        <v>1071</v>
      </c>
      <c r="O17" s="30">
        <f t="shared" si="5"/>
        <v>0</v>
      </c>
      <c r="P17" s="49" t="str">
        <f t="shared" ca="1" si="6"/>
        <v>Bezahlt</v>
      </c>
      <c r="Q17" s="41" t="str">
        <f t="shared" ca="1" si="7"/>
        <v/>
      </c>
    </row>
    <row r="18" spans="2:17" ht="18" customHeight="1" x14ac:dyDescent="0.25">
      <c r="B18" s="32">
        <f t="shared" si="0"/>
        <v>13</v>
      </c>
      <c r="C18" s="33" t="s">
        <v>89</v>
      </c>
      <c r="D18" s="34">
        <v>46161</v>
      </c>
      <c r="E18" s="33" t="s">
        <v>90</v>
      </c>
      <c r="F18" s="33" t="s">
        <v>91</v>
      </c>
      <c r="G18" s="35">
        <v>1580</v>
      </c>
      <c r="H18" s="36">
        <v>7.0000000000000007E-2</v>
      </c>
      <c r="I18" s="21">
        <f t="shared" si="1"/>
        <v>110.60000000000001</v>
      </c>
      <c r="J18" s="37">
        <f t="shared" si="2"/>
        <v>1690.6</v>
      </c>
      <c r="K18" s="38">
        <v>14</v>
      </c>
      <c r="L18" s="39">
        <f t="shared" si="3"/>
        <v>46175</v>
      </c>
      <c r="M18" s="34"/>
      <c r="N18" s="35"/>
      <c r="O18" s="21">
        <f t="shared" si="5"/>
        <v>1690.6</v>
      </c>
      <c r="P18" s="40" t="str">
        <f t="shared" ca="1" si="6"/>
        <v>Überfällig</v>
      </c>
      <c r="Q18" s="32">
        <f t="shared" ca="1" si="7"/>
        <v>38</v>
      </c>
    </row>
    <row r="19" spans="2:17" ht="18" customHeight="1" x14ac:dyDescent="0.25">
      <c r="B19" s="41">
        <f t="shared" si="0"/>
        <v>14</v>
      </c>
      <c r="C19" s="42" t="s">
        <v>92</v>
      </c>
      <c r="D19" s="43">
        <v>46185</v>
      </c>
      <c r="E19" s="42" t="s">
        <v>93</v>
      </c>
      <c r="F19" s="42" t="s">
        <v>94</v>
      </c>
      <c r="G19" s="44">
        <v>260</v>
      </c>
      <c r="H19" s="45">
        <v>0.19</v>
      </c>
      <c r="I19" s="30">
        <f t="shared" si="1"/>
        <v>49.4</v>
      </c>
      <c r="J19" s="46">
        <f t="shared" si="2"/>
        <v>309.39999999999998</v>
      </c>
      <c r="K19" s="47">
        <v>14</v>
      </c>
      <c r="L19" s="48">
        <f t="shared" si="3"/>
        <v>46199</v>
      </c>
      <c r="M19" s="43">
        <v>46197</v>
      </c>
      <c r="N19" s="44">
        <f>$J19</f>
        <v>309.39999999999998</v>
      </c>
      <c r="O19" s="30">
        <f t="shared" si="5"/>
        <v>0</v>
      </c>
      <c r="P19" s="49" t="str">
        <f t="shared" ca="1" si="6"/>
        <v>Bezahlt</v>
      </c>
      <c r="Q19" s="41" t="str">
        <f t="shared" ca="1" si="7"/>
        <v/>
      </c>
    </row>
    <row r="20" spans="2:17" ht="18" customHeight="1" x14ac:dyDescent="0.25">
      <c r="B20" s="32">
        <f t="shared" si="0"/>
        <v>15</v>
      </c>
      <c r="C20" s="33" t="s">
        <v>95</v>
      </c>
      <c r="D20" s="34">
        <v>46193</v>
      </c>
      <c r="E20" s="33" t="s">
        <v>96</v>
      </c>
      <c r="F20" s="33" t="s">
        <v>97</v>
      </c>
      <c r="G20" s="35">
        <v>4200</v>
      </c>
      <c r="H20" s="36">
        <v>0.19</v>
      </c>
      <c r="I20" s="21">
        <f t="shared" si="1"/>
        <v>798</v>
      </c>
      <c r="J20" s="37">
        <f t="shared" si="2"/>
        <v>4998</v>
      </c>
      <c r="K20" s="38">
        <v>30</v>
      </c>
      <c r="L20" s="39">
        <f t="shared" si="3"/>
        <v>46223</v>
      </c>
      <c r="M20" s="34"/>
      <c r="N20" s="35"/>
      <c r="O20" s="21">
        <f t="shared" si="5"/>
        <v>4998</v>
      </c>
      <c r="P20" s="40" t="str">
        <f t="shared" ca="1" si="6"/>
        <v>Offen</v>
      </c>
      <c r="Q20" s="32" t="str">
        <f t="shared" ca="1" si="7"/>
        <v/>
      </c>
    </row>
    <row r="21" spans="2:17" ht="18" customHeight="1" x14ac:dyDescent="0.25">
      <c r="B21" s="41">
        <f t="shared" si="0"/>
        <v>16</v>
      </c>
      <c r="C21" s="42" t="s">
        <v>98</v>
      </c>
      <c r="D21" s="43">
        <v>46193</v>
      </c>
      <c r="E21" s="42" t="s">
        <v>99</v>
      </c>
      <c r="F21" s="42" t="s">
        <v>100</v>
      </c>
      <c r="G21" s="44">
        <v>1200</v>
      </c>
      <c r="H21" s="45">
        <v>0.19</v>
      </c>
      <c r="I21" s="30">
        <f t="shared" si="1"/>
        <v>228</v>
      </c>
      <c r="J21" s="46">
        <f t="shared" si="2"/>
        <v>1428</v>
      </c>
      <c r="K21" s="47">
        <v>30</v>
      </c>
      <c r="L21" s="48">
        <f t="shared" si="3"/>
        <v>46223</v>
      </c>
      <c r="M21" s="43"/>
      <c r="N21" s="44">
        <v>600</v>
      </c>
      <c r="O21" s="30">
        <f t="shared" si="5"/>
        <v>828</v>
      </c>
      <c r="P21" s="49" t="str">
        <f t="shared" ca="1" si="6"/>
        <v>Teilbezahlt</v>
      </c>
      <c r="Q21" s="41" t="str">
        <f t="shared" ca="1" si="7"/>
        <v/>
      </c>
    </row>
    <row r="22" spans="2:17" ht="18" customHeight="1" x14ac:dyDescent="0.25">
      <c r="B22" s="32">
        <f t="shared" si="0"/>
        <v>17</v>
      </c>
      <c r="C22" s="33" t="s">
        <v>101</v>
      </c>
      <c r="D22" s="34">
        <v>46204</v>
      </c>
      <c r="E22" s="33" t="s">
        <v>102</v>
      </c>
      <c r="F22" s="33" t="s">
        <v>103</v>
      </c>
      <c r="G22" s="35">
        <v>1900</v>
      </c>
      <c r="H22" s="36">
        <v>0.19</v>
      </c>
      <c r="I22" s="21">
        <f t="shared" si="1"/>
        <v>361</v>
      </c>
      <c r="J22" s="37">
        <f t="shared" si="2"/>
        <v>2261</v>
      </c>
      <c r="K22" s="38">
        <v>14</v>
      </c>
      <c r="L22" s="39">
        <f t="shared" si="3"/>
        <v>46218</v>
      </c>
      <c r="M22" s="34"/>
      <c r="N22" s="35"/>
      <c r="O22" s="21">
        <f t="shared" si="5"/>
        <v>2261</v>
      </c>
      <c r="P22" s="40" t="str">
        <f t="shared" ca="1" si="6"/>
        <v>Offen</v>
      </c>
      <c r="Q22" s="32" t="str">
        <f t="shared" ca="1" si="7"/>
        <v/>
      </c>
    </row>
    <row r="23" spans="2:17" ht="18" customHeight="1" x14ac:dyDescent="0.25">
      <c r="B23" s="41">
        <f t="shared" si="0"/>
        <v>18</v>
      </c>
      <c r="C23" s="42" t="s">
        <v>104</v>
      </c>
      <c r="D23" s="43">
        <v>46209</v>
      </c>
      <c r="E23" s="42" t="s">
        <v>105</v>
      </c>
      <c r="F23" s="42" t="s">
        <v>106</v>
      </c>
      <c r="G23" s="44">
        <v>720</v>
      </c>
      <c r="H23" s="45">
        <v>7.0000000000000007E-2</v>
      </c>
      <c r="I23" s="30">
        <f t="shared" si="1"/>
        <v>50.400000000000006</v>
      </c>
      <c r="J23" s="46">
        <f t="shared" si="2"/>
        <v>770.4</v>
      </c>
      <c r="K23" s="47">
        <v>30</v>
      </c>
      <c r="L23" s="48">
        <f t="shared" si="3"/>
        <v>46239</v>
      </c>
      <c r="M23" s="43"/>
      <c r="N23" s="44"/>
      <c r="O23" s="30">
        <f t="shared" si="5"/>
        <v>770.4</v>
      </c>
      <c r="P23" s="49" t="str">
        <f t="shared" ca="1" si="6"/>
        <v>Offen</v>
      </c>
      <c r="Q23" s="41" t="str">
        <f t="shared" ca="1" si="7"/>
        <v/>
      </c>
    </row>
    <row r="24" spans="2:17" ht="18" customHeight="1" x14ac:dyDescent="0.25">
      <c r="B24" s="32" t="str">
        <f t="shared" si="0"/>
        <v/>
      </c>
      <c r="C24" s="33"/>
      <c r="D24" s="34"/>
      <c r="E24" s="33"/>
      <c r="F24" s="33"/>
      <c r="G24" s="35"/>
      <c r="H24" s="36"/>
      <c r="I24" s="21" t="str">
        <f t="shared" si="1"/>
        <v/>
      </c>
      <c r="J24" s="37" t="str">
        <f t="shared" si="2"/>
        <v/>
      </c>
      <c r="K24" s="38"/>
      <c r="L24" s="39" t="str">
        <f t="shared" si="3"/>
        <v/>
      </c>
      <c r="M24" s="34"/>
      <c r="N24" s="35"/>
      <c r="O24" s="21" t="str">
        <f t="shared" si="5"/>
        <v/>
      </c>
      <c r="P24" s="40" t="str">
        <f t="shared" ca="1" si="6"/>
        <v/>
      </c>
      <c r="Q24" s="32" t="str">
        <f t="shared" ca="1" si="7"/>
        <v/>
      </c>
    </row>
    <row r="25" spans="2:17" ht="18" customHeight="1" x14ac:dyDescent="0.25">
      <c r="B25" s="41" t="str">
        <f t="shared" si="0"/>
        <v/>
      </c>
      <c r="C25" s="42"/>
      <c r="D25" s="43"/>
      <c r="E25" s="42"/>
      <c r="F25" s="42"/>
      <c r="G25" s="44"/>
      <c r="H25" s="45"/>
      <c r="I25" s="30" t="str">
        <f t="shared" si="1"/>
        <v/>
      </c>
      <c r="J25" s="46" t="str">
        <f t="shared" si="2"/>
        <v/>
      </c>
      <c r="K25" s="47"/>
      <c r="L25" s="48" t="str">
        <f t="shared" si="3"/>
        <v/>
      </c>
      <c r="M25" s="43"/>
      <c r="N25" s="44"/>
      <c r="O25" s="30" t="str">
        <f t="shared" si="5"/>
        <v/>
      </c>
      <c r="P25" s="49" t="str">
        <f t="shared" ca="1" si="6"/>
        <v/>
      </c>
      <c r="Q25" s="41" t="str">
        <f t="shared" ca="1" si="7"/>
        <v/>
      </c>
    </row>
    <row r="26" spans="2:17" ht="18" customHeight="1" x14ac:dyDescent="0.25">
      <c r="B26" s="32" t="str">
        <f t="shared" si="0"/>
        <v/>
      </c>
      <c r="C26" s="33"/>
      <c r="D26" s="34"/>
      <c r="E26" s="33"/>
      <c r="F26" s="33"/>
      <c r="G26" s="35"/>
      <c r="H26" s="36"/>
      <c r="I26" s="21" t="str">
        <f t="shared" si="1"/>
        <v/>
      </c>
      <c r="J26" s="37" t="str">
        <f t="shared" si="2"/>
        <v/>
      </c>
      <c r="K26" s="38"/>
      <c r="L26" s="39" t="str">
        <f t="shared" si="3"/>
        <v/>
      </c>
      <c r="M26" s="34"/>
      <c r="N26" s="35"/>
      <c r="O26" s="21" t="str">
        <f t="shared" si="5"/>
        <v/>
      </c>
      <c r="P26" s="40" t="str">
        <f t="shared" ca="1" si="6"/>
        <v/>
      </c>
      <c r="Q26" s="32" t="str">
        <f t="shared" ca="1" si="7"/>
        <v/>
      </c>
    </row>
    <row r="27" spans="2:17" ht="18" customHeight="1" x14ac:dyDescent="0.25">
      <c r="B27" s="41" t="str">
        <f t="shared" si="0"/>
        <v/>
      </c>
      <c r="C27" s="42"/>
      <c r="D27" s="43"/>
      <c r="E27" s="42"/>
      <c r="F27" s="42"/>
      <c r="G27" s="44"/>
      <c r="H27" s="45"/>
      <c r="I27" s="30" t="str">
        <f t="shared" si="1"/>
        <v/>
      </c>
      <c r="J27" s="46" t="str">
        <f t="shared" si="2"/>
        <v/>
      </c>
      <c r="K27" s="47"/>
      <c r="L27" s="48" t="str">
        <f t="shared" si="3"/>
        <v/>
      </c>
      <c r="M27" s="43"/>
      <c r="N27" s="44"/>
      <c r="O27" s="30" t="str">
        <f t="shared" si="5"/>
        <v/>
      </c>
      <c r="P27" s="49" t="str">
        <f t="shared" ca="1" si="6"/>
        <v/>
      </c>
      <c r="Q27" s="41" t="str">
        <f t="shared" ca="1" si="7"/>
        <v/>
      </c>
    </row>
    <row r="28" spans="2:17" ht="18" customHeight="1" x14ac:dyDescent="0.25">
      <c r="B28" s="32" t="str">
        <f t="shared" si="0"/>
        <v/>
      </c>
      <c r="C28" s="33"/>
      <c r="D28" s="34"/>
      <c r="E28" s="33"/>
      <c r="F28" s="33"/>
      <c r="G28" s="35"/>
      <c r="H28" s="36"/>
      <c r="I28" s="21" t="str">
        <f t="shared" si="1"/>
        <v/>
      </c>
      <c r="J28" s="37" t="str">
        <f t="shared" si="2"/>
        <v/>
      </c>
      <c r="K28" s="38"/>
      <c r="L28" s="39" t="str">
        <f t="shared" si="3"/>
        <v/>
      </c>
      <c r="M28" s="34"/>
      <c r="N28" s="35"/>
      <c r="O28" s="21" t="str">
        <f t="shared" si="5"/>
        <v/>
      </c>
      <c r="P28" s="40" t="str">
        <f t="shared" ca="1" si="6"/>
        <v/>
      </c>
      <c r="Q28" s="32" t="str">
        <f t="shared" ca="1" si="7"/>
        <v/>
      </c>
    </row>
    <row r="29" spans="2:17" ht="18" customHeight="1" x14ac:dyDescent="0.25">
      <c r="B29" s="41" t="str">
        <f t="shared" si="0"/>
        <v/>
      </c>
      <c r="C29" s="42"/>
      <c r="D29" s="43"/>
      <c r="E29" s="42"/>
      <c r="F29" s="42"/>
      <c r="G29" s="44"/>
      <c r="H29" s="45"/>
      <c r="I29" s="30" t="str">
        <f t="shared" si="1"/>
        <v/>
      </c>
      <c r="J29" s="46" t="str">
        <f t="shared" si="2"/>
        <v/>
      </c>
      <c r="K29" s="47"/>
      <c r="L29" s="48" t="str">
        <f t="shared" si="3"/>
        <v/>
      </c>
      <c r="M29" s="43"/>
      <c r="N29" s="44"/>
      <c r="O29" s="30" t="str">
        <f t="shared" si="5"/>
        <v/>
      </c>
      <c r="P29" s="49" t="str">
        <f t="shared" ca="1" si="6"/>
        <v/>
      </c>
      <c r="Q29" s="41" t="str">
        <f t="shared" ca="1" si="7"/>
        <v/>
      </c>
    </row>
    <row r="30" spans="2:17" ht="18" customHeight="1" x14ac:dyDescent="0.25">
      <c r="B30" s="32" t="str">
        <f t="shared" si="0"/>
        <v/>
      </c>
      <c r="C30" s="33"/>
      <c r="D30" s="34"/>
      <c r="E30" s="33"/>
      <c r="F30" s="33"/>
      <c r="G30" s="35"/>
      <c r="H30" s="36"/>
      <c r="I30" s="21" t="str">
        <f t="shared" si="1"/>
        <v/>
      </c>
      <c r="J30" s="37" t="str">
        <f t="shared" si="2"/>
        <v/>
      </c>
      <c r="K30" s="38"/>
      <c r="L30" s="39" t="str">
        <f t="shared" si="3"/>
        <v/>
      </c>
      <c r="M30" s="34"/>
      <c r="N30" s="35"/>
      <c r="O30" s="21" t="str">
        <f t="shared" si="5"/>
        <v/>
      </c>
      <c r="P30" s="40" t="str">
        <f t="shared" ca="1" si="6"/>
        <v/>
      </c>
      <c r="Q30" s="32" t="str">
        <f t="shared" ca="1" si="7"/>
        <v/>
      </c>
    </row>
    <row r="31" spans="2:17" ht="18" customHeight="1" x14ac:dyDescent="0.25">
      <c r="B31" s="41" t="str">
        <f t="shared" si="0"/>
        <v/>
      </c>
      <c r="C31" s="42"/>
      <c r="D31" s="43"/>
      <c r="E31" s="42"/>
      <c r="F31" s="42"/>
      <c r="G31" s="44"/>
      <c r="H31" s="45"/>
      <c r="I31" s="30" t="str">
        <f t="shared" si="1"/>
        <v/>
      </c>
      <c r="J31" s="46" t="str">
        <f t="shared" si="2"/>
        <v/>
      </c>
      <c r="K31" s="47"/>
      <c r="L31" s="48" t="str">
        <f t="shared" si="3"/>
        <v/>
      </c>
      <c r="M31" s="43"/>
      <c r="N31" s="44"/>
      <c r="O31" s="30" t="str">
        <f t="shared" si="5"/>
        <v/>
      </c>
      <c r="P31" s="49" t="str">
        <f t="shared" ca="1" si="6"/>
        <v/>
      </c>
      <c r="Q31" s="41" t="str">
        <f t="shared" ca="1" si="7"/>
        <v/>
      </c>
    </row>
    <row r="32" spans="2:17" ht="18" customHeight="1" x14ac:dyDescent="0.25">
      <c r="B32" s="32" t="str">
        <f t="shared" si="0"/>
        <v/>
      </c>
      <c r="C32" s="33"/>
      <c r="D32" s="34"/>
      <c r="E32" s="33"/>
      <c r="F32" s="33"/>
      <c r="G32" s="35"/>
      <c r="H32" s="36"/>
      <c r="I32" s="21" t="str">
        <f t="shared" si="1"/>
        <v/>
      </c>
      <c r="J32" s="37" t="str">
        <f t="shared" si="2"/>
        <v/>
      </c>
      <c r="K32" s="38"/>
      <c r="L32" s="39" t="str">
        <f t="shared" si="3"/>
        <v/>
      </c>
      <c r="M32" s="34"/>
      <c r="N32" s="35"/>
      <c r="O32" s="21" t="str">
        <f t="shared" si="5"/>
        <v/>
      </c>
      <c r="P32" s="40" t="str">
        <f t="shared" ca="1" si="6"/>
        <v/>
      </c>
      <c r="Q32" s="32" t="str">
        <f t="shared" ca="1" si="7"/>
        <v/>
      </c>
    </row>
    <row r="33" spans="2:17" ht="18" customHeight="1" x14ac:dyDescent="0.25">
      <c r="B33" s="41" t="str">
        <f t="shared" si="0"/>
        <v/>
      </c>
      <c r="C33" s="42"/>
      <c r="D33" s="43"/>
      <c r="E33" s="42"/>
      <c r="F33" s="42"/>
      <c r="G33" s="44"/>
      <c r="H33" s="45"/>
      <c r="I33" s="30" t="str">
        <f t="shared" si="1"/>
        <v/>
      </c>
      <c r="J33" s="46" t="str">
        <f t="shared" si="2"/>
        <v/>
      </c>
      <c r="K33" s="47"/>
      <c r="L33" s="48" t="str">
        <f t="shared" si="3"/>
        <v/>
      </c>
      <c r="M33" s="43"/>
      <c r="N33" s="44"/>
      <c r="O33" s="30" t="str">
        <f t="shared" si="5"/>
        <v/>
      </c>
      <c r="P33" s="49" t="str">
        <f t="shared" ca="1" si="6"/>
        <v/>
      </c>
      <c r="Q33" s="41" t="str">
        <f t="shared" ca="1" si="7"/>
        <v/>
      </c>
    </row>
    <row r="34" spans="2:17" ht="18" customHeight="1" x14ac:dyDescent="0.25">
      <c r="B34" s="32" t="str">
        <f t="shared" si="0"/>
        <v/>
      </c>
      <c r="C34" s="33"/>
      <c r="D34" s="34"/>
      <c r="E34" s="33"/>
      <c r="F34" s="33"/>
      <c r="G34" s="35"/>
      <c r="H34" s="36"/>
      <c r="I34" s="21" t="str">
        <f t="shared" si="1"/>
        <v/>
      </c>
      <c r="J34" s="37" t="str">
        <f t="shared" si="2"/>
        <v/>
      </c>
      <c r="K34" s="38"/>
      <c r="L34" s="39" t="str">
        <f t="shared" si="3"/>
        <v/>
      </c>
      <c r="M34" s="34"/>
      <c r="N34" s="35"/>
      <c r="O34" s="21" t="str">
        <f t="shared" si="5"/>
        <v/>
      </c>
      <c r="P34" s="40" t="str">
        <f t="shared" ca="1" si="6"/>
        <v/>
      </c>
      <c r="Q34" s="32" t="str">
        <f t="shared" ca="1" si="7"/>
        <v/>
      </c>
    </row>
    <row r="35" spans="2:17" ht="18" customHeight="1" x14ac:dyDescent="0.25">
      <c r="B35" s="41" t="str">
        <f t="shared" si="0"/>
        <v/>
      </c>
      <c r="C35" s="42"/>
      <c r="D35" s="43"/>
      <c r="E35" s="42"/>
      <c r="F35" s="42"/>
      <c r="G35" s="44"/>
      <c r="H35" s="45"/>
      <c r="I35" s="30" t="str">
        <f t="shared" si="1"/>
        <v/>
      </c>
      <c r="J35" s="46" t="str">
        <f t="shared" si="2"/>
        <v/>
      </c>
      <c r="K35" s="47"/>
      <c r="L35" s="48" t="str">
        <f t="shared" si="3"/>
        <v/>
      </c>
      <c r="M35" s="43"/>
      <c r="N35" s="44"/>
      <c r="O35" s="30" t="str">
        <f t="shared" si="5"/>
        <v/>
      </c>
      <c r="P35" s="49" t="str">
        <f t="shared" ca="1" si="6"/>
        <v/>
      </c>
      <c r="Q35" s="41" t="str">
        <f t="shared" ca="1" si="7"/>
        <v/>
      </c>
    </row>
    <row r="36" spans="2:17" ht="18" customHeight="1" x14ac:dyDescent="0.25">
      <c r="B36" s="32" t="str">
        <f t="shared" si="0"/>
        <v/>
      </c>
      <c r="C36" s="33"/>
      <c r="D36" s="34"/>
      <c r="E36" s="33"/>
      <c r="F36" s="33"/>
      <c r="G36" s="35"/>
      <c r="H36" s="36"/>
      <c r="I36" s="21" t="str">
        <f t="shared" si="1"/>
        <v/>
      </c>
      <c r="J36" s="37" t="str">
        <f t="shared" si="2"/>
        <v/>
      </c>
      <c r="K36" s="38"/>
      <c r="L36" s="39" t="str">
        <f t="shared" si="3"/>
        <v/>
      </c>
      <c r="M36" s="34"/>
      <c r="N36" s="35"/>
      <c r="O36" s="21" t="str">
        <f t="shared" si="5"/>
        <v/>
      </c>
      <c r="P36" s="40" t="str">
        <f t="shared" ca="1" si="6"/>
        <v/>
      </c>
      <c r="Q36" s="32" t="str">
        <f t="shared" ca="1" si="7"/>
        <v/>
      </c>
    </row>
    <row r="37" spans="2:17" ht="18" customHeight="1" x14ac:dyDescent="0.25">
      <c r="B37" s="41" t="str">
        <f t="shared" si="0"/>
        <v/>
      </c>
      <c r="C37" s="42"/>
      <c r="D37" s="43"/>
      <c r="E37" s="42"/>
      <c r="F37" s="42"/>
      <c r="G37" s="44"/>
      <c r="H37" s="45"/>
      <c r="I37" s="30" t="str">
        <f t="shared" si="1"/>
        <v/>
      </c>
      <c r="J37" s="46" t="str">
        <f t="shared" si="2"/>
        <v/>
      </c>
      <c r="K37" s="47"/>
      <c r="L37" s="48" t="str">
        <f t="shared" si="3"/>
        <v/>
      </c>
      <c r="M37" s="43"/>
      <c r="N37" s="44"/>
      <c r="O37" s="30" t="str">
        <f t="shared" si="5"/>
        <v/>
      </c>
      <c r="P37" s="49" t="str">
        <f t="shared" ca="1" si="6"/>
        <v/>
      </c>
      <c r="Q37" s="41" t="str">
        <f t="shared" ca="1" si="7"/>
        <v/>
      </c>
    </row>
    <row r="38" spans="2:17" ht="18" customHeight="1" x14ac:dyDescent="0.25">
      <c r="B38" s="32" t="str">
        <f t="shared" si="0"/>
        <v/>
      </c>
      <c r="C38" s="33"/>
      <c r="D38" s="34"/>
      <c r="E38" s="33"/>
      <c r="F38" s="33"/>
      <c r="G38" s="35"/>
      <c r="H38" s="36"/>
      <c r="I38" s="21" t="str">
        <f t="shared" si="1"/>
        <v/>
      </c>
      <c r="J38" s="37" t="str">
        <f t="shared" si="2"/>
        <v/>
      </c>
      <c r="K38" s="38"/>
      <c r="L38" s="39" t="str">
        <f t="shared" si="3"/>
        <v/>
      </c>
      <c r="M38" s="34"/>
      <c r="N38" s="35"/>
      <c r="O38" s="21" t="str">
        <f t="shared" si="5"/>
        <v/>
      </c>
      <c r="P38" s="40" t="str">
        <f t="shared" ca="1" si="6"/>
        <v/>
      </c>
      <c r="Q38" s="32" t="str">
        <f t="shared" ca="1" si="7"/>
        <v/>
      </c>
    </row>
    <row r="39" spans="2:17" ht="18" customHeight="1" x14ac:dyDescent="0.25">
      <c r="B39" s="41" t="str">
        <f t="shared" si="0"/>
        <v/>
      </c>
      <c r="C39" s="42"/>
      <c r="D39" s="43"/>
      <c r="E39" s="42"/>
      <c r="F39" s="42"/>
      <c r="G39" s="44"/>
      <c r="H39" s="45"/>
      <c r="I39" s="30" t="str">
        <f t="shared" si="1"/>
        <v/>
      </c>
      <c r="J39" s="46" t="str">
        <f t="shared" si="2"/>
        <v/>
      </c>
      <c r="K39" s="47"/>
      <c r="L39" s="48" t="str">
        <f t="shared" si="3"/>
        <v/>
      </c>
      <c r="M39" s="43"/>
      <c r="N39" s="44"/>
      <c r="O39" s="30" t="str">
        <f t="shared" si="5"/>
        <v/>
      </c>
      <c r="P39" s="49" t="str">
        <f t="shared" ca="1" si="6"/>
        <v/>
      </c>
      <c r="Q39" s="41" t="str">
        <f t="shared" ca="1" si="7"/>
        <v/>
      </c>
    </row>
    <row r="40" spans="2:17" ht="18" customHeight="1" x14ac:dyDescent="0.25">
      <c r="B40" s="32" t="str">
        <f t="shared" si="0"/>
        <v/>
      </c>
      <c r="C40" s="33"/>
      <c r="D40" s="34"/>
      <c r="E40" s="33"/>
      <c r="F40" s="33"/>
      <c r="G40" s="35"/>
      <c r="H40" s="36"/>
      <c r="I40" s="21" t="str">
        <f t="shared" si="1"/>
        <v/>
      </c>
      <c r="J40" s="37" t="str">
        <f t="shared" si="2"/>
        <v/>
      </c>
      <c r="K40" s="38"/>
      <c r="L40" s="39" t="str">
        <f t="shared" si="3"/>
        <v/>
      </c>
      <c r="M40" s="34"/>
      <c r="N40" s="35"/>
      <c r="O40" s="21" t="str">
        <f t="shared" si="5"/>
        <v/>
      </c>
      <c r="P40" s="40" t="str">
        <f t="shared" ca="1" si="6"/>
        <v/>
      </c>
      <c r="Q40" s="32" t="str">
        <f t="shared" ca="1" si="7"/>
        <v/>
      </c>
    </row>
    <row r="41" spans="2:17" ht="18" customHeight="1" x14ac:dyDescent="0.25">
      <c r="B41" s="41" t="str">
        <f t="shared" si="0"/>
        <v/>
      </c>
      <c r="C41" s="42"/>
      <c r="D41" s="43"/>
      <c r="E41" s="42"/>
      <c r="F41" s="42"/>
      <c r="G41" s="44"/>
      <c r="H41" s="45"/>
      <c r="I41" s="30" t="str">
        <f t="shared" si="1"/>
        <v/>
      </c>
      <c r="J41" s="46" t="str">
        <f t="shared" si="2"/>
        <v/>
      </c>
      <c r="K41" s="47"/>
      <c r="L41" s="48" t="str">
        <f t="shared" si="3"/>
        <v/>
      </c>
      <c r="M41" s="43"/>
      <c r="N41" s="44"/>
      <c r="O41" s="30" t="str">
        <f t="shared" si="5"/>
        <v/>
      </c>
      <c r="P41" s="49" t="str">
        <f t="shared" ca="1" si="6"/>
        <v/>
      </c>
      <c r="Q41" s="41" t="str">
        <f t="shared" ca="1" si="7"/>
        <v/>
      </c>
    </row>
    <row r="42" spans="2:17" ht="18" customHeight="1" x14ac:dyDescent="0.25">
      <c r="B42" s="32" t="str">
        <f t="shared" si="0"/>
        <v/>
      </c>
      <c r="C42" s="33"/>
      <c r="D42" s="34"/>
      <c r="E42" s="33"/>
      <c r="F42" s="33"/>
      <c r="G42" s="35"/>
      <c r="H42" s="36"/>
      <c r="I42" s="21" t="str">
        <f t="shared" si="1"/>
        <v/>
      </c>
      <c r="J42" s="37" t="str">
        <f t="shared" si="2"/>
        <v/>
      </c>
      <c r="K42" s="38"/>
      <c r="L42" s="39" t="str">
        <f t="shared" si="3"/>
        <v/>
      </c>
      <c r="M42" s="34"/>
      <c r="N42" s="35"/>
      <c r="O42" s="21" t="str">
        <f t="shared" si="5"/>
        <v/>
      </c>
      <c r="P42" s="40" t="str">
        <f t="shared" ca="1" si="6"/>
        <v/>
      </c>
      <c r="Q42" s="32" t="str">
        <f t="shared" ca="1" si="7"/>
        <v/>
      </c>
    </row>
    <row r="43" spans="2:17" ht="18" customHeight="1" x14ac:dyDescent="0.25">
      <c r="B43" s="41" t="str">
        <f t="shared" si="0"/>
        <v/>
      </c>
      <c r="C43" s="42"/>
      <c r="D43" s="43"/>
      <c r="E43" s="42"/>
      <c r="F43" s="42"/>
      <c r="G43" s="44"/>
      <c r="H43" s="45"/>
      <c r="I43" s="30" t="str">
        <f t="shared" si="1"/>
        <v/>
      </c>
      <c r="J43" s="46" t="str">
        <f t="shared" si="2"/>
        <v/>
      </c>
      <c r="K43" s="47"/>
      <c r="L43" s="48" t="str">
        <f t="shared" si="3"/>
        <v/>
      </c>
      <c r="M43" s="43"/>
      <c r="N43" s="44"/>
      <c r="O43" s="30" t="str">
        <f t="shared" si="5"/>
        <v/>
      </c>
      <c r="P43" s="49" t="str">
        <f t="shared" ca="1" si="6"/>
        <v/>
      </c>
      <c r="Q43" s="41" t="str">
        <f t="shared" ca="1" si="7"/>
        <v/>
      </c>
    </row>
    <row r="44" spans="2:17" ht="18" customHeight="1" x14ac:dyDescent="0.25">
      <c r="B44" s="32" t="str">
        <f t="shared" si="0"/>
        <v/>
      </c>
      <c r="C44" s="33"/>
      <c r="D44" s="34"/>
      <c r="E44" s="33"/>
      <c r="F44" s="33"/>
      <c r="G44" s="35"/>
      <c r="H44" s="36"/>
      <c r="I44" s="21" t="str">
        <f t="shared" si="1"/>
        <v/>
      </c>
      <c r="J44" s="37" t="str">
        <f t="shared" si="2"/>
        <v/>
      </c>
      <c r="K44" s="38"/>
      <c r="L44" s="39" t="str">
        <f t="shared" si="3"/>
        <v/>
      </c>
      <c r="M44" s="34"/>
      <c r="N44" s="35"/>
      <c r="O44" s="21" t="str">
        <f t="shared" si="5"/>
        <v/>
      </c>
      <c r="P44" s="40" t="str">
        <f t="shared" ca="1" si="6"/>
        <v/>
      </c>
      <c r="Q44" s="32" t="str">
        <f t="shared" ca="1" si="7"/>
        <v/>
      </c>
    </row>
    <row r="45" spans="2:17" ht="18" customHeight="1" x14ac:dyDescent="0.25">
      <c r="B45" s="41" t="str">
        <f t="shared" si="0"/>
        <v/>
      </c>
      <c r="C45" s="42"/>
      <c r="D45" s="43"/>
      <c r="E45" s="42"/>
      <c r="F45" s="42"/>
      <c r="G45" s="44"/>
      <c r="H45" s="45"/>
      <c r="I45" s="30" t="str">
        <f t="shared" si="1"/>
        <v/>
      </c>
      <c r="J45" s="46" t="str">
        <f t="shared" si="2"/>
        <v/>
      </c>
      <c r="K45" s="47"/>
      <c r="L45" s="48" t="str">
        <f t="shared" si="3"/>
        <v/>
      </c>
      <c r="M45" s="43"/>
      <c r="N45" s="44"/>
      <c r="O45" s="30" t="str">
        <f t="shared" si="5"/>
        <v/>
      </c>
      <c r="P45" s="49" t="str">
        <f t="shared" ca="1" si="6"/>
        <v/>
      </c>
      <c r="Q45" s="41" t="str">
        <f t="shared" ca="1" si="7"/>
        <v/>
      </c>
    </row>
  </sheetData>
  <autoFilter ref="B5:Q45" xr:uid="{00000000-0009-0000-0000-000001000000}"/>
  <mergeCells count="3">
    <mergeCell ref="B2:Q2"/>
    <mergeCell ref="B3:Q3"/>
    <mergeCell ref="B4:Q4"/>
  </mergeCells>
  <conditionalFormatting sqref="P6:P45">
    <cfRule type="cellIs" dxfId="3" priority="2" operator="equal">
      <formula>"Bezahlt"</formula>
    </cfRule>
    <cfRule type="cellIs" dxfId="2" priority="3" operator="equal">
      <formula>"Teilbezahlt"</formula>
    </cfRule>
    <cfRule type="cellIs" dxfId="1" priority="4" operator="equal">
      <formula>"Offen"</formula>
    </cfRule>
    <cfRule type="cellIs" dxfId="0" priority="5" operator="equal">
      <formula>"Überfällig"</formula>
    </cfRule>
  </conditionalFormatting>
  <dataValidations count="2">
    <dataValidation type="list" allowBlank="1" sqref="H6:H45" xr:uid="{00000000-0002-0000-0100-000000000000}">
      <formula1>"0,0.07,0.19"</formula1>
      <formula2>0</formula2>
    </dataValidation>
    <dataValidation type="list" allowBlank="1" sqref="K6:K45" xr:uid="{00000000-0002-0000-0100-000001000000}">
      <formula1>"7,14,30,60"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Rechnungsliste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2026-07-09T14:29:57Z</dcterms:created>
  <dcterms:modified xsi:type="dcterms:W3CDTF">2026-07-10T06:15:20Z</dcterms:modified>
  <dc:language>en-US</dc:language>
</cp:coreProperties>
</file>