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1D9E3A7-503A-4A24-A35B-4EC94F78AEE9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Übersicht" sheetId="1" r:id="rId1"/>
    <sheet name="Stammdaten" sheetId="2" r:id="rId2"/>
    <sheet name="Rechnungseingangsbuch" sheetId="3" r:id="rId3"/>
  </sheets>
  <definedNames>
    <definedName name="_xlnm._FilterDatabase" localSheetId="2" hidden="1">Rechnungseingangsbuch!$A$7:$AC$47</definedName>
    <definedName name="_xlnm.Print_Titles" localSheetId="2">Rechnungseingangsbuch!$6:$7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8" i="3" l="1"/>
  <c r="AA47" i="3"/>
  <c r="Z47" i="3"/>
  <c r="Y47" i="3"/>
  <c r="X47" i="3"/>
  <c r="W47" i="3"/>
  <c r="T47" i="3"/>
  <c r="S47" i="3"/>
  <c r="R47" i="3"/>
  <c r="O47" i="3"/>
  <c r="M47" i="3"/>
  <c r="L47" i="3"/>
  <c r="A47" i="3"/>
  <c r="AA46" i="3"/>
  <c r="Z46" i="3"/>
  <c r="Y46" i="3"/>
  <c r="X46" i="3"/>
  <c r="W46" i="3"/>
  <c r="T46" i="3"/>
  <c r="S46" i="3"/>
  <c r="R46" i="3"/>
  <c r="O46" i="3"/>
  <c r="M46" i="3"/>
  <c r="L46" i="3"/>
  <c r="A46" i="3"/>
  <c r="AA45" i="3"/>
  <c r="Z45" i="3"/>
  <c r="Y45" i="3"/>
  <c r="X45" i="3"/>
  <c r="W45" i="3"/>
  <c r="T45" i="3"/>
  <c r="S45" i="3"/>
  <c r="R45" i="3"/>
  <c r="O45" i="3"/>
  <c r="M45" i="3"/>
  <c r="L45" i="3"/>
  <c r="A45" i="3"/>
  <c r="AA44" i="3"/>
  <c r="Z44" i="3"/>
  <c r="Y44" i="3"/>
  <c r="X44" i="3"/>
  <c r="W44" i="3"/>
  <c r="T44" i="3"/>
  <c r="S44" i="3"/>
  <c r="R44" i="3"/>
  <c r="O44" i="3"/>
  <c r="M44" i="3"/>
  <c r="L44" i="3"/>
  <c r="A44" i="3"/>
  <c r="AA43" i="3"/>
  <c r="Z43" i="3"/>
  <c r="Y43" i="3"/>
  <c r="X43" i="3"/>
  <c r="W43" i="3"/>
  <c r="T43" i="3"/>
  <c r="S43" i="3"/>
  <c r="R43" i="3"/>
  <c r="O43" i="3"/>
  <c r="M43" i="3"/>
  <c r="L43" i="3"/>
  <c r="A43" i="3"/>
  <c r="AA42" i="3"/>
  <c r="Z42" i="3"/>
  <c r="Y42" i="3"/>
  <c r="X42" i="3"/>
  <c r="W42" i="3"/>
  <c r="T42" i="3"/>
  <c r="S42" i="3"/>
  <c r="R42" i="3"/>
  <c r="O42" i="3"/>
  <c r="M42" i="3"/>
  <c r="L42" i="3"/>
  <c r="A42" i="3"/>
  <c r="AA41" i="3"/>
  <c r="Z41" i="3"/>
  <c r="Y41" i="3"/>
  <c r="X41" i="3"/>
  <c r="W41" i="3"/>
  <c r="T41" i="3"/>
  <c r="S41" i="3"/>
  <c r="R41" i="3"/>
  <c r="O41" i="3"/>
  <c r="M41" i="3"/>
  <c r="L41" i="3"/>
  <c r="A41" i="3"/>
  <c r="AA40" i="3"/>
  <c r="Z40" i="3"/>
  <c r="Y40" i="3"/>
  <c r="X40" i="3"/>
  <c r="W40" i="3"/>
  <c r="T40" i="3"/>
  <c r="S40" i="3"/>
  <c r="R40" i="3"/>
  <c r="O40" i="3"/>
  <c r="M40" i="3"/>
  <c r="L40" i="3"/>
  <c r="A40" i="3"/>
  <c r="AA39" i="3"/>
  <c r="Z39" i="3"/>
  <c r="Y39" i="3"/>
  <c r="X39" i="3"/>
  <c r="W39" i="3"/>
  <c r="T39" i="3"/>
  <c r="S39" i="3"/>
  <c r="R39" i="3"/>
  <c r="O39" i="3"/>
  <c r="M39" i="3"/>
  <c r="L39" i="3"/>
  <c r="A39" i="3"/>
  <c r="AA38" i="3"/>
  <c r="Z38" i="3"/>
  <c r="Y38" i="3"/>
  <c r="X38" i="3"/>
  <c r="W38" i="3"/>
  <c r="T38" i="3"/>
  <c r="S38" i="3"/>
  <c r="R38" i="3"/>
  <c r="O38" i="3"/>
  <c r="M38" i="3"/>
  <c r="L38" i="3"/>
  <c r="A38" i="3"/>
  <c r="AA37" i="3"/>
  <c r="Z37" i="3"/>
  <c r="Y37" i="3"/>
  <c r="X37" i="3"/>
  <c r="W37" i="3"/>
  <c r="T37" i="3"/>
  <c r="S37" i="3"/>
  <c r="R37" i="3"/>
  <c r="O37" i="3"/>
  <c r="M37" i="3"/>
  <c r="L37" i="3"/>
  <c r="A37" i="3"/>
  <c r="AA36" i="3"/>
  <c r="Z36" i="3"/>
  <c r="Y36" i="3"/>
  <c r="X36" i="3"/>
  <c r="W36" i="3"/>
  <c r="T36" i="3"/>
  <c r="S36" i="3"/>
  <c r="R36" i="3"/>
  <c r="O36" i="3"/>
  <c r="M36" i="3"/>
  <c r="L36" i="3"/>
  <c r="A36" i="3"/>
  <c r="AA35" i="3"/>
  <c r="Z35" i="3"/>
  <c r="Y35" i="3"/>
  <c r="X35" i="3"/>
  <c r="W35" i="3"/>
  <c r="T35" i="3"/>
  <c r="S35" i="3"/>
  <c r="R35" i="3"/>
  <c r="O35" i="3"/>
  <c r="M35" i="3"/>
  <c r="L35" i="3"/>
  <c r="A35" i="3"/>
  <c r="AA34" i="3"/>
  <c r="Z34" i="3"/>
  <c r="Y34" i="3"/>
  <c r="X34" i="3"/>
  <c r="W34" i="3"/>
  <c r="T34" i="3"/>
  <c r="S34" i="3"/>
  <c r="R34" i="3"/>
  <c r="O34" i="3"/>
  <c r="M34" i="3"/>
  <c r="L34" i="3"/>
  <c r="A34" i="3"/>
  <c r="AA33" i="3"/>
  <c r="Z33" i="3"/>
  <c r="Y33" i="3"/>
  <c r="X33" i="3"/>
  <c r="W33" i="3"/>
  <c r="T33" i="3"/>
  <c r="S33" i="3"/>
  <c r="R33" i="3"/>
  <c r="O33" i="3"/>
  <c r="M33" i="3"/>
  <c r="L33" i="3"/>
  <c r="A33" i="3"/>
  <c r="W32" i="3"/>
  <c r="R32" i="3"/>
  <c r="O32" i="3"/>
  <c r="L32" i="3"/>
  <c r="M32" i="3" s="1"/>
  <c r="A32" i="3"/>
  <c r="W31" i="3"/>
  <c r="R31" i="3"/>
  <c r="O31" i="3"/>
  <c r="M31" i="3"/>
  <c r="X31" i="3" s="1"/>
  <c r="L31" i="3"/>
  <c r="A31" i="3"/>
  <c r="W30" i="3"/>
  <c r="R30" i="3"/>
  <c r="O30" i="3"/>
  <c r="M30" i="3"/>
  <c r="X30" i="3" s="1"/>
  <c r="L30" i="3"/>
  <c r="A30" i="3"/>
  <c r="W29" i="3"/>
  <c r="R29" i="3"/>
  <c r="O29" i="3"/>
  <c r="M29" i="3"/>
  <c r="X29" i="3" s="1"/>
  <c r="L29" i="3"/>
  <c r="A29" i="3"/>
  <c r="R28" i="3"/>
  <c r="W28" i="3" s="1"/>
  <c r="O28" i="3"/>
  <c r="L28" i="3"/>
  <c r="M28" i="3" s="1"/>
  <c r="A28" i="3"/>
  <c r="R27" i="3"/>
  <c r="W27" i="3" s="1"/>
  <c r="O27" i="3"/>
  <c r="L27" i="3"/>
  <c r="M27" i="3" s="1"/>
  <c r="A27" i="3"/>
  <c r="Z26" i="3"/>
  <c r="X26" i="3"/>
  <c r="Y26" i="3" s="1"/>
  <c r="W26" i="3"/>
  <c r="R26" i="3"/>
  <c r="O26" i="3"/>
  <c r="M26" i="3"/>
  <c r="L26" i="3"/>
  <c r="A26" i="3"/>
  <c r="R25" i="3"/>
  <c r="W25" i="3" s="1"/>
  <c r="O25" i="3"/>
  <c r="M25" i="3"/>
  <c r="X25" i="3" s="1"/>
  <c r="L25" i="3"/>
  <c r="A25" i="3"/>
  <c r="W24" i="3"/>
  <c r="R24" i="3"/>
  <c r="O24" i="3"/>
  <c r="L24" i="3"/>
  <c r="M24" i="3" s="1"/>
  <c r="A24" i="3"/>
  <c r="W23" i="3"/>
  <c r="R23" i="3"/>
  <c r="O23" i="3"/>
  <c r="M23" i="3"/>
  <c r="V23" i="3" s="1"/>
  <c r="L23" i="3"/>
  <c r="A23" i="3"/>
  <c r="W22" i="3"/>
  <c r="T22" i="3"/>
  <c r="S22" i="3"/>
  <c r="R22" i="3"/>
  <c r="O22" i="3"/>
  <c r="M22" i="3"/>
  <c r="X22" i="3" s="1"/>
  <c r="L22" i="3"/>
  <c r="A22" i="3"/>
  <c r="W21" i="3"/>
  <c r="V21" i="3"/>
  <c r="S21" i="3"/>
  <c r="R21" i="3"/>
  <c r="O21" i="3"/>
  <c r="M21" i="3"/>
  <c r="L21" i="3"/>
  <c r="A21" i="3"/>
  <c r="W20" i="3"/>
  <c r="R20" i="3"/>
  <c r="O20" i="3"/>
  <c r="L20" i="3"/>
  <c r="M20" i="3" s="1"/>
  <c r="A20" i="3"/>
  <c r="W19" i="3"/>
  <c r="R19" i="3"/>
  <c r="O19" i="3"/>
  <c r="L19" i="3"/>
  <c r="M19" i="3" s="1"/>
  <c r="A19" i="3"/>
  <c r="W18" i="3"/>
  <c r="R18" i="3"/>
  <c r="O18" i="3"/>
  <c r="L18" i="3"/>
  <c r="M18" i="3" s="1"/>
  <c r="A18" i="3"/>
  <c r="R17" i="3"/>
  <c r="W17" i="3" s="1"/>
  <c r="O17" i="3"/>
  <c r="M17" i="3"/>
  <c r="S17" i="3" s="1"/>
  <c r="T17" i="3" s="1"/>
  <c r="V17" i="3" s="1"/>
  <c r="X17" i="3" s="1"/>
  <c r="L17" i="3"/>
  <c r="A17" i="3"/>
  <c r="W16" i="3"/>
  <c r="R16" i="3"/>
  <c r="O16" i="3"/>
  <c r="M16" i="3"/>
  <c r="V16" i="3" s="1"/>
  <c r="L16" i="3"/>
  <c r="A16" i="3"/>
  <c r="R15" i="3"/>
  <c r="W15" i="3" s="1"/>
  <c r="O15" i="3"/>
  <c r="M15" i="3"/>
  <c r="L15" i="3"/>
  <c r="A15" i="3"/>
  <c r="W14" i="3"/>
  <c r="R14" i="3"/>
  <c r="O14" i="3"/>
  <c r="M14" i="3"/>
  <c r="X14" i="3" s="1"/>
  <c r="L14" i="3"/>
  <c r="A14" i="3"/>
  <c r="W13" i="3"/>
  <c r="R13" i="3"/>
  <c r="O13" i="3"/>
  <c r="L13" i="3"/>
  <c r="M13" i="3" s="1"/>
  <c r="A13" i="3"/>
  <c r="W12" i="3"/>
  <c r="R12" i="3"/>
  <c r="O12" i="3"/>
  <c r="M12" i="3"/>
  <c r="L12" i="3"/>
  <c r="A12" i="3"/>
  <c r="W11" i="3"/>
  <c r="R11" i="3"/>
  <c r="O11" i="3"/>
  <c r="L11" i="3"/>
  <c r="M11" i="3" s="1"/>
  <c r="A11" i="3"/>
  <c r="W10" i="3"/>
  <c r="R10" i="3"/>
  <c r="O10" i="3"/>
  <c r="L10" i="3"/>
  <c r="M10" i="3" s="1"/>
  <c r="A10" i="3"/>
  <c r="W9" i="3"/>
  <c r="R9" i="3"/>
  <c r="O9" i="3"/>
  <c r="L9" i="3"/>
  <c r="M9" i="3" s="1"/>
  <c r="A9" i="3"/>
  <c r="W8" i="3"/>
  <c r="T8" i="3"/>
  <c r="V8" i="3" s="1"/>
  <c r="S8" i="3"/>
  <c r="R8" i="3"/>
  <c r="O8" i="3"/>
  <c r="M8" i="3"/>
  <c r="L8" i="3"/>
  <c r="L48" i="3" s="1"/>
  <c r="A8" i="3"/>
  <c r="C55" i="1"/>
  <c r="B55" i="1"/>
  <c r="D55" i="1" s="1"/>
  <c r="B54" i="1"/>
  <c r="D54" i="1" s="1"/>
  <c r="C53" i="1"/>
  <c r="B53" i="1"/>
  <c r="D52" i="1"/>
  <c r="C52" i="1"/>
  <c r="B52" i="1"/>
  <c r="D51" i="1"/>
  <c r="C51" i="1"/>
  <c r="B51" i="1"/>
  <c r="B50" i="1"/>
  <c r="C50" i="1" s="1"/>
  <c r="G49" i="1"/>
  <c r="F49" i="1"/>
  <c r="C49" i="1"/>
  <c r="B49" i="1"/>
  <c r="G48" i="1"/>
  <c r="F48" i="1"/>
  <c r="B48" i="1"/>
  <c r="F47" i="1"/>
  <c r="G47" i="1" s="1"/>
  <c r="C47" i="1"/>
  <c r="B47" i="1"/>
  <c r="G46" i="1"/>
  <c r="F46" i="1"/>
  <c r="C46" i="1"/>
  <c r="B46" i="1"/>
  <c r="F45" i="1"/>
  <c r="B45" i="1"/>
  <c r="C45" i="1" s="1"/>
  <c r="G44" i="1"/>
  <c r="F44" i="1"/>
  <c r="D44" i="1"/>
  <c r="C44" i="1"/>
  <c r="B44" i="1"/>
  <c r="H39" i="1"/>
  <c r="G39" i="1"/>
  <c r="I39" i="1" s="1"/>
  <c r="F39" i="1"/>
  <c r="E39" i="1"/>
  <c r="D39" i="1"/>
  <c r="C39" i="1"/>
  <c r="H38" i="1"/>
  <c r="G38" i="1"/>
  <c r="F38" i="1"/>
  <c r="I38" i="1" s="1"/>
  <c r="E38" i="1"/>
  <c r="D38" i="1"/>
  <c r="C38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H35" i="1"/>
  <c r="G35" i="1"/>
  <c r="I35" i="1" s="1"/>
  <c r="F35" i="1"/>
  <c r="E35" i="1"/>
  <c r="D35" i="1"/>
  <c r="C35" i="1"/>
  <c r="G34" i="1"/>
  <c r="E34" i="1"/>
  <c r="D34" i="1"/>
  <c r="C34" i="1"/>
  <c r="G33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E40" i="1" s="1"/>
  <c r="D28" i="1"/>
  <c r="D40" i="1" s="1"/>
  <c r="C28" i="1"/>
  <c r="C40" i="1" s="1"/>
  <c r="H21" i="1"/>
  <c r="G21" i="1"/>
  <c r="H20" i="1"/>
  <c r="G20" i="1"/>
  <c r="H19" i="1"/>
  <c r="H22" i="1" s="1"/>
  <c r="G19" i="1"/>
  <c r="G22" i="1" s="1"/>
  <c r="D15" i="1"/>
  <c r="D11" i="1"/>
  <c r="D10" i="1"/>
  <c r="D9" i="1"/>
  <c r="H5" i="1"/>
  <c r="X21" i="3" l="1"/>
  <c r="AA14" i="3"/>
  <c r="Z14" i="3"/>
  <c r="Y14" i="3"/>
  <c r="D50" i="1"/>
  <c r="S28" i="3"/>
  <c r="T28" i="3" s="1"/>
  <c r="X28" i="3"/>
  <c r="V11" i="3"/>
  <c r="X11" i="3" s="1"/>
  <c r="S11" i="3"/>
  <c r="T11" i="3" s="1"/>
  <c r="I21" i="1"/>
  <c r="I22" i="1"/>
  <c r="I20" i="1"/>
  <c r="E44" i="1"/>
  <c r="X16" i="3"/>
  <c r="G30" i="1"/>
  <c r="I30" i="1" s="1"/>
  <c r="T20" i="3"/>
  <c r="S20" i="3"/>
  <c r="F31" i="1"/>
  <c r="V20" i="3"/>
  <c r="G31" i="1" s="1"/>
  <c r="I31" i="1" s="1"/>
  <c r="AA30" i="3"/>
  <c r="Z30" i="3"/>
  <c r="Y30" i="3"/>
  <c r="V9" i="3"/>
  <c r="S9" i="3"/>
  <c r="S48" i="3" s="1"/>
  <c r="H47" i="1"/>
  <c r="D45" i="1"/>
  <c r="D56" i="1" s="1"/>
  <c r="F28" i="1"/>
  <c r="D12" i="1"/>
  <c r="X9" i="3"/>
  <c r="G32" i="1"/>
  <c r="I32" i="1" s="1"/>
  <c r="X18" i="3"/>
  <c r="V18" i="3"/>
  <c r="S18" i="3"/>
  <c r="T18" i="3" s="1"/>
  <c r="F30" i="1"/>
  <c r="D53" i="1"/>
  <c r="F34" i="1"/>
  <c r="X32" i="3"/>
  <c r="S32" i="3"/>
  <c r="H13" i="1" s="1"/>
  <c r="V13" i="3"/>
  <c r="X13" i="3" s="1"/>
  <c r="D49" i="1"/>
  <c r="S13" i="3"/>
  <c r="T13" i="3" s="1"/>
  <c r="H46" i="1"/>
  <c r="F29" i="1"/>
  <c r="G50" i="1"/>
  <c r="H48" i="1"/>
  <c r="D48" i="1"/>
  <c r="X27" i="3"/>
  <c r="F33" i="1"/>
  <c r="I33" i="1" s="1"/>
  <c r="S27" i="3"/>
  <c r="T27" i="3" s="1"/>
  <c r="AA17" i="3"/>
  <c r="Z17" i="3"/>
  <c r="Y17" i="3"/>
  <c r="E52" i="1"/>
  <c r="Z31" i="3"/>
  <c r="Y31" i="3"/>
  <c r="H34" i="1"/>
  <c r="AA31" i="3"/>
  <c r="I34" i="1"/>
  <c r="D46" i="1"/>
  <c r="V10" i="3"/>
  <c r="G28" i="1" s="1"/>
  <c r="T10" i="3"/>
  <c r="S10" i="3"/>
  <c r="V24" i="3"/>
  <c r="X24" i="3" s="1"/>
  <c r="S24" i="3"/>
  <c r="T24" i="3" s="1"/>
  <c r="F32" i="1"/>
  <c r="AA21" i="3"/>
  <c r="Z21" i="3"/>
  <c r="Y21" i="3"/>
  <c r="AA25" i="3"/>
  <c r="Z25" i="3"/>
  <c r="Y25" i="3"/>
  <c r="AA22" i="3"/>
  <c r="Z22" i="3"/>
  <c r="Y22" i="3"/>
  <c r="AA29" i="3"/>
  <c r="Z29" i="3"/>
  <c r="Y29" i="3"/>
  <c r="M48" i="3"/>
  <c r="H45" i="1"/>
  <c r="X19" i="3"/>
  <c r="I45" i="1" s="1"/>
  <c r="S19" i="3"/>
  <c r="T19" i="3" s="1"/>
  <c r="X23" i="3"/>
  <c r="AA26" i="3"/>
  <c r="S14" i="3"/>
  <c r="S25" i="3"/>
  <c r="H15" i="1" s="1"/>
  <c r="S30" i="3"/>
  <c r="T14" i="3"/>
  <c r="T25" i="3"/>
  <c r="T30" i="3"/>
  <c r="H44" i="1"/>
  <c r="D47" i="1"/>
  <c r="H49" i="1"/>
  <c r="S16" i="3"/>
  <c r="T16" i="3" s="1"/>
  <c r="X8" i="3"/>
  <c r="C54" i="1"/>
  <c r="I19" i="1"/>
  <c r="S29" i="3"/>
  <c r="T29" i="3" s="1"/>
  <c r="T21" i="3"/>
  <c r="G45" i="1"/>
  <c r="C48" i="1"/>
  <c r="C56" i="1" s="1"/>
  <c r="S15" i="3"/>
  <c r="T15" i="3" s="1"/>
  <c r="V15" i="3" s="1"/>
  <c r="X15" i="3" s="1"/>
  <c r="S26" i="3"/>
  <c r="T26" i="3" s="1"/>
  <c r="S31" i="3"/>
  <c r="T31" i="3"/>
  <c r="S12" i="3"/>
  <c r="H14" i="1" s="1"/>
  <c r="S23" i="3"/>
  <c r="T23" i="3"/>
  <c r="Y15" i="3" l="1"/>
  <c r="E50" i="1"/>
  <c r="AA15" i="3"/>
  <c r="Z15" i="3"/>
  <c r="AA11" i="3"/>
  <c r="Z11" i="3"/>
  <c r="Y11" i="3"/>
  <c r="E47" i="1"/>
  <c r="I44" i="1"/>
  <c r="I28" i="1"/>
  <c r="AA13" i="3"/>
  <c r="Z13" i="3"/>
  <c r="Y13" i="3"/>
  <c r="E49" i="1"/>
  <c r="I46" i="1"/>
  <c r="AA24" i="3"/>
  <c r="Z24" i="3"/>
  <c r="Y24" i="3"/>
  <c r="Z18" i="3"/>
  <c r="Y18" i="3"/>
  <c r="AA18" i="3"/>
  <c r="H50" i="1"/>
  <c r="X10" i="3"/>
  <c r="T9" i="3"/>
  <c r="T32" i="3"/>
  <c r="T12" i="3"/>
  <c r="V12" i="3" s="1"/>
  <c r="V48" i="3" s="1"/>
  <c r="AA32" i="3"/>
  <c r="Z32" i="3"/>
  <c r="Y32" i="3"/>
  <c r="F40" i="1"/>
  <c r="E53" i="1"/>
  <c r="E51" i="1"/>
  <c r="AA16" i="3"/>
  <c r="Z16" i="3"/>
  <c r="Y16" i="3"/>
  <c r="H30" i="1"/>
  <c r="I47" i="1"/>
  <c r="E45" i="1"/>
  <c r="AA9" i="3"/>
  <c r="Z9" i="3"/>
  <c r="Y9" i="3"/>
  <c r="AA23" i="3"/>
  <c r="Z23" i="3"/>
  <c r="Y23" i="3"/>
  <c r="H32" i="1"/>
  <c r="E55" i="1"/>
  <c r="AA19" i="3"/>
  <c r="Z19" i="3"/>
  <c r="Y19" i="3"/>
  <c r="X20" i="3"/>
  <c r="AA27" i="3"/>
  <c r="Z27" i="3"/>
  <c r="Y27" i="3"/>
  <c r="H33" i="1"/>
  <c r="H28" i="1"/>
  <c r="AA8" i="3"/>
  <c r="Z8" i="3"/>
  <c r="Y8" i="3"/>
  <c r="AA28" i="3"/>
  <c r="Z28" i="3"/>
  <c r="Y28" i="3"/>
  <c r="H31" i="1" l="1"/>
  <c r="E54" i="1"/>
  <c r="AA20" i="3"/>
  <c r="Z20" i="3"/>
  <c r="Y20" i="3"/>
  <c r="G29" i="1"/>
  <c r="X12" i="3"/>
  <c r="D13" i="1"/>
  <c r="H12" i="1" s="1"/>
  <c r="AA10" i="3"/>
  <c r="Z10" i="3"/>
  <c r="Y10" i="3"/>
  <c r="E46" i="1"/>
  <c r="I49" i="1"/>
  <c r="C22" i="1" l="1"/>
  <c r="AA12" i="3"/>
  <c r="Z12" i="3"/>
  <c r="H29" i="1"/>
  <c r="H40" i="1" s="1"/>
  <c r="Y12" i="3"/>
  <c r="Y48" i="3" s="1"/>
  <c r="I48" i="1"/>
  <c r="I50" i="1" s="1"/>
  <c r="E48" i="1"/>
  <c r="E56" i="1" s="1"/>
  <c r="X48" i="3"/>
  <c r="D14" i="1"/>
  <c r="D23" i="1"/>
  <c r="D19" i="1"/>
  <c r="I29" i="1"/>
  <c r="G40" i="1"/>
  <c r="I40" i="1" s="1"/>
  <c r="H9" i="1"/>
  <c r="C21" i="1"/>
  <c r="H10" i="1"/>
  <c r="D20" i="1" l="1"/>
  <c r="C19" i="1"/>
  <c r="D21" i="1"/>
  <c r="C20" i="1"/>
  <c r="C23" i="1"/>
  <c r="D22" i="1"/>
  <c r="H11" i="1"/>
  <c r="D24" i="1" l="1"/>
  <c r="E24" i="1"/>
  <c r="E23" i="1"/>
  <c r="E19" i="1"/>
  <c r="E22" i="1"/>
  <c r="E21" i="1"/>
  <c r="C24" i="1"/>
  <c r="E20" i="1"/>
</calcChain>
</file>

<file path=xl/sharedStrings.xml><?xml version="1.0" encoding="utf-8"?>
<sst xmlns="http://schemas.openxmlformats.org/spreadsheetml/2006/main" count="374" uniqueCount="252">
  <si>
    <t>Liquidität, Fälligkeiten und Vorsteuer auf einen Blick – alle Werte aktualisieren sich automatisch.</t>
  </si>
  <si>
    <t>Unternehmen</t>
  </si>
  <si>
    <t>Muster GmbH</t>
  </si>
  <si>
    <t>Geschäftsjahr</t>
  </si>
  <si>
    <t>Auswertung vom</t>
  </si>
  <si>
    <t>Verantwortlich</t>
  </si>
  <si>
    <t>Buchhaltung / M. Reinhardt</t>
  </si>
  <si>
    <t>KENNZAHLEN</t>
  </si>
  <si>
    <t>Erfasste Rechnungen</t>
  </si>
  <si>
    <t>Offene Rechnungen (Anzahl)</t>
  </si>
  <si>
    <t>Nettobetrag gesamt</t>
  </si>
  <si>
    <t>Überfällige Rechnungen (Anzahl)</t>
  </si>
  <si>
    <t>Vorsteuer gesamt</t>
  </si>
  <si>
    <t>Überfälliger Betrag</t>
  </si>
  <si>
    <t>Bruttobetrag gesamt</t>
  </si>
  <si>
    <t>Zahlungsquote</t>
  </si>
  <si>
    <t>Bereits gezahlt</t>
  </si>
  <si>
    <t>Skontopotenzial (Frist läuft)</t>
  </si>
  <si>
    <t>Offener Betrag</t>
  </si>
  <si>
    <t>Realisierte Skontoersparnis</t>
  </si>
  <si>
    <t>Ø Zahlungsziel (Tage)</t>
  </si>
  <si>
    <t>Verpasstes Skonto</t>
  </si>
  <si>
    <t>FÄLLIGKEITSANALYSE DER OFFENEN POSTEN</t>
  </si>
  <si>
    <t>VORSTEUER NACH STEUERSATZ</t>
  </si>
  <si>
    <t>Fälligkeitsklasse</t>
  </si>
  <si>
    <t>Anzahl</t>
  </si>
  <si>
    <t>Offener Betrag (€)</t>
  </si>
  <si>
    <t>Anteil</t>
  </si>
  <si>
    <t>Steuersatz</t>
  </si>
  <si>
    <t>Netto (€)</t>
  </si>
  <si>
    <t>Vorsteuer (€)</t>
  </si>
  <si>
    <t>Anteil Netto</t>
  </si>
  <si>
    <t>Nicht fällig</t>
  </si>
  <si>
    <t>1-30 Tage</t>
  </si>
  <si>
    <t>31-60 Tage</t>
  </si>
  <si>
    <t>61-90 Tage</t>
  </si>
  <si>
    <t>Gesamt</t>
  </si>
  <si>
    <t>über 90 Tage</t>
  </si>
  <si>
    <t>Hinweis: Die Vorsteuer wird erst mit Vorliegen einer ordnungsgemäßen Rechnung nach § 14 UStG abziehbar (§ 15 UStG).</t>
  </si>
  <si>
    <t>Summe offener Posten</t>
  </si>
  <si>
    <t>MONATSÜBERSICHT 2026</t>
  </si>
  <si>
    <t>Monat</t>
  </si>
  <si>
    <t>Brutto (€)</t>
  </si>
  <si>
    <t>Gezahlt (€)</t>
  </si>
  <si>
    <t>Offen (€)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</si>
  <si>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</si>
  <si>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</si>
  <si>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</si>
  <si>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</si>
  <si>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</si>
  <si>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</si>
  <si>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</si>
  <si>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</si>
  <si>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</si>
  <si>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</si>
  <si>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</si>
  <si>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</si>
  <si>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 2026</t>
  </si>
  <si>
    <t>AUSWERTUNG NACH LIEFERANT</t>
  </si>
  <si>
    <t>AUSWERTUNG NACH KOSTENSTELLE</t>
  </si>
  <si>
    <t>Lieferant</t>
  </si>
  <si>
    <t>Kostenstelle</t>
  </si>
  <si>
    <t>SO ARBEITEN SIE MIT DER VORLAGE</t>
  </si>
  <si>
    <t>1.  Stammdaten pflegen: Lieferanten, Kostenstellen, Sachkonten, Steuersätze und Zahlungsarten im Blatt „Stammdaten“ ergänzen – die Dropdowns aktualisieren sich automatisch.</t>
  </si>
  <si>
    <t>2.  Rechnung erfassen: Im Blatt „Rechnungseingangsbuch“ nur die blau geschriebenen Spalten ausfüllen. USt-Betrag, Brutto, Fälligkeit, Skonto und Status berechnen sich selbst.</t>
  </si>
  <si>
    <t>3.  Zahlung buchen: Zahlungsdatum und gezahlten Betrag eintragen. Wird innerhalb der Skontofrist gezahlt, erkennt die Vorlage dies und stellt den offenen Betrag auf null.</t>
  </si>
  <si>
    <t>4.  Liquidität steuern: Die Spalte „Tage bis Fälligkeit“ zeigt negative Werte bei Überfälligkeit. Die Fälligkeitsanalyse oben gliedert alle offenen Posten nach Verzugsdauer.</t>
  </si>
  <si>
    <t>5.  Skonto nutzen: Der Status „Frist läuft“ markiert Rechnungen, bei denen sich eine vorgezogene Zahlung noch lohnt. Das Skontopotenzial ist bei den Kennzahlen ausgewiesen.</t>
  </si>
  <si>
    <t>6.  GoBD: Excel gilt als Vorerfassungssystem. Die abschließende, unveränderbare Verbuchung erfolgt in der Finanzbuchhaltung bzw. beim Steuerberater.</t>
  </si>
  <si>
    <t>STAMMDATEN – Auswahllisten für das Rechnungseingangsbuch</t>
  </si>
  <si>
    <t>Alle blau geschriebenen Einträge können frei angepasst, ergänzt oder überschrieben werden. Die Dropdown-Listen im Blatt „Rechnungseingangsbuch“ greifen direkt auf diese Bereiche zu.</t>
  </si>
  <si>
    <t>Lieferanten / Kreditoren</t>
  </si>
  <si>
    <t>Kostenstellen</t>
  </si>
  <si>
    <t>Sachkonten (SKR 03)</t>
  </si>
  <si>
    <t>Umsatzsteuersätze</t>
  </si>
  <si>
    <t>Zahlungsarten</t>
  </si>
  <si>
    <t>Kreditor-Nr.</t>
  </si>
  <si>
    <t>Zahlungsziel (Tage)</t>
  </si>
  <si>
    <t>Skonto %</t>
  </si>
  <si>
    <t>Bezeichnung</t>
  </si>
  <si>
    <t>Konto und Bezeichnung</t>
  </si>
  <si>
    <t>Satz</t>
  </si>
  <si>
    <t>Nordlicht Bürobedarf GmbH</t>
  </si>
  <si>
    <t>70001</t>
  </si>
  <si>
    <t>1000 - Verwaltung</t>
  </si>
  <si>
    <t>3400 - Wareneingang</t>
  </si>
  <si>
    <t>Regelsteuersatz</t>
  </si>
  <si>
    <t>Überweisung</t>
  </si>
  <si>
    <t>Meridian IT Services GmbH</t>
  </si>
  <si>
    <t>70002</t>
  </si>
  <si>
    <t>2000 - Vertrieb</t>
  </si>
  <si>
    <t>4240 - Strom, Gas, Wasser</t>
  </si>
  <si>
    <t>Ermäßigter Steuersatz</t>
  </si>
  <si>
    <t>SEPA-Lastschrift</t>
  </si>
  <si>
    <t>Elbtal Logistik AG</t>
  </si>
  <si>
    <t>70003</t>
  </si>
  <si>
    <t>3000 - Produktion</t>
  </si>
  <si>
    <t>4250 - Reinigung</t>
  </si>
  <si>
    <t>Steuerfrei / § 13b UStG</t>
  </si>
  <si>
    <t>Kreditkarte</t>
  </si>
  <si>
    <t>Hansen &amp; Kroll Steuerberatung PartG</t>
  </si>
  <si>
    <t>70004</t>
  </si>
  <si>
    <t>4000 - IT</t>
  </si>
  <si>
    <t>4360 - Versicherungen</t>
  </si>
  <si>
    <t>PayPal</t>
  </si>
  <si>
    <t>Vertikal Werbeagentur GmbH</t>
  </si>
  <si>
    <t>70005</t>
  </si>
  <si>
    <t>5000 - Marketing</t>
  </si>
  <si>
    <t>4530 - Laufende Kfz-Kosten</t>
  </si>
  <si>
    <t>Barzahlung</t>
  </si>
  <si>
    <t>Stadtwerke Rheinbach AöR</t>
  </si>
  <si>
    <t>70006</t>
  </si>
  <si>
    <t>6000 - Logistik</t>
  </si>
  <si>
    <t>4600 - Werbekosten</t>
  </si>
  <si>
    <t>Delphin Verpackungen GmbH</t>
  </si>
  <si>
    <t>70007</t>
  </si>
  <si>
    <t>4650 - Bewirtungskosten</t>
  </si>
  <si>
    <t>Grünhof Catering GbR</t>
  </si>
  <si>
    <t>70008</t>
  </si>
  <si>
    <t>4710 - Frachtkosten</t>
  </si>
  <si>
    <t>Rheinische Druckhaus KG</t>
  </si>
  <si>
    <t>70009</t>
  </si>
  <si>
    <t>4920 - Telefon und Internet</t>
  </si>
  <si>
    <t>Kaltenbach Reinigungsdienste GmbH</t>
  </si>
  <si>
    <t>70010</t>
  </si>
  <si>
    <t>4930 - Bürobedarf</t>
  </si>
  <si>
    <t>Sicura Versicherungsmakler GmbH</t>
  </si>
  <si>
    <t>70011</t>
  </si>
  <si>
    <t>4955 - Rechts- und Beratungskosten</t>
  </si>
  <si>
    <t>Fahrzeugtechnik Bergmann e.K.</t>
  </si>
  <si>
    <t>70012</t>
  </si>
  <si>
    <t>4980 - Sonstiger Betriebsbedarf</t>
  </si>
  <si>
    <t>RECHNUNGSEINGANGSBUCH 2026</t>
  </si>
  <si>
    <t>Geschäftsjahr 01.01.2026 – 31.12.2026</t>
  </si>
  <si>
    <t>Chronologische Erfassung aller Eingangsrechnungen – Vorerfassung für die Finanzbuchhaltung (Belege gemäß § 147 AO 10 Jahre aufbewahren).</t>
  </si>
  <si>
    <t>■  Blaue Schrift = Eingabefeld</t>
  </si>
  <si>
    <t>■  Schwarze Schrift = automatische Berechnung</t>
  </si>
  <si>
    <t>Neue Zeilen: Zeile 32–47 sind vorformatiert und einsatzbereit.</t>
  </si>
  <si>
    <t>BELEGDATEN</t>
  </si>
  <si>
    <t>KONTIERUNG</t>
  </si>
  <si>
    <t>BETRÄGE</t>
  </si>
  <si>
    <t>ZAHLUNGSZIEL &amp; SKONTO</t>
  </si>
  <si>
    <t>ZAHLUNG &amp; STATUS</t>
  </si>
  <si>
    <t>SONSTIGES</t>
  </si>
  <si>
    <t>Lfd. Nr.</t>
  </si>
  <si>
    <t>Belegnummer</t>
  </si>
  <si>
    <t>Eingangs-
datum</t>
  </si>
  <si>
    <t>Rechnungs-
datum</t>
  </si>
  <si>
    <t>Rechnungs-Nr.</t>
  </si>
  <si>
    <t>Sachkonto</t>
  </si>
  <si>
    <t>Leistungsbeschreibung</t>
  </si>
  <si>
    <t>USt-Satz</t>
  </si>
  <si>
    <t>USt-Betrag (€)</t>
  </si>
  <si>
    <t>Zahlungs-
ziel (Tage)</t>
  </si>
  <si>
    <t>Fällig am</t>
  </si>
  <si>
    <t>Skonto-
frist (Tage)</t>
  </si>
  <si>
    <t>Skonto bis</t>
  </si>
  <si>
    <t>Skonto-
betrag (€)</t>
  </si>
  <si>
    <t>Zahlbetrag
mit Skonto (€)</t>
  </si>
  <si>
    <t>Zahlungs-
datum</t>
  </si>
  <si>
    <t>Skonto
genutzt</t>
  </si>
  <si>
    <t>Offener
Betrag (€)</t>
  </si>
  <si>
    <t>Status</t>
  </si>
  <si>
    <t>Tage bis
Fälligkeit</t>
  </si>
  <si>
    <t>Zahlungsart</t>
  </si>
  <si>
    <t>Bemerkung</t>
  </si>
  <si>
    <t>BE-2026-001</t>
  </si>
  <si>
    <t>RE-2026-0114</t>
  </si>
  <si>
    <t>Büromaterial und Verbrauchsartikel Januar</t>
  </si>
  <si>
    <t>BE-2026-002</t>
  </si>
  <si>
    <t>2026-000341</t>
  </si>
  <si>
    <t>Cloud-Hosting und Support Q1/2026</t>
  </si>
  <si>
    <t>BE-2026-003</t>
  </si>
  <si>
    <t>R-8842</t>
  </si>
  <si>
    <t>Speditionsleistungen KW 02–03</t>
  </si>
  <si>
    <t>BE-2026-004</t>
  </si>
  <si>
    <t>HK-2026-018</t>
  </si>
  <si>
    <t>Erstellung Jahresabschluss 2025</t>
  </si>
  <si>
    <t>BE-2026-005</t>
  </si>
  <si>
    <t>2026/0457</t>
  </si>
  <si>
    <t>Kampagne Frühjahr 2026, Konzept und Media</t>
  </si>
  <si>
    <t>Skonto vollständig ausgeschöpft</t>
  </si>
  <si>
    <t>BE-2026-006</t>
  </si>
  <si>
    <t>SW-026-4471</t>
  </si>
  <si>
    <t>Abschlagszahlung Strom Februar</t>
  </si>
  <si>
    <t>BE-2026-007</t>
  </si>
  <si>
    <t>SW-026-4489</t>
  </si>
  <si>
    <t>Nachzahlung Betriebskosten 2025</t>
  </si>
  <si>
    <t>Zahlung wurde übersehen – dringend prüfen</t>
  </si>
  <si>
    <t>BE-2026-008</t>
  </si>
  <si>
    <t>RG-114-2026</t>
  </si>
  <si>
    <t>Faltkartons, 1.000 Stück</t>
  </si>
  <si>
    <t>BE-2026-009</t>
  </si>
  <si>
    <t>2026-0099</t>
  </si>
  <si>
    <t>Bewirtung Teamworkshop</t>
  </si>
  <si>
    <t>70 % abzugsfähig gemäß § 4 Abs. 5 EStG</t>
  </si>
  <si>
    <t>BE-2026-010</t>
  </si>
  <si>
    <t>D-2026-3312</t>
  </si>
  <si>
    <t>Produktkatalog 2026, 2.500 Exemplare</t>
  </si>
  <si>
    <t>BE-2026-011</t>
  </si>
  <si>
    <t>KR-2026-77</t>
  </si>
  <si>
    <t>Unterhaltsreinigung März</t>
  </si>
  <si>
    <t>BE-2026-012</t>
  </si>
  <si>
    <t>FB-4288</t>
  </si>
  <si>
    <t>Reifenwechsel Fuhrpark</t>
  </si>
  <si>
    <t>Rechnung strittig – Reklamation läuft</t>
  </si>
  <si>
    <t>BE-2026-013</t>
  </si>
  <si>
    <t>SV-2026-0021</t>
  </si>
  <si>
    <t>Betriebshaftpflicht Beitrag 2026</t>
  </si>
  <si>
    <t>Versicherungsleistung, steuerfrei</t>
  </si>
  <si>
    <t>BE-2026-014</t>
  </si>
  <si>
    <t>FB-4471</t>
  </si>
  <si>
    <t>Inspektion Firmenwagen</t>
  </si>
  <si>
    <t>BE-2026-015</t>
  </si>
  <si>
    <t>R-8963</t>
  </si>
  <si>
    <t>Sammelgutfracht April</t>
  </si>
  <si>
    <t>Mahnung erhalten</t>
  </si>
  <si>
    <t>BE-2026-016</t>
  </si>
  <si>
    <t>2026-000512</t>
  </si>
  <si>
    <t>Cloud-Hosting und Support Q2/2026</t>
  </si>
  <si>
    <t>BE-2026-017</t>
  </si>
  <si>
    <t>R-9017</t>
  </si>
  <si>
    <t>Speditionsleistungen KW 20–21</t>
  </si>
  <si>
    <t>BE-2026-018</t>
  </si>
  <si>
    <t>RE-2026-0688</t>
  </si>
  <si>
    <t>Druckerpapier und Tonerkartuschen</t>
  </si>
  <si>
    <t>Skontofrist verstrichen</t>
  </si>
  <si>
    <t>BE-2026-019</t>
  </si>
  <si>
    <t>SW-026-5120</t>
  </si>
  <si>
    <t>Abschlagszahlung Strom Mai/Juni</t>
  </si>
  <si>
    <t>BE-2026-020</t>
  </si>
  <si>
    <t>2026/0731</t>
  </si>
  <si>
    <t>Social-Media-Betreuung Q2/2026</t>
  </si>
  <si>
    <t>Teilzahlung, Restbetrag nach Klärung</t>
  </si>
  <si>
    <t>BE-2026-021</t>
  </si>
  <si>
    <t>DV-2026-0455</t>
  </si>
  <si>
    <t>Wellpappe-Zuschnitte, Sondermaß</t>
  </si>
  <si>
    <t>BE-2026-022</t>
  </si>
  <si>
    <t>KR-2026-92</t>
  </si>
  <si>
    <t>Unterhaltsreinigung Juni</t>
  </si>
  <si>
    <t>BE-2026-023</t>
  </si>
  <si>
    <t>HK-2026-104</t>
  </si>
  <si>
    <t>Laufende Buchführung Q2/2026</t>
  </si>
  <si>
    <t>BE-2026-024</t>
  </si>
  <si>
    <t>2026-0187</t>
  </si>
  <si>
    <t>Catering Kundenveranstaltung</t>
  </si>
  <si>
    <t>BE-2026-025</t>
  </si>
  <si>
    <t>MB-2026-2210</t>
  </si>
  <si>
    <t>Notebooks (2 Stück) inklusive Einrichtung</t>
  </si>
  <si>
    <t>Skontofrist läuft – Zahlung vorziehen</t>
  </si>
  <si>
    <t>SUMME</t>
  </si>
  <si>
    <t>RECHNUNGSEINGANGSBUCH –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</si>
</sst>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&quot; €&quot;"/>
    <numFmt numFmtId="166" formatCode="0.0%"/>
  </numFmts>
  <fonts count="20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sz val="10"/>
      <color rgb="FFE7DCE4"/>
      <name val="Calibri"/>
      <charset val="1"/>
    </font>
    <font>
      <b/>
      <sz val="9"/>
      <color rgb="FF6E4B6B"/>
      <name val="Calibri"/>
      <charset val="1"/>
    </font>
    <font>
      <b/>
      <sz val="11"/>
      <color rgb="FF0000CC"/>
      <name val="Calibri"/>
      <charset val="1"/>
    </font>
    <font>
      <b/>
      <sz val="11"/>
      <color rgb="FF241C29"/>
      <name val="Calibri"/>
      <charset val="1"/>
    </font>
    <font>
      <sz val="11"/>
      <color rgb="FF0000CC"/>
      <name val="Calibri"/>
      <charset val="1"/>
    </font>
    <font>
      <b/>
      <sz val="10"/>
      <color rgb="FFFFFFFF"/>
      <name val="Calibri"/>
      <charset val="1"/>
    </font>
    <font>
      <sz val="10"/>
      <color rgb="FF241C29"/>
      <name val="Calibri"/>
      <charset val="1"/>
    </font>
    <font>
      <b/>
      <sz val="11"/>
      <color rgb="FF1B6B3A"/>
      <name val="Calibri"/>
      <charset val="1"/>
    </font>
    <font>
      <b/>
      <sz val="9"/>
      <color rgb="FF241C29"/>
      <name val="Calibri"/>
      <charset val="1"/>
    </font>
    <font>
      <sz val="10"/>
      <color rgb="FF1B6B3A"/>
      <name val="Calibri"/>
      <charset val="1"/>
    </font>
    <font>
      <sz val="10"/>
      <color rgb="FF0000CC"/>
      <name val="Calibri"/>
      <charset val="1"/>
    </font>
    <font>
      <i/>
      <sz val="9"/>
      <color rgb="FF8A8189"/>
      <name val="Calibri"/>
      <charset val="1"/>
    </font>
    <font>
      <sz val="9.5"/>
      <color rgb="FF241C29"/>
      <name val="Calibri"/>
      <charset val="1"/>
    </font>
    <font>
      <b/>
      <sz val="14"/>
      <color rgb="FFFFFFFF"/>
      <name val="Calibri"/>
      <charset val="1"/>
    </font>
    <font>
      <b/>
      <sz val="16"/>
      <color rgb="FFFFFFFF"/>
      <name val="Calibri"/>
      <charset val="1"/>
    </font>
    <font>
      <sz val="11"/>
      <color rgb="FFE7DCE4"/>
      <name val="Calibri"/>
      <charset val="1"/>
    </font>
    <font>
      <b/>
      <sz val="9"/>
      <color rgb="FF0000CC"/>
      <name val="Calibri"/>
      <charset val="1"/>
    </font>
    <font>
      <b/>
      <sz val="9"/>
      <color rgb="FFFFFFFF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3B2A45"/>
        <bgColor rgb="FF241C29"/>
      </patternFill>
    </fill>
    <fill>
      <patternFill patternType="solid">
        <fgColor rgb="FF6E4B6B"/>
        <bgColor rgb="FF993366"/>
      </patternFill>
    </fill>
    <fill>
      <patternFill patternType="solid">
        <fgColor rgb="FFFBF7F4"/>
        <bgColor rgb="FFFDF3F1"/>
      </patternFill>
    </fill>
    <fill>
      <patternFill patternType="solid">
        <fgColor rgb="FFF4EEE9"/>
        <bgColor rgb="FFFDF3F1"/>
      </patternFill>
    </fill>
    <fill>
      <patternFill patternType="solid">
        <fgColor rgb="FFC0663C"/>
        <bgColor rgb="FF9C7A1F"/>
      </patternFill>
    </fill>
    <fill>
      <patternFill patternType="solid">
        <fgColor rgb="FF8A8189"/>
        <bgColor rgb="FF969696"/>
      </patternFill>
    </fill>
    <fill>
      <patternFill patternType="solid">
        <fgColor rgb="FF241C29"/>
        <bgColor rgb="FF3B2A45"/>
      </patternFill>
    </fill>
  </fills>
  <borders count="4">
    <border>
      <left/>
      <right/>
      <top/>
      <bottom/>
      <diagonal/>
    </border>
    <border>
      <left style="thin">
        <color rgb="FFD8CFCB"/>
      </left>
      <right style="thin">
        <color rgb="FFD8CFCB"/>
      </right>
      <top style="thin">
        <color rgb="FFD8CFCB"/>
      </top>
      <bottom style="thin">
        <color rgb="FFD8CFCB"/>
      </bottom>
      <diagonal/>
    </border>
    <border>
      <left style="thin">
        <color rgb="FFD8CFCB"/>
      </left>
      <right style="thin">
        <color rgb="FFD8CFCB"/>
      </right>
      <top style="thin">
        <color rgb="FFD8CFCB"/>
      </top>
      <bottom style="medium">
        <color rgb="FF3B2A45"/>
      </bottom>
      <diagonal/>
    </border>
    <border>
      <left/>
      <right/>
      <top style="medium">
        <color rgb="FF3B2A45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0" fillId="0" borderId="0" xfId="0" applyFont="1"/>
    <xf numFmtId="0" fontId="18" fillId="0" borderId="0" xfId="0" applyFont="1"/>
    <xf numFmtId="0" fontId="17" fillId="2" borderId="0" xfId="0" applyFont="1" applyFill="1" applyAlignment="1">
      <alignment horizontal="right" vertical="center" indent="1"/>
    </xf>
    <xf numFmtId="0" fontId="16" fillId="2" borderId="0" xfId="0" applyFont="1" applyFill="1" applyAlignment="1">
      <alignment horizontal="left" vertical="center" indent="1"/>
    </xf>
    <xf numFmtId="0" fontId="13" fillId="0" borderId="0" xfId="0" applyFont="1"/>
    <xf numFmtId="0" fontId="15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 indent="1"/>
    </xf>
    <xf numFmtId="0" fontId="14" fillId="4" borderId="0" xfId="0" applyFont="1" applyFill="1" applyAlignment="1">
      <alignment vertical="center" indent="1"/>
    </xf>
    <xf numFmtId="0" fontId="13" fillId="0" borderId="0" xfId="0" applyFont="1" applyAlignment="1">
      <alignment vertical="top" wrapText="1" indent="1"/>
    </xf>
    <xf numFmtId="0" fontId="8" fillId="5" borderId="1" xfId="0" applyFont="1" applyFill="1" applyBorder="1" applyAlignment="1">
      <alignment vertical="center" indent="1"/>
    </xf>
    <xf numFmtId="0" fontId="8" fillId="4" borderId="1" xfId="0" applyFont="1" applyFill="1" applyBorder="1" applyAlignment="1">
      <alignment vertical="center" indent="1"/>
    </xf>
    <xf numFmtId="0" fontId="7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3" fillId="0" borderId="0" xfId="0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0" fontId="7" fillId="3" borderId="0" xfId="0" applyFont="1" applyFill="1" applyAlignment="1">
      <alignment horizontal="left" vertical="center" indent="1"/>
    </xf>
    <xf numFmtId="3" fontId="9" fillId="4" borderId="1" xfId="0" applyNumberFormat="1" applyFont="1" applyFill="1" applyBorder="1" applyAlignment="1">
      <alignment horizontal="right" vertical="center" indent="1"/>
    </xf>
    <xf numFmtId="165" fontId="9" fillId="5" borderId="1" xfId="0" applyNumberFormat="1" applyFont="1" applyFill="1" applyBorder="1" applyAlignment="1">
      <alignment horizontal="right" vertical="center" indent="1"/>
    </xf>
    <xf numFmtId="3" fontId="9" fillId="5" borderId="1" xfId="0" applyNumberFormat="1" applyFont="1" applyFill="1" applyBorder="1" applyAlignment="1">
      <alignment horizontal="right" vertical="center" indent="1"/>
    </xf>
    <xf numFmtId="165" fontId="9" fillId="4" borderId="1" xfId="0" applyNumberFormat="1" applyFont="1" applyFill="1" applyBorder="1" applyAlignment="1">
      <alignment horizontal="right" vertical="center" indent="1"/>
    </xf>
    <xf numFmtId="166" fontId="9" fillId="5" borderId="1" xfId="0" applyNumberFormat="1" applyFont="1" applyFill="1" applyBorder="1" applyAlignment="1">
      <alignment horizontal="right" vertical="center" indent="1"/>
    </xf>
    <xf numFmtId="0" fontId="10" fillId="5" borderId="1" xfId="0" applyFont="1" applyFill="1" applyBorder="1" applyAlignment="1">
      <alignment horizontal="left" vertical="center" indent="1"/>
    </xf>
    <xf numFmtId="0" fontId="10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indent="1"/>
    </xf>
    <xf numFmtId="3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 indent="1"/>
    </xf>
    <xf numFmtId="166" fontId="11" fillId="0" borderId="1" xfId="0" applyNumberFormat="1" applyFont="1" applyBorder="1" applyAlignment="1">
      <alignment horizontal="right" indent="1"/>
    </xf>
    <xf numFmtId="9" fontId="12" fillId="0" borderId="1" xfId="0" applyNumberFormat="1" applyFont="1" applyBorder="1" applyAlignment="1">
      <alignment horizontal="center"/>
    </xf>
    <xf numFmtId="0" fontId="8" fillId="4" borderId="1" xfId="0" applyFont="1" applyFill="1" applyBorder="1" applyAlignment="1">
      <alignment indent="1"/>
    </xf>
    <xf numFmtId="3" fontId="11" fillId="4" borderId="1" xfId="0" applyNumberFormat="1" applyFont="1" applyFill="1" applyBorder="1" applyAlignment="1">
      <alignment horizontal="right" indent="1"/>
    </xf>
    <xf numFmtId="165" fontId="11" fillId="4" borderId="1" xfId="0" applyNumberFormat="1" applyFont="1" applyFill="1" applyBorder="1" applyAlignment="1">
      <alignment horizontal="right" indent="1"/>
    </xf>
    <xf numFmtId="166" fontId="11" fillId="4" borderId="1" xfId="0" applyNumberFormat="1" applyFont="1" applyFill="1" applyBorder="1" applyAlignment="1">
      <alignment horizontal="right" indent="1"/>
    </xf>
    <xf numFmtId="9" fontId="12" fillId="4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indent="1"/>
    </xf>
    <xf numFmtId="165" fontId="7" fillId="2" borderId="1" xfId="0" applyNumberFormat="1" applyFont="1" applyFill="1" applyBorder="1" applyAlignment="1">
      <alignment horizontal="right" indent="1"/>
    </xf>
    <xf numFmtId="166" fontId="7" fillId="2" borderId="1" xfId="0" applyNumberFormat="1" applyFont="1" applyFill="1" applyBorder="1" applyAlignment="1">
      <alignment horizontal="right" indent="1"/>
    </xf>
    <xf numFmtId="3" fontId="7" fillId="2" borderId="1" xfId="0" applyNumberFormat="1" applyFont="1" applyFill="1" applyBorder="1" applyAlignment="1">
      <alignment horizontal="right" indent="1"/>
    </xf>
    <xf numFmtId="0" fontId="11" fillId="0" borderId="1" xfId="0" applyFont="1" applyBorder="1" applyAlignment="1">
      <alignment indent="1"/>
    </xf>
    <xf numFmtId="0" fontId="11" fillId="4" borderId="1" xfId="0" applyFont="1" applyFill="1" applyBorder="1" applyAlignment="1">
      <alignment indent="1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19" fillId="8" borderId="2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right" vertical="center"/>
    </xf>
    <xf numFmtId="9" fontId="12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165" fontId="12" fillId="4" borderId="1" xfId="0" applyNumberFormat="1" applyFont="1" applyFill="1" applyBorder="1" applyAlignment="1">
      <alignment horizontal="right" vertical="center"/>
    </xf>
    <xf numFmtId="9" fontId="12" fillId="4" borderId="1" xfId="0" applyNumberFormat="1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right" vertical="center"/>
    </xf>
    <xf numFmtId="165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</cellXfs>
  <cellStyles count="1">
    <cellStyle name="Standard" xfId="0" builtinId="0"/>
  </cellStyles>
  <dxfs count="9">
    <dxf>
      <font>
        <b/>
        <sz val="10"/>
        <color rgb="FFA32B18"/>
        <name val="Calibri"/>
        <charset val="1"/>
      </font>
    </dxf>
    <dxf>
      <font>
        <b/>
        <sz val="10"/>
        <color rgb="FF3B2A45"/>
        <name val="Calibri"/>
        <charset val="1"/>
      </font>
      <fill>
        <patternFill>
          <bgColor rgb="FFE7DCE4"/>
        </patternFill>
      </fill>
    </dxf>
    <dxf>
      <font>
        <b/>
        <sz val="10"/>
        <color rgb="FFC0663C"/>
        <name val="Calibri"/>
        <charset val="1"/>
      </font>
      <fill>
        <patternFill>
          <bgColor rgb="FFFBE9D8"/>
        </patternFill>
      </fill>
    </dxf>
    <dxf>
      <font>
        <b/>
        <sz val="10"/>
        <color rgb="FFA32B18"/>
        <name val="Calibri"/>
        <charset val="1"/>
      </font>
      <fill>
        <patternFill>
          <bgColor rgb="FFF6D6D2"/>
        </patternFill>
      </fill>
    </dxf>
    <dxf>
      <font>
        <b/>
        <sz val="10"/>
        <color rgb="FF1B6B3A"/>
        <name val="Calibri"/>
        <charset val="1"/>
      </font>
      <fill>
        <patternFill>
          <bgColor rgb="FFD8EBD9"/>
        </patternFill>
      </fill>
    </dxf>
    <dxf>
      <font>
        <b/>
        <sz val="10"/>
        <color rgb="FF9C7A1F"/>
        <name val="Calibri"/>
        <charset val="1"/>
      </font>
      <fill>
        <patternFill>
          <bgColor rgb="FFFCF2D6"/>
        </patternFill>
      </fill>
    </dxf>
    <dxf>
      <fill>
        <patternFill>
          <bgColor rgb="FFFDF3F1"/>
        </patternFill>
      </fill>
    </dxf>
    <dxf>
      <font>
        <b/>
        <sz val="11"/>
        <color rgb="FFA32B18"/>
        <name val="Calibri"/>
        <charset val="1"/>
      </font>
    </dxf>
    <dxf>
      <font>
        <b/>
        <sz val="11"/>
        <color rgb="FFC0663C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B6B3A"/>
      <rgbColor rgb="FF000080"/>
      <rgbColor rgb="FF9C7A1F"/>
      <rgbColor rgb="FF800080"/>
      <rgbColor rgb="FF008080"/>
      <rgbColor rgb="FFD8CFCB"/>
      <rgbColor rgb="FF8A8189"/>
      <rgbColor rgb="FF9999FF"/>
      <rgbColor rgb="FF993366"/>
      <rgbColor rgb="FFFCF2D6"/>
      <rgbColor rgb="FFF4EEE9"/>
      <rgbColor rgb="FF660066"/>
      <rgbColor rgb="FFFF8080"/>
      <rgbColor rgb="FF0066CC"/>
      <rgbColor rgb="FFE7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7F4"/>
      <rgbColor rgb="FFD8EBD9"/>
      <rgbColor rgb="FFFBE9D8"/>
      <rgbColor rgb="FFFDF3F1"/>
      <rgbColor rgb="FFFF99CC"/>
      <rgbColor rgb="FFCC99FF"/>
      <rgbColor rgb="FFF6D6D2"/>
      <rgbColor rgb="FF3366FF"/>
      <rgbColor rgb="FF33CCCC"/>
      <rgbColor rgb="FF99CC00"/>
      <rgbColor rgb="FFFFCC00"/>
      <rgbColor rgb="FFFF9900"/>
      <rgbColor rgb="FFC0663C"/>
      <rgbColor rgb="FF6E4B6B"/>
      <rgbColor rgb="FF969696"/>
      <rgbColor rgb="FF003366"/>
      <rgbColor rgb="FF339966"/>
      <rgbColor rgb="FF003300"/>
      <rgbColor rgb="FF241C29"/>
      <rgbColor rgb="FFA32B18"/>
      <rgbColor rgb="FF993366"/>
      <rgbColor rgb="FF333399"/>
      <rgbColor rgb="FF3B2A4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64"/>
  <sheetViews>
    <sheetView showGridLines="0" tabSelected="1" zoomScaleNormal="100" workbookViewId="0">
      <selection activeCell="K12" sqref="K12"/>
    </sheetView>
  </sheetViews>
  <sheetFormatPr baseColWidth="10" defaultColWidth="8.7109375" defaultRowHeight="15" x14ac:dyDescent="0.25"/>
  <cols>
    <col min="1" max="1" width="2.42578125" customWidth="1"/>
    <col min="2" max="2" width="34" customWidth="1"/>
    <col min="3" max="3" width="12" customWidth="1"/>
    <col min="4" max="4" width="18" customWidth="1"/>
    <col min="5" max="5" width="14" customWidth="1"/>
    <col min="6" max="6" width="30" customWidth="1"/>
    <col min="7" max="7" width="15" customWidth="1"/>
    <col min="8" max="8" width="18" customWidth="1"/>
    <col min="9" max="9" width="15" customWidth="1"/>
  </cols>
  <sheetData>
    <row r="2" spans="2:9" ht="33.75" customHeight="1" x14ac:dyDescent="0.25">
      <c r="B2" s="14" t="s">
        <v>251</v>
      </c>
      <c r="C2" s="14"/>
      <c r="D2" s="14"/>
      <c r="E2" s="14"/>
      <c r="F2" s="14"/>
      <c r="G2" s="14"/>
      <c r="H2" s="14"/>
      <c r="I2" s="14"/>
    </row>
    <row r="3" spans="2:9" ht="19.5" customHeight="1" x14ac:dyDescent="0.25">
      <c r="B3" s="13" t="s">
        <v>0</v>
      </c>
      <c r="C3" s="13"/>
      <c r="D3" s="13"/>
      <c r="E3" s="13"/>
      <c r="F3" s="13"/>
      <c r="G3" s="13"/>
      <c r="H3" s="13"/>
      <c r="I3" s="13"/>
    </row>
    <row r="5" spans="2:9" x14ac:dyDescent="0.25">
      <c r="B5" s="15" t="s">
        <v>1</v>
      </c>
      <c r="C5" s="16" t="s">
        <v>2</v>
      </c>
      <c r="E5" s="15" t="s">
        <v>3</v>
      </c>
      <c r="F5" s="17">
        <v>2026</v>
      </c>
      <c r="G5" s="18" t="s">
        <v>4</v>
      </c>
      <c r="H5" s="19">
        <f ca="1">TODAY()</f>
        <v>46211</v>
      </c>
    </row>
    <row r="6" spans="2:9" x14ac:dyDescent="0.25">
      <c r="B6" s="15" t="s">
        <v>5</v>
      </c>
      <c r="C6" s="20" t="s">
        <v>6</v>
      </c>
    </row>
    <row r="8" spans="2:9" ht="18.75" customHeight="1" x14ac:dyDescent="0.25">
      <c r="B8" s="12" t="s">
        <v>7</v>
      </c>
      <c r="C8" s="12"/>
      <c r="D8" s="12"/>
      <c r="E8" s="12"/>
      <c r="F8" s="12"/>
      <c r="G8" s="12"/>
      <c r="H8" s="12"/>
      <c r="I8" s="12"/>
    </row>
    <row r="9" spans="2:9" ht="18" customHeight="1" x14ac:dyDescent="0.25">
      <c r="B9" s="11" t="s">
        <v>8</v>
      </c>
      <c r="C9" s="11"/>
      <c r="D9" s="22">
        <f>SUMPRODUCT(--(Rechnungseingangsbuch!$E$8:$E$47&lt;&gt;""))</f>
        <v>25</v>
      </c>
      <c r="F9" s="11" t="s">
        <v>9</v>
      </c>
      <c r="G9" s="11"/>
      <c r="H9" s="22">
        <f ca="1">COUNTIF(Rechnungseingangsbuch!$Y$8:$Y$47,"Offen")+COUNTIF(Rechnungseingangsbuch!$Y$8:$Y$47,"Überfällig")+COUNTIF(Rechnungseingangsbuch!$Y$8:$Y$47,"Teilzahlung")</f>
        <v>11</v>
      </c>
    </row>
    <row r="10" spans="2:9" ht="18" customHeight="1" x14ac:dyDescent="0.25">
      <c r="B10" s="10" t="s">
        <v>10</v>
      </c>
      <c r="C10" s="10"/>
      <c r="D10" s="23">
        <f>SUM(Rechnungseingangsbuch!$J$8:$J$47)</f>
        <v>39467</v>
      </c>
      <c r="F10" s="10" t="s">
        <v>11</v>
      </c>
      <c r="G10" s="10"/>
      <c r="H10" s="24">
        <f ca="1">COUNTIF(Rechnungseingangsbuch!$Y$8:$Y$47,"Überfällig")</f>
        <v>5</v>
      </c>
    </row>
    <row r="11" spans="2:9" ht="18" customHeight="1" x14ac:dyDescent="0.25">
      <c r="B11" s="11" t="s">
        <v>12</v>
      </c>
      <c r="C11" s="11"/>
      <c r="D11" s="25">
        <f>SUM(Rechnungseingangsbuch!$L$8:$L$47)</f>
        <v>6482.05</v>
      </c>
      <c r="F11" s="11" t="s">
        <v>13</v>
      </c>
      <c r="G11" s="11"/>
      <c r="H11" s="25">
        <f ca="1">SUMIFS(Rechnungseingangsbuch!$X$8:$X$47,Rechnungseingangsbuch!$Y$8:$Y$47,"Überfällig")</f>
        <v>4461.5499999999993</v>
      </c>
    </row>
    <row r="12" spans="2:9" ht="18" customHeight="1" x14ac:dyDescent="0.25">
      <c r="B12" s="10" t="s">
        <v>14</v>
      </c>
      <c r="C12" s="10"/>
      <c r="D12" s="23">
        <f>SUM(Rechnungseingangsbuch!$M$8:$M$47)</f>
        <v>45949.049999999996</v>
      </c>
      <c r="F12" s="10" t="s">
        <v>15</v>
      </c>
      <c r="G12" s="10"/>
      <c r="H12" s="26">
        <f>IFERROR(D13/D12,0)</f>
        <v>0.68945995619060674</v>
      </c>
    </row>
    <row r="13" spans="2:9" ht="18" customHeight="1" x14ac:dyDescent="0.25">
      <c r="B13" s="11" t="s">
        <v>16</v>
      </c>
      <c r="C13" s="11"/>
      <c r="D13" s="25">
        <f>SUM(Rechnungseingangsbuch!$V$8:$V$47)</f>
        <v>31680.029999999995</v>
      </c>
      <c r="F13" s="11" t="s">
        <v>17</v>
      </c>
      <c r="G13" s="11"/>
      <c r="H13" s="25">
        <f ca="1">SUMIFS(Rechnungseingangsbuch!$S$8:$S$47,Rechnungseingangsbuch!$W$8:$W$47,"Frist läuft")</f>
        <v>97.82</v>
      </c>
    </row>
    <row r="14" spans="2:9" ht="18" customHeight="1" x14ac:dyDescent="0.25">
      <c r="B14" s="10" t="s">
        <v>18</v>
      </c>
      <c r="C14" s="10"/>
      <c r="D14" s="23">
        <f ca="1">SUM(Rechnungseingangsbuch!$X$8:$X$47)</f>
        <v>13927.099999999999</v>
      </c>
      <c r="F14" s="10" t="s">
        <v>19</v>
      </c>
      <c r="G14" s="10"/>
      <c r="H14" s="23">
        <f ca="1">SUMIFS(Rechnungseingangsbuch!$S$8:$S$47,Rechnungseingangsbuch!$W$8:$W$47,"Ja")</f>
        <v>341.92</v>
      </c>
    </row>
    <row r="15" spans="2:9" ht="18" customHeight="1" x14ac:dyDescent="0.25">
      <c r="B15" s="11" t="s">
        <v>20</v>
      </c>
      <c r="C15" s="11"/>
      <c r="D15" s="22">
        <f>IFERROR(ROUND(AVERAGE(Rechnungseingangsbuch!$N$8:$N$47),0),0)</f>
        <v>23</v>
      </c>
      <c r="F15" s="11" t="s">
        <v>21</v>
      </c>
      <c r="G15" s="11"/>
      <c r="H15" s="25">
        <f ca="1">SUMIFS(Rechnungseingangsbuch!$S$8:$S$47,Rechnungseingangsbuch!$W$8:$W$47,"Nein")+SUMIFS(Rechnungseingangsbuch!$S$8:$S$47,Rechnungseingangsbuch!$W$8:$W$47,"Frist verstrichen")</f>
        <v>138.38999999999999</v>
      </c>
    </row>
    <row r="17" spans="2:9" ht="18.75" customHeight="1" x14ac:dyDescent="0.25">
      <c r="B17" s="12" t="s">
        <v>22</v>
      </c>
      <c r="C17" s="12"/>
      <c r="D17" s="12"/>
      <c r="E17" s="12"/>
      <c r="F17" s="12" t="s">
        <v>23</v>
      </c>
      <c r="G17" s="12"/>
      <c r="H17" s="12"/>
      <c r="I17" s="12"/>
    </row>
    <row r="18" spans="2:9" x14ac:dyDescent="0.25">
      <c r="B18" s="27" t="s">
        <v>24</v>
      </c>
      <c r="C18" s="28" t="s">
        <v>25</v>
      </c>
      <c r="D18" s="28" t="s">
        <v>26</v>
      </c>
      <c r="E18" s="28" t="s">
        <v>27</v>
      </c>
      <c r="F18" s="27" t="s">
        <v>28</v>
      </c>
      <c r="G18" s="28" t="s">
        <v>29</v>
      </c>
      <c r="H18" s="28" t="s">
        <v>30</v>
      </c>
      <c r="I18" s="28" t="s">
        <v>31</v>
      </c>
    </row>
    <row r="19" spans="2:9" x14ac:dyDescent="0.25">
      <c r="B19" s="29" t="s">
        <v>32</v>
      </c>
      <c r="C19" s="30">
        <f ca="1">COUNTIF(Rechnungseingangsbuch!$AA$8:$AA$47,$B19)</f>
        <v>6</v>
      </c>
      <c r="D19" s="31">
        <f ca="1">SUMIFS(Rechnungseingangsbuch!$X$8:$X$47,Rechnungseingangsbuch!$AA$8:$AA$47,$B19)</f>
        <v>9465.5499999999993</v>
      </c>
      <c r="E19" s="32">
        <f ca="1">IFERROR(D19/$D$24,0)</f>
        <v>0.67964974761436336</v>
      </c>
      <c r="F19" s="33">
        <v>0.19</v>
      </c>
      <c r="G19" s="31">
        <f>SUMIFS(Rechnungseingangsbuch!$J$8:$J$47,Rechnungseingangsbuch!$K$8:$K$47,$F19)</f>
        <v>32079.600000000002</v>
      </c>
      <c r="H19" s="31">
        <f>SUMIFS(Rechnungseingangsbuch!$L$8:$L$47,Rechnungseingangsbuch!$K$8:$K$47,$F19)</f>
        <v>6095.13</v>
      </c>
      <c r="I19" s="32">
        <f>IFERROR(G19/$G$22,0)</f>
        <v>0.8128208376618441</v>
      </c>
    </row>
    <row r="20" spans="2:9" x14ac:dyDescent="0.25">
      <c r="B20" s="34" t="s">
        <v>33</v>
      </c>
      <c r="C20" s="35">
        <f ca="1">COUNTIF(Rechnungseingangsbuch!$AA$8:$AA$47,$B20)</f>
        <v>2</v>
      </c>
      <c r="D20" s="36">
        <f ca="1">SUMIFS(Rechnungseingangsbuch!$X$8:$X$47,Rechnungseingangsbuch!$AA$8:$AA$47,$B20)</f>
        <v>1838.4299999999998</v>
      </c>
      <c r="E20" s="37">
        <f ca="1">IFERROR(D20/$D$24,0)</f>
        <v>0.13200379116973382</v>
      </c>
      <c r="F20" s="38">
        <v>7.0000000000000007E-2</v>
      </c>
      <c r="G20" s="36">
        <f>SUMIFS(Rechnungseingangsbuch!$J$8:$J$47,Rechnungseingangsbuch!$K$8:$K$47,$F20)</f>
        <v>5527.4</v>
      </c>
      <c r="H20" s="36">
        <f>SUMIFS(Rechnungseingangsbuch!$L$8:$L$47,Rechnungseingangsbuch!$K$8:$K$47,$F20)</f>
        <v>386.91999999999996</v>
      </c>
      <c r="I20" s="37">
        <f>IFERROR(G20/$G$22,0)</f>
        <v>0.14005118200015201</v>
      </c>
    </row>
    <row r="21" spans="2:9" x14ac:dyDescent="0.25">
      <c r="B21" s="29" t="s">
        <v>34</v>
      </c>
      <c r="C21" s="30">
        <f ca="1">COUNTIF(Rechnungseingangsbuch!$AA$8:$AA$47,$B21)</f>
        <v>1</v>
      </c>
      <c r="D21" s="31">
        <f ca="1">SUMIFS(Rechnungseingangsbuch!$X$8:$X$47,Rechnungseingangsbuch!$AA$8:$AA$47,$B21)</f>
        <v>1571.4</v>
      </c>
      <c r="E21" s="32">
        <f ca="1">IFERROR(D21/$D$24,0)</f>
        <v>0.11283038105563974</v>
      </c>
      <c r="F21" s="33">
        <v>0</v>
      </c>
      <c r="G21" s="31">
        <f>SUMIFS(Rechnungseingangsbuch!$J$8:$J$47,Rechnungseingangsbuch!$K$8:$K$47,$F21)</f>
        <v>1860</v>
      </c>
      <c r="H21" s="31">
        <f>SUMIFS(Rechnungseingangsbuch!$L$8:$L$47,Rechnungseingangsbuch!$K$8:$K$47,$F21)</f>
        <v>0</v>
      </c>
      <c r="I21" s="32">
        <f>IFERROR(G21/$G$22,0)</f>
        <v>4.7127980338003903E-2</v>
      </c>
    </row>
    <row r="22" spans="2:9" x14ac:dyDescent="0.25">
      <c r="B22" s="34" t="s">
        <v>35</v>
      </c>
      <c r="C22" s="35">
        <f ca="1">COUNTIF(Rechnungseingangsbuch!$AA$8:$AA$47,$B22)</f>
        <v>1</v>
      </c>
      <c r="D22" s="36">
        <f ca="1">SUMIFS(Rechnungseingangsbuch!$X$8:$X$47,Rechnungseingangsbuch!$AA$8:$AA$47,$B22)</f>
        <v>556.91999999999996</v>
      </c>
      <c r="E22" s="37">
        <f ca="1">IFERROR(D22/$D$24,0)</f>
        <v>3.998822439703887E-2</v>
      </c>
      <c r="F22" s="39" t="s">
        <v>36</v>
      </c>
      <c r="G22" s="40">
        <f>SUM(G19:G21)</f>
        <v>39467</v>
      </c>
      <c r="H22" s="40">
        <f>SUM(H19:H21)</f>
        <v>6482.05</v>
      </c>
      <c r="I22" s="41">
        <f>IFERROR(G22/G22,0)</f>
        <v>1</v>
      </c>
    </row>
    <row r="23" spans="2:9" ht="15" customHeight="1" x14ac:dyDescent="0.25">
      <c r="B23" s="29" t="s">
        <v>37</v>
      </c>
      <c r="C23" s="30">
        <f ca="1">COUNTIF(Rechnungseingangsbuch!$AA$8:$AA$47,$B23)</f>
        <v>1</v>
      </c>
      <c r="D23" s="31">
        <f ca="1">SUMIFS(Rechnungseingangsbuch!$X$8:$X$47,Rechnungseingangsbuch!$AA$8:$AA$47,$B23)</f>
        <v>494.8</v>
      </c>
      <c r="E23" s="32">
        <f ca="1">IFERROR(D23/$D$24,0)</f>
        <v>3.5527855763224224E-2</v>
      </c>
      <c r="F23" s="9" t="s">
        <v>38</v>
      </c>
      <c r="G23" s="9"/>
      <c r="H23" s="9"/>
      <c r="I23" s="9"/>
    </row>
    <row r="24" spans="2:9" x14ac:dyDescent="0.25">
      <c r="B24" s="39" t="s">
        <v>39</v>
      </c>
      <c r="C24" s="42">
        <f ca="1">SUM(C19:C23)</f>
        <v>11</v>
      </c>
      <c r="D24" s="40">
        <f ca="1">SUM(D19:D23)</f>
        <v>13927.099999999999</v>
      </c>
      <c r="E24" s="41">
        <f ca="1">IFERROR(D24/D24,0)</f>
        <v>1</v>
      </c>
      <c r="F24" s="9"/>
      <c r="G24" s="9"/>
      <c r="H24" s="9"/>
      <c r="I24" s="9"/>
    </row>
    <row r="26" spans="2:9" ht="18.75" customHeight="1" x14ac:dyDescent="0.25">
      <c r="B26" s="12" t="s">
        <v>40</v>
      </c>
      <c r="C26" s="12"/>
      <c r="D26" s="12"/>
      <c r="E26" s="12"/>
      <c r="F26" s="12"/>
      <c r="G26" s="12"/>
      <c r="H26" s="12"/>
      <c r="I26" s="12"/>
    </row>
    <row r="27" spans="2:9" x14ac:dyDescent="0.25">
      <c r="B27" s="27" t="s">
        <v>41</v>
      </c>
      <c r="C27" s="28" t="s">
        <v>25</v>
      </c>
      <c r="D27" s="28" t="s">
        <v>29</v>
      </c>
      <c r="E27" s="28" t="s">
        <v>30</v>
      </c>
      <c r="F27" s="28" t="s">
        <v>42</v>
      </c>
      <c r="G27" s="28" t="s">
        <v>43</v>
      </c>
      <c r="H27" s="28" t="s">
        <v>44</v>
      </c>
      <c r="I27" s="28" t="s">
        <v>15</v>
      </c>
    </row>
    <row r="28" spans="2:9" ht="15.75" customHeight="1" x14ac:dyDescent="0.25">
      <c r="B28" s="29" t="s">
        <v>45</v>
      </c>
      <c r="C28" s="30">
        <f>COUNTIFS(Rechnungseingangsbuch!$D$8:$D$47,"&gt;="&amp;DATE($F$5,1,1),Rechnungseingangsbuch!$D$8:$D$47,"&lt;="&amp;EOMONTH(DATE($F$5,1,1),0))</f>
        <v>4</v>
      </c>
      <c r="D28" s="31">
        <f>SUMIFS(Rechnungseingangsbuch!$J$8:$J$47,Rechnungseingangsbuch!$D$8:$D$47,"&gt;="&amp;DATE($F$5,1,1),Rechnungseingangsbuch!$D$8:$D$47,"&lt;="&amp;EOMONTH(DATE($F$5,1,1),0))</f>
        <v>7357.25</v>
      </c>
      <c r="E28" s="31">
        <f>SUMIFS(Rechnungseingangsbuch!$L$8:$L$47,Rechnungseingangsbuch!$D$8:$D$47,"&gt;="&amp;DATE($F$5,1,1),Rechnungseingangsbuch!$D$8:$D$47,"&lt;="&amp;EOMONTH(DATE($F$5,1,1),0))</f>
        <v>1397.8799999999999</v>
      </c>
      <c r="F28" s="31">
        <f>SUMIFS(Rechnungseingangsbuch!$M$8:$M$47,Rechnungseingangsbuch!$D$8:$D$47,"&gt;="&amp;DATE($F$5,1,1),Rechnungseingangsbuch!$D$8:$D$47,"&lt;="&amp;EOMONTH(DATE($F$5,1,1),0))</f>
        <v>8755.130000000001</v>
      </c>
      <c r="G28" s="31">
        <f>SUMIFS(Rechnungseingangsbuch!$V$8:$V$47,Rechnungseingangsbuch!$D$8:$D$47,"&gt;="&amp;DATE($F$5,1,1),Rechnungseingangsbuch!$D$8:$D$47,"&lt;="&amp;EOMONTH(DATE($F$5,1,1),0))</f>
        <v>8743.5499999999993</v>
      </c>
      <c r="H28" s="31">
        <f ca="1">SUMIFS(Rechnungseingangsbuch!$X$8:$X$47,Rechnungseingangsbuch!$D$8:$D$47,"&gt;="&amp;DATE($F$5,1,1),Rechnungseingangsbuch!$D$8:$D$47,"&lt;="&amp;EOMONTH(DATE($F$5,1,1),0))</f>
        <v>0</v>
      </c>
      <c r="I28" s="32">
        <f t="shared" ref="I28:I40" si="0">IFERROR(G28/F28,0)</f>
        <v>0.99867734688119969</v>
      </c>
    </row>
    <row r="29" spans="2:9" ht="15.75" customHeight="1" x14ac:dyDescent="0.25">
      <c r="B29" s="34" t="s">
        <v>46</v>
      </c>
      <c r="C29" s="35">
        <f>COUNTIFS(Rechnungseingangsbuch!$D$8:$D$47,"&gt;="&amp;DATE($F$5,2,1),Rechnungseingangsbuch!$D$8:$D$47,"&lt;="&amp;EOMONTH(DATE($F$5,2,1),0))</f>
        <v>4</v>
      </c>
      <c r="D29" s="36">
        <f>SUMIFS(Rechnungseingangsbuch!$J$8:$J$47,Rechnungseingangsbuch!$D$8:$D$47,"&gt;="&amp;DATE($F$5,2,1),Rechnungseingangsbuch!$D$8:$D$47,"&lt;="&amp;EOMONTH(DATE($F$5,2,1),0))</f>
        <v>8241</v>
      </c>
      <c r="E29" s="36">
        <f>SUMIFS(Rechnungseingangsbuch!$L$8:$L$47,Rechnungseingangsbuch!$D$8:$D$47,"&gt;="&amp;DATE($F$5,2,1),Rechnungseingangsbuch!$D$8:$D$47,"&lt;="&amp;EOMONTH(DATE($F$5,2,1),0))</f>
        <v>1565.79</v>
      </c>
      <c r="F29" s="36">
        <f>SUMIFS(Rechnungseingangsbuch!$M$8:$M$47,Rechnungseingangsbuch!$D$8:$D$47,"&gt;="&amp;DATE($F$5,2,1),Rechnungseingangsbuch!$D$8:$D$47,"&lt;="&amp;EOMONTH(DATE($F$5,2,1),0))</f>
        <v>9806.7900000000009</v>
      </c>
      <c r="G29" s="36">
        <f>SUMIFS(Rechnungseingangsbuch!$V$8:$V$47,Rechnungseingangsbuch!$D$8:$D$47,"&gt;="&amp;DATE($F$5,2,1),Rechnungseingangsbuch!$D$8:$D$47,"&lt;="&amp;EOMONTH(DATE($F$5,2,1),0))</f>
        <v>9074.1</v>
      </c>
      <c r="H29" s="36">
        <f ca="1">SUMIFS(Rechnungseingangsbuch!$X$8:$X$47,Rechnungseingangsbuch!$D$8:$D$47,"&gt;="&amp;DATE($F$5,2,1),Rechnungseingangsbuch!$D$8:$D$47,"&lt;="&amp;EOMONTH(DATE($F$5,2,1),0))</f>
        <v>494.8</v>
      </c>
      <c r="I29" s="37">
        <f t="shared" si="0"/>
        <v>0.92528747938928024</v>
      </c>
    </row>
    <row r="30" spans="2:9" ht="15.75" customHeight="1" x14ac:dyDescent="0.25">
      <c r="B30" s="29" t="s">
        <v>47</v>
      </c>
      <c r="C30" s="30">
        <f>COUNTIFS(Rechnungseingangsbuch!$D$8:$D$47,"&gt;="&amp;DATE($F$5,3,1),Rechnungseingangsbuch!$D$8:$D$47,"&lt;="&amp;EOMONTH(DATE($F$5,3,1),0))</f>
        <v>4</v>
      </c>
      <c r="D30" s="31">
        <f>SUMIFS(Rechnungseingangsbuch!$J$8:$J$47,Rechnungseingangsbuch!$D$8:$D$47,"&gt;="&amp;DATE($F$5,3,1),Rechnungseingangsbuch!$D$8:$D$47,"&lt;="&amp;EOMONTH(DATE($F$5,3,1),0))</f>
        <v>5740.4</v>
      </c>
      <c r="E30" s="31">
        <f>SUMIFS(Rechnungseingangsbuch!$L$8:$L$47,Rechnungseingangsbuch!$D$8:$D$47,"&gt;="&amp;DATE($F$5,3,1),Rechnungseingangsbuch!$D$8:$D$47,"&lt;="&amp;EOMONTH(DATE($F$5,3,1),0))</f>
        <v>534.79</v>
      </c>
      <c r="F30" s="31">
        <f>SUMIFS(Rechnungseingangsbuch!$M$8:$M$47,Rechnungseingangsbuch!$D$8:$D$47,"&gt;="&amp;DATE($F$5,3,1),Rechnungseingangsbuch!$D$8:$D$47,"&lt;="&amp;EOMONTH(DATE($F$5,3,1),0))</f>
        <v>6275.1900000000005</v>
      </c>
      <c r="G30" s="31">
        <f>SUMIFS(Rechnungseingangsbuch!$V$8:$V$47,Rechnungseingangsbuch!$D$8:$D$47,"&gt;="&amp;DATE($F$5,3,1),Rechnungseingangsbuch!$D$8:$D$47,"&lt;="&amp;EOMONTH(DATE($F$5,3,1),0))</f>
        <v>5625.82</v>
      </c>
      <c r="H30" s="31">
        <f ca="1">SUMIFS(Rechnungseingangsbuch!$X$8:$X$47,Rechnungseingangsbuch!$D$8:$D$47,"&gt;="&amp;DATE($F$5,3,1),Rechnungseingangsbuch!$D$8:$D$47,"&lt;="&amp;EOMONTH(DATE($F$5,3,1),0))</f>
        <v>556.91999999999996</v>
      </c>
      <c r="I30" s="32">
        <f t="shared" si="0"/>
        <v>0.89651787435918262</v>
      </c>
    </row>
    <row r="31" spans="2:9" ht="15.75" customHeight="1" x14ac:dyDescent="0.25">
      <c r="B31" s="34" t="s">
        <v>48</v>
      </c>
      <c r="C31" s="35">
        <f>COUNTIFS(Rechnungseingangsbuch!$D$8:$D$47,"&gt;="&amp;DATE($F$5,4,1),Rechnungseingangsbuch!$D$8:$D$47,"&lt;="&amp;EOMONTH(DATE($F$5,4,1),0))</f>
        <v>3</v>
      </c>
      <c r="D31" s="36">
        <f>SUMIFS(Rechnungseingangsbuch!$J$8:$J$47,Rechnungseingangsbuch!$D$8:$D$47,"&gt;="&amp;DATE($F$5,4,1),Rechnungseingangsbuch!$D$8:$D$47,"&lt;="&amp;EOMONTH(DATE($F$5,4,1),0))</f>
        <v>4073.15</v>
      </c>
      <c r="E31" s="36">
        <f>SUMIFS(Rechnungseingangsbuch!$L$8:$L$47,Rechnungseingangsbuch!$D$8:$D$47,"&gt;="&amp;DATE($F$5,4,1),Rechnungseingangsbuch!$D$8:$D$47,"&lt;="&amp;EOMONTH(DATE($F$5,4,1),0))</f>
        <v>420.5</v>
      </c>
      <c r="F31" s="36">
        <f>SUMIFS(Rechnungseingangsbuch!$M$8:$M$47,Rechnungseingangsbuch!$D$8:$D$47,"&gt;="&amp;DATE($F$5,4,1),Rechnungseingangsbuch!$D$8:$D$47,"&lt;="&amp;EOMONTH(DATE($F$5,4,1),0))</f>
        <v>4493.6499999999996</v>
      </c>
      <c r="G31" s="36">
        <f>SUMIFS(Rechnungseingangsbuch!$V$8:$V$47,Rechnungseingangsbuch!$D$8:$D$47,"&gt;="&amp;DATE($F$5,4,1),Rechnungseingangsbuch!$D$8:$D$47,"&lt;="&amp;EOMONTH(DATE($F$5,4,1),0))</f>
        <v>2922.25</v>
      </c>
      <c r="H31" s="36">
        <f ca="1">SUMIFS(Rechnungseingangsbuch!$X$8:$X$47,Rechnungseingangsbuch!$D$8:$D$47,"&gt;="&amp;DATE($F$5,4,1),Rechnungseingangsbuch!$D$8:$D$47,"&lt;="&amp;EOMONTH(DATE($F$5,4,1),0))</f>
        <v>1571.4</v>
      </c>
      <c r="I31" s="37">
        <f t="shared" si="0"/>
        <v>0.65030654367830165</v>
      </c>
    </row>
    <row r="32" spans="2:9" ht="15.75" customHeight="1" x14ac:dyDescent="0.25">
      <c r="B32" s="29" t="s">
        <v>49</v>
      </c>
      <c r="C32" s="30">
        <f>COUNTIFS(Rechnungseingangsbuch!$D$8:$D$47,"&gt;="&amp;DATE($F$5,5,1),Rechnungseingangsbuch!$D$8:$D$47,"&lt;="&amp;EOMONTH(DATE($F$5,5,1),0))</f>
        <v>3</v>
      </c>
      <c r="D32" s="31">
        <f>SUMIFS(Rechnungseingangsbuch!$J$8:$J$47,Rechnungseingangsbuch!$D$8:$D$47,"&gt;="&amp;DATE($F$5,5,1),Rechnungseingangsbuch!$D$8:$D$47,"&lt;="&amp;EOMONTH(DATE($F$5,5,1),0))</f>
        <v>3940.2000000000003</v>
      </c>
      <c r="E32" s="31">
        <f>SUMIFS(Rechnungseingangsbuch!$L$8:$L$47,Rechnungseingangsbuch!$D$8:$D$47,"&gt;="&amp;DATE($F$5,5,1),Rechnungseingangsbuch!$D$8:$D$47,"&lt;="&amp;EOMONTH(DATE($F$5,5,1),0))</f>
        <v>748.64</v>
      </c>
      <c r="F32" s="31">
        <f>SUMIFS(Rechnungseingangsbuch!$M$8:$M$47,Rechnungseingangsbuch!$D$8:$D$47,"&gt;="&amp;DATE($F$5,5,1),Rechnungseingangsbuch!$D$8:$D$47,"&lt;="&amp;EOMONTH(DATE($F$5,5,1),0))</f>
        <v>4688.84</v>
      </c>
      <c r="G32" s="31">
        <f>SUMIFS(Rechnungseingangsbuch!$V$8:$V$47,Rechnungseingangsbuch!$D$8:$D$47,"&gt;="&amp;DATE($F$5,5,1),Rechnungseingangsbuch!$D$8:$D$47,"&lt;="&amp;EOMONTH(DATE($F$5,5,1),0))</f>
        <v>3814.31</v>
      </c>
      <c r="H32" s="31">
        <f ca="1">SUMIFS(Rechnungseingangsbuch!$X$8:$X$47,Rechnungseingangsbuch!$D$8:$D$47,"&gt;="&amp;DATE($F$5,5,1),Rechnungseingangsbuch!$D$8:$D$47,"&lt;="&amp;EOMONTH(DATE($F$5,5,1),0))</f>
        <v>874.53</v>
      </c>
      <c r="I32" s="32">
        <f t="shared" si="0"/>
        <v>0.81348691787307736</v>
      </c>
    </row>
    <row r="33" spans="2:9" ht="15.75" customHeight="1" x14ac:dyDescent="0.25">
      <c r="B33" s="34" t="s">
        <v>50</v>
      </c>
      <c r="C33" s="35">
        <f>COUNTIFS(Rechnungseingangsbuch!$D$8:$D$47,"&gt;="&amp;DATE($F$5,6,1),Rechnungseingangsbuch!$D$8:$D$47,"&lt;="&amp;EOMONTH(DATE($F$5,6,1),0))</f>
        <v>5</v>
      </c>
      <c r="D33" s="36">
        <f>SUMIFS(Rechnungseingangsbuch!$J$8:$J$47,Rechnungseingangsbuch!$D$8:$D$47,"&gt;="&amp;DATE($F$5,6,1),Rechnungseingangsbuch!$D$8:$D$47,"&lt;="&amp;EOMONTH(DATE($F$5,6,1),0))</f>
        <v>6480</v>
      </c>
      <c r="E33" s="36">
        <f>SUMIFS(Rechnungseingangsbuch!$L$8:$L$47,Rechnungseingangsbuch!$D$8:$D$47,"&gt;="&amp;DATE($F$5,6,1),Rechnungseingangsbuch!$D$8:$D$47,"&lt;="&amp;EOMONTH(DATE($F$5,6,1),0))</f>
        <v>1231.1999999999998</v>
      </c>
      <c r="F33" s="36">
        <f>SUMIFS(Rechnungseingangsbuch!$M$8:$M$47,Rechnungseingangsbuch!$D$8:$D$47,"&gt;="&amp;DATE($F$5,6,1),Rechnungseingangsbuch!$D$8:$D$47,"&lt;="&amp;EOMONTH(DATE($F$5,6,1),0))</f>
        <v>7711.2000000000007</v>
      </c>
      <c r="G33" s="36">
        <f>SUMIFS(Rechnungseingangsbuch!$V$8:$V$47,Rechnungseingangsbuch!$D$8:$D$47,"&gt;="&amp;DATE($F$5,6,1),Rechnungseingangsbuch!$D$8:$D$47,"&lt;="&amp;EOMONTH(DATE($F$5,6,1),0))</f>
        <v>1500</v>
      </c>
      <c r="H33" s="36">
        <f ca="1">SUMIFS(Rechnungseingangsbuch!$X$8:$X$47,Rechnungseingangsbuch!$D$8:$D$47,"&gt;="&amp;DATE($F$5,6,1),Rechnungseingangsbuch!$D$8:$D$47,"&lt;="&amp;EOMONTH(DATE($F$5,6,1),0))</f>
        <v>6211.2000000000007</v>
      </c>
      <c r="I33" s="37">
        <f t="shared" si="0"/>
        <v>0.19452225334578274</v>
      </c>
    </row>
    <row r="34" spans="2:9" ht="15.75" customHeight="1" x14ac:dyDescent="0.25">
      <c r="B34" s="29" t="s">
        <v>51</v>
      </c>
      <c r="C34" s="30">
        <f>COUNTIFS(Rechnungseingangsbuch!$D$8:$D$47,"&gt;="&amp;DATE($F$5,7,1),Rechnungseingangsbuch!$D$8:$D$47,"&lt;="&amp;EOMONTH(DATE($F$5,7,1),0))</f>
        <v>2</v>
      </c>
      <c r="D34" s="31">
        <f>SUMIFS(Rechnungseingangsbuch!$J$8:$J$47,Rechnungseingangsbuch!$D$8:$D$47,"&gt;="&amp;DATE($F$5,7,1),Rechnungseingangsbuch!$D$8:$D$47,"&lt;="&amp;EOMONTH(DATE($F$5,7,1),0))</f>
        <v>3635</v>
      </c>
      <c r="E34" s="31">
        <f>SUMIFS(Rechnungseingangsbuch!$L$8:$L$47,Rechnungseingangsbuch!$D$8:$D$47,"&gt;="&amp;DATE($F$5,7,1),Rechnungseingangsbuch!$D$8:$D$47,"&lt;="&amp;EOMONTH(DATE($F$5,7,1),0))</f>
        <v>583.25</v>
      </c>
      <c r="F34" s="31">
        <f>SUMIFS(Rechnungseingangsbuch!$M$8:$M$47,Rechnungseingangsbuch!$D$8:$D$47,"&gt;="&amp;DATE($F$5,7,1),Rechnungseingangsbuch!$D$8:$D$47,"&lt;="&amp;EOMONTH(DATE($F$5,7,1),0))</f>
        <v>4218.25</v>
      </c>
      <c r="G34" s="31">
        <f>SUMIFS(Rechnungseingangsbuch!$V$8:$V$47,Rechnungseingangsbuch!$D$8:$D$47,"&gt;="&amp;DATE($F$5,7,1),Rechnungseingangsbuch!$D$8:$D$47,"&lt;="&amp;EOMONTH(DATE($F$5,7,1),0))</f>
        <v>0</v>
      </c>
      <c r="H34" s="31">
        <f>SUMIFS(Rechnungseingangsbuch!$X$8:$X$47,Rechnungseingangsbuch!$D$8:$D$47,"&gt;="&amp;DATE($F$5,7,1),Rechnungseingangsbuch!$D$8:$D$47,"&lt;="&amp;EOMONTH(DATE($F$5,7,1),0))</f>
        <v>4218.25</v>
      </c>
      <c r="I34" s="32">
        <f t="shared" si="0"/>
        <v>0</v>
      </c>
    </row>
    <row r="35" spans="2:9" ht="15.75" customHeight="1" x14ac:dyDescent="0.25">
      <c r="B35" s="34" t="s">
        <v>52</v>
      </c>
      <c r="C35" s="35">
        <f>COUNTIFS(Rechnungseingangsbuch!$D$8:$D$47,"&gt;="&amp;DATE($F$5,8,1),Rechnungseingangsbuch!$D$8:$D$47,"&lt;="&amp;EOMONTH(DATE($F$5,8,1),0))</f>
        <v>0</v>
      </c>
      <c r="D35" s="36">
        <f>SUMIFS(Rechnungseingangsbuch!$J$8:$J$47,Rechnungseingangsbuch!$D$8:$D$47,"&gt;="&amp;DATE($F$5,8,1),Rechnungseingangsbuch!$D$8:$D$47,"&lt;="&amp;EOMONTH(DATE($F$5,8,1),0))</f>
        <v>0</v>
      </c>
      <c r="E35" s="36">
        <f>SUMIFS(Rechnungseingangsbuch!$L$8:$L$47,Rechnungseingangsbuch!$D$8:$D$47,"&gt;="&amp;DATE($F$5,8,1),Rechnungseingangsbuch!$D$8:$D$47,"&lt;="&amp;EOMONTH(DATE($F$5,8,1),0))</f>
        <v>0</v>
      </c>
      <c r="F35" s="36">
        <f>SUMIFS(Rechnungseingangsbuch!$M$8:$M$47,Rechnungseingangsbuch!$D$8:$D$47,"&gt;="&amp;DATE($F$5,8,1),Rechnungseingangsbuch!$D$8:$D$47,"&lt;="&amp;EOMONTH(DATE($F$5,8,1),0))</f>
        <v>0</v>
      </c>
      <c r="G35" s="36">
        <f>SUMIFS(Rechnungseingangsbuch!$V$8:$V$47,Rechnungseingangsbuch!$D$8:$D$47,"&gt;="&amp;DATE($F$5,8,1),Rechnungseingangsbuch!$D$8:$D$47,"&lt;="&amp;EOMONTH(DATE($F$5,8,1),0))</f>
        <v>0</v>
      </c>
      <c r="H35" s="36">
        <f>SUMIFS(Rechnungseingangsbuch!$X$8:$X$47,Rechnungseingangsbuch!$D$8:$D$47,"&gt;="&amp;DATE($F$5,8,1),Rechnungseingangsbuch!$D$8:$D$47,"&lt;="&amp;EOMONTH(DATE($F$5,8,1),0))</f>
        <v>0</v>
      </c>
      <c r="I35" s="37">
        <f t="shared" si="0"/>
        <v>0</v>
      </c>
    </row>
    <row r="36" spans="2:9" ht="15.75" customHeight="1" x14ac:dyDescent="0.25">
      <c r="B36" s="29" t="s">
        <v>53</v>
      </c>
      <c r="C36" s="30">
        <f>COUNTIFS(Rechnungseingangsbuch!$D$8:$D$47,"&gt;="&amp;DATE($F$5,9,1),Rechnungseingangsbuch!$D$8:$D$47,"&lt;="&amp;EOMONTH(DATE($F$5,9,1),0))</f>
        <v>0</v>
      </c>
      <c r="D36" s="31">
        <f>SUMIFS(Rechnungseingangsbuch!$J$8:$J$47,Rechnungseingangsbuch!$D$8:$D$47,"&gt;="&amp;DATE($F$5,9,1),Rechnungseingangsbuch!$D$8:$D$47,"&lt;="&amp;EOMONTH(DATE($F$5,9,1),0))</f>
        <v>0</v>
      </c>
      <c r="E36" s="31">
        <f>SUMIFS(Rechnungseingangsbuch!$L$8:$L$47,Rechnungseingangsbuch!$D$8:$D$47,"&gt;="&amp;DATE($F$5,9,1),Rechnungseingangsbuch!$D$8:$D$47,"&lt;="&amp;EOMONTH(DATE($F$5,9,1),0))</f>
        <v>0</v>
      </c>
      <c r="F36" s="31">
        <f>SUMIFS(Rechnungseingangsbuch!$M$8:$M$47,Rechnungseingangsbuch!$D$8:$D$47,"&gt;="&amp;DATE($F$5,9,1),Rechnungseingangsbuch!$D$8:$D$47,"&lt;="&amp;EOMONTH(DATE($F$5,9,1),0))</f>
        <v>0</v>
      </c>
      <c r="G36" s="31">
        <f>SUMIFS(Rechnungseingangsbuch!$V$8:$V$47,Rechnungseingangsbuch!$D$8:$D$47,"&gt;="&amp;DATE($F$5,9,1),Rechnungseingangsbuch!$D$8:$D$47,"&lt;="&amp;EOMONTH(DATE($F$5,9,1),0))</f>
        <v>0</v>
      </c>
      <c r="H36" s="31">
        <f>SUMIFS(Rechnungseingangsbuch!$X$8:$X$47,Rechnungseingangsbuch!$D$8:$D$47,"&gt;="&amp;DATE($F$5,9,1),Rechnungseingangsbuch!$D$8:$D$47,"&lt;="&amp;EOMONTH(DATE($F$5,9,1),0))</f>
        <v>0</v>
      </c>
      <c r="I36" s="32">
        <f t="shared" si="0"/>
        <v>0</v>
      </c>
    </row>
    <row r="37" spans="2:9" ht="15.75" customHeight="1" x14ac:dyDescent="0.25">
      <c r="B37" s="34" t="s">
        <v>54</v>
      </c>
      <c r="C37" s="35">
        <f>COUNTIFS(Rechnungseingangsbuch!$D$8:$D$47,"&gt;="&amp;DATE($F$5,10,1),Rechnungseingangsbuch!$D$8:$D$47,"&lt;="&amp;EOMONTH(DATE($F$5,10,1),0))</f>
        <v>0</v>
      </c>
      <c r="D37" s="36">
        <f>SUMIFS(Rechnungseingangsbuch!$J$8:$J$47,Rechnungseingangsbuch!$D$8:$D$47,"&gt;="&amp;DATE($F$5,10,1),Rechnungseingangsbuch!$D$8:$D$47,"&lt;="&amp;EOMONTH(DATE($F$5,10,1),0))</f>
        <v>0</v>
      </c>
      <c r="E37" s="36">
        <f>SUMIFS(Rechnungseingangsbuch!$L$8:$L$47,Rechnungseingangsbuch!$D$8:$D$47,"&gt;="&amp;DATE($F$5,10,1),Rechnungseingangsbuch!$D$8:$D$47,"&lt;="&amp;EOMONTH(DATE($F$5,10,1),0))</f>
        <v>0</v>
      </c>
      <c r="F37" s="36">
        <f>SUMIFS(Rechnungseingangsbuch!$M$8:$M$47,Rechnungseingangsbuch!$D$8:$D$47,"&gt;="&amp;DATE($F$5,10,1),Rechnungseingangsbuch!$D$8:$D$47,"&lt;="&amp;EOMONTH(DATE($F$5,10,1),0))</f>
        <v>0</v>
      </c>
      <c r="G37" s="36">
        <f>SUMIFS(Rechnungseingangsbuch!$V$8:$V$47,Rechnungseingangsbuch!$D$8:$D$47,"&gt;="&amp;DATE($F$5,10,1),Rechnungseingangsbuch!$D$8:$D$47,"&lt;="&amp;EOMONTH(DATE($F$5,10,1),0))</f>
        <v>0</v>
      </c>
      <c r="H37" s="36">
        <f>SUMIFS(Rechnungseingangsbuch!$X$8:$X$47,Rechnungseingangsbuch!$D$8:$D$47,"&gt;="&amp;DATE($F$5,10,1),Rechnungseingangsbuch!$D$8:$D$47,"&lt;="&amp;EOMONTH(DATE($F$5,10,1),0))</f>
        <v>0</v>
      </c>
      <c r="I37" s="37">
        <f t="shared" si="0"/>
        <v>0</v>
      </c>
    </row>
    <row r="38" spans="2:9" ht="15.75" customHeight="1" x14ac:dyDescent="0.25">
      <c r="B38" s="29" t="s">
        <v>55</v>
      </c>
      <c r="C38" s="30">
        <f>COUNTIFS(Rechnungseingangsbuch!$D$8:$D$47,"&gt;="&amp;DATE($F$5,11,1),Rechnungseingangsbuch!$D$8:$D$47,"&lt;="&amp;EOMONTH(DATE($F$5,11,1),0))</f>
        <v>0</v>
      </c>
      <c r="D38" s="31">
        <f>SUMIFS(Rechnungseingangsbuch!$J$8:$J$47,Rechnungseingangsbuch!$D$8:$D$47,"&gt;="&amp;DATE($F$5,11,1),Rechnungseingangsbuch!$D$8:$D$47,"&lt;="&amp;EOMONTH(DATE($F$5,11,1),0))</f>
        <v>0</v>
      </c>
      <c r="E38" s="31">
        <f>SUMIFS(Rechnungseingangsbuch!$L$8:$L$47,Rechnungseingangsbuch!$D$8:$D$47,"&gt;="&amp;DATE($F$5,11,1),Rechnungseingangsbuch!$D$8:$D$47,"&lt;="&amp;EOMONTH(DATE($F$5,11,1),0))</f>
        <v>0</v>
      </c>
      <c r="F38" s="31">
        <f>SUMIFS(Rechnungseingangsbuch!$M$8:$M$47,Rechnungseingangsbuch!$D$8:$D$47,"&gt;="&amp;DATE($F$5,11,1),Rechnungseingangsbuch!$D$8:$D$47,"&lt;="&amp;EOMONTH(DATE($F$5,11,1),0))</f>
        <v>0</v>
      </c>
      <c r="G38" s="31">
        <f>SUMIFS(Rechnungseingangsbuch!$V$8:$V$47,Rechnungseingangsbuch!$D$8:$D$47,"&gt;="&amp;DATE($F$5,11,1),Rechnungseingangsbuch!$D$8:$D$47,"&lt;="&amp;EOMONTH(DATE($F$5,11,1),0))</f>
        <v>0</v>
      </c>
      <c r="H38" s="31">
        <f>SUMIFS(Rechnungseingangsbuch!$X$8:$X$47,Rechnungseingangsbuch!$D$8:$D$47,"&gt;="&amp;DATE($F$5,11,1),Rechnungseingangsbuch!$D$8:$D$47,"&lt;="&amp;EOMONTH(DATE($F$5,11,1),0))</f>
        <v>0</v>
      </c>
      <c r="I38" s="32">
        <f t="shared" si="0"/>
        <v>0</v>
      </c>
    </row>
    <row r="39" spans="2:9" ht="15.75" customHeight="1" x14ac:dyDescent="0.25">
      <c r="B39" s="34" t="s">
        <v>56</v>
      </c>
      <c r="C39" s="35">
        <f>COUNTIFS(Rechnungseingangsbuch!$D$8:$D$47,"&gt;="&amp;DATE($F$5,12,1),Rechnungseingangsbuch!$D$8:$D$47,"&lt;="&amp;EOMONTH(DATE($F$5,12,1),0))</f>
        <v>0</v>
      </c>
      <c r="D39" s="36">
        <f>SUMIFS(Rechnungseingangsbuch!$J$8:$J$47,Rechnungseingangsbuch!$D$8:$D$47,"&gt;="&amp;DATE($F$5,12,1),Rechnungseingangsbuch!$D$8:$D$47,"&lt;="&amp;EOMONTH(DATE($F$5,12,1),0))</f>
        <v>0</v>
      </c>
      <c r="E39" s="36">
        <f>SUMIFS(Rechnungseingangsbuch!$L$8:$L$47,Rechnungseingangsbuch!$D$8:$D$47,"&gt;="&amp;DATE($F$5,12,1),Rechnungseingangsbuch!$D$8:$D$47,"&lt;="&amp;EOMONTH(DATE($F$5,12,1),0))</f>
        <v>0</v>
      </c>
      <c r="F39" s="36">
        <f>SUMIFS(Rechnungseingangsbuch!$M$8:$M$47,Rechnungseingangsbuch!$D$8:$D$47,"&gt;="&amp;DATE($F$5,12,1),Rechnungseingangsbuch!$D$8:$D$47,"&lt;="&amp;EOMONTH(DATE($F$5,12,1),0))</f>
        <v>0</v>
      </c>
      <c r="G39" s="36">
        <f>SUMIFS(Rechnungseingangsbuch!$V$8:$V$47,Rechnungseingangsbuch!$D$8:$D$47,"&gt;="&amp;DATE($F$5,12,1),Rechnungseingangsbuch!$D$8:$D$47,"&lt;="&amp;EOMONTH(DATE($F$5,12,1),0))</f>
        <v>0</v>
      </c>
      <c r="H39" s="36">
        <f>SUMIFS(Rechnungseingangsbuch!$X$8:$X$47,Rechnungseingangsbuch!$D$8:$D$47,"&gt;="&amp;DATE($F$5,12,1),Rechnungseingangsbuch!$D$8:$D$47,"&lt;="&amp;EOMONTH(DATE($F$5,12,1),0))</f>
        <v>0</v>
      </c>
      <c r="I39" s="37">
        <f t="shared" si="0"/>
        <v>0</v>
      </c>
    </row>
    <row r="40" spans="2:9" x14ac:dyDescent="0.25">
      <c r="B40" s="39" t="s">
        <v>57</v>
      </c>
      <c r="C40" s="42">
        <f t="shared" ref="C40:H40" si="1">SUM(C28:C39)</f>
        <v>25</v>
      </c>
      <c r="D40" s="40">
        <f t="shared" si="1"/>
        <v>39467</v>
      </c>
      <c r="E40" s="40">
        <f t="shared" si="1"/>
        <v>6482.05</v>
      </c>
      <c r="F40" s="40">
        <f t="shared" si="1"/>
        <v>45949.05</v>
      </c>
      <c r="G40" s="40">
        <f t="shared" si="1"/>
        <v>31680.030000000002</v>
      </c>
      <c r="H40" s="40">
        <f t="shared" ca="1" si="1"/>
        <v>13927.1</v>
      </c>
      <c r="I40" s="41">
        <f t="shared" si="0"/>
        <v>0.68945995619060674</v>
      </c>
    </row>
    <row r="42" spans="2:9" ht="18.75" customHeight="1" x14ac:dyDescent="0.25">
      <c r="B42" s="12" t="s">
        <v>58</v>
      </c>
      <c r="C42" s="12"/>
      <c r="D42" s="12"/>
      <c r="E42" s="12"/>
      <c r="F42" s="12" t="s">
        <v>59</v>
      </c>
      <c r="G42" s="12"/>
      <c r="H42" s="12"/>
      <c r="I42" s="12"/>
    </row>
    <row r="43" spans="2:9" x14ac:dyDescent="0.25">
      <c r="B43" s="27" t="s">
        <v>60</v>
      </c>
      <c r="C43" s="28" t="s">
        <v>25</v>
      </c>
      <c r="D43" s="28" t="s">
        <v>42</v>
      </c>
      <c r="E43" s="28" t="s">
        <v>44</v>
      </c>
      <c r="F43" s="27" t="s">
        <v>61</v>
      </c>
      <c r="G43" s="28" t="s">
        <v>25</v>
      </c>
      <c r="H43" s="28" t="s">
        <v>42</v>
      </c>
      <c r="I43" s="28" t="s">
        <v>44</v>
      </c>
    </row>
    <row r="44" spans="2:9" ht="15.75" customHeight="1" x14ac:dyDescent="0.25">
      <c r="B44" s="43" t="str">
        <f>Stammdaten!$B$7</f>
        <v>Nordlicht Bürobedarf GmbH</v>
      </c>
      <c r="C44" s="30">
        <f>COUNTIF(Rechnungseingangsbuch!$F$8:$F$47,$B44)</f>
        <v>2</v>
      </c>
      <c r="D44" s="31">
        <f>SUMIFS(Rechnungseingangsbuch!$M$8:$M$47,Rechnungseingangsbuch!$F$8:$F$47,$B44)</f>
        <v>1453.47</v>
      </c>
      <c r="E44" s="31">
        <f ca="1">SUMIFS(Rechnungseingangsbuch!$X$8:$X$47,Rechnungseingangsbuch!$F$8:$F$47,$B44)</f>
        <v>874.53</v>
      </c>
      <c r="F44" s="43" t="str">
        <f>Stammdaten!$G$7</f>
        <v>1000 - Verwaltung</v>
      </c>
      <c r="G44" s="30">
        <f>COUNTIF(Rechnungseingangsbuch!$G$8:$G$47,$F44)</f>
        <v>9</v>
      </c>
      <c r="H44" s="31">
        <f>SUMIFS(Rechnungseingangsbuch!$M$8:$M$47,Rechnungseingangsbuch!$G$8:$G$47,$F44)</f>
        <v>11602.590000000002</v>
      </c>
      <c r="I44" s="31">
        <f ca="1">SUMIFS(Rechnungseingangsbuch!$X$8:$X$47,Rechnungseingangsbuch!$G$8:$G$47,$F44)</f>
        <v>3962.28</v>
      </c>
    </row>
    <row r="45" spans="2:9" ht="15.75" customHeight="1" x14ac:dyDescent="0.25">
      <c r="B45" s="44" t="str">
        <f>Stammdaten!$B$8</f>
        <v>Meridian IT Services GmbH</v>
      </c>
      <c r="C45" s="35">
        <f>COUNTIF(Rechnungseingangsbuch!$F$8:$F$47,$B45)</f>
        <v>3</v>
      </c>
      <c r="D45" s="36">
        <f>SUMIFS(Rechnungseingangsbuch!$M$8:$M$47,Rechnungseingangsbuch!$F$8:$F$47,$B45)</f>
        <v>6211.7999999999993</v>
      </c>
      <c r="E45" s="36">
        <f ca="1">SUMIFS(Rechnungseingangsbuch!$X$8:$X$47,Rechnungseingangsbuch!$F$8:$F$47,$B45)</f>
        <v>3260.6</v>
      </c>
      <c r="F45" s="44" t="str">
        <f>Stammdaten!$G$8</f>
        <v>2000 - Vertrieb</v>
      </c>
      <c r="G45" s="35">
        <f>COUNTIF(Rechnungseingangsbuch!$G$8:$G$47,$F45)</f>
        <v>2</v>
      </c>
      <c r="H45" s="36">
        <f>SUMIFS(Rechnungseingangsbuch!$M$8:$M$47,Rechnungseingangsbuch!$G$8:$G$47,$F45)</f>
        <v>1619.17</v>
      </c>
      <c r="I45" s="36">
        <f ca="1">SUMIFS(Rechnungseingangsbuch!$X$8:$X$47,Rechnungseingangsbuch!$G$8:$G$47,$F45)</f>
        <v>556.91999999999996</v>
      </c>
    </row>
    <row r="46" spans="2:9" ht="15.75" customHeight="1" x14ac:dyDescent="0.25">
      <c r="B46" s="43" t="str">
        <f>Stammdaten!$B$9</f>
        <v>Elbtal Logistik AG</v>
      </c>
      <c r="C46" s="30">
        <f>COUNTIF(Rechnungseingangsbuch!$F$8:$F$47,$B46)</f>
        <v>3</v>
      </c>
      <c r="D46" s="31">
        <f>SUMIFS(Rechnungseingangsbuch!$M$8:$M$47,Rechnungseingangsbuch!$F$8:$F$47,$B46)</f>
        <v>6505.2</v>
      </c>
      <c r="E46" s="31">
        <f ca="1">SUMIFS(Rechnungseingangsbuch!$X$8:$X$47,Rechnungseingangsbuch!$F$8:$F$47,$B46)</f>
        <v>1571.4</v>
      </c>
      <c r="F46" s="43" t="str">
        <f>Stammdaten!$G$9</f>
        <v>3000 - Produktion</v>
      </c>
      <c r="G46" s="30">
        <f>COUNTIF(Rechnungseingangsbuch!$G$8:$G$47,$F46)</f>
        <v>5</v>
      </c>
      <c r="H46" s="31">
        <f>SUMIFS(Rechnungseingangsbuch!$M$8:$M$47,Rechnungseingangsbuch!$G$8:$G$47,$F46)</f>
        <v>5510.89</v>
      </c>
      <c r="I46" s="31">
        <f ca="1">SUMIFS(Rechnungseingangsbuch!$X$8:$X$47,Rechnungseingangsbuch!$G$8:$G$47,$F46)</f>
        <v>3219.9</v>
      </c>
    </row>
    <row r="47" spans="2:9" ht="15.75" customHeight="1" x14ac:dyDescent="0.25">
      <c r="B47" s="44" t="str">
        <f>Stammdaten!$B$10</f>
        <v>Hansen &amp; Kroll Steuerberatung PartG</v>
      </c>
      <c r="C47" s="35">
        <f>COUNTIF(Rechnungseingangsbuch!$F$8:$F$47,$B47)</f>
        <v>2</v>
      </c>
      <c r="D47" s="36">
        <f>SUMIFS(Rechnungseingangsbuch!$M$8:$M$47,Rechnungseingangsbuch!$F$8:$F$47,$B47)</f>
        <v>5474</v>
      </c>
      <c r="E47" s="36">
        <f ca="1">SUMIFS(Rechnungseingangsbuch!$X$8:$X$47,Rechnungseingangsbuch!$F$8:$F$47,$B47)</f>
        <v>1368.5</v>
      </c>
      <c r="F47" s="44" t="str">
        <f>Stammdaten!$G$10</f>
        <v>4000 - IT</v>
      </c>
      <c r="G47" s="35">
        <f>COUNTIF(Rechnungseingangsbuch!$G$8:$G$47,$F47)</f>
        <v>3</v>
      </c>
      <c r="H47" s="36">
        <f>SUMIFS(Rechnungseingangsbuch!$M$8:$M$47,Rechnungseingangsbuch!$G$8:$G$47,$F47)</f>
        <v>6211.7999999999993</v>
      </c>
      <c r="I47" s="36">
        <f ca="1">SUMIFS(Rechnungseingangsbuch!$X$8:$X$47,Rechnungseingangsbuch!$G$8:$G$47,$F47)</f>
        <v>3260.6</v>
      </c>
    </row>
    <row r="48" spans="2:9" ht="15.75" customHeight="1" x14ac:dyDescent="0.25">
      <c r="B48" s="43" t="str">
        <f>Stammdaten!$B$11</f>
        <v>Vertikal Werbeagentur GmbH</v>
      </c>
      <c r="C48" s="30">
        <f>COUNTIF(Rechnungseingangsbuch!$F$8:$F$47,$B48)</f>
        <v>2</v>
      </c>
      <c r="D48" s="31">
        <f>SUMIFS(Rechnungseingangsbuch!$M$8:$M$47,Rechnungseingangsbuch!$F$8:$F$47,$B48)</f>
        <v>9877</v>
      </c>
      <c r="E48" s="31">
        <f ca="1">SUMIFS(Rechnungseingangsbuch!$X$8:$X$47,Rechnungseingangsbuch!$F$8:$F$47,$B48)</f>
        <v>1356</v>
      </c>
      <c r="F48" s="43" t="str">
        <f>Stammdaten!$G$11</f>
        <v>5000 - Marketing</v>
      </c>
      <c r="G48" s="30">
        <f>COUNTIF(Rechnungseingangsbuch!$G$8:$G$47,$F48)</f>
        <v>3</v>
      </c>
      <c r="H48" s="31">
        <f>SUMIFS(Rechnungseingangsbuch!$M$8:$M$47,Rechnungseingangsbuch!$G$8:$G$47,$F48)</f>
        <v>14499.4</v>
      </c>
      <c r="I48" s="31">
        <f ca="1">SUMIFS(Rechnungseingangsbuch!$X$8:$X$47,Rechnungseingangsbuch!$G$8:$G$47,$F48)</f>
        <v>1356</v>
      </c>
    </row>
    <row r="49" spans="2:9" ht="15.75" customHeight="1" x14ac:dyDescent="0.25">
      <c r="B49" s="44" t="str">
        <f>Stammdaten!$B$12</f>
        <v>Stadtwerke Rheinbach AöR</v>
      </c>
      <c r="C49" s="35">
        <f>COUNTIF(Rechnungseingangsbuch!$F$8:$F$47,$B49)</f>
        <v>3</v>
      </c>
      <c r="D49" s="36">
        <f>SUMIFS(Rechnungseingangsbuch!$M$8:$M$47,Rechnungseingangsbuch!$F$8:$F$47,$B49)</f>
        <v>2386.9</v>
      </c>
      <c r="E49" s="36">
        <f ca="1">SUMIFS(Rechnungseingangsbuch!$X$8:$X$47,Rechnungseingangsbuch!$F$8:$F$47,$B49)</f>
        <v>1458.7</v>
      </c>
      <c r="F49" s="44" t="str">
        <f>Stammdaten!$G$12</f>
        <v>6000 - Logistik</v>
      </c>
      <c r="G49" s="35">
        <f>COUNTIF(Rechnungseingangsbuch!$G$8:$G$47,$F49)</f>
        <v>3</v>
      </c>
      <c r="H49" s="36">
        <f>SUMIFS(Rechnungseingangsbuch!$M$8:$M$47,Rechnungseingangsbuch!$G$8:$G$47,$F49)</f>
        <v>6505.2</v>
      </c>
      <c r="I49" s="36">
        <f ca="1">SUMIFS(Rechnungseingangsbuch!$X$8:$X$47,Rechnungseingangsbuch!$G$8:$G$47,$F49)</f>
        <v>1571.4</v>
      </c>
    </row>
    <row r="50" spans="2:9" ht="15.75" customHeight="1" x14ac:dyDescent="0.25">
      <c r="B50" s="43" t="str">
        <f>Stammdaten!$B$13</f>
        <v>Delphin Verpackungen GmbH</v>
      </c>
      <c r="C50" s="30">
        <f>COUNTIF(Rechnungseingangsbuch!$F$8:$F$47,$B50)</f>
        <v>2</v>
      </c>
      <c r="D50" s="31">
        <f>SUMIFS(Rechnungseingangsbuch!$M$8:$M$47,Rechnungseingangsbuch!$F$8:$F$47,$B50)</f>
        <v>3123.99</v>
      </c>
      <c r="E50" s="31">
        <f ca="1">SUMIFS(Rechnungseingangsbuch!$X$8:$X$47,Rechnungseingangsbuch!$F$8:$F$47,$B50)</f>
        <v>1761.2</v>
      </c>
      <c r="F50" s="39" t="s">
        <v>36</v>
      </c>
      <c r="G50" s="42">
        <f>SUM(G44:G49)</f>
        <v>25</v>
      </c>
      <c r="H50" s="40">
        <f>SUM(H44:H49)</f>
        <v>45949.049999999996</v>
      </c>
      <c r="I50" s="40">
        <f ca="1">SUM(I44:I49)</f>
        <v>13927.1</v>
      </c>
    </row>
    <row r="51" spans="2:9" ht="15.75" customHeight="1" x14ac:dyDescent="0.25">
      <c r="B51" s="44" t="str">
        <f>Stammdaten!$B$14</f>
        <v>Grünhof Catering GbR</v>
      </c>
      <c r="C51" s="35">
        <f>COUNTIF(Rechnungseingangsbuch!$F$8:$F$47,$B51)</f>
        <v>2</v>
      </c>
      <c r="D51" s="36">
        <f>SUMIFS(Rechnungseingangsbuch!$M$8:$M$47,Rechnungseingangsbuch!$F$8:$F$47,$B51)</f>
        <v>1291.92</v>
      </c>
      <c r="E51" s="36">
        <f ca="1">SUMIFS(Rechnungseingangsbuch!$X$8:$X$47,Rechnungseingangsbuch!$F$8:$F$47,$B51)</f>
        <v>957.65</v>
      </c>
    </row>
    <row r="52" spans="2:9" ht="15.75" customHeight="1" x14ac:dyDescent="0.25">
      <c r="B52" s="43" t="str">
        <f>Stammdaten!$B$15</f>
        <v>Rheinische Druckhaus KG</v>
      </c>
      <c r="C52" s="30">
        <f>COUNTIF(Rechnungseingangsbuch!$F$8:$F$47,$B52)</f>
        <v>1</v>
      </c>
      <c r="D52" s="31">
        <f>SUMIFS(Rechnungseingangsbuch!$M$8:$M$47,Rechnungseingangsbuch!$F$8:$F$47,$B52)</f>
        <v>4622.3999999999996</v>
      </c>
      <c r="E52" s="31">
        <f ca="1">SUMIFS(Rechnungseingangsbuch!$X$8:$X$47,Rechnungseingangsbuch!$F$8:$F$47,$B52)</f>
        <v>0</v>
      </c>
    </row>
    <row r="53" spans="2:9" ht="15.75" customHeight="1" x14ac:dyDescent="0.25">
      <c r="B53" s="44" t="str">
        <f>Stammdaten!$B$16</f>
        <v>Kaltenbach Reinigungsdienste GmbH</v>
      </c>
      <c r="C53" s="35">
        <f>COUNTIF(Rechnungseingangsbuch!$F$8:$F$47,$B53)</f>
        <v>2</v>
      </c>
      <c r="D53" s="36">
        <f>SUMIFS(Rechnungseingangsbuch!$M$8:$M$47,Rechnungseingangsbuch!$F$8:$F$47,$B53)</f>
        <v>1523.2</v>
      </c>
      <c r="E53" s="36">
        <f ca="1">SUMIFS(Rechnungseingangsbuch!$X$8:$X$47,Rechnungseingangsbuch!$F$8:$F$47,$B53)</f>
        <v>761.6</v>
      </c>
    </row>
    <row r="54" spans="2:9" ht="15.75" customHeight="1" x14ac:dyDescent="0.25">
      <c r="B54" s="43" t="str">
        <f>Stammdaten!$B$17</f>
        <v>Sicura Versicherungsmakler GmbH</v>
      </c>
      <c r="C54" s="30">
        <f>COUNTIF(Rechnungseingangsbuch!$F$8:$F$47,$B54)</f>
        <v>1</v>
      </c>
      <c r="D54" s="31">
        <f>SUMIFS(Rechnungseingangsbuch!$M$8:$M$47,Rechnungseingangsbuch!$F$8:$F$47,$B54)</f>
        <v>1860</v>
      </c>
      <c r="E54" s="31">
        <f ca="1">SUMIFS(Rechnungseingangsbuch!$X$8:$X$47,Rechnungseingangsbuch!$F$8:$F$47,$B54)</f>
        <v>0</v>
      </c>
    </row>
    <row r="55" spans="2:9" ht="15.75" customHeight="1" x14ac:dyDescent="0.25">
      <c r="B55" s="44" t="str">
        <f>Stammdaten!$B$18</f>
        <v>Fahrzeugtechnik Bergmann e.K.</v>
      </c>
      <c r="C55" s="35">
        <f>COUNTIF(Rechnungseingangsbuch!$F$8:$F$47,$B55)</f>
        <v>2</v>
      </c>
      <c r="D55" s="36">
        <f>SUMIFS(Rechnungseingangsbuch!$M$8:$M$47,Rechnungseingangsbuch!$F$8:$F$47,$B55)</f>
        <v>1619.17</v>
      </c>
      <c r="E55" s="36">
        <f ca="1">SUMIFS(Rechnungseingangsbuch!$X$8:$X$47,Rechnungseingangsbuch!$F$8:$F$47,$B55)</f>
        <v>556.91999999999996</v>
      </c>
    </row>
    <row r="56" spans="2:9" x14ac:dyDescent="0.25">
      <c r="B56" s="39" t="s">
        <v>36</v>
      </c>
      <c r="C56" s="42">
        <f>SUM(C44:C55)</f>
        <v>25</v>
      </c>
      <c r="D56" s="40">
        <f>SUM(D44:D55)</f>
        <v>45949.049999999996</v>
      </c>
      <c r="E56" s="40">
        <f ca="1">SUM(E44:E55)</f>
        <v>13927.100000000002</v>
      </c>
    </row>
    <row r="58" spans="2:9" ht="18.75" customHeight="1" x14ac:dyDescent="0.25">
      <c r="B58" s="12" t="s">
        <v>62</v>
      </c>
      <c r="C58" s="12"/>
      <c r="D58" s="12"/>
      <c r="E58" s="12"/>
      <c r="F58" s="12"/>
      <c r="G58" s="12"/>
      <c r="H58" s="12"/>
      <c r="I58" s="12"/>
    </row>
    <row r="59" spans="2:9" ht="16.5" customHeight="1" x14ac:dyDescent="0.25">
      <c r="B59" s="8" t="s">
        <v>63</v>
      </c>
      <c r="C59" s="8"/>
      <c r="D59" s="8"/>
      <c r="E59" s="8"/>
      <c r="F59" s="8"/>
      <c r="G59" s="8"/>
      <c r="H59" s="8"/>
      <c r="I59" s="8"/>
    </row>
    <row r="60" spans="2:9" ht="16.5" customHeight="1" x14ac:dyDescent="0.25">
      <c r="B60" s="7" t="s">
        <v>64</v>
      </c>
      <c r="C60" s="7"/>
      <c r="D60" s="7"/>
      <c r="E60" s="7"/>
      <c r="F60" s="7"/>
      <c r="G60" s="7"/>
      <c r="H60" s="7"/>
      <c r="I60" s="7"/>
    </row>
    <row r="61" spans="2:9" ht="16.5" customHeight="1" x14ac:dyDescent="0.25">
      <c r="B61" s="8" t="s">
        <v>65</v>
      </c>
      <c r="C61" s="8"/>
      <c r="D61" s="8"/>
      <c r="E61" s="8"/>
      <c r="F61" s="8"/>
      <c r="G61" s="8"/>
      <c r="H61" s="8"/>
      <c r="I61" s="8"/>
    </row>
    <row r="62" spans="2:9" ht="16.5" customHeight="1" x14ac:dyDescent="0.25">
      <c r="B62" s="7" t="s">
        <v>66</v>
      </c>
      <c r="C62" s="7"/>
      <c r="D62" s="7"/>
      <c r="E62" s="7"/>
      <c r="F62" s="7"/>
      <c r="G62" s="7"/>
      <c r="H62" s="7"/>
      <c r="I62" s="7"/>
    </row>
    <row r="63" spans="2:9" ht="16.5" customHeight="1" x14ac:dyDescent="0.25">
      <c r="B63" s="8" t="s">
        <v>67</v>
      </c>
      <c r="C63" s="8"/>
      <c r="D63" s="8"/>
      <c r="E63" s="8"/>
      <c r="F63" s="8"/>
      <c r="G63" s="8"/>
      <c r="H63" s="8"/>
      <c r="I63" s="8"/>
    </row>
    <row r="64" spans="2:9" ht="16.5" customHeight="1" x14ac:dyDescent="0.25">
      <c r="B64" s="7" t="s">
        <v>68</v>
      </c>
      <c r="C64" s="7"/>
      <c r="D64" s="7"/>
      <c r="E64" s="7"/>
      <c r="F64" s="7"/>
      <c r="G64" s="7"/>
      <c r="H64" s="7"/>
      <c r="I64" s="7"/>
    </row>
  </sheetData>
  <mergeCells count="30">
    <mergeCell ref="B63:I63"/>
    <mergeCell ref="B64:I64"/>
    <mergeCell ref="B58:I58"/>
    <mergeCell ref="B59:I59"/>
    <mergeCell ref="B60:I60"/>
    <mergeCell ref="B61:I61"/>
    <mergeCell ref="B62:I62"/>
    <mergeCell ref="B17:E17"/>
    <mergeCell ref="F17:I17"/>
    <mergeCell ref="F23:I24"/>
    <mergeCell ref="B26:I26"/>
    <mergeCell ref="B42:E42"/>
    <mergeCell ref="F42:I42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2:I2"/>
    <mergeCell ref="B3:I3"/>
    <mergeCell ref="B8:I8"/>
    <mergeCell ref="B9:C9"/>
    <mergeCell ref="F9:G9"/>
  </mergeCells>
  <conditionalFormatting sqref="D14">
    <cfRule type="cellIs" dxfId="8" priority="2" operator="greaterThan">
      <formula>0</formula>
    </cfRule>
  </conditionalFormatting>
  <conditionalFormatting sqref="H11">
    <cfRule type="cellIs" dxfId="7" priority="3" operator="greaterThan">
      <formula>0</formula>
    </cfRule>
  </conditionalFormatting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8"/>
  <sheetViews>
    <sheetView showGridLines="0" zoomScaleNormal="100" workbookViewId="0"/>
  </sheetViews>
  <sheetFormatPr baseColWidth="10" defaultColWidth="8.7109375" defaultRowHeight="15" x14ac:dyDescent="0.25"/>
  <cols>
    <col min="1" max="1" width="2.42578125" customWidth="1"/>
    <col min="2" max="2" width="34" customWidth="1"/>
    <col min="3" max="3" width="13" customWidth="1"/>
    <col min="4" max="4" width="18" customWidth="1"/>
    <col min="5" max="5" width="10" customWidth="1"/>
    <col min="6" max="6" width="2.42578125" customWidth="1"/>
    <col min="7" max="7" width="22" customWidth="1"/>
    <col min="8" max="8" width="2.42578125" customWidth="1"/>
    <col min="9" max="9" width="30" customWidth="1"/>
    <col min="10" max="10" width="2.42578125" customWidth="1"/>
    <col min="11" max="11" width="9" customWidth="1"/>
    <col min="12" max="12" width="24" customWidth="1"/>
    <col min="13" max="13" width="2.42578125" customWidth="1"/>
    <col min="14" max="14" width="18" customWidth="1"/>
  </cols>
  <sheetData>
    <row r="2" spans="2:14" ht="25.5" customHeight="1" x14ac:dyDescent="0.25">
      <c r="B2" s="6" t="s">
        <v>69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14" x14ac:dyDescent="0.25">
      <c r="B3" s="5" t="s">
        <v>70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5" spans="2:14" ht="18" customHeight="1" x14ac:dyDescent="0.25">
      <c r="B5" s="12" t="s">
        <v>71</v>
      </c>
      <c r="C5" s="12"/>
      <c r="D5" s="12"/>
      <c r="E5" s="12"/>
      <c r="G5" s="21" t="s">
        <v>72</v>
      </c>
      <c r="I5" s="21" t="s">
        <v>73</v>
      </c>
      <c r="K5" s="12" t="s">
        <v>74</v>
      </c>
      <c r="L5" s="12"/>
      <c r="N5" s="21" t="s">
        <v>75</v>
      </c>
    </row>
    <row r="6" spans="2:14" x14ac:dyDescent="0.25">
      <c r="B6" s="45" t="s">
        <v>60</v>
      </c>
      <c r="C6" s="45" t="s">
        <v>76</v>
      </c>
      <c r="D6" s="45" t="s">
        <v>77</v>
      </c>
      <c r="E6" s="45" t="s">
        <v>78</v>
      </c>
      <c r="G6" s="46" t="s">
        <v>79</v>
      </c>
      <c r="I6" s="46" t="s">
        <v>80</v>
      </c>
      <c r="K6" s="46" t="s">
        <v>81</v>
      </c>
      <c r="L6" s="46" t="s">
        <v>79</v>
      </c>
      <c r="N6" s="46" t="s">
        <v>79</v>
      </c>
    </row>
    <row r="7" spans="2:14" x14ac:dyDescent="0.25">
      <c r="B7" s="47" t="s">
        <v>82</v>
      </c>
      <c r="C7" s="48" t="s">
        <v>83</v>
      </c>
      <c r="D7" s="49">
        <v>30</v>
      </c>
      <c r="E7" s="33">
        <v>0.02</v>
      </c>
      <c r="G7" s="47" t="s">
        <v>84</v>
      </c>
      <c r="I7" s="47" t="s">
        <v>85</v>
      </c>
      <c r="K7" s="33">
        <v>0.19</v>
      </c>
      <c r="L7" s="47" t="s">
        <v>86</v>
      </c>
      <c r="N7" s="47" t="s">
        <v>87</v>
      </c>
    </row>
    <row r="8" spans="2:14" x14ac:dyDescent="0.25">
      <c r="B8" s="47" t="s">
        <v>88</v>
      </c>
      <c r="C8" s="48" t="s">
        <v>89</v>
      </c>
      <c r="D8" s="49">
        <v>14</v>
      </c>
      <c r="E8" s="33">
        <v>0</v>
      </c>
      <c r="G8" s="47" t="s">
        <v>90</v>
      </c>
      <c r="I8" s="47" t="s">
        <v>91</v>
      </c>
      <c r="K8" s="33">
        <v>7.0000000000000007E-2</v>
      </c>
      <c r="L8" s="47" t="s">
        <v>92</v>
      </c>
      <c r="N8" s="47" t="s">
        <v>93</v>
      </c>
    </row>
    <row r="9" spans="2:14" x14ac:dyDescent="0.25">
      <c r="B9" s="47" t="s">
        <v>94</v>
      </c>
      <c r="C9" s="48" t="s">
        <v>95</v>
      </c>
      <c r="D9" s="49">
        <v>30</v>
      </c>
      <c r="E9" s="33">
        <v>0</v>
      </c>
      <c r="G9" s="47" t="s">
        <v>96</v>
      </c>
      <c r="I9" s="47" t="s">
        <v>97</v>
      </c>
      <c r="K9" s="33">
        <v>0</v>
      </c>
      <c r="L9" s="47" t="s">
        <v>98</v>
      </c>
      <c r="N9" s="47" t="s">
        <v>99</v>
      </c>
    </row>
    <row r="10" spans="2:14" x14ac:dyDescent="0.25">
      <c r="B10" s="47" t="s">
        <v>100</v>
      </c>
      <c r="C10" s="48" t="s">
        <v>101</v>
      </c>
      <c r="D10" s="49">
        <v>21</v>
      </c>
      <c r="E10" s="33">
        <v>0</v>
      </c>
      <c r="G10" s="47" t="s">
        <v>102</v>
      </c>
      <c r="I10" s="47" t="s">
        <v>103</v>
      </c>
      <c r="N10" s="47" t="s">
        <v>104</v>
      </c>
    </row>
    <row r="11" spans="2:14" x14ac:dyDescent="0.25">
      <c r="B11" s="47" t="s">
        <v>105</v>
      </c>
      <c r="C11" s="48" t="s">
        <v>106</v>
      </c>
      <c r="D11" s="49">
        <v>30</v>
      </c>
      <c r="E11" s="33">
        <v>0.03</v>
      </c>
      <c r="G11" s="47" t="s">
        <v>107</v>
      </c>
      <c r="I11" s="47" t="s">
        <v>108</v>
      </c>
      <c r="N11" s="47" t="s">
        <v>109</v>
      </c>
    </row>
    <row r="12" spans="2:14" x14ac:dyDescent="0.25">
      <c r="B12" s="47" t="s">
        <v>110</v>
      </c>
      <c r="C12" s="48" t="s">
        <v>111</v>
      </c>
      <c r="D12" s="49">
        <v>14</v>
      </c>
      <c r="E12" s="33">
        <v>0</v>
      </c>
      <c r="G12" s="47" t="s">
        <v>112</v>
      </c>
      <c r="I12" s="47" t="s">
        <v>113</v>
      </c>
    </row>
    <row r="13" spans="2:14" x14ac:dyDescent="0.25">
      <c r="B13" s="47" t="s">
        <v>114</v>
      </c>
      <c r="C13" s="48" t="s">
        <v>115</v>
      </c>
      <c r="D13" s="49">
        <v>30</v>
      </c>
      <c r="E13" s="33">
        <v>0.02</v>
      </c>
      <c r="I13" s="47" t="s">
        <v>116</v>
      </c>
    </row>
    <row r="14" spans="2:14" x14ac:dyDescent="0.25">
      <c r="B14" s="47" t="s">
        <v>117</v>
      </c>
      <c r="C14" s="48" t="s">
        <v>118</v>
      </c>
      <c r="D14" s="49">
        <v>14</v>
      </c>
      <c r="E14" s="33">
        <v>0</v>
      </c>
      <c r="I14" s="47" t="s">
        <v>119</v>
      </c>
    </row>
    <row r="15" spans="2:14" x14ac:dyDescent="0.25">
      <c r="B15" s="47" t="s">
        <v>120</v>
      </c>
      <c r="C15" s="48" t="s">
        <v>121</v>
      </c>
      <c r="D15" s="49">
        <v>30</v>
      </c>
      <c r="E15" s="33">
        <v>0.02</v>
      </c>
      <c r="I15" s="47" t="s">
        <v>122</v>
      </c>
    </row>
    <row r="16" spans="2:14" x14ac:dyDescent="0.25">
      <c r="B16" s="47" t="s">
        <v>123</v>
      </c>
      <c r="C16" s="48" t="s">
        <v>124</v>
      </c>
      <c r="D16" s="49">
        <v>21</v>
      </c>
      <c r="E16" s="33">
        <v>0</v>
      </c>
      <c r="I16" s="47" t="s">
        <v>125</v>
      </c>
    </row>
    <row r="17" spans="2:9" x14ac:dyDescent="0.25">
      <c r="B17" s="47" t="s">
        <v>126</v>
      </c>
      <c r="C17" s="48" t="s">
        <v>127</v>
      </c>
      <c r="D17" s="49">
        <v>30</v>
      </c>
      <c r="E17" s="33">
        <v>0</v>
      </c>
      <c r="I17" s="47" t="s">
        <v>128</v>
      </c>
    </row>
    <row r="18" spans="2:9" x14ac:dyDescent="0.25">
      <c r="B18" s="47" t="s">
        <v>129</v>
      </c>
      <c r="C18" s="48" t="s">
        <v>130</v>
      </c>
      <c r="D18" s="49">
        <v>14</v>
      </c>
      <c r="E18" s="33">
        <v>0</v>
      </c>
      <c r="I18" s="47" t="s">
        <v>131</v>
      </c>
    </row>
  </sheetData>
  <mergeCells count="4">
    <mergeCell ref="B2:N2"/>
    <mergeCell ref="B3:N3"/>
    <mergeCell ref="B5:E5"/>
    <mergeCell ref="K5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8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baseColWidth="10" defaultColWidth="8.7109375" defaultRowHeight="15" x14ac:dyDescent="0.25"/>
  <cols>
    <col min="1" max="1" width="7" customWidth="1"/>
    <col min="2" max="2" width="14" customWidth="1"/>
    <col min="3" max="4" width="11" customWidth="1"/>
    <col min="5" max="5" width="15" customWidth="1"/>
    <col min="6" max="6" width="30" customWidth="1"/>
    <col min="7" max="7" width="19" customWidth="1"/>
    <col min="8" max="8" width="27" customWidth="1"/>
    <col min="9" max="9" width="38" customWidth="1"/>
    <col min="10" max="10" width="12" customWidth="1"/>
    <col min="11" max="11" width="9" customWidth="1"/>
    <col min="12" max="13" width="13" customWidth="1"/>
    <col min="14" max="14" width="10" customWidth="1"/>
    <col min="15" max="15" width="11" customWidth="1"/>
    <col min="16" max="17" width="9" customWidth="1"/>
    <col min="18" max="18" width="11" customWidth="1"/>
    <col min="19" max="19" width="12" customWidth="1"/>
    <col min="20" max="20" width="14" customWidth="1"/>
    <col min="21" max="21" width="11" customWidth="1"/>
    <col min="22" max="22" width="13" customWidth="1"/>
    <col min="23" max="23" width="14" customWidth="1"/>
    <col min="24" max="25" width="13" customWidth="1"/>
    <col min="26" max="26" width="10" customWidth="1"/>
    <col min="27" max="27" width="15" customWidth="1"/>
    <col min="28" max="28" width="16" customWidth="1"/>
    <col min="29" max="29" width="34" customWidth="1"/>
  </cols>
  <sheetData>
    <row r="1" spans="1:29" ht="30" customHeight="1" x14ac:dyDescent="0.25">
      <c r="A1" s="4" t="s">
        <v>132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 t="s">
        <v>133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5" t="s">
        <v>134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4" spans="1:29" x14ac:dyDescent="0.25">
      <c r="A4" s="2" t="s">
        <v>135</v>
      </c>
      <c r="B4" s="2"/>
      <c r="C4" s="2"/>
      <c r="D4" s="2"/>
      <c r="E4" s="2"/>
      <c r="F4" s="2"/>
      <c r="G4" s="1" t="s">
        <v>136</v>
      </c>
      <c r="H4" s="1"/>
      <c r="I4" s="1"/>
      <c r="J4" s="1"/>
      <c r="K4" s="1"/>
      <c r="L4" s="1"/>
      <c r="M4" s="5" t="s">
        <v>137</v>
      </c>
      <c r="N4" s="5"/>
      <c r="O4" s="5"/>
      <c r="P4" s="5"/>
      <c r="Q4" s="5"/>
      <c r="R4" s="5"/>
      <c r="S4" s="5"/>
    </row>
    <row r="6" spans="1:29" ht="16.5" customHeight="1" x14ac:dyDescent="0.25">
      <c r="A6" s="75" t="s">
        <v>138</v>
      </c>
      <c r="B6" s="75"/>
      <c r="C6" s="75"/>
      <c r="D6" s="75"/>
      <c r="E6" s="75"/>
      <c r="F6" s="76" t="s">
        <v>139</v>
      </c>
      <c r="G6" s="76"/>
      <c r="H6" s="76"/>
      <c r="I6" s="76"/>
      <c r="J6" s="77" t="s">
        <v>140</v>
      </c>
      <c r="K6" s="77"/>
      <c r="L6" s="77"/>
      <c r="M6" s="77"/>
      <c r="N6" s="76" t="s">
        <v>141</v>
      </c>
      <c r="O6" s="76"/>
      <c r="P6" s="76"/>
      <c r="Q6" s="76"/>
      <c r="R6" s="76"/>
      <c r="S6" s="76"/>
      <c r="T6" s="76"/>
      <c r="U6" s="75" t="s">
        <v>142</v>
      </c>
      <c r="V6" s="75"/>
      <c r="W6" s="75"/>
      <c r="X6" s="75"/>
      <c r="Y6" s="75"/>
      <c r="Z6" s="75"/>
      <c r="AA6" s="75"/>
      <c r="AB6" s="78" t="s">
        <v>143</v>
      </c>
      <c r="AC6" s="78"/>
    </row>
    <row r="7" spans="1:29" ht="31.5" customHeight="1" x14ac:dyDescent="0.25">
      <c r="A7" s="50" t="s">
        <v>144</v>
      </c>
      <c r="B7" s="50" t="s">
        <v>145</v>
      </c>
      <c r="C7" s="50" t="s">
        <v>146</v>
      </c>
      <c r="D7" s="50" t="s">
        <v>147</v>
      </c>
      <c r="E7" s="50" t="s">
        <v>148</v>
      </c>
      <c r="F7" s="50" t="s">
        <v>60</v>
      </c>
      <c r="G7" s="50" t="s">
        <v>61</v>
      </c>
      <c r="H7" s="50" t="s">
        <v>149</v>
      </c>
      <c r="I7" s="50" t="s">
        <v>150</v>
      </c>
      <c r="J7" s="50" t="s">
        <v>29</v>
      </c>
      <c r="K7" s="50" t="s">
        <v>151</v>
      </c>
      <c r="L7" s="50" t="s">
        <v>152</v>
      </c>
      <c r="M7" s="50" t="s">
        <v>42</v>
      </c>
      <c r="N7" s="50" t="s">
        <v>153</v>
      </c>
      <c r="O7" s="50" t="s">
        <v>154</v>
      </c>
      <c r="P7" s="50" t="s">
        <v>78</v>
      </c>
      <c r="Q7" s="50" t="s">
        <v>155</v>
      </c>
      <c r="R7" s="50" t="s">
        <v>156</v>
      </c>
      <c r="S7" s="50" t="s">
        <v>157</v>
      </c>
      <c r="T7" s="50" t="s">
        <v>158</v>
      </c>
      <c r="U7" s="50" t="s">
        <v>159</v>
      </c>
      <c r="V7" s="50" t="s">
        <v>43</v>
      </c>
      <c r="W7" s="50" t="s">
        <v>160</v>
      </c>
      <c r="X7" s="50" t="s">
        <v>161</v>
      </c>
      <c r="Y7" s="50" t="s">
        <v>162</v>
      </c>
      <c r="Z7" s="50" t="s">
        <v>163</v>
      </c>
      <c r="AA7" s="50" t="s">
        <v>24</v>
      </c>
      <c r="AB7" s="50" t="s">
        <v>164</v>
      </c>
      <c r="AC7" s="50" t="s">
        <v>165</v>
      </c>
    </row>
    <row r="8" spans="1:29" ht="15.75" customHeight="1" x14ac:dyDescent="0.25">
      <c r="A8" s="51">
        <f t="shared" ref="A8:A47" si="0">IF($E8="","",ROW()-7)</f>
        <v>1</v>
      </c>
      <c r="B8" s="52" t="s">
        <v>166</v>
      </c>
      <c r="C8" s="53">
        <v>46027</v>
      </c>
      <c r="D8" s="53">
        <v>46024</v>
      </c>
      <c r="E8" s="54" t="s">
        <v>167</v>
      </c>
      <c r="F8" s="54" t="s">
        <v>82</v>
      </c>
      <c r="G8" s="54" t="s">
        <v>84</v>
      </c>
      <c r="H8" s="54" t="s">
        <v>125</v>
      </c>
      <c r="I8" s="54" t="s">
        <v>168</v>
      </c>
      <c r="J8" s="55">
        <v>486.5</v>
      </c>
      <c r="K8" s="56">
        <v>0.19</v>
      </c>
      <c r="L8" s="57">
        <f t="shared" ref="L8:L47" si="1">IF($E8="","",ROUND(J8*K8,2))</f>
        <v>92.44</v>
      </c>
      <c r="M8" s="57">
        <f t="shared" ref="M8:M47" si="2">IF($E8="","",J8+L8)</f>
        <v>578.94000000000005</v>
      </c>
      <c r="N8" s="58">
        <v>30</v>
      </c>
      <c r="O8" s="59">
        <f t="shared" ref="O8:O47" si="3">IF($E8="","",D8+N8)</f>
        <v>46054</v>
      </c>
      <c r="P8" s="56">
        <v>0.02</v>
      </c>
      <c r="Q8" s="58">
        <v>10</v>
      </c>
      <c r="R8" s="59">
        <f t="shared" ref="R8:R47" si="4">IF($E8="","",IF(P8&gt;0,D8+Q8,""))</f>
        <v>46034</v>
      </c>
      <c r="S8" s="57">
        <f t="shared" ref="S8:S47" si="5">IF($E8="","",ROUND(M8*P8,2))</f>
        <v>11.58</v>
      </c>
      <c r="T8" s="57">
        <f t="shared" ref="T8:T47" si="6">IF($E8="","",M8-S8)</f>
        <v>567.36</v>
      </c>
      <c r="U8" s="53">
        <v>46031</v>
      </c>
      <c r="V8" s="55">
        <f>T8</f>
        <v>567.36</v>
      </c>
      <c r="W8" s="60" t="str">
        <f t="shared" ref="W8:W47" ca="1" si="7">IF($E8="","",IF(P8=0,"kein Skonto",IF(U8="",IF(R8&gt;=TODAY(),"Frist läuft","Frist verstrichen"),IF(U8&lt;=R8,"Ja","Nein"))))</f>
        <v>Ja</v>
      </c>
      <c r="X8" s="57">
        <f t="shared" ref="X8:X47" ca="1" si="8">IF($E8="","",IF(U8="",M8,ROUND(MAX(0,M8-V8-IF(W8="Ja",S8,0)),2)))</f>
        <v>0</v>
      </c>
      <c r="Y8" s="60" t="str">
        <f t="shared" ref="Y8:Y47" ca="1" si="9">IF($E8="","",IF(X8&lt;=0.005,"Bezahlt",IF(U8&lt;&gt;"","Teilzahlung",IF(TODAY()&gt;O8,"Überfällig","Offen"))))</f>
        <v>Bezahlt</v>
      </c>
      <c r="Z8" s="51" t="str">
        <f t="shared" ref="Z8:Z47" ca="1" si="10">IF($E8="","",IF(X8&lt;=0.005,"",O8-TODAY()))</f>
        <v/>
      </c>
      <c r="AA8" s="60" t="str">
        <f t="shared" ref="AA8:AA47" ca="1" si="11">IF($E8="","",IF(X8&lt;=0.005,"Bezahlt",IF(TODAY()&lt;=O8,"Nicht fällig",IF(TODAY()-O8&lt;=30,"1-30 Tage",IF(TODAY()-O8&lt;=60,"31-60 Tage",IF(TODAY()-O8&lt;=90,"61-90 Tage","über 90 Tage"))))))</f>
        <v>Bezahlt</v>
      </c>
      <c r="AB8" s="54" t="s">
        <v>87</v>
      </c>
      <c r="AC8" s="54"/>
    </row>
    <row r="9" spans="1:29" ht="15.75" customHeight="1" x14ac:dyDescent="0.25">
      <c r="A9" s="61">
        <f t="shared" si="0"/>
        <v>2</v>
      </c>
      <c r="B9" s="62" t="s">
        <v>169</v>
      </c>
      <c r="C9" s="63">
        <v>46030</v>
      </c>
      <c r="D9" s="63">
        <v>46029</v>
      </c>
      <c r="E9" s="64" t="s">
        <v>170</v>
      </c>
      <c r="F9" s="64" t="s">
        <v>88</v>
      </c>
      <c r="G9" s="64" t="s">
        <v>102</v>
      </c>
      <c r="H9" s="64" t="s">
        <v>122</v>
      </c>
      <c r="I9" s="64" t="s">
        <v>171</v>
      </c>
      <c r="J9" s="65">
        <v>1240</v>
      </c>
      <c r="K9" s="66">
        <v>0.19</v>
      </c>
      <c r="L9" s="67">
        <f t="shared" si="1"/>
        <v>235.6</v>
      </c>
      <c r="M9" s="67">
        <f t="shared" si="2"/>
        <v>1475.6</v>
      </c>
      <c r="N9" s="68">
        <v>14</v>
      </c>
      <c r="O9" s="69">
        <f t="shared" si="3"/>
        <v>46043</v>
      </c>
      <c r="P9" s="66">
        <v>0</v>
      </c>
      <c r="Q9" s="68">
        <v>0</v>
      </c>
      <c r="R9" s="69" t="str">
        <f t="shared" si="4"/>
        <v/>
      </c>
      <c r="S9" s="67">
        <f t="shared" si="5"/>
        <v>0</v>
      </c>
      <c r="T9" s="67">
        <f t="shared" si="6"/>
        <v>1475.6</v>
      </c>
      <c r="U9" s="63">
        <v>46041</v>
      </c>
      <c r="V9" s="65">
        <f>M9</f>
        <v>1475.6</v>
      </c>
      <c r="W9" s="70" t="str">
        <f t="shared" ca="1" si="7"/>
        <v>kein Skonto</v>
      </c>
      <c r="X9" s="67">
        <f t="shared" ca="1" si="8"/>
        <v>0</v>
      </c>
      <c r="Y9" s="70" t="str">
        <f t="shared" ca="1" si="9"/>
        <v>Bezahlt</v>
      </c>
      <c r="Z9" s="61" t="str">
        <f t="shared" ca="1" si="10"/>
        <v/>
      </c>
      <c r="AA9" s="70" t="str">
        <f t="shared" ca="1" si="11"/>
        <v>Bezahlt</v>
      </c>
      <c r="AB9" s="64" t="s">
        <v>93</v>
      </c>
      <c r="AC9" s="64"/>
    </row>
    <row r="10" spans="1:29" ht="15.75" customHeight="1" x14ac:dyDescent="0.25">
      <c r="A10" s="51">
        <f t="shared" si="0"/>
        <v>3</v>
      </c>
      <c r="B10" s="52" t="s">
        <v>172</v>
      </c>
      <c r="C10" s="53">
        <v>46037</v>
      </c>
      <c r="D10" s="53">
        <v>46036</v>
      </c>
      <c r="E10" s="54" t="s">
        <v>173</v>
      </c>
      <c r="F10" s="54" t="s">
        <v>94</v>
      </c>
      <c r="G10" s="54" t="s">
        <v>112</v>
      </c>
      <c r="H10" s="54" t="s">
        <v>119</v>
      </c>
      <c r="I10" s="54" t="s">
        <v>174</v>
      </c>
      <c r="J10" s="55">
        <v>2180.75</v>
      </c>
      <c r="K10" s="56">
        <v>0.19</v>
      </c>
      <c r="L10" s="57">
        <f t="shared" si="1"/>
        <v>414.34</v>
      </c>
      <c r="M10" s="57">
        <f t="shared" si="2"/>
        <v>2595.09</v>
      </c>
      <c r="N10" s="58">
        <v>30</v>
      </c>
      <c r="O10" s="59">
        <f t="shared" si="3"/>
        <v>46066</v>
      </c>
      <c r="P10" s="56">
        <v>0</v>
      </c>
      <c r="Q10" s="58">
        <v>0</v>
      </c>
      <c r="R10" s="59" t="str">
        <f t="shared" si="4"/>
        <v/>
      </c>
      <c r="S10" s="57">
        <f t="shared" si="5"/>
        <v>0</v>
      </c>
      <c r="T10" s="57">
        <f t="shared" si="6"/>
        <v>2595.09</v>
      </c>
      <c r="U10" s="53">
        <v>46065</v>
      </c>
      <c r="V10" s="55">
        <f>M10</f>
        <v>2595.09</v>
      </c>
      <c r="W10" s="60" t="str">
        <f t="shared" ca="1" si="7"/>
        <v>kein Skonto</v>
      </c>
      <c r="X10" s="57">
        <f t="shared" ca="1" si="8"/>
        <v>0</v>
      </c>
      <c r="Y10" s="60" t="str">
        <f t="shared" ca="1" si="9"/>
        <v>Bezahlt</v>
      </c>
      <c r="Z10" s="51" t="str">
        <f t="shared" ca="1" si="10"/>
        <v/>
      </c>
      <c r="AA10" s="60" t="str">
        <f t="shared" ca="1" si="11"/>
        <v>Bezahlt</v>
      </c>
      <c r="AB10" s="54" t="s">
        <v>87</v>
      </c>
      <c r="AC10" s="54"/>
    </row>
    <row r="11" spans="1:29" ht="15.75" customHeight="1" x14ac:dyDescent="0.25">
      <c r="A11" s="61">
        <f t="shared" si="0"/>
        <v>4</v>
      </c>
      <c r="B11" s="62" t="s">
        <v>175</v>
      </c>
      <c r="C11" s="63">
        <v>46056</v>
      </c>
      <c r="D11" s="63">
        <v>46053</v>
      </c>
      <c r="E11" s="64" t="s">
        <v>176</v>
      </c>
      <c r="F11" s="64" t="s">
        <v>100</v>
      </c>
      <c r="G11" s="64" t="s">
        <v>84</v>
      </c>
      <c r="H11" s="64" t="s">
        <v>128</v>
      </c>
      <c r="I11" s="64" t="s">
        <v>177</v>
      </c>
      <c r="J11" s="65">
        <v>3450</v>
      </c>
      <c r="K11" s="66">
        <v>0.19</v>
      </c>
      <c r="L11" s="67">
        <f t="shared" si="1"/>
        <v>655.5</v>
      </c>
      <c r="M11" s="67">
        <f t="shared" si="2"/>
        <v>4105.5</v>
      </c>
      <c r="N11" s="68">
        <v>21</v>
      </c>
      <c r="O11" s="69">
        <f t="shared" si="3"/>
        <v>46074</v>
      </c>
      <c r="P11" s="66">
        <v>0</v>
      </c>
      <c r="Q11" s="68">
        <v>0</v>
      </c>
      <c r="R11" s="69" t="str">
        <f t="shared" si="4"/>
        <v/>
      </c>
      <c r="S11" s="67">
        <f t="shared" si="5"/>
        <v>0</v>
      </c>
      <c r="T11" s="67">
        <f t="shared" si="6"/>
        <v>4105.5</v>
      </c>
      <c r="U11" s="63">
        <v>46073</v>
      </c>
      <c r="V11" s="65">
        <f>M11</f>
        <v>4105.5</v>
      </c>
      <c r="W11" s="70" t="str">
        <f t="shared" ca="1" si="7"/>
        <v>kein Skonto</v>
      </c>
      <c r="X11" s="67">
        <f t="shared" ca="1" si="8"/>
        <v>0</v>
      </c>
      <c r="Y11" s="70" t="str">
        <f t="shared" ca="1" si="9"/>
        <v>Bezahlt</v>
      </c>
      <c r="Z11" s="61" t="str">
        <f t="shared" ca="1" si="10"/>
        <v/>
      </c>
      <c r="AA11" s="70" t="str">
        <f t="shared" ca="1" si="11"/>
        <v>Bezahlt</v>
      </c>
      <c r="AB11" s="64" t="s">
        <v>87</v>
      </c>
      <c r="AC11" s="64"/>
    </row>
    <row r="12" spans="1:29" ht="15.75" customHeight="1" x14ac:dyDescent="0.25">
      <c r="A12" s="51">
        <f t="shared" si="0"/>
        <v>5</v>
      </c>
      <c r="B12" s="52" t="s">
        <v>178</v>
      </c>
      <c r="C12" s="53">
        <v>46063</v>
      </c>
      <c r="D12" s="53">
        <v>46062</v>
      </c>
      <c r="E12" s="54" t="s">
        <v>179</v>
      </c>
      <c r="F12" s="54" t="s">
        <v>105</v>
      </c>
      <c r="G12" s="54" t="s">
        <v>107</v>
      </c>
      <c r="H12" s="54" t="s">
        <v>113</v>
      </c>
      <c r="I12" s="54" t="s">
        <v>180</v>
      </c>
      <c r="J12" s="55">
        <v>5900</v>
      </c>
      <c r="K12" s="56">
        <v>0.19</v>
      </c>
      <c r="L12" s="57">
        <f t="shared" si="1"/>
        <v>1121</v>
      </c>
      <c r="M12" s="57">
        <f t="shared" si="2"/>
        <v>7021</v>
      </c>
      <c r="N12" s="58">
        <v>30</v>
      </c>
      <c r="O12" s="59">
        <f t="shared" si="3"/>
        <v>46092</v>
      </c>
      <c r="P12" s="56">
        <v>0.03</v>
      </c>
      <c r="Q12" s="58">
        <v>14</v>
      </c>
      <c r="R12" s="59">
        <f t="shared" si="4"/>
        <v>46076</v>
      </c>
      <c r="S12" s="57">
        <f t="shared" si="5"/>
        <v>210.63</v>
      </c>
      <c r="T12" s="57">
        <f t="shared" si="6"/>
        <v>6810.37</v>
      </c>
      <c r="U12" s="53">
        <v>46073</v>
      </c>
      <c r="V12" s="55">
        <f>T12</f>
        <v>6810.37</v>
      </c>
      <c r="W12" s="60" t="str">
        <f t="shared" ca="1" si="7"/>
        <v>Ja</v>
      </c>
      <c r="X12" s="57">
        <f t="shared" ca="1" si="8"/>
        <v>0</v>
      </c>
      <c r="Y12" s="60" t="str">
        <f t="shared" ca="1" si="9"/>
        <v>Bezahlt</v>
      </c>
      <c r="Z12" s="51" t="str">
        <f t="shared" ca="1" si="10"/>
        <v/>
      </c>
      <c r="AA12" s="60" t="str">
        <f t="shared" ca="1" si="11"/>
        <v>Bezahlt</v>
      </c>
      <c r="AB12" s="54" t="s">
        <v>87</v>
      </c>
      <c r="AC12" s="54" t="s">
        <v>181</v>
      </c>
    </row>
    <row r="13" spans="1:29" ht="15.75" customHeight="1" x14ac:dyDescent="0.25">
      <c r="A13" s="61">
        <f t="shared" si="0"/>
        <v>6</v>
      </c>
      <c r="B13" s="62" t="s">
        <v>182</v>
      </c>
      <c r="C13" s="63">
        <v>46065</v>
      </c>
      <c r="D13" s="63">
        <v>46064</v>
      </c>
      <c r="E13" s="64" t="s">
        <v>183</v>
      </c>
      <c r="F13" s="64" t="s">
        <v>110</v>
      </c>
      <c r="G13" s="64" t="s">
        <v>96</v>
      </c>
      <c r="H13" s="64" t="s">
        <v>91</v>
      </c>
      <c r="I13" s="64" t="s">
        <v>184</v>
      </c>
      <c r="J13" s="65">
        <v>780</v>
      </c>
      <c r="K13" s="66">
        <v>0.19</v>
      </c>
      <c r="L13" s="67">
        <f t="shared" si="1"/>
        <v>148.19999999999999</v>
      </c>
      <c r="M13" s="67">
        <f t="shared" si="2"/>
        <v>928.2</v>
      </c>
      <c r="N13" s="68">
        <v>14</v>
      </c>
      <c r="O13" s="69">
        <f t="shared" si="3"/>
        <v>46078</v>
      </c>
      <c r="P13" s="66">
        <v>0</v>
      </c>
      <c r="Q13" s="68">
        <v>0</v>
      </c>
      <c r="R13" s="69" t="str">
        <f t="shared" si="4"/>
        <v/>
      </c>
      <c r="S13" s="67">
        <f t="shared" si="5"/>
        <v>0</v>
      </c>
      <c r="T13" s="67">
        <f t="shared" si="6"/>
        <v>928.2</v>
      </c>
      <c r="U13" s="63">
        <v>46077</v>
      </c>
      <c r="V13" s="65">
        <f>M13</f>
        <v>928.2</v>
      </c>
      <c r="W13" s="70" t="str">
        <f t="shared" ca="1" si="7"/>
        <v>kein Skonto</v>
      </c>
      <c r="X13" s="67">
        <f t="shared" ca="1" si="8"/>
        <v>0</v>
      </c>
      <c r="Y13" s="70" t="str">
        <f t="shared" ca="1" si="9"/>
        <v>Bezahlt</v>
      </c>
      <c r="Z13" s="61" t="str">
        <f t="shared" ca="1" si="10"/>
        <v/>
      </c>
      <c r="AA13" s="70" t="str">
        <f t="shared" ca="1" si="11"/>
        <v>Bezahlt</v>
      </c>
      <c r="AB13" s="64" t="s">
        <v>93</v>
      </c>
      <c r="AC13" s="64"/>
    </row>
    <row r="14" spans="1:29" ht="15.75" customHeight="1" x14ac:dyDescent="0.25">
      <c r="A14" s="51">
        <f t="shared" si="0"/>
        <v>7</v>
      </c>
      <c r="B14" s="52" t="s">
        <v>185</v>
      </c>
      <c r="C14" s="53">
        <v>46065</v>
      </c>
      <c r="D14" s="53">
        <v>46063</v>
      </c>
      <c r="E14" s="54" t="s">
        <v>186</v>
      </c>
      <c r="F14" s="54" t="s">
        <v>110</v>
      </c>
      <c r="G14" s="54" t="s">
        <v>96</v>
      </c>
      <c r="H14" s="54" t="s">
        <v>91</v>
      </c>
      <c r="I14" s="54" t="s">
        <v>187</v>
      </c>
      <c r="J14" s="55">
        <v>415.8</v>
      </c>
      <c r="K14" s="56">
        <v>0.19</v>
      </c>
      <c r="L14" s="57">
        <f t="shared" si="1"/>
        <v>79</v>
      </c>
      <c r="M14" s="57">
        <f t="shared" si="2"/>
        <v>494.8</v>
      </c>
      <c r="N14" s="58">
        <v>14</v>
      </c>
      <c r="O14" s="59">
        <f t="shared" si="3"/>
        <v>46077</v>
      </c>
      <c r="P14" s="56">
        <v>0</v>
      </c>
      <c r="Q14" s="58">
        <v>0</v>
      </c>
      <c r="R14" s="59" t="str">
        <f t="shared" si="4"/>
        <v/>
      </c>
      <c r="S14" s="57">
        <f t="shared" si="5"/>
        <v>0</v>
      </c>
      <c r="T14" s="57">
        <f t="shared" si="6"/>
        <v>494.8</v>
      </c>
      <c r="U14" s="53"/>
      <c r="V14" s="55"/>
      <c r="W14" s="60" t="str">
        <f t="shared" ca="1" si="7"/>
        <v>kein Skonto</v>
      </c>
      <c r="X14" s="57">
        <f t="shared" si="8"/>
        <v>494.8</v>
      </c>
      <c r="Y14" s="60" t="str">
        <f t="shared" ca="1" si="9"/>
        <v>Überfällig</v>
      </c>
      <c r="Z14" s="51">
        <f t="shared" ca="1" si="10"/>
        <v>-134</v>
      </c>
      <c r="AA14" s="60" t="str">
        <f t="shared" ca="1" si="11"/>
        <v>über 90 Tage</v>
      </c>
      <c r="AB14" s="54" t="s">
        <v>93</v>
      </c>
      <c r="AC14" s="54" t="s">
        <v>188</v>
      </c>
    </row>
    <row r="15" spans="1:29" ht="15.75" customHeight="1" x14ac:dyDescent="0.25">
      <c r="A15" s="61">
        <f t="shared" si="0"/>
        <v>8</v>
      </c>
      <c r="B15" s="62" t="s">
        <v>189</v>
      </c>
      <c r="C15" s="63">
        <v>46083</v>
      </c>
      <c r="D15" s="63">
        <v>46080</v>
      </c>
      <c r="E15" s="64" t="s">
        <v>190</v>
      </c>
      <c r="F15" s="64" t="s">
        <v>114</v>
      </c>
      <c r="G15" s="64" t="s">
        <v>96</v>
      </c>
      <c r="H15" s="64" t="s">
        <v>85</v>
      </c>
      <c r="I15" s="64" t="s">
        <v>191</v>
      </c>
      <c r="J15" s="65">
        <v>1145.2</v>
      </c>
      <c r="K15" s="66">
        <v>0.19</v>
      </c>
      <c r="L15" s="67">
        <f t="shared" si="1"/>
        <v>217.59</v>
      </c>
      <c r="M15" s="67">
        <f t="shared" si="2"/>
        <v>1362.79</v>
      </c>
      <c r="N15" s="68">
        <v>30</v>
      </c>
      <c r="O15" s="69">
        <f t="shared" si="3"/>
        <v>46110</v>
      </c>
      <c r="P15" s="66">
        <v>0.02</v>
      </c>
      <c r="Q15" s="68">
        <v>10</v>
      </c>
      <c r="R15" s="69">
        <f t="shared" si="4"/>
        <v>46090</v>
      </c>
      <c r="S15" s="67">
        <f t="shared" si="5"/>
        <v>27.26</v>
      </c>
      <c r="T15" s="67">
        <f t="shared" si="6"/>
        <v>1335.53</v>
      </c>
      <c r="U15" s="63">
        <v>46090</v>
      </c>
      <c r="V15" s="65">
        <f>T15</f>
        <v>1335.53</v>
      </c>
      <c r="W15" s="70" t="str">
        <f t="shared" ca="1" si="7"/>
        <v>Ja</v>
      </c>
      <c r="X15" s="67">
        <f t="shared" ca="1" si="8"/>
        <v>0</v>
      </c>
      <c r="Y15" s="70" t="str">
        <f t="shared" ca="1" si="9"/>
        <v>Bezahlt</v>
      </c>
      <c r="Z15" s="61" t="str">
        <f t="shared" ca="1" si="10"/>
        <v/>
      </c>
      <c r="AA15" s="70" t="str">
        <f t="shared" ca="1" si="11"/>
        <v>Bezahlt</v>
      </c>
      <c r="AB15" s="64" t="s">
        <v>87</v>
      </c>
      <c r="AC15" s="64"/>
    </row>
    <row r="16" spans="1:29" ht="15.75" customHeight="1" x14ac:dyDescent="0.25">
      <c r="A16" s="51">
        <f t="shared" si="0"/>
        <v>9</v>
      </c>
      <c r="B16" s="52" t="s">
        <v>192</v>
      </c>
      <c r="C16" s="53">
        <v>46086</v>
      </c>
      <c r="D16" s="53">
        <v>46085</v>
      </c>
      <c r="E16" s="54" t="s">
        <v>193</v>
      </c>
      <c r="F16" s="54" t="s">
        <v>117</v>
      </c>
      <c r="G16" s="54" t="s">
        <v>84</v>
      </c>
      <c r="H16" s="54" t="s">
        <v>116</v>
      </c>
      <c r="I16" s="54" t="s">
        <v>194</v>
      </c>
      <c r="J16" s="55">
        <v>312.39999999999998</v>
      </c>
      <c r="K16" s="56">
        <v>7.0000000000000007E-2</v>
      </c>
      <c r="L16" s="57">
        <f t="shared" si="1"/>
        <v>21.87</v>
      </c>
      <c r="M16" s="57">
        <f t="shared" si="2"/>
        <v>334.27</v>
      </c>
      <c r="N16" s="58">
        <v>14</v>
      </c>
      <c r="O16" s="59">
        <f t="shared" si="3"/>
        <v>46099</v>
      </c>
      <c r="P16" s="56">
        <v>0</v>
      </c>
      <c r="Q16" s="58">
        <v>0</v>
      </c>
      <c r="R16" s="59" t="str">
        <f t="shared" si="4"/>
        <v/>
      </c>
      <c r="S16" s="57">
        <f t="shared" si="5"/>
        <v>0</v>
      </c>
      <c r="T16" s="57">
        <f t="shared" si="6"/>
        <v>334.27</v>
      </c>
      <c r="U16" s="53">
        <v>46098</v>
      </c>
      <c r="V16" s="55">
        <f>M16</f>
        <v>334.27</v>
      </c>
      <c r="W16" s="60" t="str">
        <f t="shared" ca="1" si="7"/>
        <v>kein Skonto</v>
      </c>
      <c r="X16" s="57">
        <f t="shared" ca="1" si="8"/>
        <v>0</v>
      </c>
      <c r="Y16" s="60" t="str">
        <f t="shared" ca="1" si="9"/>
        <v>Bezahlt</v>
      </c>
      <c r="Z16" s="51" t="str">
        <f t="shared" ca="1" si="10"/>
        <v/>
      </c>
      <c r="AA16" s="60" t="str">
        <f t="shared" ca="1" si="11"/>
        <v>Bezahlt</v>
      </c>
      <c r="AB16" s="54" t="s">
        <v>104</v>
      </c>
      <c r="AC16" s="54" t="s">
        <v>195</v>
      </c>
    </row>
    <row r="17" spans="1:29" ht="15.75" customHeight="1" x14ac:dyDescent="0.25">
      <c r="A17" s="61">
        <f t="shared" si="0"/>
        <v>10</v>
      </c>
      <c r="B17" s="62" t="s">
        <v>196</v>
      </c>
      <c r="C17" s="63">
        <v>46099</v>
      </c>
      <c r="D17" s="63">
        <v>46098</v>
      </c>
      <c r="E17" s="64" t="s">
        <v>197</v>
      </c>
      <c r="F17" s="64" t="s">
        <v>120</v>
      </c>
      <c r="G17" s="64" t="s">
        <v>107</v>
      </c>
      <c r="H17" s="64" t="s">
        <v>113</v>
      </c>
      <c r="I17" s="64" t="s">
        <v>198</v>
      </c>
      <c r="J17" s="65">
        <v>4320</v>
      </c>
      <c r="K17" s="66">
        <v>7.0000000000000007E-2</v>
      </c>
      <c r="L17" s="67">
        <f t="shared" si="1"/>
        <v>302.39999999999998</v>
      </c>
      <c r="M17" s="67">
        <f t="shared" si="2"/>
        <v>4622.3999999999996</v>
      </c>
      <c r="N17" s="68">
        <v>30</v>
      </c>
      <c r="O17" s="69">
        <f t="shared" si="3"/>
        <v>46128</v>
      </c>
      <c r="P17" s="66">
        <v>0.02</v>
      </c>
      <c r="Q17" s="68">
        <v>10</v>
      </c>
      <c r="R17" s="69">
        <f t="shared" si="4"/>
        <v>46108</v>
      </c>
      <c r="S17" s="67">
        <f t="shared" si="5"/>
        <v>92.45</v>
      </c>
      <c r="T17" s="67">
        <f t="shared" si="6"/>
        <v>4529.95</v>
      </c>
      <c r="U17" s="63">
        <v>46106</v>
      </c>
      <c r="V17" s="65">
        <f>T17</f>
        <v>4529.95</v>
      </c>
      <c r="W17" s="70" t="str">
        <f t="shared" ca="1" si="7"/>
        <v>Ja</v>
      </c>
      <c r="X17" s="67">
        <f t="shared" ca="1" si="8"/>
        <v>0</v>
      </c>
      <c r="Y17" s="70" t="str">
        <f t="shared" ca="1" si="9"/>
        <v>Bezahlt</v>
      </c>
      <c r="Z17" s="61" t="str">
        <f t="shared" ca="1" si="10"/>
        <v/>
      </c>
      <c r="AA17" s="70" t="str">
        <f t="shared" ca="1" si="11"/>
        <v>Bezahlt</v>
      </c>
      <c r="AB17" s="64" t="s">
        <v>87</v>
      </c>
      <c r="AC17" s="64"/>
    </row>
    <row r="18" spans="1:29" ht="15.75" customHeight="1" x14ac:dyDescent="0.25">
      <c r="A18" s="51">
        <f t="shared" si="0"/>
        <v>11</v>
      </c>
      <c r="B18" s="52" t="s">
        <v>199</v>
      </c>
      <c r="C18" s="53">
        <v>46105</v>
      </c>
      <c r="D18" s="53">
        <v>46104</v>
      </c>
      <c r="E18" s="54" t="s">
        <v>200</v>
      </c>
      <c r="F18" s="54" t="s">
        <v>123</v>
      </c>
      <c r="G18" s="54" t="s">
        <v>84</v>
      </c>
      <c r="H18" s="54" t="s">
        <v>97</v>
      </c>
      <c r="I18" s="54" t="s">
        <v>201</v>
      </c>
      <c r="J18" s="55">
        <v>640</v>
      </c>
      <c r="K18" s="56">
        <v>0.19</v>
      </c>
      <c r="L18" s="57">
        <f t="shared" si="1"/>
        <v>121.6</v>
      </c>
      <c r="M18" s="57">
        <f t="shared" si="2"/>
        <v>761.6</v>
      </c>
      <c r="N18" s="58">
        <v>21</v>
      </c>
      <c r="O18" s="59">
        <f t="shared" si="3"/>
        <v>46125</v>
      </c>
      <c r="P18" s="56">
        <v>0</v>
      </c>
      <c r="Q18" s="58">
        <v>0</v>
      </c>
      <c r="R18" s="59" t="str">
        <f t="shared" si="4"/>
        <v/>
      </c>
      <c r="S18" s="57">
        <f t="shared" si="5"/>
        <v>0</v>
      </c>
      <c r="T18" s="57">
        <f t="shared" si="6"/>
        <v>761.6</v>
      </c>
      <c r="U18" s="53">
        <v>46122</v>
      </c>
      <c r="V18" s="55">
        <f>M18</f>
        <v>761.6</v>
      </c>
      <c r="W18" s="60" t="str">
        <f t="shared" ca="1" si="7"/>
        <v>kein Skonto</v>
      </c>
      <c r="X18" s="57">
        <f t="shared" ca="1" si="8"/>
        <v>0</v>
      </c>
      <c r="Y18" s="60" t="str">
        <f t="shared" ca="1" si="9"/>
        <v>Bezahlt</v>
      </c>
      <c r="Z18" s="51" t="str">
        <f t="shared" ca="1" si="10"/>
        <v/>
      </c>
      <c r="AA18" s="60" t="str">
        <f t="shared" ca="1" si="11"/>
        <v>Bezahlt</v>
      </c>
      <c r="AB18" s="54" t="s">
        <v>93</v>
      </c>
      <c r="AC18" s="54"/>
    </row>
    <row r="19" spans="1:29" ht="15.75" customHeight="1" x14ac:dyDescent="0.25">
      <c r="A19" s="61">
        <f t="shared" si="0"/>
        <v>12</v>
      </c>
      <c r="B19" s="62" t="s">
        <v>202</v>
      </c>
      <c r="C19" s="63">
        <v>46108</v>
      </c>
      <c r="D19" s="63">
        <v>46106</v>
      </c>
      <c r="E19" s="64" t="s">
        <v>203</v>
      </c>
      <c r="F19" s="64" t="s">
        <v>129</v>
      </c>
      <c r="G19" s="64" t="s">
        <v>90</v>
      </c>
      <c r="H19" s="64" t="s">
        <v>108</v>
      </c>
      <c r="I19" s="64" t="s">
        <v>204</v>
      </c>
      <c r="J19" s="65">
        <v>468</v>
      </c>
      <c r="K19" s="66">
        <v>0.19</v>
      </c>
      <c r="L19" s="67">
        <f t="shared" si="1"/>
        <v>88.92</v>
      </c>
      <c r="M19" s="67">
        <f t="shared" si="2"/>
        <v>556.91999999999996</v>
      </c>
      <c r="N19" s="68">
        <v>30</v>
      </c>
      <c r="O19" s="69">
        <f t="shared" si="3"/>
        <v>46136</v>
      </c>
      <c r="P19" s="66">
        <v>0</v>
      </c>
      <c r="Q19" s="68">
        <v>0</v>
      </c>
      <c r="R19" s="69" t="str">
        <f t="shared" si="4"/>
        <v/>
      </c>
      <c r="S19" s="67">
        <f t="shared" si="5"/>
        <v>0</v>
      </c>
      <c r="T19" s="67">
        <f t="shared" si="6"/>
        <v>556.91999999999996</v>
      </c>
      <c r="U19" s="63"/>
      <c r="V19" s="65"/>
      <c r="W19" s="70" t="str">
        <f t="shared" ca="1" si="7"/>
        <v>kein Skonto</v>
      </c>
      <c r="X19" s="67">
        <f t="shared" si="8"/>
        <v>556.91999999999996</v>
      </c>
      <c r="Y19" s="70" t="str">
        <f t="shared" ca="1" si="9"/>
        <v>Überfällig</v>
      </c>
      <c r="Z19" s="61">
        <f t="shared" ca="1" si="10"/>
        <v>-75</v>
      </c>
      <c r="AA19" s="70" t="str">
        <f t="shared" ca="1" si="11"/>
        <v>61-90 Tage</v>
      </c>
      <c r="AB19" s="64" t="s">
        <v>87</v>
      </c>
      <c r="AC19" s="64" t="s">
        <v>205</v>
      </c>
    </row>
    <row r="20" spans="1:29" ht="15.75" customHeight="1" x14ac:dyDescent="0.25">
      <c r="A20" s="51">
        <f t="shared" si="0"/>
        <v>13</v>
      </c>
      <c r="B20" s="52" t="s">
        <v>206</v>
      </c>
      <c r="C20" s="53">
        <v>46119</v>
      </c>
      <c r="D20" s="53">
        <v>46115</v>
      </c>
      <c r="E20" s="54" t="s">
        <v>207</v>
      </c>
      <c r="F20" s="54" t="s">
        <v>126</v>
      </c>
      <c r="G20" s="54" t="s">
        <v>84</v>
      </c>
      <c r="H20" s="54" t="s">
        <v>103</v>
      </c>
      <c r="I20" s="54" t="s">
        <v>208</v>
      </c>
      <c r="J20" s="55">
        <v>1860</v>
      </c>
      <c r="K20" s="56">
        <v>0</v>
      </c>
      <c r="L20" s="57">
        <f t="shared" si="1"/>
        <v>0</v>
      </c>
      <c r="M20" s="57">
        <f t="shared" si="2"/>
        <v>1860</v>
      </c>
      <c r="N20" s="58">
        <v>30</v>
      </c>
      <c r="O20" s="59">
        <f t="shared" si="3"/>
        <v>46145</v>
      </c>
      <c r="P20" s="56">
        <v>0</v>
      </c>
      <c r="Q20" s="58">
        <v>0</v>
      </c>
      <c r="R20" s="59" t="str">
        <f t="shared" si="4"/>
        <v/>
      </c>
      <c r="S20" s="57">
        <f t="shared" si="5"/>
        <v>0</v>
      </c>
      <c r="T20" s="57">
        <f t="shared" si="6"/>
        <v>1860</v>
      </c>
      <c r="U20" s="53">
        <v>46140</v>
      </c>
      <c r="V20" s="55">
        <f>M20</f>
        <v>1860</v>
      </c>
      <c r="W20" s="60" t="str">
        <f t="shared" ca="1" si="7"/>
        <v>kein Skonto</v>
      </c>
      <c r="X20" s="57">
        <f t="shared" ca="1" si="8"/>
        <v>0</v>
      </c>
      <c r="Y20" s="60" t="str">
        <f t="shared" ca="1" si="9"/>
        <v>Bezahlt</v>
      </c>
      <c r="Z20" s="51" t="str">
        <f t="shared" ca="1" si="10"/>
        <v/>
      </c>
      <c r="AA20" s="60" t="str">
        <f t="shared" ca="1" si="11"/>
        <v>Bezahlt</v>
      </c>
      <c r="AB20" s="54" t="s">
        <v>93</v>
      </c>
      <c r="AC20" s="54" t="s">
        <v>209</v>
      </c>
    </row>
    <row r="21" spans="1:29" ht="15.75" customHeight="1" x14ac:dyDescent="0.25">
      <c r="A21" s="61">
        <f t="shared" si="0"/>
        <v>14</v>
      </c>
      <c r="B21" s="62" t="s">
        <v>210</v>
      </c>
      <c r="C21" s="63">
        <v>46126</v>
      </c>
      <c r="D21" s="63">
        <v>46125</v>
      </c>
      <c r="E21" s="64" t="s">
        <v>211</v>
      </c>
      <c r="F21" s="64" t="s">
        <v>129</v>
      </c>
      <c r="G21" s="64" t="s">
        <v>90</v>
      </c>
      <c r="H21" s="64" t="s">
        <v>108</v>
      </c>
      <c r="I21" s="64" t="s">
        <v>212</v>
      </c>
      <c r="J21" s="65">
        <v>892.65</v>
      </c>
      <c r="K21" s="66">
        <v>0.19</v>
      </c>
      <c r="L21" s="67">
        <f t="shared" si="1"/>
        <v>169.6</v>
      </c>
      <c r="M21" s="67">
        <f t="shared" si="2"/>
        <v>1062.25</v>
      </c>
      <c r="N21" s="68">
        <v>14</v>
      </c>
      <c r="O21" s="69">
        <f t="shared" si="3"/>
        <v>46139</v>
      </c>
      <c r="P21" s="66">
        <v>0</v>
      </c>
      <c r="Q21" s="68">
        <v>0</v>
      </c>
      <c r="R21" s="69" t="str">
        <f t="shared" si="4"/>
        <v/>
      </c>
      <c r="S21" s="67">
        <f t="shared" si="5"/>
        <v>0</v>
      </c>
      <c r="T21" s="67">
        <f t="shared" si="6"/>
        <v>1062.25</v>
      </c>
      <c r="U21" s="63">
        <v>46139</v>
      </c>
      <c r="V21" s="65">
        <f>M21</f>
        <v>1062.25</v>
      </c>
      <c r="W21" s="70" t="str">
        <f t="shared" ca="1" si="7"/>
        <v>kein Skonto</v>
      </c>
      <c r="X21" s="67">
        <f t="shared" ca="1" si="8"/>
        <v>0</v>
      </c>
      <c r="Y21" s="70" t="str">
        <f t="shared" ca="1" si="9"/>
        <v>Bezahlt</v>
      </c>
      <c r="Z21" s="61" t="str">
        <f t="shared" ca="1" si="10"/>
        <v/>
      </c>
      <c r="AA21" s="70" t="str">
        <f t="shared" ca="1" si="11"/>
        <v>Bezahlt</v>
      </c>
      <c r="AB21" s="64" t="s">
        <v>99</v>
      </c>
      <c r="AC21" s="64"/>
    </row>
    <row r="22" spans="1:29" ht="15.75" customHeight="1" x14ac:dyDescent="0.25">
      <c r="A22" s="51">
        <f t="shared" si="0"/>
        <v>15</v>
      </c>
      <c r="B22" s="52" t="s">
        <v>213</v>
      </c>
      <c r="C22" s="53">
        <v>46142</v>
      </c>
      <c r="D22" s="53">
        <v>46140</v>
      </c>
      <c r="E22" s="54" t="s">
        <v>214</v>
      </c>
      <c r="F22" s="54" t="s">
        <v>94</v>
      </c>
      <c r="G22" s="54" t="s">
        <v>112</v>
      </c>
      <c r="H22" s="54" t="s">
        <v>119</v>
      </c>
      <c r="I22" s="54" t="s">
        <v>215</v>
      </c>
      <c r="J22" s="55">
        <v>1320.5</v>
      </c>
      <c r="K22" s="56">
        <v>0.19</v>
      </c>
      <c r="L22" s="57">
        <f t="shared" si="1"/>
        <v>250.9</v>
      </c>
      <c r="M22" s="57">
        <f t="shared" si="2"/>
        <v>1571.4</v>
      </c>
      <c r="N22" s="58">
        <v>30</v>
      </c>
      <c r="O22" s="59">
        <f t="shared" si="3"/>
        <v>46170</v>
      </c>
      <c r="P22" s="56">
        <v>0</v>
      </c>
      <c r="Q22" s="58">
        <v>0</v>
      </c>
      <c r="R22" s="59" t="str">
        <f t="shared" si="4"/>
        <v/>
      </c>
      <c r="S22" s="57">
        <f t="shared" si="5"/>
        <v>0</v>
      </c>
      <c r="T22" s="57">
        <f t="shared" si="6"/>
        <v>1571.4</v>
      </c>
      <c r="U22" s="53"/>
      <c r="V22" s="55"/>
      <c r="W22" s="60" t="str">
        <f t="shared" ca="1" si="7"/>
        <v>kein Skonto</v>
      </c>
      <c r="X22" s="57">
        <f t="shared" si="8"/>
        <v>1571.4</v>
      </c>
      <c r="Y22" s="60" t="str">
        <f t="shared" ca="1" si="9"/>
        <v>Überfällig</v>
      </c>
      <c r="Z22" s="51">
        <f t="shared" ca="1" si="10"/>
        <v>-41</v>
      </c>
      <c r="AA22" s="60" t="str">
        <f t="shared" ca="1" si="11"/>
        <v>31-60 Tage</v>
      </c>
      <c r="AB22" s="54" t="s">
        <v>87</v>
      </c>
      <c r="AC22" s="54" t="s">
        <v>216</v>
      </c>
    </row>
    <row r="23" spans="1:29" ht="15.75" customHeight="1" x14ac:dyDescent="0.25">
      <c r="A23" s="61">
        <f t="shared" si="0"/>
        <v>16</v>
      </c>
      <c r="B23" s="62" t="s">
        <v>217</v>
      </c>
      <c r="C23" s="63">
        <v>46148</v>
      </c>
      <c r="D23" s="63">
        <v>46147</v>
      </c>
      <c r="E23" s="64" t="s">
        <v>218</v>
      </c>
      <c r="F23" s="64" t="s">
        <v>88</v>
      </c>
      <c r="G23" s="64" t="s">
        <v>102</v>
      </c>
      <c r="H23" s="64" t="s">
        <v>122</v>
      </c>
      <c r="I23" s="64" t="s">
        <v>219</v>
      </c>
      <c r="J23" s="65">
        <v>1240</v>
      </c>
      <c r="K23" s="66">
        <v>0.19</v>
      </c>
      <c r="L23" s="67">
        <f t="shared" si="1"/>
        <v>235.6</v>
      </c>
      <c r="M23" s="67">
        <f t="shared" si="2"/>
        <v>1475.6</v>
      </c>
      <c r="N23" s="68">
        <v>14</v>
      </c>
      <c r="O23" s="69">
        <f t="shared" si="3"/>
        <v>46161</v>
      </c>
      <c r="P23" s="66">
        <v>0</v>
      </c>
      <c r="Q23" s="68">
        <v>0</v>
      </c>
      <c r="R23" s="69" t="str">
        <f t="shared" si="4"/>
        <v/>
      </c>
      <c r="S23" s="67">
        <f t="shared" si="5"/>
        <v>0</v>
      </c>
      <c r="T23" s="67">
        <f t="shared" si="6"/>
        <v>1475.6</v>
      </c>
      <c r="U23" s="63">
        <v>46157</v>
      </c>
      <c r="V23" s="65">
        <f>M23</f>
        <v>1475.6</v>
      </c>
      <c r="W23" s="70" t="str">
        <f t="shared" ca="1" si="7"/>
        <v>kein Skonto</v>
      </c>
      <c r="X23" s="67">
        <f t="shared" ca="1" si="8"/>
        <v>0</v>
      </c>
      <c r="Y23" s="70" t="str">
        <f t="shared" ca="1" si="9"/>
        <v>Bezahlt</v>
      </c>
      <c r="Z23" s="61" t="str">
        <f t="shared" ca="1" si="10"/>
        <v/>
      </c>
      <c r="AA23" s="70" t="str">
        <f t="shared" ca="1" si="11"/>
        <v>Bezahlt</v>
      </c>
      <c r="AB23" s="64" t="s">
        <v>93</v>
      </c>
      <c r="AC23" s="64"/>
    </row>
    <row r="24" spans="1:29" ht="15.75" customHeight="1" x14ac:dyDescent="0.25">
      <c r="A24" s="51">
        <f t="shared" si="0"/>
        <v>17</v>
      </c>
      <c r="B24" s="52" t="s">
        <v>220</v>
      </c>
      <c r="C24" s="53">
        <v>46161</v>
      </c>
      <c r="D24" s="53">
        <v>46160</v>
      </c>
      <c r="E24" s="54" t="s">
        <v>221</v>
      </c>
      <c r="F24" s="54" t="s">
        <v>94</v>
      </c>
      <c r="G24" s="54" t="s">
        <v>112</v>
      </c>
      <c r="H24" s="54" t="s">
        <v>119</v>
      </c>
      <c r="I24" s="54" t="s">
        <v>222</v>
      </c>
      <c r="J24" s="55">
        <v>1965.3</v>
      </c>
      <c r="K24" s="56">
        <v>0.19</v>
      </c>
      <c r="L24" s="57">
        <f t="shared" si="1"/>
        <v>373.41</v>
      </c>
      <c r="M24" s="57">
        <f t="shared" si="2"/>
        <v>2338.71</v>
      </c>
      <c r="N24" s="58">
        <v>30</v>
      </c>
      <c r="O24" s="59">
        <f t="shared" si="3"/>
        <v>46190</v>
      </c>
      <c r="P24" s="56">
        <v>0</v>
      </c>
      <c r="Q24" s="58">
        <v>0</v>
      </c>
      <c r="R24" s="59" t="str">
        <f t="shared" si="4"/>
        <v/>
      </c>
      <c r="S24" s="57">
        <f t="shared" si="5"/>
        <v>0</v>
      </c>
      <c r="T24" s="57">
        <f t="shared" si="6"/>
        <v>2338.71</v>
      </c>
      <c r="U24" s="53">
        <v>46189</v>
      </c>
      <c r="V24" s="55">
        <f>M24</f>
        <v>2338.71</v>
      </c>
      <c r="W24" s="60" t="str">
        <f t="shared" ca="1" si="7"/>
        <v>kein Skonto</v>
      </c>
      <c r="X24" s="57">
        <f t="shared" ca="1" si="8"/>
        <v>0</v>
      </c>
      <c r="Y24" s="60" t="str">
        <f t="shared" ca="1" si="9"/>
        <v>Bezahlt</v>
      </c>
      <c r="Z24" s="51" t="str">
        <f t="shared" ca="1" si="10"/>
        <v/>
      </c>
      <c r="AA24" s="60" t="str">
        <f t="shared" ca="1" si="11"/>
        <v>Bezahlt</v>
      </c>
      <c r="AB24" s="54" t="s">
        <v>87</v>
      </c>
      <c r="AC24" s="54"/>
    </row>
    <row r="25" spans="1:29" ht="15.75" customHeight="1" x14ac:dyDescent="0.25">
      <c r="A25" s="61">
        <f t="shared" si="0"/>
        <v>18</v>
      </c>
      <c r="B25" s="62" t="s">
        <v>223</v>
      </c>
      <c r="C25" s="63">
        <v>46170</v>
      </c>
      <c r="D25" s="63">
        <v>46168</v>
      </c>
      <c r="E25" s="64" t="s">
        <v>224</v>
      </c>
      <c r="F25" s="64" t="s">
        <v>82</v>
      </c>
      <c r="G25" s="64" t="s">
        <v>84</v>
      </c>
      <c r="H25" s="64" t="s">
        <v>125</v>
      </c>
      <c r="I25" s="64" t="s">
        <v>225</v>
      </c>
      <c r="J25" s="65">
        <v>734.9</v>
      </c>
      <c r="K25" s="66">
        <v>0.19</v>
      </c>
      <c r="L25" s="67">
        <f t="shared" si="1"/>
        <v>139.63</v>
      </c>
      <c r="M25" s="67">
        <f t="shared" si="2"/>
        <v>874.53</v>
      </c>
      <c r="N25" s="68">
        <v>30</v>
      </c>
      <c r="O25" s="69">
        <f t="shared" si="3"/>
        <v>46198</v>
      </c>
      <c r="P25" s="66">
        <v>0.02</v>
      </c>
      <c r="Q25" s="68">
        <v>10</v>
      </c>
      <c r="R25" s="69">
        <f t="shared" si="4"/>
        <v>46178</v>
      </c>
      <c r="S25" s="67">
        <f t="shared" si="5"/>
        <v>17.489999999999998</v>
      </c>
      <c r="T25" s="67">
        <f t="shared" si="6"/>
        <v>857.04</v>
      </c>
      <c r="U25" s="63"/>
      <c r="V25" s="65"/>
      <c r="W25" s="70" t="str">
        <f t="shared" ca="1" si="7"/>
        <v>Frist verstrichen</v>
      </c>
      <c r="X25" s="67">
        <f t="shared" si="8"/>
        <v>874.53</v>
      </c>
      <c r="Y25" s="70" t="str">
        <f t="shared" ca="1" si="9"/>
        <v>Überfällig</v>
      </c>
      <c r="Z25" s="61">
        <f t="shared" ca="1" si="10"/>
        <v>-13</v>
      </c>
      <c r="AA25" s="70" t="str">
        <f t="shared" ca="1" si="11"/>
        <v>1-30 Tage</v>
      </c>
      <c r="AB25" s="64" t="s">
        <v>87</v>
      </c>
      <c r="AC25" s="64" t="s">
        <v>226</v>
      </c>
    </row>
    <row r="26" spans="1:29" ht="15.75" customHeight="1" x14ac:dyDescent="0.25">
      <c r="A26" s="51">
        <f t="shared" si="0"/>
        <v>19</v>
      </c>
      <c r="B26" s="52" t="s">
        <v>227</v>
      </c>
      <c r="C26" s="53">
        <v>46177</v>
      </c>
      <c r="D26" s="53">
        <v>46175</v>
      </c>
      <c r="E26" s="54" t="s">
        <v>228</v>
      </c>
      <c r="F26" s="54" t="s">
        <v>110</v>
      </c>
      <c r="G26" s="54" t="s">
        <v>96</v>
      </c>
      <c r="H26" s="54" t="s">
        <v>91</v>
      </c>
      <c r="I26" s="54" t="s">
        <v>229</v>
      </c>
      <c r="J26" s="55">
        <v>810</v>
      </c>
      <c r="K26" s="56">
        <v>0.19</v>
      </c>
      <c r="L26" s="57">
        <f t="shared" si="1"/>
        <v>153.9</v>
      </c>
      <c r="M26" s="57">
        <f t="shared" si="2"/>
        <v>963.9</v>
      </c>
      <c r="N26" s="58">
        <v>14</v>
      </c>
      <c r="O26" s="59">
        <f t="shared" si="3"/>
        <v>46189</v>
      </c>
      <c r="P26" s="56">
        <v>0</v>
      </c>
      <c r="Q26" s="58">
        <v>0</v>
      </c>
      <c r="R26" s="59" t="str">
        <f t="shared" si="4"/>
        <v/>
      </c>
      <c r="S26" s="57">
        <f t="shared" si="5"/>
        <v>0</v>
      </c>
      <c r="T26" s="57">
        <f t="shared" si="6"/>
        <v>963.9</v>
      </c>
      <c r="U26" s="53"/>
      <c r="V26" s="55"/>
      <c r="W26" s="60" t="str">
        <f t="shared" ca="1" si="7"/>
        <v>kein Skonto</v>
      </c>
      <c r="X26" s="57">
        <f t="shared" si="8"/>
        <v>963.9</v>
      </c>
      <c r="Y26" s="60" t="str">
        <f t="shared" ca="1" si="9"/>
        <v>Überfällig</v>
      </c>
      <c r="Z26" s="51">
        <f t="shared" ca="1" si="10"/>
        <v>-22</v>
      </c>
      <c r="AA26" s="60" t="str">
        <f t="shared" ca="1" si="11"/>
        <v>1-30 Tage</v>
      </c>
      <c r="AB26" s="54" t="s">
        <v>93</v>
      </c>
      <c r="AC26" s="54"/>
    </row>
    <row r="27" spans="1:29" ht="15.75" customHeight="1" x14ac:dyDescent="0.25">
      <c r="A27" s="61">
        <f t="shared" si="0"/>
        <v>20</v>
      </c>
      <c r="B27" s="62" t="s">
        <v>230</v>
      </c>
      <c r="C27" s="63">
        <v>46184</v>
      </c>
      <c r="D27" s="63">
        <v>46183</v>
      </c>
      <c r="E27" s="64" t="s">
        <v>231</v>
      </c>
      <c r="F27" s="64" t="s">
        <v>105</v>
      </c>
      <c r="G27" s="64" t="s">
        <v>107</v>
      </c>
      <c r="H27" s="64" t="s">
        <v>113</v>
      </c>
      <c r="I27" s="64" t="s">
        <v>232</v>
      </c>
      <c r="J27" s="65">
        <v>2400</v>
      </c>
      <c r="K27" s="66">
        <v>0.19</v>
      </c>
      <c r="L27" s="67">
        <f t="shared" si="1"/>
        <v>456</v>
      </c>
      <c r="M27" s="67">
        <f t="shared" si="2"/>
        <v>2856</v>
      </c>
      <c r="N27" s="68">
        <v>30</v>
      </c>
      <c r="O27" s="69">
        <f t="shared" si="3"/>
        <v>46213</v>
      </c>
      <c r="P27" s="66">
        <v>0.03</v>
      </c>
      <c r="Q27" s="68">
        <v>14</v>
      </c>
      <c r="R27" s="69">
        <f t="shared" si="4"/>
        <v>46197</v>
      </c>
      <c r="S27" s="67">
        <f t="shared" si="5"/>
        <v>85.68</v>
      </c>
      <c r="T27" s="67">
        <f t="shared" si="6"/>
        <v>2770.32</v>
      </c>
      <c r="U27" s="63">
        <v>46211</v>
      </c>
      <c r="V27" s="65">
        <v>1500</v>
      </c>
      <c r="W27" s="70" t="str">
        <f t="shared" ca="1" si="7"/>
        <v>Nein</v>
      </c>
      <c r="X27" s="67">
        <f t="shared" ca="1" si="8"/>
        <v>1356</v>
      </c>
      <c r="Y27" s="70" t="str">
        <f t="shared" ca="1" si="9"/>
        <v>Teilzahlung</v>
      </c>
      <c r="Z27" s="61">
        <f t="shared" ca="1" si="10"/>
        <v>2</v>
      </c>
      <c r="AA27" s="70" t="str">
        <f t="shared" ca="1" si="11"/>
        <v>Nicht fällig</v>
      </c>
      <c r="AB27" s="64" t="s">
        <v>87</v>
      </c>
      <c r="AC27" s="64" t="s">
        <v>233</v>
      </c>
    </row>
    <row r="28" spans="1:29" ht="15.75" customHeight="1" x14ac:dyDescent="0.25">
      <c r="A28" s="51">
        <f t="shared" si="0"/>
        <v>21</v>
      </c>
      <c r="B28" s="52" t="s">
        <v>234</v>
      </c>
      <c r="C28" s="53">
        <v>46195</v>
      </c>
      <c r="D28" s="53">
        <v>46192</v>
      </c>
      <c r="E28" s="54" t="s">
        <v>235</v>
      </c>
      <c r="F28" s="54" t="s">
        <v>114</v>
      </c>
      <c r="G28" s="54" t="s">
        <v>96</v>
      </c>
      <c r="H28" s="54" t="s">
        <v>85</v>
      </c>
      <c r="I28" s="54" t="s">
        <v>236</v>
      </c>
      <c r="J28" s="55">
        <v>1480</v>
      </c>
      <c r="K28" s="56">
        <v>0.19</v>
      </c>
      <c r="L28" s="57">
        <f t="shared" si="1"/>
        <v>281.2</v>
      </c>
      <c r="M28" s="57">
        <f t="shared" si="2"/>
        <v>1761.2</v>
      </c>
      <c r="N28" s="58">
        <v>30</v>
      </c>
      <c r="O28" s="59">
        <f t="shared" si="3"/>
        <v>46222</v>
      </c>
      <c r="P28" s="56">
        <v>0.02</v>
      </c>
      <c r="Q28" s="58">
        <v>10</v>
      </c>
      <c r="R28" s="59">
        <f t="shared" si="4"/>
        <v>46202</v>
      </c>
      <c r="S28" s="57">
        <f t="shared" si="5"/>
        <v>35.22</v>
      </c>
      <c r="T28" s="57">
        <f t="shared" si="6"/>
        <v>1725.98</v>
      </c>
      <c r="U28" s="53"/>
      <c r="V28" s="55"/>
      <c r="W28" s="60" t="str">
        <f t="shared" ca="1" si="7"/>
        <v>Frist verstrichen</v>
      </c>
      <c r="X28" s="57">
        <f t="shared" si="8"/>
        <v>1761.2</v>
      </c>
      <c r="Y28" s="60" t="str">
        <f t="shared" ca="1" si="9"/>
        <v>Offen</v>
      </c>
      <c r="Z28" s="51">
        <f t="shared" ca="1" si="10"/>
        <v>11</v>
      </c>
      <c r="AA28" s="60" t="str">
        <f t="shared" ca="1" si="11"/>
        <v>Nicht fällig</v>
      </c>
      <c r="AB28" s="54" t="s">
        <v>87</v>
      </c>
      <c r="AC28" s="54"/>
    </row>
    <row r="29" spans="1:29" ht="15.75" customHeight="1" x14ac:dyDescent="0.25">
      <c r="A29" s="61">
        <f t="shared" si="0"/>
        <v>22</v>
      </c>
      <c r="B29" s="62" t="s">
        <v>237</v>
      </c>
      <c r="C29" s="63">
        <v>46202</v>
      </c>
      <c r="D29" s="63">
        <v>46199</v>
      </c>
      <c r="E29" s="64" t="s">
        <v>238</v>
      </c>
      <c r="F29" s="64" t="s">
        <v>123</v>
      </c>
      <c r="G29" s="64" t="s">
        <v>84</v>
      </c>
      <c r="H29" s="64" t="s">
        <v>97</v>
      </c>
      <c r="I29" s="64" t="s">
        <v>239</v>
      </c>
      <c r="J29" s="65">
        <v>640</v>
      </c>
      <c r="K29" s="66">
        <v>0.19</v>
      </c>
      <c r="L29" s="67">
        <f t="shared" si="1"/>
        <v>121.6</v>
      </c>
      <c r="M29" s="67">
        <f t="shared" si="2"/>
        <v>761.6</v>
      </c>
      <c r="N29" s="68">
        <v>21</v>
      </c>
      <c r="O29" s="69">
        <f t="shared" si="3"/>
        <v>46220</v>
      </c>
      <c r="P29" s="66">
        <v>0</v>
      </c>
      <c r="Q29" s="68">
        <v>0</v>
      </c>
      <c r="R29" s="69" t="str">
        <f t="shared" si="4"/>
        <v/>
      </c>
      <c r="S29" s="67">
        <f t="shared" si="5"/>
        <v>0</v>
      </c>
      <c r="T29" s="67">
        <f t="shared" si="6"/>
        <v>761.6</v>
      </c>
      <c r="U29" s="63"/>
      <c r="V29" s="65"/>
      <c r="W29" s="70" t="str">
        <f t="shared" ca="1" si="7"/>
        <v>kein Skonto</v>
      </c>
      <c r="X29" s="67">
        <f t="shared" si="8"/>
        <v>761.6</v>
      </c>
      <c r="Y29" s="70" t="str">
        <f t="shared" ca="1" si="9"/>
        <v>Offen</v>
      </c>
      <c r="Z29" s="61">
        <f t="shared" ca="1" si="10"/>
        <v>9</v>
      </c>
      <c r="AA29" s="70" t="str">
        <f t="shared" ca="1" si="11"/>
        <v>Nicht fällig</v>
      </c>
      <c r="AB29" s="64" t="s">
        <v>93</v>
      </c>
      <c r="AC29" s="64"/>
    </row>
    <row r="30" spans="1:29" ht="15.75" customHeight="1" x14ac:dyDescent="0.25">
      <c r="A30" s="51">
        <f t="shared" si="0"/>
        <v>23</v>
      </c>
      <c r="B30" s="52" t="s">
        <v>240</v>
      </c>
      <c r="C30" s="53">
        <v>46204</v>
      </c>
      <c r="D30" s="53">
        <v>46203</v>
      </c>
      <c r="E30" s="54" t="s">
        <v>241</v>
      </c>
      <c r="F30" s="54" t="s">
        <v>100</v>
      </c>
      <c r="G30" s="54" t="s">
        <v>84</v>
      </c>
      <c r="H30" s="54" t="s">
        <v>128</v>
      </c>
      <c r="I30" s="54" t="s">
        <v>242</v>
      </c>
      <c r="J30" s="55">
        <v>1150</v>
      </c>
      <c r="K30" s="56">
        <v>0.19</v>
      </c>
      <c r="L30" s="57">
        <f t="shared" si="1"/>
        <v>218.5</v>
      </c>
      <c r="M30" s="57">
        <f t="shared" si="2"/>
        <v>1368.5</v>
      </c>
      <c r="N30" s="58">
        <v>21</v>
      </c>
      <c r="O30" s="59">
        <f t="shared" si="3"/>
        <v>46224</v>
      </c>
      <c r="P30" s="56">
        <v>0</v>
      </c>
      <c r="Q30" s="58">
        <v>0</v>
      </c>
      <c r="R30" s="59" t="str">
        <f t="shared" si="4"/>
        <v/>
      </c>
      <c r="S30" s="57">
        <f t="shared" si="5"/>
        <v>0</v>
      </c>
      <c r="T30" s="57">
        <f t="shared" si="6"/>
        <v>1368.5</v>
      </c>
      <c r="U30" s="53"/>
      <c r="V30" s="55"/>
      <c r="W30" s="60" t="str">
        <f t="shared" ca="1" si="7"/>
        <v>kein Skonto</v>
      </c>
      <c r="X30" s="57">
        <f t="shared" si="8"/>
        <v>1368.5</v>
      </c>
      <c r="Y30" s="60" t="str">
        <f t="shared" ca="1" si="9"/>
        <v>Offen</v>
      </c>
      <c r="Z30" s="51">
        <f t="shared" ca="1" si="10"/>
        <v>13</v>
      </c>
      <c r="AA30" s="60" t="str">
        <f t="shared" ca="1" si="11"/>
        <v>Nicht fällig</v>
      </c>
      <c r="AB30" s="54" t="s">
        <v>87</v>
      </c>
      <c r="AC30" s="54"/>
    </row>
    <row r="31" spans="1:29" ht="15.75" customHeight="1" x14ac:dyDescent="0.25">
      <c r="A31" s="61">
        <f t="shared" si="0"/>
        <v>24</v>
      </c>
      <c r="B31" s="62" t="s">
        <v>243</v>
      </c>
      <c r="C31" s="63">
        <v>46206</v>
      </c>
      <c r="D31" s="63">
        <v>46205</v>
      </c>
      <c r="E31" s="64" t="s">
        <v>244</v>
      </c>
      <c r="F31" s="64" t="s">
        <v>117</v>
      </c>
      <c r="G31" s="64" t="s">
        <v>84</v>
      </c>
      <c r="H31" s="64" t="s">
        <v>116</v>
      </c>
      <c r="I31" s="64" t="s">
        <v>245</v>
      </c>
      <c r="J31" s="65">
        <v>895</v>
      </c>
      <c r="K31" s="66">
        <v>7.0000000000000007E-2</v>
      </c>
      <c r="L31" s="67">
        <f t="shared" si="1"/>
        <v>62.65</v>
      </c>
      <c r="M31" s="67">
        <f t="shared" si="2"/>
        <v>957.65</v>
      </c>
      <c r="N31" s="68">
        <v>14</v>
      </c>
      <c r="O31" s="69">
        <f t="shared" si="3"/>
        <v>46219</v>
      </c>
      <c r="P31" s="66">
        <v>0</v>
      </c>
      <c r="Q31" s="68">
        <v>0</v>
      </c>
      <c r="R31" s="69" t="str">
        <f t="shared" si="4"/>
        <v/>
      </c>
      <c r="S31" s="67">
        <f t="shared" si="5"/>
        <v>0</v>
      </c>
      <c r="T31" s="67">
        <f t="shared" si="6"/>
        <v>957.65</v>
      </c>
      <c r="U31" s="63"/>
      <c r="V31" s="65"/>
      <c r="W31" s="70" t="str">
        <f t="shared" ca="1" si="7"/>
        <v>kein Skonto</v>
      </c>
      <c r="X31" s="67">
        <f t="shared" si="8"/>
        <v>957.65</v>
      </c>
      <c r="Y31" s="70" t="str">
        <f t="shared" ca="1" si="9"/>
        <v>Offen</v>
      </c>
      <c r="Z31" s="61">
        <f t="shared" ca="1" si="10"/>
        <v>8</v>
      </c>
      <c r="AA31" s="70" t="str">
        <f t="shared" ca="1" si="11"/>
        <v>Nicht fällig</v>
      </c>
      <c r="AB31" s="64" t="s">
        <v>87</v>
      </c>
      <c r="AC31" s="64"/>
    </row>
    <row r="32" spans="1:29" ht="15.75" customHeight="1" x14ac:dyDescent="0.25">
      <c r="A32" s="51">
        <f t="shared" si="0"/>
        <v>25</v>
      </c>
      <c r="B32" s="52" t="s">
        <v>246</v>
      </c>
      <c r="C32" s="53">
        <v>46209</v>
      </c>
      <c r="D32" s="53">
        <v>46206</v>
      </c>
      <c r="E32" s="54" t="s">
        <v>247</v>
      </c>
      <c r="F32" s="54" t="s">
        <v>88</v>
      </c>
      <c r="G32" s="54" t="s">
        <v>102</v>
      </c>
      <c r="H32" s="54" t="s">
        <v>131</v>
      </c>
      <c r="I32" s="54" t="s">
        <v>248</v>
      </c>
      <c r="J32" s="55">
        <v>2740</v>
      </c>
      <c r="K32" s="56">
        <v>0.19</v>
      </c>
      <c r="L32" s="57">
        <f t="shared" si="1"/>
        <v>520.6</v>
      </c>
      <c r="M32" s="57">
        <f t="shared" si="2"/>
        <v>3260.6</v>
      </c>
      <c r="N32" s="58">
        <v>30</v>
      </c>
      <c r="O32" s="59">
        <f t="shared" si="3"/>
        <v>46236</v>
      </c>
      <c r="P32" s="56">
        <v>0.03</v>
      </c>
      <c r="Q32" s="58">
        <v>10</v>
      </c>
      <c r="R32" s="59">
        <f t="shared" si="4"/>
        <v>46216</v>
      </c>
      <c r="S32" s="57">
        <f t="shared" si="5"/>
        <v>97.82</v>
      </c>
      <c r="T32" s="57">
        <f t="shared" si="6"/>
        <v>3162.7799999999997</v>
      </c>
      <c r="U32" s="53"/>
      <c r="V32" s="55"/>
      <c r="W32" s="60" t="str">
        <f t="shared" ca="1" si="7"/>
        <v>Frist läuft</v>
      </c>
      <c r="X32" s="57">
        <f t="shared" si="8"/>
        <v>3260.6</v>
      </c>
      <c r="Y32" s="60" t="str">
        <f t="shared" ca="1" si="9"/>
        <v>Offen</v>
      </c>
      <c r="Z32" s="51">
        <f t="shared" ca="1" si="10"/>
        <v>25</v>
      </c>
      <c r="AA32" s="60" t="str">
        <f t="shared" ca="1" si="11"/>
        <v>Nicht fällig</v>
      </c>
      <c r="AB32" s="54" t="s">
        <v>87</v>
      </c>
      <c r="AC32" s="54" t="s">
        <v>249</v>
      </c>
    </row>
    <row r="33" spans="1:29" ht="15.75" customHeight="1" x14ac:dyDescent="0.25">
      <c r="A33" s="61" t="str">
        <f t="shared" si="0"/>
        <v/>
      </c>
      <c r="B33" s="62"/>
      <c r="C33" s="63"/>
      <c r="D33" s="63"/>
      <c r="E33" s="64"/>
      <c r="F33" s="64"/>
      <c r="G33" s="64"/>
      <c r="H33" s="64"/>
      <c r="I33" s="64"/>
      <c r="J33" s="65"/>
      <c r="K33" s="66"/>
      <c r="L33" s="67" t="str">
        <f t="shared" si="1"/>
        <v/>
      </c>
      <c r="M33" s="67" t="str">
        <f t="shared" si="2"/>
        <v/>
      </c>
      <c r="N33" s="68"/>
      <c r="O33" s="69" t="str">
        <f t="shared" si="3"/>
        <v/>
      </c>
      <c r="P33" s="66"/>
      <c r="Q33" s="68"/>
      <c r="R33" s="69" t="str">
        <f t="shared" si="4"/>
        <v/>
      </c>
      <c r="S33" s="67" t="str">
        <f t="shared" si="5"/>
        <v/>
      </c>
      <c r="T33" s="67" t="str">
        <f t="shared" si="6"/>
        <v/>
      </c>
      <c r="U33" s="63"/>
      <c r="V33" s="65"/>
      <c r="W33" s="70" t="str">
        <f t="shared" ca="1" si="7"/>
        <v/>
      </c>
      <c r="X33" s="67" t="str">
        <f t="shared" si="8"/>
        <v/>
      </c>
      <c r="Y33" s="70" t="str">
        <f t="shared" ca="1" si="9"/>
        <v/>
      </c>
      <c r="Z33" s="61" t="str">
        <f t="shared" ca="1" si="10"/>
        <v/>
      </c>
      <c r="AA33" s="70" t="str">
        <f t="shared" ca="1" si="11"/>
        <v/>
      </c>
      <c r="AB33" s="64"/>
      <c r="AC33" s="64"/>
    </row>
    <row r="34" spans="1:29" ht="15.75" customHeight="1" x14ac:dyDescent="0.25">
      <c r="A34" s="51" t="str">
        <f t="shared" si="0"/>
        <v/>
      </c>
      <c r="B34" s="52"/>
      <c r="C34" s="53"/>
      <c r="D34" s="53"/>
      <c r="E34" s="54"/>
      <c r="F34" s="54"/>
      <c r="G34" s="54"/>
      <c r="H34" s="54"/>
      <c r="I34" s="54"/>
      <c r="J34" s="55"/>
      <c r="K34" s="56"/>
      <c r="L34" s="57" t="str">
        <f t="shared" si="1"/>
        <v/>
      </c>
      <c r="M34" s="57" t="str">
        <f t="shared" si="2"/>
        <v/>
      </c>
      <c r="N34" s="58"/>
      <c r="O34" s="59" t="str">
        <f t="shared" si="3"/>
        <v/>
      </c>
      <c r="P34" s="56"/>
      <c r="Q34" s="58"/>
      <c r="R34" s="59" t="str">
        <f t="shared" si="4"/>
        <v/>
      </c>
      <c r="S34" s="57" t="str">
        <f t="shared" si="5"/>
        <v/>
      </c>
      <c r="T34" s="57" t="str">
        <f t="shared" si="6"/>
        <v/>
      </c>
      <c r="U34" s="53"/>
      <c r="V34" s="55"/>
      <c r="W34" s="60" t="str">
        <f t="shared" ca="1" si="7"/>
        <v/>
      </c>
      <c r="X34" s="57" t="str">
        <f t="shared" si="8"/>
        <v/>
      </c>
      <c r="Y34" s="60" t="str">
        <f t="shared" ca="1" si="9"/>
        <v/>
      </c>
      <c r="Z34" s="51" t="str">
        <f t="shared" ca="1" si="10"/>
        <v/>
      </c>
      <c r="AA34" s="60" t="str">
        <f t="shared" ca="1" si="11"/>
        <v/>
      </c>
      <c r="AB34" s="54"/>
      <c r="AC34" s="54"/>
    </row>
    <row r="35" spans="1:29" ht="15.75" customHeight="1" x14ac:dyDescent="0.25">
      <c r="A35" s="61" t="str">
        <f t="shared" si="0"/>
        <v/>
      </c>
      <c r="B35" s="62"/>
      <c r="C35" s="63"/>
      <c r="D35" s="63"/>
      <c r="E35" s="64"/>
      <c r="F35" s="64"/>
      <c r="G35" s="64"/>
      <c r="H35" s="64"/>
      <c r="I35" s="64"/>
      <c r="J35" s="65"/>
      <c r="K35" s="66"/>
      <c r="L35" s="67" t="str">
        <f t="shared" si="1"/>
        <v/>
      </c>
      <c r="M35" s="67" t="str">
        <f t="shared" si="2"/>
        <v/>
      </c>
      <c r="N35" s="68"/>
      <c r="O35" s="69" t="str">
        <f t="shared" si="3"/>
        <v/>
      </c>
      <c r="P35" s="66"/>
      <c r="Q35" s="68"/>
      <c r="R35" s="69" t="str">
        <f t="shared" si="4"/>
        <v/>
      </c>
      <c r="S35" s="67" t="str">
        <f t="shared" si="5"/>
        <v/>
      </c>
      <c r="T35" s="67" t="str">
        <f t="shared" si="6"/>
        <v/>
      </c>
      <c r="U35" s="63"/>
      <c r="V35" s="65"/>
      <c r="W35" s="70" t="str">
        <f t="shared" ca="1" si="7"/>
        <v/>
      </c>
      <c r="X35" s="67" t="str">
        <f t="shared" si="8"/>
        <v/>
      </c>
      <c r="Y35" s="70" t="str">
        <f t="shared" ca="1" si="9"/>
        <v/>
      </c>
      <c r="Z35" s="61" t="str">
        <f t="shared" ca="1" si="10"/>
        <v/>
      </c>
      <c r="AA35" s="70" t="str">
        <f t="shared" ca="1" si="11"/>
        <v/>
      </c>
      <c r="AB35" s="64"/>
      <c r="AC35" s="64"/>
    </row>
    <row r="36" spans="1:29" ht="15.75" customHeight="1" x14ac:dyDescent="0.25">
      <c r="A36" s="51" t="str">
        <f t="shared" si="0"/>
        <v/>
      </c>
      <c r="B36" s="52"/>
      <c r="C36" s="53"/>
      <c r="D36" s="53"/>
      <c r="E36" s="54"/>
      <c r="F36" s="54"/>
      <c r="G36" s="54"/>
      <c r="H36" s="54"/>
      <c r="I36" s="54"/>
      <c r="J36" s="55"/>
      <c r="K36" s="56"/>
      <c r="L36" s="57" t="str">
        <f t="shared" si="1"/>
        <v/>
      </c>
      <c r="M36" s="57" t="str">
        <f t="shared" si="2"/>
        <v/>
      </c>
      <c r="N36" s="58"/>
      <c r="O36" s="59" t="str">
        <f t="shared" si="3"/>
        <v/>
      </c>
      <c r="P36" s="56"/>
      <c r="Q36" s="58"/>
      <c r="R36" s="59" t="str">
        <f t="shared" si="4"/>
        <v/>
      </c>
      <c r="S36" s="57" t="str">
        <f t="shared" si="5"/>
        <v/>
      </c>
      <c r="T36" s="57" t="str">
        <f t="shared" si="6"/>
        <v/>
      </c>
      <c r="U36" s="53"/>
      <c r="V36" s="55"/>
      <c r="W36" s="60" t="str">
        <f t="shared" ca="1" si="7"/>
        <v/>
      </c>
      <c r="X36" s="57" t="str">
        <f t="shared" si="8"/>
        <v/>
      </c>
      <c r="Y36" s="60" t="str">
        <f t="shared" ca="1" si="9"/>
        <v/>
      </c>
      <c r="Z36" s="51" t="str">
        <f t="shared" ca="1" si="10"/>
        <v/>
      </c>
      <c r="AA36" s="60" t="str">
        <f t="shared" ca="1" si="11"/>
        <v/>
      </c>
      <c r="AB36" s="54"/>
      <c r="AC36" s="54"/>
    </row>
    <row r="37" spans="1:29" ht="15.75" customHeight="1" x14ac:dyDescent="0.25">
      <c r="A37" s="61" t="str">
        <f t="shared" si="0"/>
        <v/>
      </c>
      <c r="B37" s="62"/>
      <c r="C37" s="63"/>
      <c r="D37" s="63"/>
      <c r="E37" s="64"/>
      <c r="F37" s="64"/>
      <c r="G37" s="64"/>
      <c r="H37" s="64"/>
      <c r="I37" s="64"/>
      <c r="J37" s="65"/>
      <c r="K37" s="66"/>
      <c r="L37" s="67" t="str">
        <f t="shared" si="1"/>
        <v/>
      </c>
      <c r="M37" s="67" t="str">
        <f t="shared" si="2"/>
        <v/>
      </c>
      <c r="N37" s="68"/>
      <c r="O37" s="69" t="str">
        <f t="shared" si="3"/>
        <v/>
      </c>
      <c r="P37" s="66"/>
      <c r="Q37" s="68"/>
      <c r="R37" s="69" t="str">
        <f t="shared" si="4"/>
        <v/>
      </c>
      <c r="S37" s="67" t="str">
        <f t="shared" si="5"/>
        <v/>
      </c>
      <c r="T37" s="67" t="str">
        <f t="shared" si="6"/>
        <v/>
      </c>
      <c r="U37" s="63"/>
      <c r="V37" s="65"/>
      <c r="W37" s="70" t="str">
        <f t="shared" ca="1" si="7"/>
        <v/>
      </c>
      <c r="X37" s="67" t="str">
        <f t="shared" si="8"/>
        <v/>
      </c>
      <c r="Y37" s="70" t="str">
        <f t="shared" ca="1" si="9"/>
        <v/>
      </c>
      <c r="Z37" s="61" t="str">
        <f t="shared" ca="1" si="10"/>
        <v/>
      </c>
      <c r="AA37" s="70" t="str">
        <f t="shared" ca="1" si="11"/>
        <v/>
      </c>
      <c r="AB37" s="64"/>
      <c r="AC37" s="64"/>
    </row>
    <row r="38" spans="1:29" ht="15.75" customHeight="1" x14ac:dyDescent="0.25">
      <c r="A38" s="51" t="str">
        <f t="shared" si="0"/>
        <v/>
      </c>
      <c r="B38" s="52"/>
      <c r="C38" s="53"/>
      <c r="D38" s="53"/>
      <c r="E38" s="54"/>
      <c r="F38" s="54"/>
      <c r="G38" s="54"/>
      <c r="H38" s="54"/>
      <c r="I38" s="54"/>
      <c r="J38" s="55"/>
      <c r="K38" s="56"/>
      <c r="L38" s="57" t="str">
        <f t="shared" si="1"/>
        <v/>
      </c>
      <c r="M38" s="57" t="str">
        <f t="shared" si="2"/>
        <v/>
      </c>
      <c r="N38" s="58"/>
      <c r="O38" s="59" t="str">
        <f t="shared" si="3"/>
        <v/>
      </c>
      <c r="P38" s="56"/>
      <c r="Q38" s="58"/>
      <c r="R38" s="59" t="str">
        <f t="shared" si="4"/>
        <v/>
      </c>
      <c r="S38" s="57" t="str">
        <f t="shared" si="5"/>
        <v/>
      </c>
      <c r="T38" s="57" t="str">
        <f t="shared" si="6"/>
        <v/>
      </c>
      <c r="U38" s="53"/>
      <c r="V38" s="55"/>
      <c r="W38" s="60" t="str">
        <f t="shared" ca="1" si="7"/>
        <v/>
      </c>
      <c r="X38" s="57" t="str">
        <f t="shared" si="8"/>
        <v/>
      </c>
      <c r="Y38" s="60" t="str">
        <f t="shared" ca="1" si="9"/>
        <v/>
      </c>
      <c r="Z38" s="51" t="str">
        <f t="shared" ca="1" si="10"/>
        <v/>
      </c>
      <c r="AA38" s="60" t="str">
        <f t="shared" ca="1" si="11"/>
        <v/>
      </c>
      <c r="AB38" s="54"/>
      <c r="AC38" s="54"/>
    </row>
    <row r="39" spans="1:29" ht="15.75" customHeight="1" x14ac:dyDescent="0.25">
      <c r="A39" s="61" t="str">
        <f t="shared" si="0"/>
        <v/>
      </c>
      <c r="B39" s="62"/>
      <c r="C39" s="63"/>
      <c r="D39" s="63"/>
      <c r="E39" s="64"/>
      <c r="F39" s="64"/>
      <c r="G39" s="64"/>
      <c r="H39" s="64"/>
      <c r="I39" s="64"/>
      <c r="J39" s="65"/>
      <c r="K39" s="66"/>
      <c r="L39" s="67" t="str">
        <f t="shared" si="1"/>
        <v/>
      </c>
      <c r="M39" s="67" t="str">
        <f t="shared" si="2"/>
        <v/>
      </c>
      <c r="N39" s="68"/>
      <c r="O39" s="69" t="str">
        <f t="shared" si="3"/>
        <v/>
      </c>
      <c r="P39" s="66"/>
      <c r="Q39" s="68"/>
      <c r="R39" s="69" t="str">
        <f t="shared" si="4"/>
        <v/>
      </c>
      <c r="S39" s="67" t="str">
        <f t="shared" si="5"/>
        <v/>
      </c>
      <c r="T39" s="67" t="str">
        <f t="shared" si="6"/>
        <v/>
      </c>
      <c r="U39" s="63"/>
      <c r="V39" s="65"/>
      <c r="W39" s="70" t="str">
        <f t="shared" ca="1" si="7"/>
        <v/>
      </c>
      <c r="X39" s="67" t="str">
        <f t="shared" si="8"/>
        <v/>
      </c>
      <c r="Y39" s="70" t="str">
        <f t="shared" ca="1" si="9"/>
        <v/>
      </c>
      <c r="Z39" s="61" t="str">
        <f t="shared" ca="1" si="10"/>
        <v/>
      </c>
      <c r="AA39" s="70" t="str">
        <f t="shared" ca="1" si="11"/>
        <v/>
      </c>
      <c r="AB39" s="64"/>
      <c r="AC39" s="64"/>
    </row>
    <row r="40" spans="1:29" ht="15.75" customHeight="1" x14ac:dyDescent="0.25">
      <c r="A40" s="51" t="str">
        <f t="shared" si="0"/>
        <v/>
      </c>
      <c r="B40" s="52"/>
      <c r="C40" s="53"/>
      <c r="D40" s="53"/>
      <c r="E40" s="54"/>
      <c r="F40" s="54"/>
      <c r="G40" s="54"/>
      <c r="H40" s="54"/>
      <c r="I40" s="54"/>
      <c r="J40" s="55"/>
      <c r="K40" s="56"/>
      <c r="L40" s="57" t="str">
        <f t="shared" si="1"/>
        <v/>
      </c>
      <c r="M40" s="57" t="str">
        <f t="shared" si="2"/>
        <v/>
      </c>
      <c r="N40" s="58"/>
      <c r="O40" s="59" t="str">
        <f t="shared" si="3"/>
        <v/>
      </c>
      <c r="P40" s="56"/>
      <c r="Q40" s="58"/>
      <c r="R40" s="59" t="str">
        <f t="shared" si="4"/>
        <v/>
      </c>
      <c r="S40" s="57" t="str">
        <f t="shared" si="5"/>
        <v/>
      </c>
      <c r="T40" s="57" t="str">
        <f t="shared" si="6"/>
        <v/>
      </c>
      <c r="U40" s="53"/>
      <c r="V40" s="55"/>
      <c r="W40" s="60" t="str">
        <f t="shared" ca="1" si="7"/>
        <v/>
      </c>
      <c r="X40" s="57" t="str">
        <f t="shared" si="8"/>
        <v/>
      </c>
      <c r="Y40" s="60" t="str">
        <f t="shared" ca="1" si="9"/>
        <v/>
      </c>
      <c r="Z40" s="51" t="str">
        <f t="shared" ca="1" si="10"/>
        <v/>
      </c>
      <c r="AA40" s="60" t="str">
        <f t="shared" ca="1" si="11"/>
        <v/>
      </c>
      <c r="AB40" s="54"/>
      <c r="AC40" s="54"/>
    </row>
    <row r="41" spans="1:29" ht="15.75" customHeight="1" x14ac:dyDescent="0.25">
      <c r="A41" s="61" t="str">
        <f t="shared" si="0"/>
        <v/>
      </c>
      <c r="B41" s="62"/>
      <c r="C41" s="63"/>
      <c r="D41" s="63"/>
      <c r="E41" s="64"/>
      <c r="F41" s="64"/>
      <c r="G41" s="64"/>
      <c r="H41" s="64"/>
      <c r="I41" s="64"/>
      <c r="J41" s="65"/>
      <c r="K41" s="66"/>
      <c r="L41" s="67" t="str">
        <f t="shared" si="1"/>
        <v/>
      </c>
      <c r="M41" s="67" t="str">
        <f t="shared" si="2"/>
        <v/>
      </c>
      <c r="N41" s="68"/>
      <c r="O41" s="69" t="str">
        <f t="shared" si="3"/>
        <v/>
      </c>
      <c r="P41" s="66"/>
      <c r="Q41" s="68"/>
      <c r="R41" s="69" t="str">
        <f t="shared" si="4"/>
        <v/>
      </c>
      <c r="S41" s="67" t="str">
        <f t="shared" si="5"/>
        <v/>
      </c>
      <c r="T41" s="67" t="str">
        <f t="shared" si="6"/>
        <v/>
      </c>
      <c r="U41" s="63"/>
      <c r="V41" s="65"/>
      <c r="W41" s="70" t="str">
        <f t="shared" ca="1" si="7"/>
        <v/>
      </c>
      <c r="X41" s="67" t="str">
        <f t="shared" si="8"/>
        <v/>
      </c>
      <c r="Y41" s="70" t="str">
        <f t="shared" ca="1" si="9"/>
        <v/>
      </c>
      <c r="Z41" s="61" t="str">
        <f t="shared" ca="1" si="10"/>
        <v/>
      </c>
      <c r="AA41" s="70" t="str">
        <f t="shared" ca="1" si="11"/>
        <v/>
      </c>
      <c r="AB41" s="64"/>
      <c r="AC41" s="64"/>
    </row>
    <row r="42" spans="1:29" ht="15.75" customHeight="1" x14ac:dyDescent="0.25">
      <c r="A42" s="51" t="str">
        <f t="shared" si="0"/>
        <v/>
      </c>
      <c r="B42" s="52"/>
      <c r="C42" s="53"/>
      <c r="D42" s="53"/>
      <c r="E42" s="54"/>
      <c r="F42" s="54"/>
      <c r="G42" s="54"/>
      <c r="H42" s="54"/>
      <c r="I42" s="54"/>
      <c r="J42" s="55"/>
      <c r="K42" s="56"/>
      <c r="L42" s="57" t="str">
        <f t="shared" si="1"/>
        <v/>
      </c>
      <c r="M42" s="57" t="str">
        <f t="shared" si="2"/>
        <v/>
      </c>
      <c r="N42" s="58"/>
      <c r="O42" s="59" t="str">
        <f t="shared" si="3"/>
        <v/>
      </c>
      <c r="P42" s="56"/>
      <c r="Q42" s="58"/>
      <c r="R42" s="59" t="str">
        <f t="shared" si="4"/>
        <v/>
      </c>
      <c r="S42" s="57" t="str">
        <f t="shared" si="5"/>
        <v/>
      </c>
      <c r="T42" s="57" t="str">
        <f t="shared" si="6"/>
        <v/>
      </c>
      <c r="U42" s="53"/>
      <c r="V42" s="55"/>
      <c r="W42" s="60" t="str">
        <f t="shared" ca="1" si="7"/>
        <v/>
      </c>
      <c r="X42" s="57" t="str">
        <f t="shared" si="8"/>
        <v/>
      </c>
      <c r="Y42" s="60" t="str">
        <f t="shared" ca="1" si="9"/>
        <v/>
      </c>
      <c r="Z42" s="51" t="str">
        <f t="shared" ca="1" si="10"/>
        <v/>
      </c>
      <c r="AA42" s="60" t="str">
        <f t="shared" ca="1" si="11"/>
        <v/>
      </c>
      <c r="AB42" s="54"/>
      <c r="AC42" s="54"/>
    </row>
    <row r="43" spans="1:29" ht="15.75" customHeight="1" x14ac:dyDescent="0.25">
      <c r="A43" s="61" t="str">
        <f t="shared" si="0"/>
        <v/>
      </c>
      <c r="B43" s="62"/>
      <c r="C43" s="63"/>
      <c r="D43" s="63"/>
      <c r="E43" s="64"/>
      <c r="F43" s="64"/>
      <c r="G43" s="64"/>
      <c r="H43" s="64"/>
      <c r="I43" s="64"/>
      <c r="J43" s="65"/>
      <c r="K43" s="66"/>
      <c r="L43" s="67" t="str">
        <f t="shared" si="1"/>
        <v/>
      </c>
      <c r="M43" s="67" t="str">
        <f t="shared" si="2"/>
        <v/>
      </c>
      <c r="N43" s="68"/>
      <c r="O43" s="69" t="str">
        <f t="shared" si="3"/>
        <v/>
      </c>
      <c r="P43" s="66"/>
      <c r="Q43" s="68"/>
      <c r="R43" s="69" t="str">
        <f t="shared" si="4"/>
        <v/>
      </c>
      <c r="S43" s="67" t="str">
        <f t="shared" si="5"/>
        <v/>
      </c>
      <c r="T43" s="67" t="str">
        <f t="shared" si="6"/>
        <v/>
      </c>
      <c r="U43" s="63"/>
      <c r="V43" s="65"/>
      <c r="W43" s="70" t="str">
        <f t="shared" ca="1" si="7"/>
        <v/>
      </c>
      <c r="X43" s="67" t="str">
        <f t="shared" si="8"/>
        <v/>
      </c>
      <c r="Y43" s="70" t="str">
        <f t="shared" ca="1" si="9"/>
        <v/>
      </c>
      <c r="Z43" s="61" t="str">
        <f t="shared" ca="1" si="10"/>
        <v/>
      </c>
      <c r="AA43" s="70" t="str">
        <f t="shared" ca="1" si="11"/>
        <v/>
      </c>
      <c r="AB43" s="64"/>
      <c r="AC43" s="64"/>
    </row>
    <row r="44" spans="1:29" ht="15.75" customHeight="1" x14ac:dyDescent="0.25">
      <c r="A44" s="51" t="str">
        <f t="shared" si="0"/>
        <v/>
      </c>
      <c r="B44" s="52"/>
      <c r="C44" s="53"/>
      <c r="D44" s="53"/>
      <c r="E44" s="54"/>
      <c r="F44" s="54"/>
      <c r="G44" s="54"/>
      <c r="H44" s="54"/>
      <c r="I44" s="54"/>
      <c r="J44" s="55"/>
      <c r="K44" s="56"/>
      <c r="L44" s="57" t="str">
        <f t="shared" si="1"/>
        <v/>
      </c>
      <c r="M44" s="57" t="str">
        <f t="shared" si="2"/>
        <v/>
      </c>
      <c r="N44" s="58"/>
      <c r="O44" s="59" t="str">
        <f t="shared" si="3"/>
        <v/>
      </c>
      <c r="P44" s="56"/>
      <c r="Q44" s="58"/>
      <c r="R44" s="59" t="str">
        <f t="shared" si="4"/>
        <v/>
      </c>
      <c r="S44" s="57" t="str">
        <f t="shared" si="5"/>
        <v/>
      </c>
      <c r="T44" s="57" t="str">
        <f t="shared" si="6"/>
        <v/>
      </c>
      <c r="U44" s="53"/>
      <c r="V44" s="55"/>
      <c r="W44" s="60" t="str">
        <f t="shared" ca="1" si="7"/>
        <v/>
      </c>
      <c r="X44" s="57" t="str">
        <f t="shared" si="8"/>
        <v/>
      </c>
      <c r="Y44" s="60" t="str">
        <f t="shared" ca="1" si="9"/>
        <v/>
      </c>
      <c r="Z44" s="51" t="str">
        <f t="shared" ca="1" si="10"/>
        <v/>
      </c>
      <c r="AA44" s="60" t="str">
        <f t="shared" ca="1" si="11"/>
        <v/>
      </c>
      <c r="AB44" s="54"/>
      <c r="AC44" s="54"/>
    </row>
    <row r="45" spans="1:29" ht="15.75" customHeight="1" x14ac:dyDescent="0.25">
      <c r="A45" s="61" t="str">
        <f t="shared" si="0"/>
        <v/>
      </c>
      <c r="B45" s="62"/>
      <c r="C45" s="63"/>
      <c r="D45" s="63"/>
      <c r="E45" s="64"/>
      <c r="F45" s="64"/>
      <c r="G45" s="64"/>
      <c r="H45" s="64"/>
      <c r="I45" s="64"/>
      <c r="J45" s="65"/>
      <c r="K45" s="66"/>
      <c r="L45" s="67" t="str">
        <f t="shared" si="1"/>
        <v/>
      </c>
      <c r="M45" s="67" t="str">
        <f t="shared" si="2"/>
        <v/>
      </c>
      <c r="N45" s="68"/>
      <c r="O45" s="69" t="str">
        <f t="shared" si="3"/>
        <v/>
      </c>
      <c r="P45" s="66"/>
      <c r="Q45" s="68"/>
      <c r="R45" s="69" t="str">
        <f t="shared" si="4"/>
        <v/>
      </c>
      <c r="S45" s="67" t="str">
        <f t="shared" si="5"/>
        <v/>
      </c>
      <c r="T45" s="67" t="str">
        <f t="shared" si="6"/>
        <v/>
      </c>
      <c r="U45" s="63"/>
      <c r="V45" s="65"/>
      <c r="W45" s="70" t="str">
        <f t="shared" ca="1" si="7"/>
        <v/>
      </c>
      <c r="X45" s="67" t="str">
        <f t="shared" si="8"/>
        <v/>
      </c>
      <c r="Y45" s="70" t="str">
        <f t="shared" ca="1" si="9"/>
        <v/>
      </c>
      <c r="Z45" s="61" t="str">
        <f t="shared" ca="1" si="10"/>
        <v/>
      </c>
      <c r="AA45" s="70" t="str">
        <f t="shared" ca="1" si="11"/>
        <v/>
      </c>
      <c r="AB45" s="64"/>
      <c r="AC45" s="64"/>
    </row>
    <row r="46" spans="1:29" ht="15.75" customHeight="1" x14ac:dyDescent="0.25">
      <c r="A46" s="51" t="str">
        <f t="shared" si="0"/>
        <v/>
      </c>
      <c r="B46" s="52"/>
      <c r="C46" s="53"/>
      <c r="D46" s="53"/>
      <c r="E46" s="54"/>
      <c r="F46" s="54"/>
      <c r="G46" s="54"/>
      <c r="H46" s="54"/>
      <c r="I46" s="54"/>
      <c r="J46" s="55"/>
      <c r="K46" s="56"/>
      <c r="L46" s="57" t="str">
        <f t="shared" si="1"/>
        <v/>
      </c>
      <c r="M46" s="57" t="str">
        <f t="shared" si="2"/>
        <v/>
      </c>
      <c r="N46" s="58"/>
      <c r="O46" s="59" t="str">
        <f t="shared" si="3"/>
        <v/>
      </c>
      <c r="P46" s="56"/>
      <c r="Q46" s="58"/>
      <c r="R46" s="59" t="str">
        <f t="shared" si="4"/>
        <v/>
      </c>
      <c r="S46" s="57" t="str">
        <f t="shared" si="5"/>
        <v/>
      </c>
      <c r="T46" s="57" t="str">
        <f t="shared" si="6"/>
        <v/>
      </c>
      <c r="U46" s="53"/>
      <c r="V46" s="55"/>
      <c r="W46" s="60" t="str">
        <f t="shared" ca="1" si="7"/>
        <v/>
      </c>
      <c r="X46" s="57" t="str">
        <f t="shared" si="8"/>
        <v/>
      </c>
      <c r="Y46" s="60" t="str">
        <f t="shared" ca="1" si="9"/>
        <v/>
      </c>
      <c r="Z46" s="51" t="str">
        <f t="shared" ca="1" si="10"/>
        <v/>
      </c>
      <c r="AA46" s="60" t="str">
        <f t="shared" ca="1" si="11"/>
        <v/>
      </c>
      <c r="AB46" s="54"/>
      <c r="AC46" s="54"/>
    </row>
    <row r="47" spans="1:29" ht="15.75" customHeight="1" x14ac:dyDescent="0.25">
      <c r="A47" s="61" t="str">
        <f t="shared" si="0"/>
        <v/>
      </c>
      <c r="B47" s="62"/>
      <c r="C47" s="63"/>
      <c r="D47" s="63"/>
      <c r="E47" s="64"/>
      <c r="F47" s="64"/>
      <c r="G47" s="64"/>
      <c r="H47" s="64"/>
      <c r="I47" s="64"/>
      <c r="J47" s="65"/>
      <c r="K47" s="66"/>
      <c r="L47" s="67" t="str">
        <f t="shared" si="1"/>
        <v/>
      </c>
      <c r="M47" s="67" t="str">
        <f t="shared" si="2"/>
        <v/>
      </c>
      <c r="N47" s="68"/>
      <c r="O47" s="69" t="str">
        <f t="shared" si="3"/>
        <v/>
      </c>
      <c r="P47" s="66"/>
      <c r="Q47" s="68"/>
      <c r="R47" s="69" t="str">
        <f t="shared" si="4"/>
        <v/>
      </c>
      <c r="S47" s="67" t="str">
        <f t="shared" si="5"/>
        <v/>
      </c>
      <c r="T47" s="67" t="str">
        <f t="shared" si="6"/>
        <v/>
      </c>
      <c r="U47" s="63"/>
      <c r="V47" s="65"/>
      <c r="W47" s="70" t="str">
        <f t="shared" ca="1" si="7"/>
        <v/>
      </c>
      <c r="X47" s="67" t="str">
        <f t="shared" si="8"/>
        <v/>
      </c>
      <c r="Y47" s="70" t="str">
        <f t="shared" ca="1" si="9"/>
        <v/>
      </c>
      <c r="Z47" s="61" t="str">
        <f t="shared" ca="1" si="10"/>
        <v/>
      </c>
      <c r="AA47" s="70" t="str">
        <f t="shared" ca="1" si="11"/>
        <v/>
      </c>
      <c r="AB47" s="64"/>
      <c r="AC47" s="64"/>
    </row>
    <row r="48" spans="1:29" ht="19.5" customHeight="1" x14ac:dyDescent="0.25">
      <c r="A48" s="71" t="s">
        <v>250</v>
      </c>
      <c r="B48" s="72"/>
      <c r="C48" s="72"/>
      <c r="D48" s="72"/>
      <c r="E48" s="72"/>
      <c r="F48" s="72"/>
      <c r="G48" s="72"/>
      <c r="H48" s="72"/>
      <c r="I48" s="72"/>
      <c r="J48" s="73">
        <f>SUM(J8:J47)</f>
        <v>39467</v>
      </c>
      <c r="K48" s="72"/>
      <c r="L48" s="73">
        <f>SUM(L8:L47)</f>
        <v>6482.05</v>
      </c>
      <c r="M48" s="73">
        <f>SUM(M8:M47)</f>
        <v>45949.049999999996</v>
      </c>
      <c r="N48" s="72"/>
      <c r="O48" s="72"/>
      <c r="P48" s="72"/>
      <c r="Q48" s="72"/>
      <c r="R48" s="72"/>
      <c r="S48" s="73">
        <f>SUM(S8:S47)</f>
        <v>578.13000000000011</v>
      </c>
      <c r="T48" s="72"/>
      <c r="U48" s="72"/>
      <c r="V48" s="73">
        <f>SUM(V8:V47)</f>
        <v>31680.029999999995</v>
      </c>
      <c r="W48" s="72"/>
      <c r="X48" s="73">
        <f ca="1">SUM(X8:X47)</f>
        <v>13927.099999999999</v>
      </c>
      <c r="Y48" s="74" t="str">
        <f ca="1">COUNTIF(Y8:Y47,"Überfällig")&amp;" überfällig"</f>
        <v>5 überfällig</v>
      </c>
      <c r="Z48" s="72"/>
      <c r="AA48" s="72"/>
      <c r="AB48" s="72"/>
      <c r="AC48" s="72"/>
    </row>
  </sheetData>
  <autoFilter ref="A7:AC47" xr:uid="{00000000-0009-0000-0000-000002000000}"/>
  <mergeCells count="12">
    <mergeCell ref="AB6:AC6"/>
    <mergeCell ref="A6:E6"/>
    <mergeCell ref="F6:I6"/>
    <mergeCell ref="J6:M6"/>
    <mergeCell ref="N6:T6"/>
    <mergeCell ref="U6:AA6"/>
    <mergeCell ref="A1:M1"/>
    <mergeCell ref="N1:AC1"/>
    <mergeCell ref="A2:AC2"/>
    <mergeCell ref="A4:F4"/>
    <mergeCell ref="G4:L4"/>
    <mergeCell ref="M4:S4"/>
  </mergeCells>
  <conditionalFormatting sqref="A8:AC47">
    <cfRule type="expression" dxfId="6" priority="9">
      <formula>AND($E8&lt;&gt;"",$Y8="Überfällig")</formula>
    </cfRule>
  </conditionalFormatting>
  <conditionalFormatting sqref="W8:W47">
    <cfRule type="cellIs" dxfId="5" priority="6" operator="equal">
      <formula>"Frist läuft"</formula>
    </cfRule>
  </conditionalFormatting>
  <conditionalFormatting sqref="X8:X47">
    <cfRule type="dataBar" priority="8">
      <dataBar>
        <cfvo type="num" val="0"/>
        <cfvo type="max"/>
        <color rgb="FFC0663C"/>
      </dataBar>
      <extLst>
        <ext xmlns:x14="http://schemas.microsoft.com/office/spreadsheetml/2009/9/main" uri="{B025F937-C7B1-47D3-B67F-A62EFF666E3E}">
          <x14:id>{6E2B25CD-15E4-434C-9E5F-35536947B087}</x14:id>
        </ext>
      </extLst>
    </cfRule>
  </conditionalFormatting>
  <conditionalFormatting sqref="Y8:Y47">
    <cfRule type="cellIs" dxfId="4" priority="2" operator="equal">
      <formula>"Bezahlt"</formula>
    </cfRule>
    <cfRule type="cellIs" dxfId="3" priority="3" operator="equal">
      <formula>"Überfällig"</formula>
    </cfRule>
    <cfRule type="cellIs" dxfId="2" priority="4" operator="equal">
      <formula>"Offen"</formula>
    </cfRule>
    <cfRule type="cellIs" dxfId="1" priority="5" operator="equal">
      <formula>"Teilzahlung"</formula>
    </cfRule>
  </conditionalFormatting>
  <conditionalFormatting sqref="Z8:Z47">
    <cfRule type="cellIs" dxfId="0" priority="7" operator="lessThan">
      <formula>0</formula>
    </cfRule>
  </conditionalFormatting>
  <pageMargins left="0.75" right="0.75" top="1" bottom="1" header="0.511811023622047" footer="0.511811023622047"/>
  <pageSetup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2B25CD-15E4-434C-9E5F-35536947B087}">
            <x14:dataBar axisPosition="none">
              <x14:cfvo type="num">
                <xm:f>0</xm:f>
              </x14:cfvo>
              <x14:cfvo type="max"/>
              <x14:negativeFillColor rgb="FFC0663C"/>
            </x14:dataBar>
          </x14:cfRule>
          <xm:sqref>X8:X47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200-000000000000}">
          <x14:formula1>
            <xm:f>Stammdaten!$B$7:$B$18</xm:f>
          </x14:formula1>
          <x14:formula2>
            <xm:f>0</xm:f>
          </x14:formula2>
          <xm:sqref>F8:F47</xm:sqref>
        </x14:dataValidation>
        <x14:dataValidation type="list" allowBlank="1" xr:uid="{00000000-0002-0000-0200-000001000000}">
          <x14:formula1>
            <xm:f>Stammdaten!$G$7:$G$12</xm:f>
          </x14:formula1>
          <x14:formula2>
            <xm:f>0</xm:f>
          </x14:formula2>
          <xm:sqref>G8:G47</xm:sqref>
        </x14:dataValidation>
        <x14:dataValidation type="list" allowBlank="1" xr:uid="{00000000-0002-0000-0200-000002000000}">
          <x14:formula1>
            <xm:f>Stammdaten!$I$7:$I$18</xm:f>
          </x14:formula1>
          <x14:formula2>
            <xm:f>0</xm:f>
          </x14:formula2>
          <xm:sqref>H8:H47</xm:sqref>
        </x14:dataValidation>
        <x14:dataValidation type="list" allowBlank="1" xr:uid="{00000000-0002-0000-0200-000003000000}">
          <x14:formula1>
            <xm:f>Stammdaten!$K$7:$K$9</xm:f>
          </x14:formula1>
          <x14:formula2>
            <xm:f>0</xm:f>
          </x14:formula2>
          <xm:sqref>K8:K47</xm:sqref>
        </x14:dataValidation>
        <x14:dataValidation type="list" allowBlank="1" xr:uid="{00000000-0002-0000-0200-000004000000}">
          <x14:formula1>
            <xm:f>Stammdaten!$N$7:$N$11</xm:f>
          </x14:formula1>
          <x14:formula2>
            <xm:f>0</xm:f>
          </x14:formula2>
          <xm:sqref>AB8:AB47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</vt:lpstr>
      <vt:lpstr>Stammdaten</vt:lpstr>
      <vt:lpstr>Rechnungseingangsbuch</vt:lpstr>
      <vt:lpstr>Rechnungseingangsbuch!Drucktitel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2026-07-08T06:27:16Z</dcterms:created>
  <dcterms:modified xsi:type="dcterms:W3CDTF">2026-07-08T07:47:54Z</dcterms:modified>
  <dc:language>en-US</dc:language>
</cp:coreProperties>
</file>