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FD983987-4002-4BFC-827F-18423FA3A5EE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Dashboard" sheetId="1" r:id="rId1"/>
    <sheet name="Stammdaten" sheetId="2" r:id="rId2"/>
    <sheet name="Projekte" sheetId="3" r:id="rId3"/>
    <sheet name="Zeiterfassung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207" i="4" l="1"/>
  <c r="N207" i="4"/>
  <c r="Q207" i="4" s="1"/>
  <c r="H207" i="4"/>
  <c r="E207" i="4"/>
  <c r="D207" i="4"/>
  <c r="B207" i="4"/>
  <c r="P206" i="4"/>
  <c r="N206" i="4"/>
  <c r="Q206" i="4" s="1"/>
  <c r="H206" i="4"/>
  <c r="E206" i="4"/>
  <c r="D206" i="4"/>
  <c r="B206" i="4"/>
  <c r="Q205" i="4"/>
  <c r="P205" i="4"/>
  <c r="N205" i="4"/>
  <c r="H205" i="4"/>
  <c r="E205" i="4"/>
  <c r="D205" i="4"/>
  <c r="B205" i="4"/>
  <c r="P204" i="4"/>
  <c r="N204" i="4"/>
  <c r="Q204" i="4" s="1"/>
  <c r="H204" i="4"/>
  <c r="E204" i="4"/>
  <c r="D204" i="4"/>
  <c r="B204" i="4"/>
  <c r="Q203" i="4"/>
  <c r="P203" i="4"/>
  <c r="N203" i="4"/>
  <c r="H203" i="4"/>
  <c r="E203" i="4"/>
  <c r="D203" i="4"/>
  <c r="B203" i="4"/>
  <c r="Q202" i="4"/>
  <c r="P202" i="4"/>
  <c r="N202" i="4"/>
  <c r="H202" i="4"/>
  <c r="E202" i="4"/>
  <c r="D202" i="4"/>
  <c r="B202" i="4"/>
  <c r="P201" i="4"/>
  <c r="N201" i="4"/>
  <c r="Q201" i="4" s="1"/>
  <c r="H201" i="4"/>
  <c r="E201" i="4"/>
  <c r="D201" i="4"/>
  <c r="B201" i="4"/>
  <c r="Q200" i="4"/>
  <c r="P200" i="4"/>
  <c r="N200" i="4"/>
  <c r="H200" i="4"/>
  <c r="E200" i="4"/>
  <c r="D200" i="4"/>
  <c r="B200" i="4"/>
  <c r="Q199" i="4"/>
  <c r="P199" i="4"/>
  <c r="N199" i="4"/>
  <c r="H199" i="4"/>
  <c r="E199" i="4"/>
  <c r="D199" i="4"/>
  <c r="B199" i="4"/>
  <c r="Q198" i="4"/>
  <c r="P198" i="4"/>
  <c r="N198" i="4"/>
  <c r="H198" i="4"/>
  <c r="E198" i="4"/>
  <c r="D198" i="4"/>
  <c r="B198" i="4"/>
  <c r="Q197" i="4"/>
  <c r="P197" i="4"/>
  <c r="N197" i="4"/>
  <c r="H197" i="4"/>
  <c r="E197" i="4"/>
  <c r="D197" i="4"/>
  <c r="B197" i="4"/>
  <c r="Q196" i="4"/>
  <c r="P196" i="4"/>
  <c r="N196" i="4"/>
  <c r="H196" i="4"/>
  <c r="E196" i="4"/>
  <c r="D196" i="4"/>
  <c r="B196" i="4"/>
  <c r="Q195" i="4"/>
  <c r="P195" i="4"/>
  <c r="N195" i="4"/>
  <c r="H195" i="4"/>
  <c r="E195" i="4"/>
  <c r="D195" i="4"/>
  <c r="B195" i="4"/>
  <c r="Q194" i="4"/>
  <c r="P194" i="4"/>
  <c r="N194" i="4"/>
  <c r="H194" i="4"/>
  <c r="E194" i="4"/>
  <c r="D194" i="4"/>
  <c r="B194" i="4"/>
  <c r="P193" i="4"/>
  <c r="N193" i="4"/>
  <c r="Q193" i="4" s="1"/>
  <c r="H193" i="4"/>
  <c r="E193" i="4"/>
  <c r="D193" i="4"/>
  <c r="B193" i="4"/>
  <c r="P192" i="4"/>
  <c r="N192" i="4"/>
  <c r="Q192" i="4" s="1"/>
  <c r="H192" i="4"/>
  <c r="E192" i="4"/>
  <c r="D192" i="4"/>
  <c r="B192" i="4"/>
  <c r="Q191" i="4"/>
  <c r="P191" i="4"/>
  <c r="N191" i="4"/>
  <c r="H191" i="4"/>
  <c r="E191" i="4"/>
  <c r="D191" i="4"/>
  <c r="B191" i="4"/>
  <c r="Q190" i="4"/>
  <c r="P190" i="4"/>
  <c r="N190" i="4"/>
  <c r="H190" i="4"/>
  <c r="E190" i="4"/>
  <c r="D190" i="4"/>
  <c r="B190" i="4"/>
  <c r="P189" i="4"/>
  <c r="N189" i="4"/>
  <c r="Q189" i="4" s="1"/>
  <c r="H189" i="4"/>
  <c r="E189" i="4"/>
  <c r="D189" i="4"/>
  <c r="B189" i="4"/>
  <c r="Q188" i="4"/>
  <c r="P188" i="4"/>
  <c r="N188" i="4"/>
  <c r="H188" i="4"/>
  <c r="E188" i="4"/>
  <c r="D188" i="4"/>
  <c r="B188" i="4"/>
  <c r="P187" i="4"/>
  <c r="N187" i="4"/>
  <c r="Q187" i="4" s="1"/>
  <c r="H187" i="4"/>
  <c r="E187" i="4"/>
  <c r="D187" i="4"/>
  <c r="B187" i="4"/>
  <c r="P186" i="4"/>
  <c r="N186" i="4"/>
  <c r="Q186" i="4" s="1"/>
  <c r="H186" i="4"/>
  <c r="E186" i="4"/>
  <c r="D186" i="4"/>
  <c r="B186" i="4"/>
  <c r="Q185" i="4"/>
  <c r="P185" i="4"/>
  <c r="N185" i="4"/>
  <c r="H185" i="4"/>
  <c r="E185" i="4"/>
  <c r="D185" i="4"/>
  <c r="B185" i="4"/>
  <c r="P184" i="4"/>
  <c r="N184" i="4"/>
  <c r="Q184" i="4" s="1"/>
  <c r="H184" i="4"/>
  <c r="E184" i="4"/>
  <c r="D184" i="4"/>
  <c r="B184" i="4"/>
  <c r="Q183" i="4"/>
  <c r="P183" i="4"/>
  <c r="N183" i="4"/>
  <c r="H183" i="4"/>
  <c r="E183" i="4"/>
  <c r="D183" i="4"/>
  <c r="B183" i="4"/>
  <c r="Q182" i="4"/>
  <c r="P182" i="4"/>
  <c r="N182" i="4"/>
  <c r="H182" i="4"/>
  <c r="E182" i="4"/>
  <c r="D182" i="4"/>
  <c r="B182" i="4"/>
  <c r="P181" i="4"/>
  <c r="N181" i="4"/>
  <c r="Q181" i="4" s="1"/>
  <c r="H181" i="4"/>
  <c r="E181" i="4"/>
  <c r="D181" i="4"/>
  <c r="B181" i="4"/>
  <c r="Q180" i="4"/>
  <c r="P180" i="4"/>
  <c r="N180" i="4"/>
  <c r="H180" i="4"/>
  <c r="E180" i="4"/>
  <c r="D180" i="4"/>
  <c r="B180" i="4"/>
  <c r="Q179" i="4"/>
  <c r="P179" i="4"/>
  <c r="N179" i="4"/>
  <c r="H179" i="4"/>
  <c r="E179" i="4"/>
  <c r="D179" i="4"/>
  <c r="B179" i="4"/>
  <c r="Q178" i="4"/>
  <c r="P178" i="4"/>
  <c r="N178" i="4"/>
  <c r="H178" i="4"/>
  <c r="E178" i="4"/>
  <c r="D178" i="4"/>
  <c r="B178" i="4"/>
  <c r="Q177" i="4"/>
  <c r="P177" i="4"/>
  <c r="N177" i="4"/>
  <c r="H177" i="4"/>
  <c r="E177" i="4"/>
  <c r="D177" i="4"/>
  <c r="B177" i="4"/>
  <c r="Q176" i="4"/>
  <c r="P176" i="4"/>
  <c r="N176" i="4"/>
  <c r="H176" i="4"/>
  <c r="E176" i="4"/>
  <c r="D176" i="4"/>
  <c r="B176" i="4"/>
  <c r="Q175" i="4"/>
  <c r="P175" i="4"/>
  <c r="N175" i="4"/>
  <c r="H175" i="4"/>
  <c r="E175" i="4"/>
  <c r="D175" i="4"/>
  <c r="B175" i="4"/>
  <c r="Q174" i="4"/>
  <c r="P174" i="4"/>
  <c r="N174" i="4"/>
  <c r="H174" i="4"/>
  <c r="E174" i="4"/>
  <c r="D174" i="4"/>
  <c r="B174" i="4"/>
  <c r="P173" i="4"/>
  <c r="N173" i="4"/>
  <c r="Q173" i="4" s="1"/>
  <c r="H173" i="4"/>
  <c r="E173" i="4"/>
  <c r="D173" i="4"/>
  <c r="B173" i="4"/>
  <c r="P172" i="4"/>
  <c r="N172" i="4"/>
  <c r="Q172" i="4" s="1"/>
  <c r="H172" i="4"/>
  <c r="E172" i="4"/>
  <c r="D172" i="4"/>
  <c r="B172" i="4"/>
  <c r="Q171" i="4"/>
  <c r="P171" i="4"/>
  <c r="N171" i="4"/>
  <c r="H171" i="4"/>
  <c r="E171" i="4"/>
  <c r="D171" i="4"/>
  <c r="B171" i="4"/>
  <c r="Q170" i="4"/>
  <c r="P170" i="4"/>
  <c r="N170" i="4"/>
  <c r="H170" i="4"/>
  <c r="E170" i="4"/>
  <c r="D170" i="4"/>
  <c r="B170" i="4"/>
  <c r="P169" i="4"/>
  <c r="N169" i="4"/>
  <c r="Q169" i="4" s="1"/>
  <c r="H169" i="4"/>
  <c r="E169" i="4"/>
  <c r="D169" i="4"/>
  <c r="B169" i="4"/>
  <c r="Q168" i="4"/>
  <c r="P168" i="4"/>
  <c r="N168" i="4"/>
  <c r="H168" i="4"/>
  <c r="E168" i="4"/>
  <c r="D168" i="4"/>
  <c r="B168" i="4"/>
  <c r="P167" i="4"/>
  <c r="N167" i="4"/>
  <c r="Q167" i="4" s="1"/>
  <c r="H167" i="4"/>
  <c r="E167" i="4"/>
  <c r="D167" i="4"/>
  <c r="B167" i="4"/>
  <c r="P166" i="4"/>
  <c r="N166" i="4"/>
  <c r="Q166" i="4" s="1"/>
  <c r="H166" i="4"/>
  <c r="E166" i="4"/>
  <c r="D166" i="4"/>
  <c r="B166" i="4"/>
  <c r="Q165" i="4"/>
  <c r="P165" i="4"/>
  <c r="N165" i="4"/>
  <c r="H165" i="4"/>
  <c r="E165" i="4"/>
  <c r="D165" i="4"/>
  <c r="B165" i="4"/>
  <c r="P164" i="4"/>
  <c r="N164" i="4"/>
  <c r="Q164" i="4" s="1"/>
  <c r="H164" i="4"/>
  <c r="E164" i="4"/>
  <c r="D164" i="4"/>
  <c r="B164" i="4"/>
  <c r="Q163" i="4"/>
  <c r="P163" i="4"/>
  <c r="N163" i="4"/>
  <c r="H163" i="4"/>
  <c r="E163" i="4"/>
  <c r="D163" i="4"/>
  <c r="B163" i="4"/>
  <c r="Q162" i="4"/>
  <c r="P162" i="4"/>
  <c r="N162" i="4"/>
  <c r="H162" i="4"/>
  <c r="E162" i="4"/>
  <c r="D162" i="4"/>
  <c r="B162" i="4"/>
  <c r="P161" i="4"/>
  <c r="N161" i="4"/>
  <c r="Q161" i="4" s="1"/>
  <c r="H161" i="4"/>
  <c r="E161" i="4"/>
  <c r="D161" i="4"/>
  <c r="B161" i="4"/>
  <c r="Q160" i="4"/>
  <c r="P160" i="4"/>
  <c r="N160" i="4"/>
  <c r="H160" i="4"/>
  <c r="E160" i="4"/>
  <c r="D160" i="4"/>
  <c r="B160" i="4"/>
  <c r="Q159" i="4"/>
  <c r="P159" i="4"/>
  <c r="N159" i="4"/>
  <c r="H159" i="4"/>
  <c r="E159" i="4"/>
  <c r="D159" i="4"/>
  <c r="B159" i="4"/>
  <c r="Q158" i="4"/>
  <c r="P158" i="4"/>
  <c r="N158" i="4"/>
  <c r="H158" i="4"/>
  <c r="E158" i="4"/>
  <c r="D158" i="4"/>
  <c r="B158" i="4"/>
  <c r="Q157" i="4"/>
  <c r="P157" i="4"/>
  <c r="N157" i="4"/>
  <c r="H157" i="4"/>
  <c r="E157" i="4"/>
  <c r="D157" i="4"/>
  <c r="B157" i="4"/>
  <c r="Q156" i="4"/>
  <c r="P156" i="4"/>
  <c r="N156" i="4"/>
  <c r="H156" i="4"/>
  <c r="E156" i="4"/>
  <c r="D156" i="4"/>
  <c r="B156" i="4"/>
  <c r="Q155" i="4"/>
  <c r="P155" i="4"/>
  <c r="N155" i="4"/>
  <c r="H155" i="4"/>
  <c r="E155" i="4"/>
  <c r="D155" i="4"/>
  <c r="B155" i="4"/>
  <c r="Q154" i="4"/>
  <c r="P154" i="4"/>
  <c r="N154" i="4"/>
  <c r="H154" i="4"/>
  <c r="E154" i="4"/>
  <c r="D154" i="4"/>
  <c r="B154" i="4"/>
  <c r="P153" i="4"/>
  <c r="N153" i="4"/>
  <c r="Q153" i="4" s="1"/>
  <c r="H153" i="4"/>
  <c r="E153" i="4"/>
  <c r="D153" i="4"/>
  <c r="B153" i="4"/>
  <c r="P152" i="4"/>
  <c r="N152" i="4"/>
  <c r="Q152" i="4" s="1"/>
  <c r="H152" i="4"/>
  <c r="E152" i="4"/>
  <c r="D152" i="4"/>
  <c r="B152" i="4"/>
  <c r="Q151" i="4"/>
  <c r="P151" i="4"/>
  <c r="N151" i="4"/>
  <c r="H151" i="4"/>
  <c r="E151" i="4"/>
  <c r="D151" i="4"/>
  <c r="B151" i="4"/>
  <c r="Q150" i="4"/>
  <c r="P150" i="4"/>
  <c r="N150" i="4"/>
  <c r="H150" i="4"/>
  <c r="E150" i="4"/>
  <c r="D150" i="4"/>
  <c r="B150" i="4"/>
  <c r="P149" i="4"/>
  <c r="N149" i="4"/>
  <c r="Q149" i="4" s="1"/>
  <c r="H149" i="4"/>
  <c r="E149" i="4"/>
  <c r="D149" i="4"/>
  <c r="B149" i="4"/>
  <c r="Q148" i="4"/>
  <c r="P148" i="4"/>
  <c r="N148" i="4"/>
  <c r="H148" i="4"/>
  <c r="E148" i="4"/>
  <c r="D148" i="4"/>
  <c r="B148" i="4"/>
  <c r="P147" i="4"/>
  <c r="N147" i="4"/>
  <c r="Q147" i="4" s="1"/>
  <c r="H147" i="4"/>
  <c r="E147" i="4"/>
  <c r="D147" i="4"/>
  <c r="B147" i="4"/>
  <c r="P146" i="4"/>
  <c r="N146" i="4"/>
  <c r="Q146" i="4" s="1"/>
  <c r="H146" i="4"/>
  <c r="E146" i="4"/>
  <c r="D146" i="4"/>
  <c r="B146" i="4"/>
  <c r="Q145" i="4"/>
  <c r="P145" i="4"/>
  <c r="N145" i="4"/>
  <c r="H145" i="4"/>
  <c r="E145" i="4"/>
  <c r="D145" i="4"/>
  <c r="B145" i="4"/>
  <c r="P144" i="4"/>
  <c r="N144" i="4"/>
  <c r="Q144" i="4" s="1"/>
  <c r="H144" i="4"/>
  <c r="E144" i="4"/>
  <c r="D144" i="4"/>
  <c r="B144" i="4"/>
  <c r="Q143" i="4"/>
  <c r="P143" i="4"/>
  <c r="N143" i="4"/>
  <c r="H143" i="4"/>
  <c r="E143" i="4"/>
  <c r="D143" i="4"/>
  <c r="B143" i="4"/>
  <c r="Q142" i="4"/>
  <c r="P142" i="4"/>
  <c r="N142" i="4"/>
  <c r="H142" i="4"/>
  <c r="E142" i="4"/>
  <c r="D142" i="4"/>
  <c r="B142" i="4"/>
  <c r="P141" i="4"/>
  <c r="N141" i="4"/>
  <c r="Q141" i="4" s="1"/>
  <c r="H141" i="4"/>
  <c r="E141" i="4"/>
  <c r="D141" i="4"/>
  <c r="B141" i="4"/>
  <c r="Q140" i="4"/>
  <c r="P140" i="4"/>
  <c r="N140" i="4"/>
  <c r="H140" i="4"/>
  <c r="E140" i="4"/>
  <c r="D140" i="4"/>
  <c r="B140" i="4"/>
  <c r="Q139" i="4"/>
  <c r="P139" i="4"/>
  <c r="N139" i="4"/>
  <c r="H139" i="4"/>
  <c r="E139" i="4"/>
  <c r="D139" i="4"/>
  <c r="B139" i="4"/>
  <c r="Q138" i="4"/>
  <c r="P138" i="4"/>
  <c r="N138" i="4"/>
  <c r="H138" i="4"/>
  <c r="E138" i="4"/>
  <c r="D138" i="4"/>
  <c r="B138" i="4"/>
  <c r="Q137" i="4"/>
  <c r="P137" i="4"/>
  <c r="N137" i="4"/>
  <c r="H137" i="4"/>
  <c r="E137" i="4"/>
  <c r="D137" i="4"/>
  <c r="B137" i="4"/>
  <c r="Q136" i="4"/>
  <c r="P136" i="4"/>
  <c r="N136" i="4"/>
  <c r="H136" i="4"/>
  <c r="E136" i="4"/>
  <c r="D136" i="4"/>
  <c r="B136" i="4"/>
  <c r="Q135" i="4"/>
  <c r="P135" i="4"/>
  <c r="N135" i="4"/>
  <c r="H135" i="4"/>
  <c r="E135" i="4"/>
  <c r="D135" i="4"/>
  <c r="B135" i="4"/>
  <c r="Q134" i="4"/>
  <c r="P134" i="4"/>
  <c r="N134" i="4"/>
  <c r="H134" i="4"/>
  <c r="E134" i="4"/>
  <c r="D134" i="4"/>
  <c r="B134" i="4"/>
  <c r="P133" i="4"/>
  <c r="N133" i="4"/>
  <c r="Q133" i="4" s="1"/>
  <c r="H133" i="4"/>
  <c r="E133" i="4"/>
  <c r="D133" i="4"/>
  <c r="B133" i="4"/>
  <c r="P132" i="4"/>
  <c r="N132" i="4"/>
  <c r="Q132" i="4" s="1"/>
  <c r="H132" i="4"/>
  <c r="E132" i="4"/>
  <c r="D132" i="4"/>
  <c r="B132" i="4"/>
  <c r="Q131" i="4"/>
  <c r="P131" i="4"/>
  <c r="N131" i="4"/>
  <c r="H131" i="4"/>
  <c r="E131" i="4"/>
  <c r="D131" i="4"/>
  <c r="B131" i="4"/>
  <c r="Q130" i="4"/>
  <c r="P130" i="4"/>
  <c r="N130" i="4"/>
  <c r="H130" i="4"/>
  <c r="E130" i="4"/>
  <c r="D130" i="4"/>
  <c r="B130" i="4"/>
  <c r="P129" i="4"/>
  <c r="N129" i="4"/>
  <c r="Q129" i="4" s="1"/>
  <c r="H129" i="4"/>
  <c r="E129" i="4"/>
  <c r="D129" i="4"/>
  <c r="B129" i="4"/>
  <c r="Q128" i="4"/>
  <c r="P128" i="4"/>
  <c r="N128" i="4"/>
  <c r="H128" i="4"/>
  <c r="E128" i="4"/>
  <c r="D128" i="4"/>
  <c r="B128" i="4"/>
  <c r="P127" i="4"/>
  <c r="N127" i="4"/>
  <c r="Q127" i="4" s="1"/>
  <c r="H127" i="4"/>
  <c r="E127" i="4"/>
  <c r="D127" i="4"/>
  <c r="B127" i="4"/>
  <c r="P126" i="4"/>
  <c r="N126" i="4"/>
  <c r="Q126" i="4" s="1"/>
  <c r="H126" i="4"/>
  <c r="E126" i="4"/>
  <c r="D126" i="4"/>
  <c r="B126" i="4"/>
  <c r="Q125" i="4"/>
  <c r="P125" i="4"/>
  <c r="N125" i="4"/>
  <c r="H125" i="4"/>
  <c r="E125" i="4"/>
  <c r="D125" i="4"/>
  <c r="B125" i="4"/>
  <c r="P124" i="4"/>
  <c r="N124" i="4"/>
  <c r="Q124" i="4" s="1"/>
  <c r="H124" i="4"/>
  <c r="E124" i="4"/>
  <c r="D124" i="4"/>
  <c r="B124" i="4"/>
  <c r="Q123" i="4"/>
  <c r="P123" i="4"/>
  <c r="N123" i="4"/>
  <c r="H123" i="4"/>
  <c r="E123" i="4"/>
  <c r="D123" i="4"/>
  <c r="B123" i="4"/>
  <c r="Q122" i="4"/>
  <c r="P122" i="4"/>
  <c r="N122" i="4"/>
  <c r="H122" i="4"/>
  <c r="E122" i="4"/>
  <c r="D122" i="4"/>
  <c r="B122" i="4"/>
  <c r="P121" i="4"/>
  <c r="N121" i="4"/>
  <c r="Q121" i="4" s="1"/>
  <c r="H121" i="4"/>
  <c r="E121" i="4"/>
  <c r="D121" i="4"/>
  <c r="B121" i="4"/>
  <c r="Q120" i="4"/>
  <c r="P120" i="4"/>
  <c r="N120" i="4"/>
  <c r="H120" i="4"/>
  <c r="E120" i="4"/>
  <c r="D120" i="4"/>
  <c r="B120" i="4"/>
  <c r="Q119" i="4"/>
  <c r="P119" i="4"/>
  <c r="N119" i="4"/>
  <c r="H119" i="4"/>
  <c r="E119" i="4"/>
  <c r="D119" i="4"/>
  <c r="B119" i="4"/>
  <c r="Q118" i="4"/>
  <c r="P118" i="4"/>
  <c r="N118" i="4"/>
  <c r="H118" i="4"/>
  <c r="E118" i="4"/>
  <c r="D118" i="4"/>
  <c r="B118" i="4"/>
  <c r="Q117" i="4"/>
  <c r="P117" i="4"/>
  <c r="N117" i="4"/>
  <c r="H117" i="4"/>
  <c r="E117" i="4"/>
  <c r="D117" i="4"/>
  <c r="B117" i="4"/>
  <c r="Q116" i="4"/>
  <c r="P116" i="4"/>
  <c r="N116" i="4"/>
  <c r="H116" i="4"/>
  <c r="E116" i="4"/>
  <c r="D116" i="4"/>
  <c r="B116" i="4"/>
  <c r="Q115" i="4"/>
  <c r="P115" i="4"/>
  <c r="N115" i="4"/>
  <c r="H115" i="4"/>
  <c r="E115" i="4"/>
  <c r="D115" i="4"/>
  <c r="B115" i="4"/>
  <c r="Q114" i="4"/>
  <c r="P114" i="4"/>
  <c r="N114" i="4"/>
  <c r="H114" i="4"/>
  <c r="E114" i="4"/>
  <c r="D114" i="4"/>
  <c r="B114" i="4"/>
  <c r="P113" i="4"/>
  <c r="N113" i="4"/>
  <c r="Q113" i="4" s="1"/>
  <c r="H113" i="4"/>
  <c r="E113" i="4"/>
  <c r="D113" i="4"/>
  <c r="B113" i="4"/>
  <c r="P112" i="4"/>
  <c r="N112" i="4"/>
  <c r="Q112" i="4" s="1"/>
  <c r="H112" i="4"/>
  <c r="E112" i="4"/>
  <c r="D112" i="4"/>
  <c r="B112" i="4"/>
  <c r="Q111" i="4"/>
  <c r="P111" i="4"/>
  <c r="N111" i="4"/>
  <c r="H111" i="4"/>
  <c r="E111" i="4"/>
  <c r="D111" i="4"/>
  <c r="B111" i="4"/>
  <c r="Q110" i="4"/>
  <c r="P110" i="4"/>
  <c r="N110" i="4"/>
  <c r="H110" i="4"/>
  <c r="E110" i="4"/>
  <c r="D110" i="4"/>
  <c r="B110" i="4"/>
  <c r="P109" i="4"/>
  <c r="N109" i="4"/>
  <c r="Q109" i="4" s="1"/>
  <c r="H109" i="4"/>
  <c r="E109" i="4"/>
  <c r="D109" i="4"/>
  <c r="B109" i="4"/>
  <c r="Q108" i="4"/>
  <c r="P108" i="4"/>
  <c r="N108" i="4"/>
  <c r="H108" i="4"/>
  <c r="E108" i="4"/>
  <c r="D108" i="4"/>
  <c r="B108" i="4"/>
  <c r="P107" i="4"/>
  <c r="N107" i="4"/>
  <c r="Q107" i="4" s="1"/>
  <c r="H107" i="4"/>
  <c r="E107" i="4"/>
  <c r="D107" i="4"/>
  <c r="B107" i="4"/>
  <c r="P106" i="4"/>
  <c r="N106" i="4"/>
  <c r="Q106" i="4" s="1"/>
  <c r="H106" i="4"/>
  <c r="E106" i="4"/>
  <c r="D106" i="4"/>
  <c r="B106" i="4"/>
  <c r="Q105" i="4"/>
  <c r="P105" i="4"/>
  <c r="N105" i="4"/>
  <c r="H105" i="4"/>
  <c r="E105" i="4"/>
  <c r="D105" i="4"/>
  <c r="B105" i="4"/>
  <c r="P104" i="4"/>
  <c r="N104" i="4"/>
  <c r="Q104" i="4" s="1"/>
  <c r="H104" i="4"/>
  <c r="E104" i="4"/>
  <c r="D104" i="4"/>
  <c r="B104" i="4"/>
  <c r="Q103" i="4"/>
  <c r="P103" i="4"/>
  <c r="N103" i="4"/>
  <c r="H103" i="4"/>
  <c r="E103" i="4"/>
  <c r="D103" i="4"/>
  <c r="B103" i="4"/>
  <c r="Q102" i="4"/>
  <c r="P102" i="4"/>
  <c r="N102" i="4"/>
  <c r="H102" i="4"/>
  <c r="E102" i="4"/>
  <c r="D102" i="4"/>
  <c r="B102" i="4"/>
  <c r="P101" i="4"/>
  <c r="N101" i="4"/>
  <c r="Q101" i="4" s="1"/>
  <c r="H101" i="4"/>
  <c r="E101" i="4"/>
  <c r="D101" i="4"/>
  <c r="B101" i="4"/>
  <c r="Q100" i="4"/>
  <c r="P100" i="4"/>
  <c r="N100" i="4"/>
  <c r="H100" i="4"/>
  <c r="E100" i="4"/>
  <c r="D100" i="4"/>
  <c r="B100" i="4"/>
  <c r="Q99" i="4"/>
  <c r="P99" i="4"/>
  <c r="N99" i="4"/>
  <c r="H99" i="4"/>
  <c r="E99" i="4"/>
  <c r="D99" i="4"/>
  <c r="B99" i="4"/>
  <c r="Q98" i="4"/>
  <c r="P98" i="4"/>
  <c r="N98" i="4"/>
  <c r="H98" i="4"/>
  <c r="E98" i="4"/>
  <c r="D98" i="4"/>
  <c r="B98" i="4"/>
  <c r="Q97" i="4"/>
  <c r="P97" i="4"/>
  <c r="N97" i="4"/>
  <c r="H97" i="4"/>
  <c r="E97" i="4"/>
  <c r="D97" i="4"/>
  <c r="B97" i="4"/>
  <c r="Q96" i="4"/>
  <c r="P96" i="4"/>
  <c r="N96" i="4"/>
  <c r="H96" i="4"/>
  <c r="E96" i="4"/>
  <c r="D96" i="4"/>
  <c r="B96" i="4"/>
  <c r="Q95" i="4"/>
  <c r="P95" i="4"/>
  <c r="N95" i="4"/>
  <c r="H95" i="4"/>
  <c r="E95" i="4"/>
  <c r="D95" i="4"/>
  <c r="B95" i="4"/>
  <c r="Q94" i="4"/>
  <c r="P94" i="4"/>
  <c r="N94" i="4"/>
  <c r="H94" i="4"/>
  <c r="E94" i="4"/>
  <c r="D94" i="4"/>
  <c r="B94" i="4"/>
  <c r="P93" i="4"/>
  <c r="N93" i="4"/>
  <c r="Q93" i="4" s="1"/>
  <c r="H93" i="4"/>
  <c r="E93" i="4"/>
  <c r="D93" i="4"/>
  <c r="B93" i="4"/>
  <c r="P92" i="4"/>
  <c r="N92" i="4"/>
  <c r="Q92" i="4" s="1"/>
  <c r="H92" i="4"/>
  <c r="E92" i="4"/>
  <c r="D92" i="4"/>
  <c r="B92" i="4"/>
  <c r="Q91" i="4"/>
  <c r="P91" i="4"/>
  <c r="N91" i="4"/>
  <c r="H91" i="4"/>
  <c r="E91" i="4"/>
  <c r="D91" i="4"/>
  <c r="B91" i="4"/>
  <c r="Q90" i="4"/>
  <c r="P90" i="4"/>
  <c r="N90" i="4"/>
  <c r="H90" i="4"/>
  <c r="E90" i="4"/>
  <c r="D90" i="4"/>
  <c r="B90" i="4"/>
  <c r="P89" i="4"/>
  <c r="N89" i="4"/>
  <c r="Q89" i="4" s="1"/>
  <c r="H89" i="4"/>
  <c r="E89" i="4"/>
  <c r="D89" i="4"/>
  <c r="B89" i="4"/>
  <c r="Q88" i="4"/>
  <c r="P88" i="4"/>
  <c r="N88" i="4"/>
  <c r="H88" i="4"/>
  <c r="E88" i="4"/>
  <c r="D88" i="4"/>
  <c r="B88" i="4"/>
  <c r="P87" i="4"/>
  <c r="N87" i="4"/>
  <c r="Q87" i="4" s="1"/>
  <c r="H87" i="4"/>
  <c r="E87" i="4"/>
  <c r="D87" i="4"/>
  <c r="B87" i="4"/>
  <c r="P86" i="4"/>
  <c r="N86" i="4"/>
  <c r="Q86" i="4" s="1"/>
  <c r="H86" i="4"/>
  <c r="E86" i="4"/>
  <c r="D86" i="4"/>
  <c r="B86" i="4"/>
  <c r="Q85" i="4"/>
  <c r="P85" i="4"/>
  <c r="N85" i="4"/>
  <c r="H85" i="4"/>
  <c r="E85" i="4"/>
  <c r="D85" i="4"/>
  <c r="B85" i="4"/>
  <c r="P84" i="4"/>
  <c r="N84" i="4"/>
  <c r="Q84" i="4" s="1"/>
  <c r="H84" i="4"/>
  <c r="E84" i="4"/>
  <c r="D84" i="4"/>
  <c r="B84" i="4"/>
  <c r="Q83" i="4"/>
  <c r="P83" i="4"/>
  <c r="N83" i="4"/>
  <c r="H83" i="4"/>
  <c r="E83" i="4"/>
  <c r="D83" i="4"/>
  <c r="B83" i="4"/>
  <c r="Q82" i="4"/>
  <c r="P82" i="4"/>
  <c r="N82" i="4"/>
  <c r="H82" i="4"/>
  <c r="E82" i="4"/>
  <c r="D82" i="4"/>
  <c r="B82" i="4"/>
  <c r="P81" i="4"/>
  <c r="N81" i="4"/>
  <c r="Q81" i="4" s="1"/>
  <c r="H81" i="4"/>
  <c r="E81" i="4"/>
  <c r="D81" i="4"/>
  <c r="B81" i="4"/>
  <c r="Q80" i="4"/>
  <c r="P80" i="4"/>
  <c r="N80" i="4"/>
  <c r="H80" i="4"/>
  <c r="E80" i="4"/>
  <c r="D80" i="4"/>
  <c r="B80" i="4"/>
  <c r="Q79" i="4"/>
  <c r="P79" i="4"/>
  <c r="N79" i="4"/>
  <c r="H79" i="4"/>
  <c r="E79" i="4"/>
  <c r="D79" i="4"/>
  <c r="B79" i="4"/>
  <c r="Q78" i="4"/>
  <c r="P78" i="4"/>
  <c r="N78" i="4"/>
  <c r="H78" i="4"/>
  <c r="E78" i="4"/>
  <c r="D78" i="4"/>
  <c r="B78" i="4"/>
  <c r="Q77" i="4"/>
  <c r="P77" i="4"/>
  <c r="N77" i="4"/>
  <c r="H77" i="4"/>
  <c r="E77" i="4"/>
  <c r="D77" i="4"/>
  <c r="B77" i="4"/>
  <c r="Q76" i="4"/>
  <c r="P76" i="4"/>
  <c r="N76" i="4"/>
  <c r="H76" i="4"/>
  <c r="E76" i="4"/>
  <c r="D76" i="4"/>
  <c r="B76" i="4"/>
  <c r="Q75" i="4"/>
  <c r="P75" i="4"/>
  <c r="N75" i="4"/>
  <c r="H75" i="4"/>
  <c r="E75" i="4"/>
  <c r="D75" i="4"/>
  <c r="B75" i="4"/>
  <c r="Q74" i="4"/>
  <c r="P74" i="4"/>
  <c r="N74" i="4"/>
  <c r="H74" i="4"/>
  <c r="E74" i="4"/>
  <c r="D74" i="4"/>
  <c r="B74" i="4"/>
  <c r="P73" i="4"/>
  <c r="N73" i="4"/>
  <c r="Q73" i="4" s="1"/>
  <c r="H73" i="4"/>
  <c r="E73" i="4"/>
  <c r="D73" i="4"/>
  <c r="B73" i="4"/>
  <c r="P72" i="4"/>
  <c r="N72" i="4"/>
  <c r="Q72" i="4" s="1"/>
  <c r="H72" i="4"/>
  <c r="E72" i="4"/>
  <c r="D72" i="4"/>
  <c r="B72" i="4"/>
  <c r="Q71" i="4"/>
  <c r="P71" i="4"/>
  <c r="N71" i="4"/>
  <c r="H71" i="4"/>
  <c r="E71" i="4"/>
  <c r="D71" i="4"/>
  <c r="B71" i="4"/>
  <c r="Q70" i="4"/>
  <c r="P70" i="4"/>
  <c r="N70" i="4"/>
  <c r="H70" i="4"/>
  <c r="E70" i="4"/>
  <c r="D70" i="4"/>
  <c r="B70" i="4"/>
  <c r="P69" i="4"/>
  <c r="N69" i="4"/>
  <c r="Q69" i="4" s="1"/>
  <c r="H69" i="4"/>
  <c r="E69" i="4"/>
  <c r="D69" i="4"/>
  <c r="B69" i="4"/>
  <c r="Q68" i="4"/>
  <c r="P68" i="4"/>
  <c r="N68" i="4"/>
  <c r="H68" i="4"/>
  <c r="E68" i="4"/>
  <c r="D68" i="4"/>
  <c r="B68" i="4"/>
  <c r="P67" i="4"/>
  <c r="N67" i="4"/>
  <c r="Q67" i="4" s="1"/>
  <c r="H67" i="4"/>
  <c r="E67" i="4"/>
  <c r="D67" i="4"/>
  <c r="B67" i="4"/>
  <c r="P66" i="4"/>
  <c r="N66" i="4"/>
  <c r="Q66" i="4" s="1"/>
  <c r="H66" i="4"/>
  <c r="E66" i="4"/>
  <c r="D66" i="4"/>
  <c r="B66" i="4"/>
  <c r="Q65" i="4"/>
  <c r="P65" i="4"/>
  <c r="N65" i="4"/>
  <c r="H65" i="4"/>
  <c r="E65" i="4"/>
  <c r="D65" i="4"/>
  <c r="B65" i="4"/>
  <c r="P64" i="4"/>
  <c r="N64" i="4"/>
  <c r="Q64" i="4" s="1"/>
  <c r="H64" i="4"/>
  <c r="E64" i="4"/>
  <c r="D64" i="4"/>
  <c r="B64" i="4"/>
  <c r="Q63" i="4"/>
  <c r="P63" i="4"/>
  <c r="N63" i="4"/>
  <c r="H63" i="4"/>
  <c r="E63" i="4"/>
  <c r="D63" i="4"/>
  <c r="B63" i="4"/>
  <c r="Q62" i="4"/>
  <c r="P62" i="4"/>
  <c r="N62" i="4"/>
  <c r="H62" i="4"/>
  <c r="E62" i="4"/>
  <c r="D62" i="4"/>
  <c r="B62" i="4"/>
  <c r="P61" i="4"/>
  <c r="N61" i="4"/>
  <c r="Q61" i="4" s="1"/>
  <c r="H61" i="4"/>
  <c r="E61" i="4"/>
  <c r="D61" i="4"/>
  <c r="B61" i="4"/>
  <c r="Q60" i="4"/>
  <c r="P60" i="4"/>
  <c r="N60" i="4"/>
  <c r="H60" i="4"/>
  <c r="E60" i="4"/>
  <c r="D60" i="4"/>
  <c r="B60" i="4"/>
  <c r="Q59" i="4"/>
  <c r="P59" i="4"/>
  <c r="N59" i="4"/>
  <c r="H59" i="4"/>
  <c r="E59" i="4"/>
  <c r="D59" i="4"/>
  <c r="B59" i="4"/>
  <c r="Q58" i="4"/>
  <c r="P58" i="4"/>
  <c r="N58" i="4"/>
  <c r="H58" i="4"/>
  <c r="E58" i="4"/>
  <c r="D58" i="4"/>
  <c r="B58" i="4"/>
  <c r="Q57" i="4"/>
  <c r="P57" i="4"/>
  <c r="N57" i="4"/>
  <c r="H57" i="4"/>
  <c r="E57" i="4"/>
  <c r="D57" i="4"/>
  <c r="B57" i="4"/>
  <c r="Q56" i="4"/>
  <c r="P56" i="4"/>
  <c r="N56" i="4"/>
  <c r="H56" i="4"/>
  <c r="E56" i="4"/>
  <c r="D56" i="4"/>
  <c r="B56" i="4"/>
  <c r="Q55" i="4"/>
  <c r="P55" i="4"/>
  <c r="N55" i="4"/>
  <c r="H55" i="4"/>
  <c r="E55" i="4"/>
  <c r="D55" i="4"/>
  <c r="B55" i="4"/>
  <c r="Q54" i="4"/>
  <c r="P54" i="4"/>
  <c r="N54" i="4"/>
  <c r="H54" i="4"/>
  <c r="E54" i="4"/>
  <c r="D54" i="4"/>
  <c r="B54" i="4"/>
  <c r="P53" i="4"/>
  <c r="N53" i="4"/>
  <c r="Q53" i="4" s="1"/>
  <c r="H53" i="4"/>
  <c r="E53" i="4"/>
  <c r="D53" i="4"/>
  <c r="B53" i="4"/>
  <c r="P52" i="4"/>
  <c r="N52" i="4"/>
  <c r="Q52" i="4" s="1"/>
  <c r="H52" i="4"/>
  <c r="E52" i="4"/>
  <c r="D52" i="4"/>
  <c r="B52" i="4"/>
  <c r="Q51" i="4"/>
  <c r="P51" i="4"/>
  <c r="N51" i="4"/>
  <c r="H51" i="4"/>
  <c r="E51" i="4"/>
  <c r="D51" i="4"/>
  <c r="B51" i="4"/>
  <c r="P50" i="4"/>
  <c r="N50" i="4"/>
  <c r="Q50" i="4" s="1"/>
  <c r="H50" i="4"/>
  <c r="E50" i="4"/>
  <c r="D50" i="4"/>
  <c r="B50" i="4"/>
  <c r="P49" i="4"/>
  <c r="N49" i="4"/>
  <c r="Q49" i="4" s="1"/>
  <c r="H49" i="4"/>
  <c r="E49" i="4"/>
  <c r="D49" i="4"/>
  <c r="B49" i="4"/>
  <c r="Q48" i="4"/>
  <c r="P48" i="4"/>
  <c r="N48" i="4"/>
  <c r="H48" i="4"/>
  <c r="E48" i="4"/>
  <c r="D48" i="4"/>
  <c r="B48" i="4"/>
  <c r="P47" i="4"/>
  <c r="N47" i="4"/>
  <c r="Q47" i="4" s="1"/>
  <c r="H47" i="4"/>
  <c r="E47" i="4"/>
  <c r="D47" i="4"/>
  <c r="B47" i="4"/>
  <c r="P46" i="4"/>
  <c r="N46" i="4"/>
  <c r="Q46" i="4" s="1"/>
  <c r="H46" i="4"/>
  <c r="E46" i="4"/>
  <c r="D46" i="4"/>
  <c r="B46" i="4"/>
  <c r="P45" i="4"/>
  <c r="N45" i="4"/>
  <c r="Q45" i="4" s="1"/>
  <c r="H45" i="4"/>
  <c r="E45" i="4"/>
  <c r="D45" i="4"/>
  <c r="B45" i="4"/>
  <c r="P44" i="4"/>
  <c r="N44" i="4"/>
  <c r="Q44" i="4" s="1"/>
  <c r="H44" i="4"/>
  <c r="E44" i="4"/>
  <c r="D44" i="4"/>
  <c r="B44" i="4"/>
  <c r="Q43" i="4"/>
  <c r="P43" i="4"/>
  <c r="N43" i="4"/>
  <c r="H43" i="4"/>
  <c r="E43" i="4"/>
  <c r="D43" i="4"/>
  <c r="B43" i="4"/>
  <c r="P42" i="4"/>
  <c r="Q42" i="4" s="1"/>
  <c r="D13" i="1" s="1"/>
  <c r="N42" i="4"/>
  <c r="H42" i="4"/>
  <c r="E42" i="4"/>
  <c r="D42" i="4"/>
  <c r="B42" i="4"/>
  <c r="Q41" i="4"/>
  <c r="P41" i="4"/>
  <c r="N41" i="4"/>
  <c r="H41" i="4"/>
  <c r="E41" i="4"/>
  <c r="D41" i="4"/>
  <c r="B41" i="4"/>
  <c r="Q40" i="4"/>
  <c r="P40" i="4"/>
  <c r="N40" i="4"/>
  <c r="H40" i="4"/>
  <c r="E40" i="4"/>
  <c r="D40" i="4"/>
  <c r="B40" i="4"/>
  <c r="Q39" i="4"/>
  <c r="P39" i="4"/>
  <c r="N39" i="4"/>
  <c r="H39" i="4"/>
  <c r="E39" i="4"/>
  <c r="D39" i="4"/>
  <c r="B39" i="4"/>
  <c r="Q38" i="4"/>
  <c r="P38" i="4"/>
  <c r="N38" i="4"/>
  <c r="H38" i="4"/>
  <c r="E38" i="4"/>
  <c r="D38" i="4"/>
  <c r="B38" i="4"/>
  <c r="Q37" i="4"/>
  <c r="P37" i="4"/>
  <c r="N37" i="4"/>
  <c r="H37" i="4"/>
  <c r="E37" i="4"/>
  <c r="D37" i="4"/>
  <c r="B37" i="4"/>
  <c r="P36" i="4"/>
  <c r="Q36" i="4" s="1"/>
  <c r="N36" i="4"/>
  <c r="H36" i="4"/>
  <c r="E36" i="4"/>
  <c r="D36" i="4"/>
  <c r="B36" i="4"/>
  <c r="Q35" i="4"/>
  <c r="P35" i="4"/>
  <c r="N35" i="4"/>
  <c r="H35" i="4"/>
  <c r="E35" i="4"/>
  <c r="D35" i="4"/>
  <c r="B35" i="4"/>
  <c r="P34" i="4"/>
  <c r="N34" i="4"/>
  <c r="Q34" i="4" s="1"/>
  <c r="H34" i="4"/>
  <c r="E34" i="4"/>
  <c r="D34" i="4"/>
  <c r="B34" i="4"/>
  <c r="Q33" i="4"/>
  <c r="P33" i="4"/>
  <c r="N33" i="4"/>
  <c r="H33" i="4"/>
  <c r="E33" i="4"/>
  <c r="D33" i="4"/>
  <c r="B33" i="4"/>
  <c r="P32" i="4"/>
  <c r="N32" i="4"/>
  <c r="Q32" i="4" s="1"/>
  <c r="H32" i="4"/>
  <c r="E32" i="4"/>
  <c r="D32" i="4"/>
  <c r="B32" i="4"/>
  <c r="P31" i="4"/>
  <c r="Q31" i="4" s="1"/>
  <c r="N31" i="4"/>
  <c r="H31" i="4"/>
  <c r="E31" i="4"/>
  <c r="D31" i="4"/>
  <c r="B31" i="4"/>
  <c r="P30" i="4"/>
  <c r="N30" i="4"/>
  <c r="Q30" i="4" s="1"/>
  <c r="H30" i="4"/>
  <c r="E30" i="4"/>
  <c r="D30" i="4"/>
  <c r="B30" i="4"/>
  <c r="P29" i="4"/>
  <c r="N29" i="4"/>
  <c r="Q29" i="4" s="1"/>
  <c r="H29" i="4"/>
  <c r="E29" i="4"/>
  <c r="D29" i="4"/>
  <c r="B29" i="4"/>
  <c r="Q28" i="4"/>
  <c r="P28" i="4"/>
  <c r="N28" i="4"/>
  <c r="H28" i="4"/>
  <c r="E28" i="4"/>
  <c r="D28" i="4"/>
  <c r="B28" i="4"/>
  <c r="P27" i="4"/>
  <c r="N27" i="4"/>
  <c r="Q27" i="4" s="1"/>
  <c r="H27" i="4"/>
  <c r="E27" i="4"/>
  <c r="D27" i="4"/>
  <c r="B27" i="4"/>
  <c r="P26" i="4"/>
  <c r="N26" i="4"/>
  <c r="Q26" i="4" s="1"/>
  <c r="H26" i="4"/>
  <c r="E26" i="4"/>
  <c r="D26" i="4"/>
  <c r="B26" i="4"/>
  <c r="P25" i="4"/>
  <c r="N25" i="4"/>
  <c r="Q25" i="4" s="1"/>
  <c r="H25" i="4"/>
  <c r="E25" i="4"/>
  <c r="D25" i="4"/>
  <c r="B25" i="4"/>
  <c r="P24" i="4"/>
  <c r="N24" i="4"/>
  <c r="Q24" i="4" s="1"/>
  <c r="H24" i="4"/>
  <c r="E24" i="4"/>
  <c r="D24" i="4"/>
  <c r="B24" i="4"/>
  <c r="Q23" i="4"/>
  <c r="P23" i="4"/>
  <c r="N23" i="4"/>
  <c r="H23" i="4"/>
  <c r="E23" i="4"/>
  <c r="D23" i="4"/>
  <c r="B23" i="4"/>
  <c r="P22" i="4"/>
  <c r="Q22" i="4" s="1"/>
  <c r="N22" i="4"/>
  <c r="H22" i="4"/>
  <c r="E22" i="4"/>
  <c r="D22" i="4"/>
  <c r="B22" i="4"/>
  <c r="Q21" i="4"/>
  <c r="P21" i="4"/>
  <c r="N21" i="4"/>
  <c r="H21" i="4"/>
  <c r="E21" i="4"/>
  <c r="D21" i="4"/>
  <c r="B21" i="4"/>
  <c r="Q20" i="4"/>
  <c r="P20" i="4"/>
  <c r="N20" i="4"/>
  <c r="H20" i="4"/>
  <c r="E20" i="4"/>
  <c r="D20" i="4"/>
  <c r="B20" i="4"/>
  <c r="Q19" i="4"/>
  <c r="P19" i="4"/>
  <c r="N19" i="4"/>
  <c r="H19" i="4"/>
  <c r="E19" i="4"/>
  <c r="D19" i="4"/>
  <c r="B19" i="4"/>
  <c r="Q18" i="4"/>
  <c r="P18" i="4"/>
  <c r="N18" i="4"/>
  <c r="H18" i="4"/>
  <c r="E18" i="4"/>
  <c r="D18" i="4"/>
  <c r="B18" i="4"/>
  <c r="Q17" i="4"/>
  <c r="P17" i="4"/>
  <c r="N17" i="4"/>
  <c r="H17" i="4"/>
  <c r="E17" i="4"/>
  <c r="D17" i="4"/>
  <c r="B17" i="4"/>
  <c r="P16" i="4"/>
  <c r="Q16" i="4" s="1"/>
  <c r="N16" i="4"/>
  <c r="H16" i="4"/>
  <c r="E16" i="4"/>
  <c r="D16" i="4"/>
  <c r="B16" i="4"/>
  <c r="Q15" i="4"/>
  <c r="P15" i="4"/>
  <c r="N15" i="4"/>
  <c r="H15" i="4"/>
  <c r="E15" i="4"/>
  <c r="D15" i="4"/>
  <c r="B15" i="4"/>
  <c r="P14" i="4"/>
  <c r="N14" i="4"/>
  <c r="Q14" i="4" s="1"/>
  <c r="H14" i="4"/>
  <c r="E14" i="4"/>
  <c r="D14" i="4"/>
  <c r="B14" i="4"/>
  <c r="Q13" i="4"/>
  <c r="P13" i="4"/>
  <c r="N13" i="4"/>
  <c r="H13" i="4"/>
  <c r="E13" i="4"/>
  <c r="D13" i="4"/>
  <c r="B13" i="4"/>
  <c r="P12" i="4"/>
  <c r="N12" i="4"/>
  <c r="Q12" i="4" s="1"/>
  <c r="H12" i="4"/>
  <c r="E12" i="4"/>
  <c r="D12" i="4"/>
  <c r="B12" i="4"/>
  <c r="P11" i="4"/>
  <c r="Q11" i="4" s="1"/>
  <c r="N11" i="4"/>
  <c r="H11" i="4"/>
  <c r="E11" i="4"/>
  <c r="D11" i="4"/>
  <c r="B11" i="4"/>
  <c r="P10" i="4"/>
  <c r="N10" i="4"/>
  <c r="Q10" i="4" s="1"/>
  <c r="H10" i="4"/>
  <c r="E10" i="4"/>
  <c r="D10" i="4"/>
  <c r="B10" i="4"/>
  <c r="P9" i="4"/>
  <c r="N9" i="4"/>
  <c r="J17" i="1" s="1"/>
  <c r="H9" i="4"/>
  <c r="E9" i="4"/>
  <c r="D9" i="4"/>
  <c r="B9" i="4"/>
  <c r="Q8" i="4"/>
  <c r="P8" i="4"/>
  <c r="N8" i="4"/>
  <c r="N208" i="4" s="1"/>
  <c r="H8" i="4"/>
  <c r="E8" i="4"/>
  <c r="D8" i="4"/>
  <c r="B8" i="4"/>
  <c r="H12" i="3"/>
  <c r="J11" i="3"/>
  <c r="K11" i="3" s="1"/>
  <c r="J10" i="3"/>
  <c r="K10" i="3" s="1"/>
  <c r="J9" i="3"/>
  <c r="K9" i="3" s="1"/>
  <c r="J7" i="3"/>
  <c r="K7" i="3" s="1"/>
  <c r="J6" i="3"/>
  <c r="M20" i="1"/>
  <c r="M19" i="1"/>
  <c r="M18" i="1"/>
  <c r="M17" i="1"/>
  <c r="I17" i="1"/>
  <c r="C17" i="1"/>
  <c r="E17" i="1" s="1"/>
  <c r="M16" i="1"/>
  <c r="J16" i="1"/>
  <c r="I16" i="1"/>
  <c r="D16" i="1"/>
  <c r="C16" i="1"/>
  <c r="M15" i="1"/>
  <c r="J15" i="1"/>
  <c r="I15" i="1"/>
  <c r="C15" i="1"/>
  <c r="M14" i="1"/>
  <c r="I14" i="1"/>
  <c r="C14" i="1"/>
  <c r="M13" i="1"/>
  <c r="E13" i="1"/>
  <c r="C13" i="1"/>
  <c r="M12" i="1"/>
  <c r="I12" i="1"/>
  <c r="E12" i="1"/>
  <c r="C12" i="1"/>
  <c r="C18" i="1" s="1"/>
  <c r="J7" i="1"/>
  <c r="D7" i="1"/>
  <c r="D12" i="1" l="1"/>
  <c r="D14" i="1"/>
  <c r="D17" i="1"/>
  <c r="L7" i="1"/>
  <c r="E15" i="1"/>
  <c r="K6" i="3"/>
  <c r="J12" i="1"/>
  <c r="E16" i="1"/>
  <c r="J8" i="3"/>
  <c r="K8" i="3" s="1"/>
  <c r="Q9" i="4"/>
  <c r="I13" i="1"/>
  <c r="J13" i="1" s="1"/>
  <c r="B7" i="1"/>
  <c r="E14" i="1"/>
  <c r="E18" i="1" s="1"/>
  <c r="F7" i="1"/>
  <c r="J14" i="1"/>
  <c r="D15" i="1" l="1"/>
  <c r="D18" i="1" s="1"/>
  <c r="H7" i="1"/>
  <c r="Q208" i="4"/>
  <c r="J12" i="3"/>
  <c r="K12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N7" authorId="0" shapeId="0" xr:uid="{00000000-0006-0000-0300-000001000000}">
      <text>
        <r>
          <rPr>
            <sz val="10"/>
            <rFont val="Arial"/>
            <family val="2"/>
          </rPr>
          <t>Automatisch: (Bis − Von) − Pause. Nur weiße Felder ausfüllen.</t>
        </r>
      </text>
    </comment>
  </commentList>
</comments>
</file>

<file path=xl/sharedStrings.xml><?xml version="1.0" encoding="utf-8"?>
<sst xmlns="http://schemas.openxmlformats.org/spreadsheetml/2006/main" count="370" uniqueCount="123">
  <si>
    <t>Management-Dashboard – automatische Auswertung aller erfassten Zeiten</t>
  </si>
  <si>
    <t>Gesamtstunden</t>
  </si>
  <si>
    <t>Abrechenbar</t>
  </si>
  <si>
    <t>Abr.-Quote</t>
  </si>
  <si>
    <t>Umsatz</t>
  </si>
  <si>
    <t>Aktive Projekte</t>
  </si>
  <si>
    <t>Buchungen</t>
  </si>
  <si>
    <t>Stunden &amp; Umsatz nach Projekt</t>
  </si>
  <si>
    <t>Stunden nach Mitarbeiter</t>
  </si>
  <si>
    <t>Nach Tätigkeit</t>
  </si>
  <si>
    <t>Projekt</t>
  </si>
  <si>
    <t>Stunden</t>
  </si>
  <si>
    <t>Umsatz (€)</t>
  </si>
  <si>
    <t>Anteil</t>
  </si>
  <si>
    <t>Mitarbeiter</t>
  </si>
  <si>
    <t>Tätigkeit</t>
  </si>
  <si>
    <t>Std.</t>
  </si>
  <si>
    <t>Website-Relaunch</t>
  </si>
  <si>
    <t>Lena Brandt</t>
  </si>
  <si>
    <t>Beratung</t>
  </si>
  <si>
    <t>CRM-Einführung</t>
  </si>
  <si>
    <t>Jan Hofmann</t>
  </si>
  <si>
    <t>Konzeption</t>
  </si>
  <si>
    <t>Marketing-Kampagne Frühjahr</t>
  </si>
  <si>
    <t>Tobias Frank</t>
  </si>
  <si>
    <t>Entwicklung</t>
  </si>
  <si>
    <t>Prozessanalyse Logistik</t>
  </si>
  <si>
    <t>Nadine Roth</t>
  </si>
  <si>
    <t>Design</t>
  </si>
  <si>
    <t>Mobile-App MVP</t>
  </si>
  <si>
    <t>Sarah Keller</t>
  </si>
  <si>
    <t>Projektleitung</t>
  </si>
  <si>
    <t>Interne Weiterbildung</t>
  </si>
  <si>
    <t>Marco Vogt</t>
  </si>
  <si>
    <t>Meeting</t>
  </si>
  <si>
    <t>Gesamt</t>
  </si>
  <si>
    <t>Dokumentation</t>
  </si>
  <si>
    <t>Test &amp; QA</t>
  </si>
  <si>
    <t>Support</t>
  </si>
  <si>
    <t>Vorlage · Beispieldaten frei erfunden · Alle Werte aktualisieren sich automatisch aus dem Blatt „Zeiterfassung“.</t>
  </si>
  <si>
    <t>Stammdaten &amp; Referenzlisten</t>
  </si>
  <si>
    <t>Zentrale Auswahllisten für die Zeiterfassung – hier pflegen Sie Mitarbeiter, Tätigkeiten und Status.</t>
  </si>
  <si>
    <t xml:space="preserve">  Mitarbeiter</t>
  </si>
  <si>
    <t xml:space="preserve">  Tätigkeitskategorien</t>
  </si>
  <si>
    <t xml:space="preserve">  Projektstatus</t>
  </si>
  <si>
    <t>Kürzel</t>
  </si>
  <si>
    <t>Name</t>
  </si>
  <si>
    <t>Standardrolle</t>
  </si>
  <si>
    <t>Aktiv</t>
  </si>
  <si>
    <t>LB</t>
  </si>
  <si>
    <t>Geplant</t>
  </si>
  <si>
    <t>JH</t>
  </si>
  <si>
    <t>Pausiert</t>
  </si>
  <si>
    <t>TF</t>
  </si>
  <si>
    <t>Abgeschlossen</t>
  </si>
  <si>
    <t>NR</t>
  </si>
  <si>
    <t>SK</t>
  </si>
  <si>
    <t xml:space="preserve">  Abrechenbar</t>
  </si>
  <si>
    <t>MV</t>
  </si>
  <si>
    <t>Ja</t>
  </si>
  <si>
    <t>Nein</t>
  </si>
  <si>
    <t>Projektübersicht 2026</t>
  </si>
  <si>
    <t>Projektstammdaten mit Budget und Auslastung. Ist-Stunden werden automatisch aus der Zeiterfassung berechnet.</t>
  </si>
  <si>
    <t>Projekt-Nr.</t>
  </si>
  <si>
    <t>Projektname</t>
  </si>
  <si>
    <t>Kunde</t>
  </si>
  <si>
    <t>Projektleiter</t>
  </si>
  <si>
    <t>Start</t>
  </si>
  <si>
    <t>Ende</t>
  </si>
  <si>
    <t>Budget (Std.)</t>
  </si>
  <si>
    <t>Satz (€/Std.)</t>
  </si>
  <si>
    <t>Ist-Stunden</t>
  </si>
  <si>
    <t>Auslastung</t>
  </si>
  <si>
    <t>Status</t>
  </si>
  <si>
    <t>P-2026-001</t>
  </si>
  <si>
    <t>Nordwind Handels GmbH</t>
  </si>
  <si>
    <t>P-2026-002</t>
  </si>
  <si>
    <t>Alpenblick AG</t>
  </si>
  <si>
    <t>P-2026-003</t>
  </si>
  <si>
    <t>Seeblick Medien e.K.</t>
  </si>
  <si>
    <t>P-2026-004</t>
  </si>
  <si>
    <t>Rheinbogen Logistik GmbH</t>
  </si>
  <si>
    <t>P-2026-005</t>
  </si>
  <si>
    <t>Talwind Software UG</t>
  </si>
  <si>
    <t>P-2026-006</t>
  </si>
  <si>
    <t>Intern</t>
  </si>
  <si>
    <t>Projektstundenerfassung</t>
  </si>
  <si>
    <t>Erfassen Sie hier alle Arbeitszeiten. Grau hinterlegte Spalten berechnen sich automatisch – bitte nur die weißen Felder ausfüllen. Wirtschaftsjahr 2026.</t>
  </si>
  <si>
    <t>■ Eingabefeld</t>
  </si>
  <si>
    <t>■ Automatisch berechnet</t>
  </si>
  <si>
    <t>Nr.</t>
  </si>
  <si>
    <t>Datum</t>
  </si>
  <si>
    <t>KW</t>
  </si>
  <si>
    <t>Tag</t>
  </si>
  <si>
    <t>Beschreibung</t>
  </si>
  <si>
    <t>Von</t>
  </si>
  <si>
    <t>Bis</t>
  </si>
  <si>
    <t>Pause (Min.)</t>
  </si>
  <si>
    <t>Betrag (€)</t>
  </si>
  <si>
    <t>Ressourcenplanung</t>
  </si>
  <si>
    <t>Statusmeeting</t>
  </si>
  <si>
    <t>Sprint-Planning</t>
  </si>
  <si>
    <t>Anforderungsworkshop</t>
  </si>
  <si>
    <t>Backend-Modul umgesetzt</t>
  </si>
  <si>
    <t>Styleguide erstellt</t>
  </si>
  <si>
    <t>Retrospektive</t>
  </si>
  <si>
    <t>Prototyp gestaltet</t>
  </si>
  <si>
    <t>Jour fixe</t>
  </si>
  <si>
    <t>Roadmap definiert</t>
  </si>
  <si>
    <t>Schnittstelle programmiert</t>
  </si>
  <si>
    <t>Übergabedokumentation</t>
  </si>
  <si>
    <t>Abnahmetest vorbereitet</t>
  </si>
  <si>
    <t>Kick-off</t>
  </si>
  <si>
    <t>Funktionstests</t>
  </si>
  <si>
    <t>Anwenderhandbuch</t>
  </si>
  <si>
    <t>Reporting erstellt</t>
  </si>
  <si>
    <t>Bedarfsermittlung</t>
  </si>
  <si>
    <t>Datenmigration</t>
  </si>
  <si>
    <t>Icon-Set finalisiert</t>
  </si>
  <si>
    <t>Risiko-Review</t>
  </si>
  <si>
    <t>Konzept erstellt</t>
  </si>
  <si>
    <t>Summe 2026</t>
  </si>
  <si>
    <t>Projektstundenerfassung  ·  Auswertung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</si>
</sst>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.0%"/>
    <numFmt numFmtId="166" formatCode="#,##0&quot; €&quot;"/>
    <numFmt numFmtId="167" formatCode="dd\.mm\.yyyy"/>
    <numFmt numFmtId="168" formatCode="hh:mm"/>
    <numFmt numFmtId="169" formatCode="#,##0.00&quot; €&quot;"/>
  </numFmts>
  <fonts count="23" x14ac:knownFonts="1">
    <font>
      <sz val="11"/>
      <color theme="1"/>
      <name val="Calibri"/>
      <family val="2"/>
      <charset val="1"/>
    </font>
    <font>
      <b/>
      <sz val="20"/>
      <color rgb="FFFFFFFF"/>
      <name val="Calibri"/>
      <charset val="1"/>
    </font>
    <font>
      <sz val="11"/>
      <color rgb="FFF0E2CF"/>
      <name val="Calibri"/>
      <charset val="1"/>
    </font>
    <font>
      <b/>
      <sz val="10"/>
      <color rgb="FF6B7A75"/>
      <name val="Calibri"/>
      <charset val="1"/>
    </font>
    <font>
      <b/>
      <sz val="20"/>
      <color rgb="FF245A50"/>
      <name val="Calibri"/>
      <charset val="1"/>
    </font>
    <font>
      <b/>
      <sz val="20"/>
      <color rgb="FF3C7D70"/>
      <name val="Calibri"/>
      <charset val="1"/>
    </font>
    <font>
      <b/>
      <sz val="20"/>
      <color rgb="FFC7803A"/>
      <name val="Calibri"/>
      <charset val="1"/>
    </font>
    <font>
      <b/>
      <sz val="20"/>
      <color rgb="FF2E7D5B"/>
      <name val="Calibri"/>
      <charset val="1"/>
    </font>
    <font>
      <b/>
      <sz val="12"/>
      <color rgb="FF17403A"/>
      <name val="Calibri"/>
      <charset val="1"/>
    </font>
    <font>
      <b/>
      <sz val="10"/>
      <color rgb="FFFFFFFF"/>
      <name val="Calibri"/>
      <charset val="1"/>
    </font>
    <font>
      <sz val="10"/>
      <color rgb="FF1C2723"/>
      <name val="Calibri"/>
      <charset val="1"/>
    </font>
    <font>
      <sz val="9"/>
      <color rgb="FF1C2723"/>
      <name val="Calibri"/>
      <charset val="1"/>
    </font>
    <font>
      <i/>
      <sz val="9"/>
      <color rgb="FF6B7A75"/>
      <name val="Calibri"/>
      <charset val="1"/>
    </font>
    <font>
      <b/>
      <sz val="16"/>
      <color rgb="FF17403A"/>
      <name val="Calibri"/>
      <charset val="1"/>
    </font>
    <font>
      <sz val="10"/>
      <color rgb="FF6B7A75"/>
      <name val="Calibri"/>
      <charset val="1"/>
    </font>
    <font>
      <b/>
      <sz val="11"/>
      <color rgb="FFFFFFFF"/>
      <name val="Calibri"/>
      <charset val="1"/>
    </font>
    <font>
      <b/>
      <sz val="10"/>
      <color rgb="FF245A50"/>
      <name val="Calibri"/>
      <charset val="1"/>
    </font>
    <font>
      <b/>
      <sz val="10"/>
      <color rgb="FF1C2723"/>
      <name val="Calibri"/>
      <charset val="1"/>
    </font>
    <font>
      <b/>
      <sz val="18"/>
      <color rgb="FF17403A"/>
      <name val="Calibri"/>
      <charset val="1"/>
    </font>
    <font>
      <b/>
      <sz val="9"/>
      <color rgb="FF245A50"/>
      <name val="Calibri"/>
      <charset val="1"/>
    </font>
    <font>
      <b/>
      <sz val="9"/>
      <color rgb="FF6B7A75"/>
      <name val="Calibri"/>
      <charset val="1"/>
    </font>
    <font>
      <sz val="9"/>
      <color rgb="FF6B7A75"/>
      <name val="Calibri"/>
      <charset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17403A"/>
        <bgColor rgb="FF1C2723"/>
      </patternFill>
    </fill>
    <fill>
      <patternFill patternType="solid">
        <fgColor rgb="FF245A50"/>
        <bgColor rgb="FF17403A"/>
      </patternFill>
    </fill>
    <fill>
      <patternFill patternType="solid">
        <fgColor rgb="FF3C7D70"/>
        <bgColor rgb="FF2E7D5B"/>
      </patternFill>
    </fill>
    <fill>
      <patternFill patternType="solid">
        <fgColor rgb="FFC7803A"/>
        <bgColor rgb="FFFF9900"/>
      </patternFill>
    </fill>
    <fill>
      <patternFill patternType="solid">
        <fgColor rgb="FF2E7D5B"/>
        <bgColor rgb="FF3C7D70"/>
      </patternFill>
    </fill>
    <fill>
      <patternFill patternType="solid">
        <fgColor rgb="FFFAF7F1"/>
        <bgColor rgb="FFF3F7F5"/>
      </patternFill>
    </fill>
    <fill>
      <patternFill patternType="solid">
        <fgColor rgb="FFFFFFFF"/>
        <bgColor rgb="FFFAF7F1"/>
      </patternFill>
    </fill>
    <fill>
      <patternFill patternType="solid">
        <fgColor rgb="FFF3F7F5"/>
        <bgColor rgb="FFFAF7F1"/>
      </patternFill>
    </fill>
  </fills>
  <borders count="3">
    <border>
      <left/>
      <right/>
      <top/>
      <bottom/>
      <diagonal/>
    </border>
    <border>
      <left/>
      <right/>
      <top/>
      <bottom style="thin">
        <color rgb="FFC9D6D1"/>
      </bottom>
      <diagonal/>
    </border>
    <border>
      <left style="thin">
        <color rgb="FFC9D6D1"/>
      </left>
      <right style="thin">
        <color rgb="FFC9D6D1"/>
      </right>
      <top style="thin">
        <color rgb="FFC9D6D1"/>
      </top>
      <bottom style="thin">
        <color rgb="FFC9D6D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8" fillId="0" borderId="0" xfId="0" applyFont="1"/>
    <xf numFmtId="0" fontId="15" fillId="2" borderId="0" xfId="0" applyFont="1" applyFill="1" applyAlignment="1">
      <alignment horizontal="left" vertical="center"/>
    </xf>
    <xf numFmtId="0" fontId="14" fillId="0" borderId="0" xfId="0" applyFont="1"/>
    <xf numFmtId="0" fontId="13" fillId="0" borderId="0" xfId="0" applyFont="1"/>
    <xf numFmtId="0" fontId="8" fillId="0" borderId="0" xfId="0" applyFont="1"/>
    <xf numFmtId="1" fontId="5" fillId="7" borderId="0" xfId="0" applyNumberFormat="1" applyFont="1" applyFill="1" applyAlignment="1">
      <alignment horizontal="left" vertical="center"/>
    </xf>
    <xf numFmtId="1" fontId="4" fillId="7" borderId="0" xfId="0" applyNumberFormat="1" applyFont="1" applyFill="1" applyAlignment="1">
      <alignment horizontal="left" vertical="center"/>
    </xf>
    <xf numFmtId="166" fontId="7" fillId="7" borderId="0" xfId="0" applyNumberFormat="1" applyFont="1" applyFill="1" applyAlignment="1">
      <alignment horizontal="left" vertical="center"/>
    </xf>
    <xf numFmtId="165" fontId="6" fillId="7" borderId="0" xfId="0" applyNumberFormat="1" applyFont="1" applyFill="1" applyAlignment="1">
      <alignment horizontal="left" vertical="center"/>
    </xf>
    <xf numFmtId="164" fontId="5" fillId="7" borderId="0" xfId="0" applyNumberFormat="1" applyFont="1" applyFill="1" applyAlignment="1">
      <alignment horizontal="left" vertical="center"/>
    </xf>
    <xf numFmtId="164" fontId="4" fillId="7" borderId="0" xfId="0" applyNumberFormat="1" applyFont="1" applyFill="1" applyAlignment="1">
      <alignment horizontal="left" vertical="center"/>
    </xf>
    <xf numFmtId="0" fontId="3" fillId="7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1" xfId="0" applyBorder="1"/>
    <xf numFmtId="0" fontId="9" fillId="3" borderId="2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left" vertical="center"/>
    </xf>
    <xf numFmtId="164" fontId="10" fillId="8" borderId="2" xfId="0" applyNumberFormat="1" applyFont="1" applyFill="1" applyBorder="1" applyAlignment="1">
      <alignment horizontal="center" vertical="center"/>
    </xf>
    <xf numFmtId="166" fontId="10" fillId="8" borderId="2" xfId="0" applyNumberFormat="1" applyFont="1" applyFill="1" applyBorder="1" applyAlignment="1">
      <alignment horizontal="center" vertical="center"/>
    </xf>
    <xf numFmtId="165" fontId="10" fillId="8" borderId="2" xfId="0" applyNumberFormat="1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horizontal="left" vertical="center"/>
    </xf>
    <xf numFmtId="164" fontId="11" fillId="8" borderId="2" xfId="0" applyNumberFormat="1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left" vertical="center"/>
    </xf>
    <xf numFmtId="164" fontId="10" fillId="9" borderId="2" xfId="0" applyNumberFormat="1" applyFont="1" applyFill="1" applyBorder="1" applyAlignment="1">
      <alignment horizontal="center" vertical="center"/>
    </xf>
    <xf numFmtId="166" fontId="10" fillId="9" borderId="2" xfId="0" applyNumberFormat="1" applyFont="1" applyFill="1" applyBorder="1" applyAlignment="1">
      <alignment horizontal="center" vertical="center"/>
    </xf>
    <xf numFmtId="165" fontId="10" fillId="9" borderId="2" xfId="0" applyNumberFormat="1" applyFont="1" applyFill="1" applyBorder="1" applyAlignment="1">
      <alignment horizontal="center" vertical="center"/>
    </xf>
    <xf numFmtId="0" fontId="11" fillId="9" borderId="2" xfId="0" applyFont="1" applyFill="1" applyBorder="1" applyAlignment="1">
      <alignment horizontal="left" vertical="center"/>
    </xf>
    <xf numFmtId="164" fontId="11" fillId="9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164" fontId="9" fillId="2" borderId="2" xfId="0" applyNumberFormat="1" applyFont="1" applyFill="1" applyBorder="1" applyAlignment="1">
      <alignment horizontal="center" vertical="center"/>
    </xf>
    <xf numFmtId="166" fontId="9" fillId="2" borderId="2" xfId="0" applyNumberFormat="1" applyFont="1" applyFill="1" applyBorder="1" applyAlignment="1">
      <alignment horizontal="center" vertical="center"/>
    </xf>
    <xf numFmtId="165" fontId="9" fillId="2" borderId="2" xfId="0" applyNumberFormat="1" applyFont="1" applyFill="1" applyBorder="1" applyAlignment="1">
      <alignment horizontal="center" vertical="center"/>
    </xf>
    <xf numFmtId="0" fontId="12" fillId="0" borderId="0" xfId="0" applyFont="1"/>
    <xf numFmtId="0" fontId="15" fillId="2" borderId="0" xfId="0" applyFont="1" applyFill="1" applyAlignment="1">
      <alignment horizontal="left" vertical="center"/>
    </xf>
    <xf numFmtId="0" fontId="9" fillId="2" borderId="2" xfId="0" applyFont="1" applyFill="1" applyBorder="1" applyAlignment="1">
      <alignment horizontal="center" vertical="center" wrapText="1"/>
    </xf>
    <xf numFmtId="167" fontId="10" fillId="8" borderId="2" xfId="0" applyNumberFormat="1" applyFont="1" applyFill="1" applyBorder="1" applyAlignment="1">
      <alignment horizontal="center" vertical="center"/>
    </xf>
    <xf numFmtId="3" fontId="10" fillId="8" borderId="2" xfId="0" applyNumberFormat="1" applyFont="1" applyFill="1" applyBorder="1" applyAlignment="1">
      <alignment horizontal="center" vertical="center"/>
    </xf>
    <xf numFmtId="164" fontId="16" fillId="8" borderId="2" xfId="0" applyNumberFormat="1" applyFont="1" applyFill="1" applyBorder="1" applyAlignment="1">
      <alignment horizontal="center" vertical="center"/>
    </xf>
    <xf numFmtId="0" fontId="17" fillId="8" borderId="2" xfId="0" applyFont="1" applyFill="1" applyBorder="1" applyAlignment="1">
      <alignment horizontal="center" vertical="center"/>
    </xf>
    <xf numFmtId="167" fontId="10" fillId="9" borderId="2" xfId="0" applyNumberFormat="1" applyFont="1" applyFill="1" applyBorder="1" applyAlignment="1">
      <alignment horizontal="center" vertical="center"/>
    </xf>
    <xf numFmtId="3" fontId="10" fillId="9" borderId="2" xfId="0" applyNumberFormat="1" applyFont="1" applyFill="1" applyBorder="1" applyAlignment="1">
      <alignment horizontal="center" vertical="center"/>
    </xf>
    <xf numFmtId="164" fontId="16" fillId="9" borderId="2" xfId="0" applyNumberFormat="1" applyFont="1" applyFill="1" applyBorder="1" applyAlignment="1">
      <alignment horizontal="center" vertical="center"/>
    </xf>
    <xf numFmtId="0" fontId="17" fillId="9" borderId="2" xfId="0" applyFont="1" applyFill="1" applyBorder="1" applyAlignment="1">
      <alignment horizontal="center" vertical="center"/>
    </xf>
    <xf numFmtId="0" fontId="0" fillId="3" borderId="2" xfId="0" applyFill="1" applyBorder="1"/>
    <xf numFmtId="3" fontId="9" fillId="3" borderId="2" xfId="0" applyNumberFormat="1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horizontal="center" vertical="center"/>
    </xf>
    <xf numFmtId="165" fontId="9" fillId="3" borderId="2" xfId="0" applyNumberFormat="1" applyFont="1" applyFill="1" applyBorder="1" applyAlignment="1">
      <alignment horizontal="center" vertical="center"/>
    </xf>
    <xf numFmtId="0" fontId="19" fillId="0" borderId="0" xfId="0" applyFont="1"/>
    <xf numFmtId="0" fontId="20" fillId="0" borderId="0" xfId="0" applyFont="1"/>
    <xf numFmtId="0" fontId="9" fillId="3" borderId="2" xfId="0" applyFont="1" applyFill="1" applyBorder="1" applyAlignment="1">
      <alignment horizontal="center" vertical="center" wrapText="1"/>
    </xf>
    <xf numFmtId="1" fontId="21" fillId="8" borderId="2" xfId="0" applyNumberFormat="1" applyFont="1" applyFill="1" applyBorder="1" applyAlignment="1">
      <alignment horizontal="center" vertical="center"/>
    </xf>
    <xf numFmtId="167" fontId="10" fillId="7" borderId="2" xfId="0" applyNumberFormat="1" applyFont="1" applyFill="1" applyBorder="1" applyAlignment="1">
      <alignment horizontal="center" vertical="center"/>
    </xf>
    <xf numFmtId="1" fontId="14" fillId="8" borderId="2" xfId="0" applyNumberFormat="1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left" vertical="center"/>
    </xf>
    <xf numFmtId="0" fontId="10" fillId="7" borderId="2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left" vertical="center"/>
    </xf>
    <xf numFmtId="168" fontId="10" fillId="7" borderId="2" xfId="0" applyNumberFormat="1" applyFont="1" applyFill="1" applyBorder="1" applyAlignment="1">
      <alignment horizontal="center" vertical="center"/>
    </xf>
    <xf numFmtId="1" fontId="10" fillId="7" borderId="2" xfId="0" applyNumberFormat="1" applyFont="1" applyFill="1" applyBorder="1" applyAlignment="1">
      <alignment horizontal="center" vertical="center"/>
    </xf>
    <xf numFmtId="4" fontId="16" fillId="8" borderId="2" xfId="0" applyNumberFormat="1" applyFont="1" applyFill="1" applyBorder="1" applyAlignment="1">
      <alignment horizontal="center" vertical="center"/>
    </xf>
    <xf numFmtId="166" fontId="14" fillId="8" borderId="2" xfId="0" applyNumberFormat="1" applyFont="1" applyFill="1" applyBorder="1" applyAlignment="1">
      <alignment horizontal="center" vertical="center"/>
    </xf>
    <xf numFmtId="169" fontId="17" fillId="8" borderId="2" xfId="0" applyNumberFormat="1" applyFont="1" applyFill="1" applyBorder="1" applyAlignment="1">
      <alignment horizontal="center" vertical="center"/>
    </xf>
    <xf numFmtId="1" fontId="21" fillId="9" borderId="2" xfId="0" applyNumberFormat="1" applyFont="1" applyFill="1" applyBorder="1" applyAlignment="1">
      <alignment horizontal="center" vertical="center"/>
    </xf>
    <xf numFmtId="1" fontId="14" fillId="9" borderId="2" xfId="0" applyNumberFormat="1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left" vertical="center"/>
    </xf>
    <xf numFmtId="4" fontId="16" fillId="9" borderId="2" xfId="0" applyNumberFormat="1" applyFont="1" applyFill="1" applyBorder="1" applyAlignment="1">
      <alignment horizontal="center" vertical="center"/>
    </xf>
    <xf numFmtId="166" fontId="14" fillId="9" borderId="2" xfId="0" applyNumberFormat="1" applyFont="1" applyFill="1" applyBorder="1" applyAlignment="1">
      <alignment horizontal="center" vertical="center"/>
    </xf>
    <xf numFmtId="169" fontId="17" fillId="9" borderId="2" xfId="0" applyNumberFormat="1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 vertical="center"/>
    </xf>
    <xf numFmtId="168" fontId="10" fillId="8" borderId="2" xfId="0" applyNumberFormat="1" applyFont="1" applyFill="1" applyBorder="1" applyAlignment="1">
      <alignment horizontal="center" vertical="center"/>
    </xf>
    <xf numFmtId="1" fontId="10" fillId="8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left" vertical="center"/>
    </xf>
    <xf numFmtId="0" fontId="0" fillId="2" borderId="2" xfId="0" applyFill="1" applyBorder="1"/>
    <xf numFmtId="4" fontId="15" fillId="2" borderId="2" xfId="0" applyNumberFormat="1" applyFont="1" applyFill="1" applyBorder="1" applyAlignment="1">
      <alignment horizontal="center" vertical="center"/>
    </xf>
    <xf numFmtId="169" fontId="15" fillId="5" borderId="2" xfId="0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7">
    <dxf>
      <font>
        <b/>
        <sz val="10"/>
        <color rgb="FF2E7D5B"/>
        <name val="Calibri"/>
        <charset val="1"/>
      </font>
    </dxf>
    <dxf>
      <font>
        <b/>
        <sz val="10"/>
        <color rgb="FF6B7A75"/>
        <name val="Calibri"/>
        <charset val="1"/>
      </font>
    </dxf>
    <dxf>
      <font>
        <b/>
        <sz val="10"/>
        <color rgb="FFB23A3A"/>
        <name val="Calibri"/>
        <charset val="1"/>
      </font>
    </dxf>
    <dxf>
      <font>
        <b/>
        <sz val="10"/>
        <color rgb="FF6B7A75"/>
        <name val="Calibri"/>
        <charset val="1"/>
      </font>
    </dxf>
    <dxf>
      <font>
        <b/>
        <sz val="10"/>
        <color rgb="FFC7803A"/>
        <name val="Calibri"/>
        <charset val="1"/>
      </font>
    </dxf>
    <dxf>
      <font>
        <b/>
        <sz val="10"/>
        <color rgb="FF2E7D5B"/>
        <name val="Calibri"/>
        <charset val="1"/>
      </font>
    </dxf>
    <dxf>
      <font>
        <b/>
        <sz val="10"/>
        <color rgb="FFB23A3A"/>
        <name val="Calibri"/>
        <charset val="1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3C7D70"/>
      <rgbColor rgb="FFD9D9D9"/>
      <rgbColor rgb="FF878787"/>
      <rgbColor rgb="FF9999FF"/>
      <rgbColor rgb="FFB23A3A"/>
      <rgbColor rgb="FFFAF7F1"/>
      <rgbColor rgb="FFF3F7F5"/>
      <rgbColor rgb="FF660066"/>
      <rgbColor rgb="FFC7803A"/>
      <rgbColor rgb="FF0066CC"/>
      <rgbColor rgb="FFC9D6D1"/>
      <rgbColor rgb="FF000080"/>
      <rgbColor rgb="FFFF00FF"/>
      <rgbColor rgb="FFFFFF00"/>
      <rgbColor rgb="FF00FFFF"/>
      <rgbColor rgb="FF800080"/>
      <rgbColor rgb="FF800000"/>
      <rgbColor rgb="FF245A5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0E2CF"/>
      <rgbColor rgb="FF3366FF"/>
      <rgbColor rgb="FF33CCCC"/>
      <rgbColor rgb="FF99CC00"/>
      <rgbColor rgb="FFFFCC00"/>
      <rgbColor rgb="FFFF9900"/>
      <rgbColor rgb="FFFF6600"/>
      <rgbColor rgb="FF6B7A75"/>
      <rgbColor rgb="FF969696"/>
      <rgbColor rgb="FF17403A"/>
      <rgbColor rgb="FF2E7D5B"/>
      <rgbColor rgb="FF003300"/>
      <rgbColor rgb="FF333300"/>
      <rgbColor rgb="FF993300"/>
      <rgbColor rgb="FF993366"/>
      <rgbColor rgb="FF333399"/>
      <rgbColor rgb="FF1C27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Stunden nach Projekt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Dashboard!$C$11</c:f>
              <c:strCache>
                <c:ptCount val="1"/>
                <c:pt idx="0">
                  <c:v>Stunden</c:v>
                </c:pt>
              </c:strCache>
            </c:strRef>
          </c:tx>
          <c:spPr>
            <a:solidFill>
              <a:srgbClr val="3C7D70"/>
            </a:solidFill>
            <a:ln w="0">
              <a:solidFill>
                <a:srgbClr val="3C7D7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8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de-DE"/>
              </a:p>
            </c:txPr>
            <c:dLblPos val="outEnd"/>
            <c:showLegendKey val="1"/>
            <c:showVal val="1"/>
            <c:showCatName val="1"/>
            <c:showSerName val="1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Dashboard!$B$12:$B$17</c:f>
              <c:strCache>
                <c:ptCount val="6"/>
                <c:pt idx="0">
                  <c:v>Website-Relaunch</c:v>
                </c:pt>
                <c:pt idx="1">
                  <c:v>CRM-Einführung</c:v>
                </c:pt>
                <c:pt idx="2">
                  <c:v>Marketing-Kampagne Frühjahr</c:v>
                </c:pt>
                <c:pt idx="3">
                  <c:v>Prozessanalyse Logistik</c:v>
                </c:pt>
                <c:pt idx="4">
                  <c:v>Mobile-App MVP</c:v>
                </c:pt>
                <c:pt idx="5">
                  <c:v>Interne Weiterbildung</c:v>
                </c:pt>
              </c:strCache>
            </c:strRef>
          </c:cat>
          <c:val>
            <c:numRef>
              <c:f>Dashboard!$C$12:$C$17</c:f>
              <c:numCache>
                <c:formatCode>#,##0.0</c:formatCode>
                <c:ptCount val="6"/>
                <c:pt idx="0">
                  <c:v>43</c:v>
                </c:pt>
                <c:pt idx="1">
                  <c:v>7</c:v>
                </c:pt>
                <c:pt idx="2">
                  <c:v>26</c:v>
                </c:pt>
                <c:pt idx="3">
                  <c:v>58</c:v>
                </c:pt>
                <c:pt idx="4">
                  <c:v>0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02-4B11-8ECC-C670F6ADC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100553"/>
        <c:axId val="4016532"/>
      </c:barChart>
      <c:catAx>
        <c:axId val="5410055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4016532"/>
        <c:crosses val="autoZero"/>
        <c:auto val="1"/>
        <c:lblAlgn val="ctr"/>
        <c:lblOffset val="100"/>
        <c:noMultiLvlLbl val="0"/>
      </c:catAx>
      <c:valAx>
        <c:axId val="4016532"/>
        <c:scaling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.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54100553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chemeClr val="bg2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Stunden nach Mitarbeiter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Dashboard!$I$11</c:f>
              <c:strCache>
                <c:ptCount val="1"/>
                <c:pt idx="0">
                  <c:v>Stunden</c:v>
                </c:pt>
              </c:strCache>
            </c:strRef>
          </c:tx>
          <c:spPr>
            <a:solidFill>
              <a:srgbClr val="C7803A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8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de-DE"/>
              </a:p>
            </c:txPr>
            <c:dLblPos val="outEnd"/>
            <c:showLegendKey val="1"/>
            <c:showVal val="1"/>
            <c:showCatName val="1"/>
            <c:showSerName val="1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Dashboard!$H$12:$H$17</c:f>
              <c:strCache>
                <c:ptCount val="6"/>
                <c:pt idx="0">
                  <c:v>Lena Brandt</c:v>
                </c:pt>
                <c:pt idx="1">
                  <c:v>Jan Hofmann</c:v>
                </c:pt>
                <c:pt idx="2">
                  <c:v>Tobias Frank</c:v>
                </c:pt>
                <c:pt idx="3">
                  <c:v>Nadine Roth</c:v>
                </c:pt>
                <c:pt idx="4">
                  <c:v>Sarah Keller</c:v>
                </c:pt>
                <c:pt idx="5">
                  <c:v>Marco Vogt</c:v>
                </c:pt>
              </c:strCache>
            </c:strRef>
          </c:cat>
          <c:val>
            <c:numRef>
              <c:f>Dashboard!$I$12:$I$17</c:f>
              <c:numCache>
                <c:formatCode>#,##0.0</c:formatCode>
                <c:ptCount val="6"/>
                <c:pt idx="0">
                  <c:v>14</c:v>
                </c:pt>
                <c:pt idx="1">
                  <c:v>34</c:v>
                </c:pt>
                <c:pt idx="2">
                  <c:v>18</c:v>
                </c:pt>
                <c:pt idx="3">
                  <c:v>13</c:v>
                </c:pt>
                <c:pt idx="4">
                  <c:v>35</c:v>
                </c:pt>
                <c:pt idx="5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4D-4F41-895D-595AACB8A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490243"/>
        <c:axId val="22594683"/>
      </c:barChart>
      <c:catAx>
        <c:axId val="864902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22594683"/>
        <c:crosses val="autoZero"/>
        <c:auto val="1"/>
        <c:lblAlgn val="ctr"/>
        <c:lblOffset val="100"/>
        <c:noMultiLvlLbl val="0"/>
      </c:catAx>
      <c:valAx>
        <c:axId val="22594683"/>
        <c:scaling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.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86490243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chemeClr val="bg2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7</xdr:col>
      <xdr:colOff>695985</xdr:colOff>
      <xdr:row>33</xdr:row>
      <xdr:rowOff>32400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704850</xdr:colOff>
      <xdr:row>19</xdr:row>
      <xdr:rowOff>0</xdr:rowOff>
    </xdr:from>
    <xdr:to>
      <xdr:col>13</xdr:col>
      <xdr:colOff>1065</xdr:colOff>
      <xdr:row>33</xdr:row>
      <xdr:rowOff>32400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7403A"/>
  </sheetPr>
  <dimension ref="B2:M36"/>
  <sheetViews>
    <sheetView showGridLines="0" tabSelected="1" zoomScaleNormal="100" workbookViewId="0">
      <selection activeCell="T52" sqref="T52"/>
    </sheetView>
  </sheetViews>
  <sheetFormatPr baseColWidth="10" defaultColWidth="8.7109375" defaultRowHeight="15" x14ac:dyDescent="0.25"/>
  <cols>
    <col min="1" max="1" width="2.42578125" customWidth="1"/>
    <col min="2" max="2" width="22" customWidth="1"/>
    <col min="3" max="3" width="11" customWidth="1"/>
    <col min="4" max="4" width="13" customWidth="1"/>
    <col min="5" max="5" width="10" customWidth="1"/>
    <col min="6" max="6" width="5.7109375" customWidth="1"/>
    <col min="7" max="7" width="9.7109375" customWidth="1"/>
    <col min="8" max="8" width="18" customWidth="1"/>
    <col min="9" max="9" width="11" customWidth="1"/>
    <col min="10" max="10" width="10" customWidth="1"/>
    <col min="11" max="11" width="2" customWidth="1"/>
    <col min="12" max="12" width="18" customWidth="1"/>
    <col min="13" max="13" width="23.140625" customWidth="1"/>
    <col min="14" max="14" width="2" customWidth="1"/>
  </cols>
  <sheetData>
    <row r="2" spans="2:13" ht="33.75" customHeight="1" x14ac:dyDescent="0.25">
      <c r="B2" s="14" t="s">
        <v>122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2:13" ht="19.5" customHeight="1" x14ac:dyDescent="0.25">
      <c r="B3" s="13" t="s">
        <v>0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5" spans="2:13" ht="4.5" customHeight="1" x14ac:dyDescent="0.25">
      <c r="B5" s="15"/>
      <c r="C5" s="15"/>
      <c r="D5" s="16"/>
      <c r="E5" s="16"/>
      <c r="F5" s="17"/>
      <c r="G5" s="17"/>
      <c r="H5" s="18"/>
      <c r="I5" s="18"/>
      <c r="J5" s="15"/>
      <c r="K5" s="15"/>
      <c r="L5" s="16"/>
      <c r="M5" s="16"/>
    </row>
    <row r="6" spans="2:13" x14ac:dyDescent="0.25">
      <c r="B6" s="12" t="s">
        <v>1</v>
      </c>
      <c r="C6" s="12"/>
      <c r="D6" s="12" t="s">
        <v>2</v>
      </c>
      <c r="E6" s="12"/>
      <c r="F6" s="12" t="s">
        <v>3</v>
      </c>
      <c r="G6" s="12"/>
      <c r="H6" s="12" t="s">
        <v>4</v>
      </c>
      <c r="I6" s="12"/>
      <c r="J6" s="12" t="s">
        <v>5</v>
      </c>
      <c r="K6" s="12"/>
      <c r="L6" s="12" t="s">
        <v>6</v>
      </c>
      <c r="M6" s="12"/>
    </row>
    <row r="7" spans="2:13" ht="25.5" customHeight="1" x14ac:dyDescent="0.25">
      <c r="B7" s="11">
        <f>SUM(Zeiterfassung!$N$8:$N$207)</f>
        <v>145</v>
      </c>
      <c r="C7" s="11"/>
      <c r="D7" s="10">
        <f>SUMIF(Zeiterfassung!$O$8:$O$207,"Ja",Zeiterfassung!$N$8:$N$207)</f>
        <v>134</v>
      </c>
      <c r="E7" s="10"/>
      <c r="F7" s="9">
        <f>IF(SUM(Zeiterfassung!$N$8:$N$207)=0,0,SUMIF(Zeiterfassung!$O$8:$O$207,"Ja",Zeiterfassung!$N$8:$N$207)/SUM(Zeiterfassung!$N$8:$N$207))</f>
        <v>0.92413793103448272</v>
      </c>
      <c r="G7" s="9"/>
      <c r="H7" s="8">
        <f>SUM(Zeiterfassung!$Q$8:$Q$207)</f>
        <v>32880</v>
      </c>
      <c r="I7" s="8"/>
      <c r="J7" s="7">
        <f>COUNTIF(Projekte!$L$6:$L$11,"Aktiv")</f>
        <v>5</v>
      </c>
      <c r="K7" s="7"/>
      <c r="L7" s="6">
        <f>COUNT(Zeiterfassung!$N$8:$N$207)</f>
        <v>44</v>
      </c>
      <c r="M7" s="6"/>
    </row>
    <row r="8" spans="2:13" x14ac:dyDescent="0.25"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10" spans="2:13" ht="15.75" x14ac:dyDescent="0.25">
      <c r="B10" s="5" t="s">
        <v>7</v>
      </c>
      <c r="C10" s="5"/>
      <c r="D10" s="5"/>
      <c r="E10" s="5"/>
      <c r="F10" s="5"/>
      <c r="H10" s="5" t="s">
        <v>8</v>
      </c>
      <c r="I10" s="5"/>
      <c r="J10" s="5"/>
      <c r="L10" s="5" t="s">
        <v>9</v>
      </c>
      <c r="M10" s="5"/>
    </row>
    <row r="11" spans="2:13" x14ac:dyDescent="0.25">
      <c r="B11" s="20" t="s">
        <v>10</v>
      </c>
      <c r="C11" s="21" t="s">
        <v>11</v>
      </c>
      <c r="D11" s="21" t="s">
        <v>12</v>
      </c>
      <c r="E11" s="21" t="s">
        <v>13</v>
      </c>
      <c r="H11" s="20" t="s">
        <v>14</v>
      </c>
      <c r="I11" s="21" t="s">
        <v>11</v>
      </c>
      <c r="J11" s="21" t="s">
        <v>13</v>
      </c>
      <c r="L11" s="20" t="s">
        <v>15</v>
      </c>
      <c r="M11" s="21" t="s">
        <v>16</v>
      </c>
    </row>
    <row r="12" spans="2:13" x14ac:dyDescent="0.25">
      <c r="B12" s="22" t="s">
        <v>17</v>
      </c>
      <c r="C12" s="23">
        <f>SUMIF(Zeiterfassung!$G$8:$G$207,"P-2026-001",Zeiterfassung!$N$8:$N$207)</f>
        <v>43</v>
      </c>
      <c r="D12" s="24">
        <f>SUMIF(Zeiterfassung!$G$8:$G$207,"P-2026-001",Zeiterfassung!$Q$8:$Q$207)</f>
        <v>13760</v>
      </c>
      <c r="E12" s="25">
        <f>IF(SUM(Zeiterfassung!$N$8:$N$207)=0,0,C12/SUM(Zeiterfassung!$N$8:$N$207))</f>
        <v>0.29655172413793102</v>
      </c>
      <c r="H12" s="22" t="s">
        <v>18</v>
      </c>
      <c r="I12" s="23">
        <f>SUMIF(Zeiterfassung!$F$8:$F$207,"Lena Brandt",Zeiterfassung!$N$8:$N$207)</f>
        <v>14</v>
      </c>
      <c r="J12" s="25">
        <f>IF(SUM(Zeiterfassung!$N$8:$N$207)=0,0,I12/SUM(Zeiterfassung!$N$8:$N$207))</f>
        <v>9.6551724137931033E-2</v>
      </c>
      <c r="L12" s="26" t="s">
        <v>19</v>
      </c>
      <c r="M12" s="27">
        <f>SUMIF(Zeiterfassung!$I$8:$I$207,"Beratung",Zeiterfassung!$N$8:$N$207)</f>
        <v>6</v>
      </c>
    </row>
    <row r="13" spans="2:13" x14ac:dyDescent="0.25">
      <c r="B13" s="28" t="s">
        <v>20</v>
      </c>
      <c r="C13" s="29">
        <f>SUMIF(Zeiterfassung!$G$8:$G$207,"P-2026-002",Zeiterfassung!$N$8:$N$207)</f>
        <v>7</v>
      </c>
      <c r="D13" s="30">
        <f>SUMIF(Zeiterfassung!$G$8:$G$207,"P-2026-002",Zeiterfassung!$Q$8:$Q$207)</f>
        <v>3360</v>
      </c>
      <c r="E13" s="31">
        <f>IF(SUM(Zeiterfassung!$N$8:$N$207)=0,0,C13/SUM(Zeiterfassung!$N$8:$N$207))</f>
        <v>4.8275862068965517E-2</v>
      </c>
      <c r="H13" s="28" t="s">
        <v>21</v>
      </c>
      <c r="I13" s="29">
        <f>SUMIF(Zeiterfassung!$F$8:$F$207,"Jan Hofmann",Zeiterfassung!$N$8:$N$207)</f>
        <v>34</v>
      </c>
      <c r="J13" s="31">
        <f>IF(SUM(Zeiterfassung!$N$8:$N$207)=0,0,I13/SUM(Zeiterfassung!$N$8:$N$207))</f>
        <v>0.23448275862068965</v>
      </c>
      <c r="L13" s="32" t="s">
        <v>22</v>
      </c>
      <c r="M13" s="33">
        <f>SUMIF(Zeiterfassung!$I$8:$I$207,"Konzeption",Zeiterfassung!$N$8:$N$207)</f>
        <v>4</v>
      </c>
    </row>
    <row r="14" spans="2:13" x14ac:dyDescent="0.25">
      <c r="B14" s="22" t="s">
        <v>23</v>
      </c>
      <c r="C14" s="23">
        <f>SUMIF(Zeiterfassung!$G$8:$G$207,"P-2026-003",Zeiterfassung!$N$8:$N$207)</f>
        <v>26</v>
      </c>
      <c r="D14" s="24">
        <f>SUMIF(Zeiterfassung!$G$8:$G$207,"P-2026-003",Zeiterfassung!$Q$8:$Q$207)</f>
        <v>4160</v>
      </c>
      <c r="E14" s="25">
        <f>IF(SUM(Zeiterfassung!$N$8:$N$207)=0,0,C14/SUM(Zeiterfassung!$N$8:$N$207))</f>
        <v>0.1793103448275862</v>
      </c>
      <c r="H14" s="22" t="s">
        <v>24</v>
      </c>
      <c r="I14" s="23">
        <f>SUMIF(Zeiterfassung!$F$8:$F$207,"Tobias Frank",Zeiterfassung!$N$8:$N$207)</f>
        <v>18</v>
      </c>
      <c r="J14" s="25">
        <f>IF(SUM(Zeiterfassung!$N$8:$N$207)=0,0,I14/SUM(Zeiterfassung!$N$8:$N$207))</f>
        <v>0.12413793103448276</v>
      </c>
      <c r="L14" s="26" t="s">
        <v>25</v>
      </c>
      <c r="M14" s="27">
        <f>SUMIF(Zeiterfassung!$I$8:$I$207,"Entwicklung",Zeiterfassung!$N$8:$N$207)</f>
        <v>19</v>
      </c>
    </row>
    <row r="15" spans="2:13" x14ac:dyDescent="0.25">
      <c r="B15" s="28" t="s">
        <v>26</v>
      </c>
      <c r="C15" s="29">
        <f>SUMIF(Zeiterfassung!$G$8:$G$207,"P-2026-004",Zeiterfassung!$N$8:$N$207)</f>
        <v>58</v>
      </c>
      <c r="D15" s="30">
        <f>SUMIF(Zeiterfassung!$G$8:$G$207,"P-2026-004",Zeiterfassung!$Q$8:$Q$207)</f>
        <v>11600</v>
      </c>
      <c r="E15" s="31">
        <f>IF(SUM(Zeiterfassung!$N$8:$N$207)=0,0,C15/SUM(Zeiterfassung!$N$8:$N$207))</f>
        <v>0.4</v>
      </c>
      <c r="H15" s="28" t="s">
        <v>27</v>
      </c>
      <c r="I15" s="29">
        <f>SUMIF(Zeiterfassung!$F$8:$F$207,"Nadine Roth",Zeiterfassung!$N$8:$N$207)</f>
        <v>13</v>
      </c>
      <c r="J15" s="31">
        <f>IF(SUM(Zeiterfassung!$N$8:$N$207)=0,0,I15/SUM(Zeiterfassung!$N$8:$N$207))</f>
        <v>8.9655172413793102E-2</v>
      </c>
      <c r="L15" s="32" t="s">
        <v>28</v>
      </c>
      <c r="M15" s="33">
        <f>SUMIF(Zeiterfassung!$I$8:$I$207,"Design",Zeiterfassung!$N$8:$N$207)</f>
        <v>16</v>
      </c>
    </row>
    <row r="16" spans="2:13" x14ac:dyDescent="0.25">
      <c r="B16" s="22" t="s">
        <v>29</v>
      </c>
      <c r="C16" s="23">
        <f>SUMIF(Zeiterfassung!$G$8:$G$207,"P-2026-005",Zeiterfassung!$N$8:$N$207)</f>
        <v>0</v>
      </c>
      <c r="D16" s="24">
        <f>SUMIF(Zeiterfassung!$G$8:$G$207,"P-2026-005",Zeiterfassung!$Q$8:$Q$207)</f>
        <v>0</v>
      </c>
      <c r="E16" s="25">
        <f>IF(SUM(Zeiterfassung!$N$8:$N$207)=0,0,C16/SUM(Zeiterfassung!$N$8:$N$207))</f>
        <v>0</v>
      </c>
      <c r="H16" s="22" t="s">
        <v>30</v>
      </c>
      <c r="I16" s="23">
        <f>SUMIF(Zeiterfassung!$F$8:$F$207,"Sarah Keller",Zeiterfassung!$N$8:$N$207)</f>
        <v>35</v>
      </c>
      <c r="J16" s="25">
        <f>IF(SUM(Zeiterfassung!$N$8:$N$207)=0,0,I16/SUM(Zeiterfassung!$N$8:$N$207))</f>
        <v>0.2413793103448276</v>
      </c>
      <c r="L16" s="26" t="s">
        <v>31</v>
      </c>
      <c r="M16" s="27">
        <f>SUMIF(Zeiterfassung!$I$8:$I$207,"Projektleitung",Zeiterfassung!$N$8:$N$207)</f>
        <v>40</v>
      </c>
    </row>
    <row r="17" spans="2:13" x14ac:dyDescent="0.25">
      <c r="B17" s="28" t="s">
        <v>32</v>
      </c>
      <c r="C17" s="29">
        <f>SUMIF(Zeiterfassung!$G$8:$G$207,"P-2026-006",Zeiterfassung!$N$8:$N$207)</f>
        <v>11</v>
      </c>
      <c r="D17" s="30">
        <f>SUMIF(Zeiterfassung!$G$8:$G$207,"P-2026-006",Zeiterfassung!$Q$8:$Q$207)</f>
        <v>0</v>
      </c>
      <c r="E17" s="31">
        <f>IF(SUM(Zeiterfassung!$N$8:$N$207)=0,0,C17/SUM(Zeiterfassung!$N$8:$N$207))</f>
        <v>7.586206896551724E-2</v>
      </c>
      <c r="H17" s="28" t="s">
        <v>33</v>
      </c>
      <c r="I17" s="29">
        <f>SUMIF(Zeiterfassung!$F$8:$F$207,"Marco Vogt",Zeiterfassung!$N$8:$N$207)</f>
        <v>31</v>
      </c>
      <c r="J17" s="31">
        <f>IF(SUM(Zeiterfassung!$N$8:$N$207)=0,0,I17/SUM(Zeiterfassung!$N$8:$N$207))</f>
        <v>0.21379310344827587</v>
      </c>
      <c r="L17" s="32" t="s">
        <v>34</v>
      </c>
      <c r="M17" s="33">
        <f>SUMIF(Zeiterfassung!$I$8:$I$207,"Meeting",Zeiterfassung!$N$8:$N$207)</f>
        <v>43</v>
      </c>
    </row>
    <row r="18" spans="2:13" x14ac:dyDescent="0.25">
      <c r="B18" s="34" t="s">
        <v>35</v>
      </c>
      <c r="C18" s="35">
        <f>SUM(C12:C17)</f>
        <v>145</v>
      </c>
      <c r="D18" s="36">
        <f>SUM(D12:D17)</f>
        <v>32880</v>
      </c>
      <c r="E18" s="37">
        <f>SUM(E12:E17)</f>
        <v>1</v>
      </c>
      <c r="L18" s="26" t="s">
        <v>36</v>
      </c>
      <c r="M18" s="27">
        <f>SUMIF(Zeiterfassung!$I$8:$I$207,"Dokumentation",Zeiterfassung!$N$8:$N$207)</f>
        <v>10</v>
      </c>
    </row>
    <row r="19" spans="2:13" x14ac:dyDescent="0.25">
      <c r="L19" s="32" t="s">
        <v>37</v>
      </c>
      <c r="M19" s="33">
        <f>SUMIF(Zeiterfassung!$I$8:$I$207,"Test &amp; QA",Zeiterfassung!$N$8:$N$207)</f>
        <v>7</v>
      </c>
    </row>
    <row r="20" spans="2:13" x14ac:dyDescent="0.25">
      <c r="L20" s="26" t="s">
        <v>38</v>
      </c>
      <c r="M20" s="27">
        <f>SUMIF(Zeiterfassung!$I$8:$I$207,"Support",Zeiterfassung!$N$8:$N$207)</f>
        <v>0</v>
      </c>
    </row>
    <row r="36" spans="2:2" x14ac:dyDescent="0.25">
      <c r="B36" s="38" t="s">
        <v>39</v>
      </c>
    </row>
  </sheetData>
  <mergeCells count="17">
    <mergeCell ref="L7:M7"/>
    <mergeCell ref="B10:F10"/>
    <mergeCell ref="H10:J10"/>
    <mergeCell ref="L10:M10"/>
    <mergeCell ref="B7:C7"/>
    <mergeCell ref="D7:E7"/>
    <mergeCell ref="F7:G7"/>
    <mergeCell ref="H7:I7"/>
    <mergeCell ref="J7:K7"/>
    <mergeCell ref="B2:M2"/>
    <mergeCell ref="B3:M3"/>
    <mergeCell ref="B6:C6"/>
    <mergeCell ref="D6:E6"/>
    <mergeCell ref="F6:G6"/>
    <mergeCell ref="H6:I6"/>
    <mergeCell ref="J6:K6"/>
    <mergeCell ref="L6:M6"/>
  </mergeCells>
  <conditionalFormatting sqref="C12:C17">
    <cfRule type="dataBar" priority="2">
      <dataBar>
        <cfvo type="min"/>
        <cfvo type="max"/>
        <color rgb="FF3C7D70"/>
      </dataBar>
      <extLst>
        <ext xmlns:x14="http://schemas.microsoft.com/office/spreadsheetml/2009/9/main" uri="{B025F937-C7B1-47D3-B67F-A62EFF666E3E}">
          <x14:id>{51E06464-6755-423B-8160-79B1959FE1E4}</x14:id>
        </ext>
      </extLst>
    </cfRule>
  </conditionalFormatting>
  <conditionalFormatting sqref="I12:I17">
    <cfRule type="dataBar" priority="3">
      <dataBar>
        <cfvo type="min"/>
        <cfvo type="max"/>
        <color rgb="FFC7803A"/>
      </dataBar>
      <extLst>
        <ext xmlns:x14="http://schemas.microsoft.com/office/spreadsheetml/2009/9/main" uri="{B025F937-C7B1-47D3-B67F-A62EFF666E3E}">
          <x14:id>{8A8F8C76-B880-468B-B428-A7ECC47AB2BD}</x14:id>
        </ext>
      </extLst>
    </cfRule>
  </conditionalFormatting>
  <conditionalFormatting sqref="M12:M20">
    <cfRule type="dataBar" priority="4">
      <dataBar>
        <cfvo type="min"/>
        <cfvo type="max"/>
        <color rgb="FF245A50"/>
      </dataBar>
      <extLst>
        <ext xmlns:x14="http://schemas.microsoft.com/office/spreadsheetml/2009/9/main" uri="{B025F937-C7B1-47D3-B67F-A62EFF666E3E}">
          <x14:id>{FBE93EA5-ECE8-4829-9350-8890D2CE46D5}</x14:id>
        </ext>
      </extLst>
    </cfRule>
  </conditionalFormatting>
  <pageMargins left="0.75" right="0.75" top="1" bottom="1" header="0.511811023622047" footer="0.511811023622047"/>
  <pageSetup paperSize="9" orientation="portrait" horizontalDpi="300" verticalDpi="300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1E06464-6755-423B-8160-79B1959FE1E4}">
            <x14:dataBar axisPosition="none">
              <x14:cfvo type="min"/>
              <x14:cfvo type="max"/>
              <x14:negativeFillColor rgb="FF3C7D70"/>
            </x14:dataBar>
          </x14:cfRule>
          <xm:sqref>C12:C17</xm:sqref>
        </x14:conditionalFormatting>
        <x14:conditionalFormatting xmlns:xm="http://schemas.microsoft.com/office/excel/2006/main">
          <x14:cfRule type="dataBar" id="{8A8F8C76-B880-468B-B428-A7ECC47AB2BD}">
            <x14:dataBar axisPosition="none">
              <x14:cfvo type="min"/>
              <x14:cfvo type="max"/>
              <x14:negativeFillColor rgb="FFC7803A"/>
            </x14:dataBar>
          </x14:cfRule>
          <xm:sqref>I12:I17</xm:sqref>
        </x14:conditionalFormatting>
        <x14:conditionalFormatting xmlns:xm="http://schemas.microsoft.com/office/excel/2006/main">
          <x14:cfRule type="dataBar" id="{FBE93EA5-ECE8-4829-9350-8890D2CE46D5}">
            <x14:dataBar axisPosition="none">
              <x14:cfvo type="min"/>
              <x14:cfvo type="max"/>
              <x14:negativeFillColor rgb="FF245A50"/>
            </x14:dataBar>
          </x14:cfRule>
          <xm:sqref>M12:M20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7403A"/>
  </sheetPr>
  <dimension ref="B2:H14"/>
  <sheetViews>
    <sheetView showGridLines="0" zoomScaleNormal="100" workbookViewId="0"/>
  </sheetViews>
  <sheetFormatPr baseColWidth="10" defaultColWidth="8.7109375" defaultRowHeight="15" x14ac:dyDescent="0.25"/>
  <cols>
    <col min="1" max="1" width="2.42578125" customWidth="1"/>
    <col min="2" max="2" width="10" customWidth="1"/>
    <col min="3" max="3" width="20" customWidth="1"/>
    <col min="4" max="4" width="18" customWidth="1"/>
    <col min="5" max="5" width="2.42578125" customWidth="1"/>
    <col min="6" max="6" width="22" customWidth="1"/>
    <col min="7" max="7" width="2.42578125" customWidth="1"/>
    <col min="8" max="8" width="16" customWidth="1"/>
  </cols>
  <sheetData>
    <row r="2" spans="2:8" ht="21" x14ac:dyDescent="0.35">
      <c r="B2" s="4" t="s">
        <v>40</v>
      </c>
      <c r="C2" s="4"/>
      <c r="D2" s="4"/>
      <c r="E2" s="4"/>
      <c r="F2" s="4"/>
    </row>
    <row r="3" spans="2:8" x14ac:dyDescent="0.25">
      <c r="B3" s="3" t="s">
        <v>41</v>
      </c>
      <c r="C3" s="3"/>
      <c r="D3" s="3"/>
      <c r="E3" s="3"/>
      <c r="F3" s="3"/>
    </row>
    <row r="5" spans="2:8" x14ac:dyDescent="0.25">
      <c r="B5" s="2" t="s">
        <v>42</v>
      </c>
      <c r="C5" s="2"/>
      <c r="D5" s="2"/>
      <c r="F5" s="39" t="s">
        <v>43</v>
      </c>
      <c r="H5" s="39" t="s">
        <v>44</v>
      </c>
    </row>
    <row r="6" spans="2:8" x14ac:dyDescent="0.25">
      <c r="B6" s="20" t="s">
        <v>45</v>
      </c>
      <c r="C6" s="20" t="s">
        <v>46</v>
      </c>
      <c r="D6" s="20" t="s">
        <v>47</v>
      </c>
      <c r="F6" s="22" t="s">
        <v>19</v>
      </c>
      <c r="H6" s="22" t="s">
        <v>48</v>
      </c>
    </row>
    <row r="7" spans="2:8" x14ac:dyDescent="0.25">
      <c r="B7" s="22" t="s">
        <v>49</v>
      </c>
      <c r="C7" s="22" t="s">
        <v>18</v>
      </c>
      <c r="D7" s="22" t="s">
        <v>31</v>
      </c>
      <c r="F7" s="28" t="s">
        <v>22</v>
      </c>
      <c r="H7" s="28" t="s">
        <v>50</v>
      </c>
    </row>
    <row r="8" spans="2:8" x14ac:dyDescent="0.25">
      <c r="B8" s="28" t="s">
        <v>51</v>
      </c>
      <c r="C8" s="28" t="s">
        <v>21</v>
      </c>
      <c r="D8" s="28" t="s">
        <v>31</v>
      </c>
      <c r="F8" s="22" t="s">
        <v>25</v>
      </c>
      <c r="H8" s="22" t="s">
        <v>52</v>
      </c>
    </row>
    <row r="9" spans="2:8" x14ac:dyDescent="0.25">
      <c r="B9" s="22" t="s">
        <v>53</v>
      </c>
      <c r="C9" s="22" t="s">
        <v>24</v>
      </c>
      <c r="D9" s="22" t="s">
        <v>25</v>
      </c>
      <c r="F9" s="28" t="s">
        <v>28</v>
      </c>
      <c r="H9" s="28" t="s">
        <v>54</v>
      </c>
    </row>
    <row r="10" spans="2:8" x14ac:dyDescent="0.25">
      <c r="B10" s="28" t="s">
        <v>55</v>
      </c>
      <c r="C10" s="28" t="s">
        <v>27</v>
      </c>
      <c r="D10" s="28" t="s">
        <v>25</v>
      </c>
      <c r="F10" s="22" t="s">
        <v>31</v>
      </c>
    </row>
    <row r="11" spans="2:8" x14ac:dyDescent="0.25">
      <c r="B11" s="22" t="s">
        <v>56</v>
      </c>
      <c r="C11" s="22" t="s">
        <v>30</v>
      </c>
      <c r="D11" s="22" t="s">
        <v>28</v>
      </c>
      <c r="F11" s="28" t="s">
        <v>34</v>
      </c>
      <c r="H11" s="39" t="s">
        <v>57</v>
      </c>
    </row>
    <row r="12" spans="2:8" x14ac:dyDescent="0.25">
      <c r="B12" s="28" t="s">
        <v>58</v>
      </c>
      <c r="C12" s="28" t="s">
        <v>33</v>
      </c>
      <c r="D12" s="28" t="s">
        <v>19</v>
      </c>
      <c r="F12" s="22" t="s">
        <v>36</v>
      </c>
      <c r="H12" s="22" t="s">
        <v>59</v>
      </c>
    </row>
    <row r="13" spans="2:8" x14ac:dyDescent="0.25">
      <c r="F13" s="28" t="s">
        <v>37</v>
      </c>
      <c r="H13" s="28" t="s">
        <v>60</v>
      </c>
    </row>
    <row r="14" spans="2:8" x14ac:dyDescent="0.25">
      <c r="F14" s="22" t="s">
        <v>38</v>
      </c>
    </row>
  </sheetData>
  <mergeCells count="3">
    <mergeCell ref="B2:F2"/>
    <mergeCell ref="B3:F3"/>
    <mergeCell ref="B5:D5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7403A"/>
  </sheetPr>
  <dimension ref="B2:L12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8.7109375" defaultRowHeight="15" x14ac:dyDescent="0.25"/>
  <cols>
    <col min="1" max="1" width="2.42578125" customWidth="1"/>
    <col min="2" max="2" width="13" customWidth="1"/>
    <col min="3" max="3" width="26" customWidth="1"/>
    <col min="4" max="4" width="22" customWidth="1"/>
    <col min="5" max="5" width="18" customWidth="1"/>
    <col min="6" max="10" width="12" customWidth="1"/>
    <col min="11" max="11" width="13" customWidth="1"/>
    <col min="12" max="12" width="14" customWidth="1"/>
  </cols>
  <sheetData>
    <row r="2" spans="2:12" ht="21" x14ac:dyDescent="0.35">
      <c r="B2" s="4" t="s">
        <v>61</v>
      </c>
      <c r="C2" s="4"/>
      <c r="D2" s="4"/>
      <c r="E2" s="4"/>
      <c r="F2" s="4"/>
      <c r="G2" s="4"/>
      <c r="H2" s="4"/>
      <c r="I2" s="4"/>
      <c r="J2" s="4"/>
      <c r="K2" s="4"/>
    </row>
    <row r="3" spans="2:12" x14ac:dyDescent="0.25">
      <c r="B3" s="3" t="s">
        <v>62</v>
      </c>
      <c r="C3" s="3"/>
      <c r="D3" s="3"/>
      <c r="E3" s="3"/>
      <c r="F3" s="3"/>
      <c r="G3" s="3"/>
      <c r="H3" s="3"/>
      <c r="I3" s="3"/>
      <c r="J3" s="3"/>
      <c r="K3" s="3"/>
    </row>
    <row r="5" spans="2:12" ht="30" customHeight="1" x14ac:dyDescent="0.25">
      <c r="B5" s="40" t="s">
        <v>63</v>
      </c>
      <c r="C5" s="40" t="s">
        <v>64</v>
      </c>
      <c r="D5" s="40" t="s">
        <v>65</v>
      </c>
      <c r="E5" s="40" t="s">
        <v>66</v>
      </c>
      <c r="F5" s="40" t="s">
        <v>67</v>
      </c>
      <c r="G5" s="40" t="s">
        <v>68</v>
      </c>
      <c r="H5" s="40" t="s">
        <v>69</v>
      </c>
      <c r="I5" s="40" t="s">
        <v>70</v>
      </c>
      <c r="J5" s="40" t="s">
        <v>71</v>
      </c>
      <c r="K5" s="40" t="s">
        <v>72</v>
      </c>
      <c r="L5" s="40" t="s">
        <v>73</v>
      </c>
    </row>
    <row r="6" spans="2:12" x14ac:dyDescent="0.25">
      <c r="B6" s="22" t="s">
        <v>74</v>
      </c>
      <c r="C6" s="22" t="s">
        <v>17</v>
      </c>
      <c r="D6" s="22" t="s">
        <v>75</v>
      </c>
      <c r="E6" s="22" t="s">
        <v>18</v>
      </c>
      <c r="F6" s="41">
        <v>46027</v>
      </c>
      <c r="G6" s="41">
        <v>46112</v>
      </c>
      <c r="H6" s="42">
        <v>320</v>
      </c>
      <c r="I6" s="24">
        <v>95</v>
      </c>
      <c r="J6" s="43">
        <f>SUMIF(Zeiterfassung!$G$8:$G$207,$B6,Zeiterfassung!$N$8:$N$207)</f>
        <v>43</v>
      </c>
      <c r="K6" s="25">
        <f t="shared" ref="K6:K11" si="0">IF($H6=0,"–",$J6/$H6)</f>
        <v>0.13437499999999999</v>
      </c>
      <c r="L6" s="44" t="s">
        <v>48</v>
      </c>
    </row>
    <row r="7" spans="2:12" x14ac:dyDescent="0.25">
      <c r="B7" s="28" t="s">
        <v>76</v>
      </c>
      <c r="C7" s="28" t="s">
        <v>20</v>
      </c>
      <c r="D7" s="28" t="s">
        <v>77</v>
      </c>
      <c r="E7" s="28" t="s">
        <v>21</v>
      </c>
      <c r="F7" s="45">
        <v>46037</v>
      </c>
      <c r="G7" s="45">
        <v>46203</v>
      </c>
      <c r="H7" s="46">
        <v>480</v>
      </c>
      <c r="I7" s="30">
        <v>110</v>
      </c>
      <c r="J7" s="47">
        <f>SUMIF(Zeiterfassung!$G$8:$G$207,$B7,Zeiterfassung!$N$8:$N$207)</f>
        <v>7</v>
      </c>
      <c r="K7" s="31">
        <f t="shared" si="0"/>
        <v>1.4583333333333334E-2</v>
      </c>
      <c r="L7" s="48" t="s">
        <v>48</v>
      </c>
    </row>
    <row r="8" spans="2:12" x14ac:dyDescent="0.25">
      <c r="B8" s="22" t="s">
        <v>78</v>
      </c>
      <c r="C8" s="22" t="s">
        <v>23</v>
      </c>
      <c r="D8" s="22" t="s">
        <v>79</v>
      </c>
      <c r="E8" s="22" t="s">
        <v>18</v>
      </c>
      <c r="F8" s="41">
        <v>46029</v>
      </c>
      <c r="G8" s="41">
        <v>46080</v>
      </c>
      <c r="H8" s="42">
        <v>160</v>
      </c>
      <c r="I8" s="24">
        <v>85</v>
      </c>
      <c r="J8" s="43">
        <f>SUMIF(Zeiterfassung!$G$8:$G$207,$B8,Zeiterfassung!$N$8:$N$207)</f>
        <v>26</v>
      </c>
      <c r="K8" s="25">
        <f t="shared" si="0"/>
        <v>0.16250000000000001</v>
      </c>
      <c r="L8" s="44" t="s">
        <v>48</v>
      </c>
    </row>
    <row r="9" spans="2:12" x14ac:dyDescent="0.25">
      <c r="B9" s="28" t="s">
        <v>80</v>
      </c>
      <c r="C9" s="28" t="s">
        <v>26</v>
      </c>
      <c r="D9" s="28" t="s">
        <v>81</v>
      </c>
      <c r="E9" s="28" t="s">
        <v>33</v>
      </c>
      <c r="F9" s="45">
        <v>46034</v>
      </c>
      <c r="G9" s="45">
        <v>46127</v>
      </c>
      <c r="H9" s="46">
        <v>200</v>
      </c>
      <c r="I9" s="30">
        <v>120</v>
      </c>
      <c r="J9" s="47">
        <f>SUMIF(Zeiterfassung!$G$8:$G$207,$B9,Zeiterfassung!$N$8:$N$207)</f>
        <v>58</v>
      </c>
      <c r="K9" s="31">
        <f t="shared" si="0"/>
        <v>0.28999999999999998</v>
      </c>
      <c r="L9" s="48" t="s">
        <v>48</v>
      </c>
    </row>
    <row r="10" spans="2:12" x14ac:dyDescent="0.25">
      <c r="B10" s="22" t="s">
        <v>82</v>
      </c>
      <c r="C10" s="22" t="s">
        <v>29</v>
      </c>
      <c r="D10" s="22" t="s">
        <v>83</v>
      </c>
      <c r="E10" s="22" t="s">
        <v>21</v>
      </c>
      <c r="F10" s="41">
        <v>46042</v>
      </c>
      <c r="G10" s="41">
        <v>46173</v>
      </c>
      <c r="H10" s="42">
        <v>360</v>
      </c>
      <c r="I10" s="24">
        <v>105</v>
      </c>
      <c r="J10" s="43">
        <f>SUMIF(Zeiterfassung!$G$8:$G$207,$B10,Zeiterfassung!$N$8:$N$207)</f>
        <v>0</v>
      </c>
      <c r="K10" s="25">
        <f t="shared" si="0"/>
        <v>0</v>
      </c>
      <c r="L10" s="44" t="s">
        <v>50</v>
      </c>
    </row>
    <row r="11" spans="2:12" x14ac:dyDescent="0.25">
      <c r="B11" s="28" t="s">
        <v>84</v>
      </c>
      <c r="C11" s="28" t="s">
        <v>32</v>
      </c>
      <c r="D11" s="28" t="s">
        <v>85</v>
      </c>
      <c r="E11" s="28" t="s">
        <v>27</v>
      </c>
      <c r="F11" s="45">
        <v>46030</v>
      </c>
      <c r="G11" s="45">
        <v>46375</v>
      </c>
      <c r="H11" s="46">
        <v>120</v>
      </c>
      <c r="I11" s="30">
        <v>0</v>
      </c>
      <c r="J11" s="47">
        <f>SUMIF(Zeiterfassung!$G$8:$G$207,$B11,Zeiterfassung!$N$8:$N$207)</f>
        <v>11</v>
      </c>
      <c r="K11" s="31">
        <f t="shared" si="0"/>
        <v>9.166666666666666E-2</v>
      </c>
      <c r="L11" s="48" t="s">
        <v>48</v>
      </c>
    </row>
    <row r="12" spans="2:12" x14ac:dyDescent="0.25">
      <c r="B12" s="20" t="s">
        <v>35</v>
      </c>
      <c r="C12" s="49"/>
      <c r="D12" s="49"/>
      <c r="E12" s="49"/>
      <c r="F12" s="49"/>
      <c r="G12" s="49"/>
      <c r="H12" s="50">
        <f>SUM(H6:H11)</f>
        <v>1640</v>
      </c>
      <c r="I12" s="49"/>
      <c r="J12" s="51">
        <f>SUM(J6:J11)</f>
        <v>145</v>
      </c>
      <c r="K12" s="52">
        <f>IF(H12=0,"–",J12/H12)</f>
        <v>8.8414634146341459E-2</v>
      </c>
      <c r="L12" s="49"/>
    </row>
  </sheetData>
  <mergeCells count="2">
    <mergeCell ref="B2:K2"/>
    <mergeCell ref="B3:K3"/>
  </mergeCells>
  <conditionalFormatting sqref="K6:K11">
    <cfRule type="dataBar" priority="6">
      <dataBar>
        <cfvo type="num" val="0"/>
        <cfvo type="num" val="1"/>
        <color rgb="FF3C7D70"/>
      </dataBar>
      <extLst>
        <ext xmlns:x14="http://schemas.microsoft.com/office/spreadsheetml/2009/9/main" uri="{B025F937-C7B1-47D3-B67F-A62EFF666E3E}">
          <x14:id>{C23DB37C-735B-429A-A073-A86E56DEAC83}</x14:id>
        </ext>
      </extLst>
    </cfRule>
    <cfRule type="cellIs" dxfId="6" priority="7" operator="greaterThan">
      <formula>0.9</formula>
    </cfRule>
  </conditionalFormatting>
  <conditionalFormatting sqref="L6:L11">
    <cfRule type="cellIs" dxfId="5" priority="2" operator="equal">
      <formula>"Aktiv"</formula>
    </cfRule>
    <cfRule type="cellIs" dxfId="4" priority="3" operator="equal">
      <formula>"Geplant"</formula>
    </cfRule>
    <cfRule type="cellIs" dxfId="3" priority="4" operator="equal">
      <formula>"Abgeschlossen"</formula>
    </cfRule>
    <cfRule type="cellIs" dxfId="2" priority="5" operator="equal">
      <formula>"Pausiert"</formula>
    </cfRule>
  </conditionalFormatting>
  <pageMargins left="0.75" right="0.75" top="1" bottom="1" header="0.511811023622047" footer="0.511811023622047"/>
  <pageSetup paperSize="9" orientation="portrait" horizontalDpi="300" verticalDpi="30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23DB37C-735B-429A-A073-A86E56DEAC83}">
            <x14:dataBar axisPosition="none">
              <x14:cfvo type="num">
                <xm:f>0</xm:f>
              </x14:cfvo>
              <x14:cfvo type="num">
                <xm:f>1</xm:f>
              </x14:cfvo>
              <x14:negativeFillColor rgb="FF3C7D70"/>
            </x14:dataBar>
          </x14:cfRule>
          <xm:sqref>K6:K11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7403A"/>
  </sheetPr>
  <dimension ref="B2:Q208"/>
  <sheetViews>
    <sheetView showGridLines="0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baseColWidth="10" defaultColWidth="8.7109375" defaultRowHeight="15" x14ac:dyDescent="0.25"/>
  <cols>
    <col min="1" max="1" width="2.42578125" customWidth="1"/>
    <col min="2" max="2" width="5" customWidth="1"/>
    <col min="3" max="3" width="12" customWidth="1"/>
    <col min="4" max="5" width="6" customWidth="1"/>
    <col min="6" max="6" width="15" customWidth="1"/>
    <col min="7" max="7" width="13" customWidth="1"/>
    <col min="8" max="8" width="24" customWidth="1"/>
    <col min="9" max="9" width="15" customWidth="1"/>
    <col min="10" max="10" width="30" customWidth="1"/>
    <col min="11" max="12" width="8" customWidth="1"/>
    <col min="13" max="13" width="9" customWidth="1"/>
    <col min="14" max="14" width="10" customWidth="1"/>
    <col min="15" max="15" width="12" customWidth="1"/>
    <col min="16" max="16" width="11" customWidth="1"/>
    <col min="17" max="17" width="13" customWidth="1"/>
  </cols>
  <sheetData>
    <row r="2" spans="2:17" ht="23.25" x14ac:dyDescent="0.35">
      <c r="B2" s="1" t="s">
        <v>86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7" x14ac:dyDescent="0.25">
      <c r="B3" s="3" t="s">
        <v>87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5" spans="2:17" x14ac:dyDescent="0.25">
      <c r="B5" s="53" t="s">
        <v>88</v>
      </c>
      <c r="D5" s="54" t="s">
        <v>89</v>
      </c>
    </row>
    <row r="7" spans="2:17" ht="30" customHeight="1" x14ac:dyDescent="0.25">
      <c r="B7" s="55" t="s">
        <v>90</v>
      </c>
      <c r="C7" s="40" t="s">
        <v>91</v>
      </c>
      <c r="D7" s="55" t="s">
        <v>92</v>
      </c>
      <c r="E7" s="55" t="s">
        <v>93</v>
      </c>
      <c r="F7" s="40" t="s">
        <v>14</v>
      </c>
      <c r="G7" s="40" t="s">
        <v>63</v>
      </c>
      <c r="H7" s="55" t="s">
        <v>64</v>
      </c>
      <c r="I7" s="40" t="s">
        <v>15</v>
      </c>
      <c r="J7" s="40" t="s">
        <v>94</v>
      </c>
      <c r="K7" s="40" t="s">
        <v>95</v>
      </c>
      <c r="L7" s="40" t="s">
        <v>96</v>
      </c>
      <c r="M7" s="40" t="s">
        <v>97</v>
      </c>
      <c r="N7" s="55" t="s">
        <v>11</v>
      </c>
      <c r="O7" s="40" t="s">
        <v>2</v>
      </c>
      <c r="P7" s="55" t="s">
        <v>70</v>
      </c>
      <c r="Q7" s="55" t="s">
        <v>98</v>
      </c>
    </row>
    <row r="8" spans="2:17" x14ac:dyDescent="0.25">
      <c r="B8" s="56">
        <f>IF($C8="","",COUNTA($C$8:$C8))</f>
        <v>1</v>
      </c>
      <c r="C8" s="57">
        <v>46027</v>
      </c>
      <c r="D8" s="58">
        <f t="shared" ref="D8:D39" si="0">IF($C8="","",_xlfn.ISOWEEKNUM($C8))</f>
        <v>2</v>
      </c>
      <c r="E8" s="59" t="str">
        <f t="shared" ref="E8:E39" si="1">IF($C8="","",TEXT($C8,"TTT"))</f>
        <v>TTT</v>
      </c>
      <c r="F8" s="60" t="s">
        <v>18</v>
      </c>
      <c r="G8" s="61" t="s">
        <v>74</v>
      </c>
      <c r="H8" s="62" t="str">
        <f>IF($G8="","",IFERROR(VLOOKUP($G8,Projekte!$B$6:$O$11,2,FALSE()),"⚠ unbekannt"))</f>
        <v>Website-Relaunch</v>
      </c>
      <c r="I8" s="60" t="s">
        <v>31</v>
      </c>
      <c r="J8" s="60" t="s">
        <v>99</v>
      </c>
      <c r="K8" s="63">
        <v>0.35416666666666702</v>
      </c>
      <c r="L8" s="63">
        <v>0.46875</v>
      </c>
      <c r="M8" s="64">
        <v>45</v>
      </c>
      <c r="N8" s="65">
        <f t="shared" ref="N8:N39" si="2">IF(OR($K8="",$L8=""),"",ROUND(($L8-$K8)*24 - IF($M8="",0,$M8)/60,2))</f>
        <v>2</v>
      </c>
      <c r="O8" s="61" t="s">
        <v>59</v>
      </c>
      <c r="P8" s="66">
        <f>IF($G8="","",IFERROR(VLOOKUP($G8,Projekte!$B$6:$O$11,7,FALSE()),0))</f>
        <v>320</v>
      </c>
      <c r="Q8" s="67">
        <f t="shared" ref="Q8:Q39" si="3">IF($N8="","",IF($O8="Ja",$N8*$P8,0))</f>
        <v>640</v>
      </c>
    </row>
    <row r="9" spans="2:17" x14ac:dyDescent="0.25">
      <c r="B9" s="68">
        <f>IF($C9="","",COUNTA($C$8:$C9))</f>
        <v>2</v>
      </c>
      <c r="C9" s="57">
        <v>46027</v>
      </c>
      <c r="D9" s="69">
        <f t="shared" si="0"/>
        <v>2</v>
      </c>
      <c r="E9" s="70" t="str">
        <f t="shared" si="1"/>
        <v>TTT</v>
      </c>
      <c r="F9" s="60" t="s">
        <v>21</v>
      </c>
      <c r="G9" s="61" t="s">
        <v>80</v>
      </c>
      <c r="H9" s="71" t="str">
        <f>IF($G9="","",IFERROR(VLOOKUP($G9,Projekte!$B$6:$O$11,2,FALSE()),"⚠ unbekannt"))</f>
        <v>Prozessanalyse Logistik</v>
      </c>
      <c r="I9" s="60" t="s">
        <v>31</v>
      </c>
      <c r="J9" s="60" t="s">
        <v>100</v>
      </c>
      <c r="K9" s="63">
        <v>0.375</v>
      </c>
      <c r="L9" s="63">
        <v>0.54166666666666696</v>
      </c>
      <c r="M9" s="64">
        <v>0</v>
      </c>
      <c r="N9" s="72">
        <f t="shared" si="2"/>
        <v>4</v>
      </c>
      <c r="O9" s="61" t="s">
        <v>59</v>
      </c>
      <c r="P9" s="73">
        <f>IF($G9="","",IFERROR(VLOOKUP($G9,Projekte!$B$6:$O$11,7,FALSE()),0))</f>
        <v>200</v>
      </c>
      <c r="Q9" s="74">
        <f t="shared" si="3"/>
        <v>800</v>
      </c>
    </row>
    <row r="10" spans="2:17" x14ac:dyDescent="0.25">
      <c r="B10" s="56">
        <f>IF($C10="","",COUNTA($C$8:$C10))</f>
        <v>3</v>
      </c>
      <c r="C10" s="57">
        <v>46028</v>
      </c>
      <c r="D10" s="58">
        <f t="shared" si="0"/>
        <v>2</v>
      </c>
      <c r="E10" s="59" t="str">
        <f t="shared" si="1"/>
        <v>TTT</v>
      </c>
      <c r="F10" s="60" t="s">
        <v>21</v>
      </c>
      <c r="G10" s="61" t="s">
        <v>84</v>
      </c>
      <c r="H10" s="62" t="str">
        <f>IF($G10="","",IFERROR(VLOOKUP($G10,Projekte!$B$6:$O$11,2,FALSE()),"⚠ unbekannt"))</f>
        <v>Interne Weiterbildung</v>
      </c>
      <c r="I10" s="60" t="s">
        <v>34</v>
      </c>
      <c r="J10" s="60" t="s">
        <v>101</v>
      </c>
      <c r="K10" s="63">
        <v>0.33333333333333298</v>
      </c>
      <c r="L10" s="63">
        <v>0.45833333333333298</v>
      </c>
      <c r="M10" s="64">
        <v>0</v>
      </c>
      <c r="N10" s="65">
        <f t="shared" si="2"/>
        <v>3</v>
      </c>
      <c r="O10" s="61" t="s">
        <v>60</v>
      </c>
      <c r="P10" s="66">
        <f>IF($G10="","",IFERROR(VLOOKUP($G10,Projekte!$B$6:$O$11,7,FALSE()),0))</f>
        <v>120</v>
      </c>
      <c r="Q10" s="67">
        <f t="shared" si="3"/>
        <v>0</v>
      </c>
    </row>
    <row r="11" spans="2:17" x14ac:dyDescent="0.25">
      <c r="B11" s="68">
        <f>IF($C11="","",COUNTA($C$8:$C11))</f>
        <v>4</v>
      </c>
      <c r="C11" s="57">
        <v>46028</v>
      </c>
      <c r="D11" s="69">
        <f t="shared" si="0"/>
        <v>2</v>
      </c>
      <c r="E11" s="70" t="str">
        <f t="shared" si="1"/>
        <v>TTT</v>
      </c>
      <c r="F11" s="60" t="s">
        <v>33</v>
      </c>
      <c r="G11" s="61" t="s">
        <v>80</v>
      </c>
      <c r="H11" s="71" t="str">
        <f>IF($G11="","",IFERROR(VLOOKUP($G11,Projekte!$B$6:$O$11,2,FALSE()),"⚠ unbekannt"))</f>
        <v>Prozessanalyse Logistik</v>
      </c>
      <c r="I11" s="60" t="s">
        <v>19</v>
      </c>
      <c r="J11" s="60" t="s">
        <v>102</v>
      </c>
      <c r="K11" s="63">
        <v>0.41666666666666702</v>
      </c>
      <c r="L11" s="63">
        <v>0.5625</v>
      </c>
      <c r="M11" s="64">
        <v>30</v>
      </c>
      <c r="N11" s="72">
        <f t="shared" si="2"/>
        <v>3</v>
      </c>
      <c r="O11" s="61" t="s">
        <v>59</v>
      </c>
      <c r="P11" s="73">
        <f>IF($G11="","",IFERROR(VLOOKUP($G11,Projekte!$B$6:$O$11,7,FALSE()),0))</f>
        <v>200</v>
      </c>
      <c r="Q11" s="74">
        <f t="shared" si="3"/>
        <v>600</v>
      </c>
    </row>
    <row r="12" spans="2:17" x14ac:dyDescent="0.25">
      <c r="B12" s="56">
        <f>IF($C12="","",COUNTA($C$8:$C12))</f>
        <v>5</v>
      </c>
      <c r="C12" s="57">
        <v>46029</v>
      </c>
      <c r="D12" s="58">
        <f t="shared" si="0"/>
        <v>2</v>
      </c>
      <c r="E12" s="59" t="str">
        <f t="shared" si="1"/>
        <v>TTT</v>
      </c>
      <c r="F12" s="60" t="s">
        <v>24</v>
      </c>
      <c r="G12" s="61" t="s">
        <v>78</v>
      </c>
      <c r="H12" s="62" t="str">
        <f>IF($G12="","",IFERROR(VLOOKUP($G12,Projekte!$B$6:$O$11,2,FALSE()),"⚠ unbekannt"))</f>
        <v>Marketing-Kampagne Frühjahr</v>
      </c>
      <c r="I12" s="60" t="s">
        <v>25</v>
      </c>
      <c r="J12" s="60" t="s">
        <v>103</v>
      </c>
      <c r="K12" s="63">
        <v>0.35416666666666702</v>
      </c>
      <c r="L12" s="63">
        <v>0.48958333333333298</v>
      </c>
      <c r="M12" s="64">
        <v>15</v>
      </c>
      <c r="N12" s="65">
        <f t="shared" si="2"/>
        <v>3</v>
      </c>
      <c r="O12" s="61" t="s">
        <v>59</v>
      </c>
      <c r="P12" s="66">
        <f>IF($G12="","",IFERROR(VLOOKUP($G12,Projekte!$B$6:$O$11,7,FALSE()),0))</f>
        <v>160</v>
      </c>
      <c r="Q12" s="67">
        <f t="shared" si="3"/>
        <v>480</v>
      </c>
    </row>
    <row r="13" spans="2:17" x14ac:dyDescent="0.25">
      <c r="B13" s="68">
        <f>IF($C13="","",COUNTA($C$8:$C13))</f>
        <v>6</v>
      </c>
      <c r="C13" s="57">
        <v>46029</v>
      </c>
      <c r="D13" s="69">
        <f t="shared" si="0"/>
        <v>2</v>
      </c>
      <c r="E13" s="70" t="str">
        <f t="shared" si="1"/>
        <v>TTT</v>
      </c>
      <c r="F13" s="60" t="s">
        <v>21</v>
      </c>
      <c r="G13" s="61" t="s">
        <v>80</v>
      </c>
      <c r="H13" s="71" t="str">
        <f>IF($G13="","",IFERROR(VLOOKUP($G13,Projekte!$B$6:$O$11,2,FALSE()),"⚠ unbekannt"))</f>
        <v>Prozessanalyse Logistik</v>
      </c>
      <c r="I13" s="60" t="s">
        <v>31</v>
      </c>
      <c r="J13" s="60" t="s">
        <v>100</v>
      </c>
      <c r="K13" s="63">
        <v>0.42708333333333298</v>
      </c>
      <c r="L13" s="63">
        <v>0.5625</v>
      </c>
      <c r="M13" s="64">
        <v>15</v>
      </c>
      <c r="N13" s="72">
        <f t="shared" si="2"/>
        <v>3</v>
      </c>
      <c r="O13" s="61" t="s">
        <v>59</v>
      </c>
      <c r="P13" s="73">
        <f>IF($G13="","",IFERROR(VLOOKUP($G13,Projekte!$B$6:$O$11,7,FALSE()),0))</f>
        <v>200</v>
      </c>
      <c r="Q13" s="74">
        <f t="shared" si="3"/>
        <v>600</v>
      </c>
    </row>
    <row r="14" spans="2:17" x14ac:dyDescent="0.25">
      <c r="B14" s="56">
        <f>IF($C14="","",COUNTA($C$8:$C14))</f>
        <v>7</v>
      </c>
      <c r="C14" s="57">
        <v>46029</v>
      </c>
      <c r="D14" s="58">
        <f t="shared" si="0"/>
        <v>2</v>
      </c>
      <c r="E14" s="59" t="str">
        <f t="shared" si="1"/>
        <v>TTT</v>
      </c>
      <c r="F14" s="60" t="s">
        <v>30</v>
      </c>
      <c r="G14" s="61" t="s">
        <v>80</v>
      </c>
      <c r="H14" s="62" t="str">
        <f>IF($G14="","",IFERROR(VLOOKUP($G14,Projekte!$B$6:$O$11,2,FALSE()),"⚠ unbekannt"))</f>
        <v>Prozessanalyse Logistik</v>
      </c>
      <c r="I14" s="60" t="s">
        <v>28</v>
      </c>
      <c r="J14" s="60" t="s">
        <v>104</v>
      </c>
      <c r="K14" s="63">
        <v>0.54166666666666696</v>
      </c>
      <c r="L14" s="63">
        <v>0.65625</v>
      </c>
      <c r="M14" s="64">
        <v>45</v>
      </c>
      <c r="N14" s="65">
        <f t="shared" si="2"/>
        <v>2</v>
      </c>
      <c r="O14" s="61" t="s">
        <v>59</v>
      </c>
      <c r="P14" s="66">
        <f>IF($G14="","",IFERROR(VLOOKUP($G14,Projekte!$B$6:$O$11,7,FALSE()),0))</f>
        <v>200</v>
      </c>
      <c r="Q14" s="67">
        <f t="shared" si="3"/>
        <v>400</v>
      </c>
    </row>
    <row r="15" spans="2:17" x14ac:dyDescent="0.25">
      <c r="B15" s="68">
        <f>IF($C15="","",COUNTA($C$8:$C15))</f>
        <v>8</v>
      </c>
      <c r="C15" s="57">
        <v>46029</v>
      </c>
      <c r="D15" s="69">
        <f t="shared" si="0"/>
        <v>2</v>
      </c>
      <c r="E15" s="70" t="str">
        <f t="shared" si="1"/>
        <v>TTT</v>
      </c>
      <c r="F15" s="60" t="s">
        <v>33</v>
      </c>
      <c r="G15" s="61" t="s">
        <v>74</v>
      </c>
      <c r="H15" s="71" t="str">
        <f>IF($G15="","",IFERROR(VLOOKUP($G15,Projekte!$B$6:$O$11,2,FALSE()),"⚠ unbekannt"))</f>
        <v>Website-Relaunch</v>
      </c>
      <c r="I15" s="60" t="s">
        <v>34</v>
      </c>
      <c r="J15" s="60" t="s">
        <v>105</v>
      </c>
      <c r="K15" s="63">
        <v>0.5625</v>
      </c>
      <c r="L15" s="63">
        <v>0.70833333333333304</v>
      </c>
      <c r="M15" s="64">
        <v>30</v>
      </c>
      <c r="N15" s="72">
        <f t="shared" si="2"/>
        <v>3</v>
      </c>
      <c r="O15" s="61" t="s">
        <v>59</v>
      </c>
      <c r="P15" s="73">
        <f>IF($G15="","",IFERROR(VLOOKUP($G15,Projekte!$B$6:$O$11,7,FALSE()),0))</f>
        <v>320</v>
      </c>
      <c r="Q15" s="74">
        <f t="shared" si="3"/>
        <v>960</v>
      </c>
    </row>
    <row r="16" spans="2:17" x14ac:dyDescent="0.25">
      <c r="B16" s="56">
        <f>IF($C16="","",COUNTA($C$8:$C16))</f>
        <v>9</v>
      </c>
      <c r="C16" s="57">
        <v>46030</v>
      </c>
      <c r="D16" s="58">
        <f t="shared" si="0"/>
        <v>2</v>
      </c>
      <c r="E16" s="59" t="str">
        <f t="shared" si="1"/>
        <v>TTT</v>
      </c>
      <c r="F16" s="60" t="s">
        <v>30</v>
      </c>
      <c r="G16" s="61" t="s">
        <v>74</v>
      </c>
      <c r="H16" s="62" t="str">
        <f>IF($G16="","",IFERROR(VLOOKUP($G16,Projekte!$B$6:$O$11,2,FALSE()),"⚠ unbekannt"))</f>
        <v>Website-Relaunch</v>
      </c>
      <c r="I16" s="60" t="s">
        <v>28</v>
      </c>
      <c r="J16" s="60" t="s">
        <v>106</v>
      </c>
      <c r="K16" s="63">
        <v>0.33333333333333298</v>
      </c>
      <c r="L16" s="63">
        <v>0.52083333333333304</v>
      </c>
      <c r="M16" s="64">
        <v>30</v>
      </c>
      <c r="N16" s="65">
        <f t="shared" si="2"/>
        <v>4</v>
      </c>
      <c r="O16" s="61" t="s">
        <v>59</v>
      </c>
      <c r="P16" s="66">
        <f>IF($G16="","",IFERROR(VLOOKUP($G16,Projekte!$B$6:$O$11,7,FALSE()),0))</f>
        <v>320</v>
      </c>
      <c r="Q16" s="67">
        <f t="shared" si="3"/>
        <v>1280</v>
      </c>
    </row>
    <row r="17" spans="2:17" x14ac:dyDescent="0.25">
      <c r="B17" s="68">
        <f>IF($C17="","",COUNTA($C$8:$C17))</f>
        <v>10</v>
      </c>
      <c r="C17" s="57">
        <v>46030</v>
      </c>
      <c r="D17" s="69">
        <f t="shared" si="0"/>
        <v>2</v>
      </c>
      <c r="E17" s="70" t="str">
        <f t="shared" si="1"/>
        <v>TTT</v>
      </c>
      <c r="F17" s="60" t="s">
        <v>33</v>
      </c>
      <c r="G17" s="61" t="s">
        <v>80</v>
      </c>
      <c r="H17" s="71" t="str">
        <f>IF($G17="","",IFERROR(VLOOKUP($G17,Projekte!$B$6:$O$11,2,FALSE()),"⚠ unbekannt"))</f>
        <v>Prozessanalyse Logistik</v>
      </c>
      <c r="I17" s="60" t="s">
        <v>34</v>
      </c>
      <c r="J17" s="60" t="s">
        <v>107</v>
      </c>
      <c r="K17" s="63">
        <v>0.35416666666666702</v>
      </c>
      <c r="L17" s="63">
        <v>0.47916666666666702</v>
      </c>
      <c r="M17" s="64">
        <v>0</v>
      </c>
      <c r="N17" s="72">
        <f t="shared" si="2"/>
        <v>3</v>
      </c>
      <c r="O17" s="61" t="s">
        <v>59</v>
      </c>
      <c r="P17" s="73">
        <f>IF($G17="","",IFERROR(VLOOKUP($G17,Projekte!$B$6:$O$11,7,FALSE()),0))</f>
        <v>200</v>
      </c>
      <c r="Q17" s="74">
        <f t="shared" si="3"/>
        <v>600</v>
      </c>
    </row>
    <row r="18" spans="2:17" x14ac:dyDescent="0.25">
      <c r="B18" s="56">
        <f>IF($C18="","",COUNTA($C$8:$C18))</f>
        <v>11</v>
      </c>
      <c r="C18" s="57">
        <v>46030</v>
      </c>
      <c r="D18" s="58">
        <f t="shared" si="0"/>
        <v>2</v>
      </c>
      <c r="E18" s="59" t="str">
        <f t="shared" si="1"/>
        <v>TTT</v>
      </c>
      <c r="F18" s="60" t="s">
        <v>27</v>
      </c>
      <c r="G18" s="61" t="s">
        <v>74</v>
      </c>
      <c r="H18" s="62" t="str">
        <f>IF($G18="","",IFERROR(VLOOKUP($G18,Projekte!$B$6:$O$11,2,FALSE()),"⚠ unbekannt"))</f>
        <v>Website-Relaunch</v>
      </c>
      <c r="I18" s="60" t="s">
        <v>22</v>
      </c>
      <c r="J18" s="60" t="s">
        <v>108</v>
      </c>
      <c r="K18" s="63">
        <v>0.54166666666666696</v>
      </c>
      <c r="L18" s="63">
        <v>0.63541666666666696</v>
      </c>
      <c r="M18" s="64">
        <v>15</v>
      </c>
      <c r="N18" s="65">
        <f t="shared" si="2"/>
        <v>2</v>
      </c>
      <c r="O18" s="61" t="s">
        <v>59</v>
      </c>
      <c r="P18" s="66">
        <f>IF($G18="","",IFERROR(VLOOKUP($G18,Projekte!$B$6:$O$11,7,FALSE()),0))</f>
        <v>320</v>
      </c>
      <c r="Q18" s="67">
        <f t="shared" si="3"/>
        <v>640</v>
      </c>
    </row>
    <row r="19" spans="2:17" x14ac:dyDescent="0.25">
      <c r="B19" s="68">
        <f>IF($C19="","",COUNTA($C$8:$C19))</f>
        <v>12</v>
      </c>
      <c r="C19" s="57">
        <v>46031</v>
      </c>
      <c r="D19" s="69">
        <f t="shared" si="0"/>
        <v>2</v>
      </c>
      <c r="E19" s="70" t="str">
        <f t="shared" si="1"/>
        <v>TTT</v>
      </c>
      <c r="F19" s="60" t="s">
        <v>24</v>
      </c>
      <c r="G19" s="61" t="s">
        <v>80</v>
      </c>
      <c r="H19" s="71" t="str">
        <f>IF($G19="","",IFERROR(VLOOKUP($G19,Projekte!$B$6:$O$11,2,FALSE()),"⚠ unbekannt"))</f>
        <v>Prozessanalyse Logistik</v>
      </c>
      <c r="I19" s="60" t="s">
        <v>25</v>
      </c>
      <c r="J19" s="60" t="s">
        <v>109</v>
      </c>
      <c r="K19" s="63">
        <v>0.33333333333333298</v>
      </c>
      <c r="L19" s="63">
        <v>0.54166666666666696</v>
      </c>
      <c r="M19" s="64">
        <v>0</v>
      </c>
      <c r="N19" s="72">
        <f t="shared" si="2"/>
        <v>5</v>
      </c>
      <c r="O19" s="61" t="s">
        <v>59</v>
      </c>
      <c r="P19" s="73">
        <f>IF($G19="","",IFERROR(VLOOKUP($G19,Projekte!$B$6:$O$11,7,FALSE()),0))</f>
        <v>200</v>
      </c>
      <c r="Q19" s="74">
        <f t="shared" si="3"/>
        <v>1000</v>
      </c>
    </row>
    <row r="20" spans="2:17" x14ac:dyDescent="0.25">
      <c r="B20" s="56">
        <f>IF($C20="","",COUNTA($C$8:$C20))</f>
        <v>13</v>
      </c>
      <c r="C20" s="57">
        <v>46031</v>
      </c>
      <c r="D20" s="58">
        <f t="shared" si="0"/>
        <v>2</v>
      </c>
      <c r="E20" s="59" t="str">
        <f t="shared" si="1"/>
        <v>TTT</v>
      </c>
      <c r="F20" s="60" t="s">
        <v>21</v>
      </c>
      <c r="G20" s="61" t="s">
        <v>80</v>
      </c>
      <c r="H20" s="62" t="str">
        <f>IF($G20="","",IFERROR(VLOOKUP($G20,Projekte!$B$6:$O$11,2,FALSE()),"⚠ unbekannt"))</f>
        <v>Prozessanalyse Logistik</v>
      </c>
      <c r="I20" s="60" t="s">
        <v>31</v>
      </c>
      <c r="J20" s="60" t="s">
        <v>99</v>
      </c>
      <c r="K20" s="63">
        <v>0.38541666666666702</v>
      </c>
      <c r="L20" s="63">
        <v>0.61458333333333304</v>
      </c>
      <c r="M20" s="64">
        <v>30</v>
      </c>
      <c r="N20" s="65">
        <f t="shared" si="2"/>
        <v>5</v>
      </c>
      <c r="O20" s="61" t="s">
        <v>59</v>
      </c>
      <c r="P20" s="66">
        <f>IF($G20="","",IFERROR(VLOOKUP($G20,Projekte!$B$6:$O$11,7,FALSE()),0))</f>
        <v>200</v>
      </c>
      <c r="Q20" s="67">
        <f t="shared" si="3"/>
        <v>1000</v>
      </c>
    </row>
    <row r="21" spans="2:17" x14ac:dyDescent="0.25">
      <c r="B21" s="68">
        <f>IF($C21="","",COUNTA($C$8:$C21))</f>
        <v>14</v>
      </c>
      <c r="C21" s="57">
        <v>46034</v>
      </c>
      <c r="D21" s="69">
        <f t="shared" si="0"/>
        <v>3</v>
      </c>
      <c r="E21" s="70" t="str">
        <f t="shared" si="1"/>
        <v>TTT</v>
      </c>
      <c r="F21" s="60" t="s">
        <v>27</v>
      </c>
      <c r="G21" s="61" t="s">
        <v>84</v>
      </c>
      <c r="H21" s="71" t="str">
        <f>IF($G21="","",IFERROR(VLOOKUP($G21,Projekte!$B$6:$O$11,2,FALSE()),"⚠ unbekannt"))</f>
        <v>Interne Weiterbildung</v>
      </c>
      <c r="I21" s="60" t="s">
        <v>36</v>
      </c>
      <c r="J21" s="60" t="s">
        <v>110</v>
      </c>
      <c r="K21" s="63">
        <v>0.38541666666666702</v>
      </c>
      <c r="L21" s="63">
        <v>0.54166666666666696</v>
      </c>
      <c r="M21" s="64">
        <v>45</v>
      </c>
      <c r="N21" s="72">
        <f t="shared" si="2"/>
        <v>3</v>
      </c>
      <c r="O21" s="61" t="s">
        <v>60</v>
      </c>
      <c r="P21" s="73">
        <f>IF($G21="","",IFERROR(VLOOKUP($G21,Projekte!$B$6:$O$11,7,FALSE()),0))</f>
        <v>120</v>
      </c>
      <c r="Q21" s="74">
        <f t="shared" si="3"/>
        <v>0</v>
      </c>
    </row>
    <row r="22" spans="2:17" x14ac:dyDescent="0.25">
      <c r="B22" s="56">
        <f>IF($C22="","",COUNTA($C$8:$C22))</f>
        <v>15</v>
      </c>
      <c r="C22" s="57">
        <v>46034</v>
      </c>
      <c r="D22" s="58">
        <f t="shared" si="0"/>
        <v>3</v>
      </c>
      <c r="E22" s="59" t="str">
        <f t="shared" si="1"/>
        <v>TTT</v>
      </c>
      <c r="F22" s="60" t="s">
        <v>30</v>
      </c>
      <c r="G22" s="61" t="s">
        <v>74</v>
      </c>
      <c r="H22" s="62" t="str">
        <f>IF($G22="","",IFERROR(VLOOKUP($G22,Projekte!$B$6:$O$11,2,FALSE()),"⚠ unbekannt"))</f>
        <v>Website-Relaunch</v>
      </c>
      <c r="I22" s="60" t="s">
        <v>37</v>
      </c>
      <c r="J22" s="60" t="s">
        <v>111</v>
      </c>
      <c r="K22" s="63">
        <v>0.4375</v>
      </c>
      <c r="L22" s="63">
        <v>0.625</v>
      </c>
      <c r="M22" s="64">
        <v>30</v>
      </c>
      <c r="N22" s="65">
        <f t="shared" si="2"/>
        <v>4</v>
      </c>
      <c r="O22" s="61" t="s">
        <v>59</v>
      </c>
      <c r="P22" s="66">
        <f>IF($G22="","",IFERROR(VLOOKUP($G22,Projekte!$B$6:$O$11,7,FALSE()),0))</f>
        <v>320</v>
      </c>
      <c r="Q22" s="67">
        <f t="shared" si="3"/>
        <v>1280</v>
      </c>
    </row>
    <row r="23" spans="2:17" x14ac:dyDescent="0.25">
      <c r="B23" s="68">
        <f>IF($C23="","",COUNTA($C$8:$C23))</f>
        <v>16</v>
      </c>
      <c r="C23" s="57">
        <v>46035</v>
      </c>
      <c r="D23" s="69">
        <f t="shared" si="0"/>
        <v>3</v>
      </c>
      <c r="E23" s="70" t="str">
        <f t="shared" si="1"/>
        <v>TTT</v>
      </c>
      <c r="F23" s="60" t="s">
        <v>18</v>
      </c>
      <c r="G23" s="61" t="s">
        <v>80</v>
      </c>
      <c r="H23" s="71" t="str">
        <f>IF($G23="","",IFERROR(VLOOKUP($G23,Projekte!$B$6:$O$11,2,FALSE()),"⚠ unbekannt"))</f>
        <v>Prozessanalyse Logistik</v>
      </c>
      <c r="I23" s="60" t="s">
        <v>31</v>
      </c>
      <c r="J23" s="60" t="s">
        <v>100</v>
      </c>
      <c r="K23" s="63">
        <v>0.35416666666666702</v>
      </c>
      <c r="L23" s="63">
        <v>0.47916666666666702</v>
      </c>
      <c r="M23" s="64">
        <v>0</v>
      </c>
      <c r="N23" s="72">
        <f t="shared" si="2"/>
        <v>3</v>
      </c>
      <c r="O23" s="61" t="s">
        <v>59</v>
      </c>
      <c r="P23" s="73">
        <f>IF($G23="","",IFERROR(VLOOKUP($G23,Projekte!$B$6:$O$11,7,FALSE()),0))</f>
        <v>200</v>
      </c>
      <c r="Q23" s="74">
        <f t="shared" si="3"/>
        <v>600</v>
      </c>
    </row>
    <row r="24" spans="2:17" x14ac:dyDescent="0.25">
      <c r="B24" s="56">
        <f>IF($C24="","",COUNTA($C$8:$C24))</f>
        <v>17</v>
      </c>
      <c r="C24" s="57">
        <v>46035</v>
      </c>
      <c r="D24" s="58">
        <f t="shared" si="0"/>
        <v>3</v>
      </c>
      <c r="E24" s="59" t="str">
        <f t="shared" si="1"/>
        <v>TTT</v>
      </c>
      <c r="F24" s="60" t="s">
        <v>24</v>
      </c>
      <c r="G24" s="61" t="s">
        <v>84</v>
      </c>
      <c r="H24" s="62" t="str">
        <f>IF($G24="","",IFERROR(VLOOKUP($G24,Projekte!$B$6:$O$11,2,FALSE()),"⚠ unbekannt"))</f>
        <v>Interne Weiterbildung</v>
      </c>
      <c r="I24" s="60" t="s">
        <v>34</v>
      </c>
      <c r="J24" s="60" t="s">
        <v>112</v>
      </c>
      <c r="K24" s="63">
        <v>0.375</v>
      </c>
      <c r="L24" s="63">
        <v>0.45833333333333298</v>
      </c>
      <c r="M24" s="64">
        <v>0</v>
      </c>
      <c r="N24" s="65">
        <f t="shared" si="2"/>
        <v>2</v>
      </c>
      <c r="O24" s="61" t="s">
        <v>60</v>
      </c>
      <c r="P24" s="66">
        <f>IF($G24="","",IFERROR(VLOOKUP($G24,Projekte!$B$6:$O$11,7,FALSE()),0))</f>
        <v>120</v>
      </c>
      <c r="Q24" s="67">
        <f t="shared" si="3"/>
        <v>0</v>
      </c>
    </row>
    <row r="25" spans="2:17" x14ac:dyDescent="0.25">
      <c r="B25" s="68">
        <f>IF($C25="","",COUNTA($C$8:$C25))</f>
        <v>18</v>
      </c>
      <c r="C25" s="57">
        <v>46035</v>
      </c>
      <c r="D25" s="69">
        <f t="shared" si="0"/>
        <v>3</v>
      </c>
      <c r="E25" s="70" t="str">
        <f t="shared" si="1"/>
        <v>TTT</v>
      </c>
      <c r="F25" s="60" t="s">
        <v>30</v>
      </c>
      <c r="G25" s="61" t="s">
        <v>80</v>
      </c>
      <c r="H25" s="71" t="str">
        <f>IF($G25="","",IFERROR(VLOOKUP($G25,Projekte!$B$6:$O$11,2,FALSE()),"⚠ unbekannt"))</f>
        <v>Prozessanalyse Logistik</v>
      </c>
      <c r="I25" s="60" t="s">
        <v>34</v>
      </c>
      <c r="J25" s="60" t="s">
        <v>107</v>
      </c>
      <c r="K25" s="63">
        <v>0.42708333333333298</v>
      </c>
      <c r="L25" s="63">
        <v>0.59375</v>
      </c>
      <c r="M25" s="64">
        <v>0</v>
      </c>
      <c r="N25" s="72">
        <f t="shared" si="2"/>
        <v>4</v>
      </c>
      <c r="O25" s="61" t="s">
        <v>59</v>
      </c>
      <c r="P25" s="73">
        <f>IF($G25="","",IFERROR(VLOOKUP($G25,Projekte!$B$6:$O$11,7,FALSE()),0))</f>
        <v>200</v>
      </c>
      <c r="Q25" s="74">
        <f t="shared" si="3"/>
        <v>800</v>
      </c>
    </row>
    <row r="26" spans="2:17" x14ac:dyDescent="0.25">
      <c r="B26" s="56">
        <f>IF($C26="","",COUNTA($C$8:$C26))</f>
        <v>19</v>
      </c>
      <c r="C26" s="57">
        <v>46036</v>
      </c>
      <c r="D26" s="58">
        <f t="shared" si="0"/>
        <v>3</v>
      </c>
      <c r="E26" s="59" t="str">
        <f t="shared" si="1"/>
        <v>TTT</v>
      </c>
      <c r="F26" s="60" t="s">
        <v>27</v>
      </c>
      <c r="G26" s="61" t="s">
        <v>80</v>
      </c>
      <c r="H26" s="62" t="str">
        <f>IF($G26="","",IFERROR(VLOOKUP($G26,Projekte!$B$6:$O$11,2,FALSE()),"⚠ unbekannt"))</f>
        <v>Prozessanalyse Logistik</v>
      </c>
      <c r="I26" s="60" t="s">
        <v>25</v>
      </c>
      <c r="J26" s="60" t="s">
        <v>103</v>
      </c>
      <c r="K26" s="63">
        <v>0.33333333333333298</v>
      </c>
      <c r="L26" s="63">
        <v>0.55208333333333304</v>
      </c>
      <c r="M26" s="64">
        <v>15</v>
      </c>
      <c r="N26" s="65">
        <f t="shared" si="2"/>
        <v>5</v>
      </c>
      <c r="O26" s="61" t="s">
        <v>59</v>
      </c>
      <c r="P26" s="66">
        <f>IF($G26="","",IFERROR(VLOOKUP($G26,Projekte!$B$6:$O$11,7,FALSE()),0))</f>
        <v>200</v>
      </c>
      <c r="Q26" s="67">
        <f t="shared" si="3"/>
        <v>1000</v>
      </c>
    </row>
    <row r="27" spans="2:17" x14ac:dyDescent="0.25">
      <c r="B27" s="68">
        <f>IF($C27="","",COUNTA($C$8:$C27))</f>
        <v>20</v>
      </c>
      <c r="C27" s="57">
        <v>46036</v>
      </c>
      <c r="D27" s="69">
        <f t="shared" si="0"/>
        <v>3</v>
      </c>
      <c r="E27" s="70" t="str">
        <f t="shared" si="1"/>
        <v>TTT</v>
      </c>
      <c r="F27" s="60" t="s">
        <v>33</v>
      </c>
      <c r="G27" s="61" t="s">
        <v>78</v>
      </c>
      <c r="H27" s="71" t="str">
        <f>IF($G27="","",IFERROR(VLOOKUP($G27,Projekte!$B$6:$O$11,2,FALSE()),"⚠ unbekannt"))</f>
        <v>Marketing-Kampagne Frühjahr</v>
      </c>
      <c r="I27" s="60" t="s">
        <v>37</v>
      </c>
      <c r="J27" s="60" t="s">
        <v>113</v>
      </c>
      <c r="K27" s="63">
        <v>0.41666666666666702</v>
      </c>
      <c r="L27" s="63">
        <v>0.57291666666666696</v>
      </c>
      <c r="M27" s="64">
        <v>45</v>
      </c>
      <c r="N27" s="72">
        <f t="shared" si="2"/>
        <v>3</v>
      </c>
      <c r="O27" s="61" t="s">
        <v>59</v>
      </c>
      <c r="P27" s="73">
        <f>IF($G27="","",IFERROR(VLOOKUP($G27,Projekte!$B$6:$O$11,7,FALSE()),0))</f>
        <v>160</v>
      </c>
      <c r="Q27" s="74">
        <f t="shared" si="3"/>
        <v>480</v>
      </c>
    </row>
    <row r="28" spans="2:17" x14ac:dyDescent="0.25">
      <c r="B28" s="56">
        <f>IF($C28="","",COUNTA($C$8:$C28))</f>
        <v>21</v>
      </c>
      <c r="C28" s="57">
        <v>46037</v>
      </c>
      <c r="D28" s="58">
        <f t="shared" si="0"/>
        <v>3</v>
      </c>
      <c r="E28" s="59" t="str">
        <f t="shared" si="1"/>
        <v>TTT</v>
      </c>
      <c r="F28" s="60" t="s">
        <v>30</v>
      </c>
      <c r="G28" s="61" t="s">
        <v>78</v>
      </c>
      <c r="H28" s="62" t="str">
        <f>IF($G28="","",IFERROR(VLOOKUP($G28,Projekte!$B$6:$O$11,2,FALSE()),"⚠ unbekannt"))</f>
        <v>Marketing-Kampagne Frühjahr</v>
      </c>
      <c r="I28" s="60" t="s">
        <v>34</v>
      </c>
      <c r="J28" s="60" t="s">
        <v>101</v>
      </c>
      <c r="K28" s="63">
        <v>0.35416666666666702</v>
      </c>
      <c r="L28" s="63">
        <v>0.5625</v>
      </c>
      <c r="M28" s="64">
        <v>0</v>
      </c>
      <c r="N28" s="65">
        <f t="shared" si="2"/>
        <v>5</v>
      </c>
      <c r="O28" s="61" t="s">
        <v>59</v>
      </c>
      <c r="P28" s="66">
        <f>IF($G28="","",IFERROR(VLOOKUP($G28,Projekte!$B$6:$O$11,7,FALSE()),0))</f>
        <v>160</v>
      </c>
      <c r="Q28" s="67">
        <f t="shared" si="3"/>
        <v>800</v>
      </c>
    </row>
    <row r="29" spans="2:17" x14ac:dyDescent="0.25">
      <c r="B29" s="68">
        <f>IF($C29="","",COUNTA($C$8:$C29))</f>
        <v>22</v>
      </c>
      <c r="C29" s="57">
        <v>46037</v>
      </c>
      <c r="D29" s="69">
        <f t="shared" si="0"/>
        <v>3</v>
      </c>
      <c r="E29" s="70" t="str">
        <f t="shared" si="1"/>
        <v>TTT</v>
      </c>
      <c r="F29" s="60" t="s">
        <v>21</v>
      </c>
      <c r="G29" s="61" t="s">
        <v>78</v>
      </c>
      <c r="H29" s="71" t="str">
        <f>IF($G29="","",IFERROR(VLOOKUP($G29,Projekte!$B$6:$O$11,2,FALSE()),"⚠ unbekannt"))</f>
        <v>Marketing-Kampagne Frühjahr</v>
      </c>
      <c r="I29" s="60" t="s">
        <v>34</v>
      </c>
      <c r="J29" s="60" t="s">
        <v>107</v>
      </c>
      <c r="K29" s="63">
        <v>0.42708333333333298</v>
      </c>
      <c r="L29" s="63">
        <v>0.5625</v>
      </c>
      <c r="M29" s="64">
        <v>15</v>
      </c>
      <c r="N29" s="72">
        <f t="shared" si="2"/>
        <v>3</v>
      </c>
      <c r="O29" s="61" t="s">
        <v>59</v>
      </c>
      <c r="P29" s="73">
        <f>IF($G29="","",IFERROR(VLOOKUP($G29,Projekte!$B$6:$O$11,7,FALSE()),0))</f>
        <v>160</v>
      </c>
      <c r="Q29" s="74">
        <f t="shared" si="3"/>
        <v>480</v>
      </c>
    </row>
    <row r="30" spans="2:17" x14ac:dyDescent="0.25">
      <c r="B30" s="56">
        <f>IF($C30="","",COUNTA($C$8:$C30))</f>
        <v>23</v>
      </c>
      <c r="C30" s="57">
        <v>46038</v>
      </c>
      <c r="D30" s="58">
        <f t="shared" si="0"/>
        <v>3</v>
      </c>
      <c r="E30" s="59" t="str">
        <f t="shared" si="1"/>
        <v>TTT</v>
      </c>
      <c r="F30" s="60" t="s">
        <v>33</v>
      </c>
      <c r="G30" s="61" t="s">
        <v>80</v>
      </c>
      <c r="H30" s="62" t="str">
        <f>IF($G30="","",IFERROR(VLOOKUP($G30,Projekte!$B$6:$O$11,2,FALSE()),"⚠ unbekannt"))</f>
        <v>Prozessanalyse Logistik</v>
      </c>
      <c r="I30" s="60" t="s">
        <v>34</v>
      </c>
      <c r="J30" s="60" t="s">
        <v>107</v>
      </c>
      <c r="K30" s="63">
        <v>0.33333333333333298</v>
      </c>
      <c r="L30" s="63">
        <v>0.41666666666666702</v>
      </c>
      <c r="M30" s="64">
        <v>0</v>
      </c>
      <c r="N30" s="65">
        <f t="shared" si="2"/>
        <v>2</v>
      </c>
      <c r="O30" s="61" t="s">
        <v>59</v>
      </c>
      <c r="P30" s="66">
        <f>IF($G30="","",IFERROR(VLOOKUP($G30,Projekte!$B$6:$O$11,7,FALSE()),0))</f>
        <v>200</v>
      </c>
      <c r="Q30" s="67">
        <f t="shared" si="3"/>
        <v>400</v>
      </c>
    </row>
    <row r="31" spans="2:17" x14ac:dyDescent="0.25">
      <c r="B31" s="68">
        <f>IF($C31="","",COUNTA($C$8:$C31))</f>
        <v>24</v>
      </c>
      <c r="C31" s="57">
        <v>46038</v>
      </c>
      <c r="D31" s="69">
        <f t="shared" si="0"/>
        <v>3</v>
      </c>
      <c r="E31" s="70" t="str">
        <f t="shared" si="1"/>
        <v>TTT</v>
      </c>
      <c r="F31" s="60" t="s">
        <v>30</v>
      </c>
      <c r="G31" s="61" t="s">
        <v>80</v>
      </c>
      <c r="H31" s="71" t="str">
        <f>IF($G31="","",IFERROR(VLOOKUP($G31,Projekte!$B$6:$O$11,2,FALSE()),"⚠ unbekannt"))</f>
        <v>Prozessanalyse Logistik</v>
      </c>
      <c r="I31" s="60" t="s">
        <v>34</v>
      </c>
      <c r="J31" s="60" t="s">
        <v>112</v>
      </c>
      <c r="K31" s="63">
        <v>0.39583333333333298</v>
      </c>
      <c r="L31" s="63">
        <v>0.52083333333333304</v>
      </c>
      <c r="M31" s="64">
        <v>0</v>
      </c>
      <c r="N31" s="72">
        <f t="shared" si="2"/>
        <v>3</v>
      </c>
      <c r="O31" s="61" t="s">
        <v>59</v>
      </c>
      <c r="P31" s="73">
        <f>IF($G31="","",IFERROR(VLOOKUP($G31,Projekte!$B$6:$O$11,7,FALSE()),0))</f>
        <v>200</v>
      </c>
      <c r="Q31" s="74">
        <f t="shared" si="3"/>
        <v>600</v>
      </c>
    </row>
    <row r="32" spans="2:17" x14ac:dyDescent="0.25">
      <c r="B32" s="56">
        <f>IF($C32="","",COUNTA($C$8:$C32))</f>
        <v>25</v>
      </c>
      <c r="C32" s="57">
        <v>46041</v>
      </c>
      <c r="D32" s="58">
        <f t="shared" si="0"/>
        <v>4</v>
      </c>
      <c r="E32" s="59" t="str">
        <f t="shared" si="1"/>
        <v>TTT</v>
      </c>
      <c r="F32" s="60" t="s">
        <v>33</v>
      </c>
      <c r="G32" s="61" t="s">
        <v>74</v>
      </c>
      <c r="H32" s="62" t="str">
        <f>IF($G32="","",IFERROR(VLOOKUP($G32,Projekte!$B$6:$O$11,2,FALSE()),"⚠ unbekannt"))</f>
        <v>Website-Relaunch</v>
      </c>
      <c r="I32" s="60" t="s">
        <v>36</v>
      </c>
      <c r="J32" s="60" t="s">
        <v>114</v>
      </c>
      <c r="K32" s="63">
        <v>0.375</v>
      </c>
      <c r="L32" s="63">
        <v>0.55208333333333304</v>
      </c>
      <c r="M32" s="64">
        <v>15</v>
      </c>
      <c r="N32" s="65">
        <f t="shared" si="2"/>
        <v>4</v>
      </c>
      <c r="O32" s="61" t="s">
        <v>59</v>
      </c>
      <c r="P32" s="66">
        <f>IF($G32="","",IFERROR(VLOOKUP($G32,Projekte!$B$6:$O$11,7,FALSE()),0))</f>
        <v>320</v>
      </c>
      <c r="Q32" s="67">
        <f t="shared" si="3"/>
        <v>1280</v>
      </c>
    </row>
    <row r="33" spans="2:17" x14ac:dyDescent="0.25">
      <c r="B33" s="68">
        <f>IF($C33="","",COUNTA($C$8:$C33))</f>
        <v>26</v>
      </c>
      <c r="C33" s="57">
        <v>46041</v>
      </c>
      <c r="D33" s="69">
        <f t="shared" si="0"/>
        <v>4</v>
      </c>
      <c r="E33" s="70" t="str">
        <f t="shared" si="1"/>
        <v>TTT</v>
      </c>
      <c r="F33" s="60" t="s">
        <v>21</v>
      </c>
      <c r="G33" s="61" t="s">
        <v>78</v>
      </c>
      <c r="H33" s="71" t="str">
        <f>IF($G33="","",IFERROR(VLOOKUP($G33,Projekte!$B$6:$O$11,2,FALSE()),"⚠ unbekannt"))</f>
        <v>Marketing-Kampagne Frühjahr</v>
      </c>
      <c r="I33" s="60" t="s">
        <v>31</v>
      </c>
      <c r="J33" s="60" t="s">
        <v>100</v>
      </c>
      <c r="K33" s="63">
        <v>0.38541666666666702</v>
      </c>
      <c r="L33" s="63">
        <v>0.59375</v>
      </c>
      <c r="M33" s="64">
        <v>0</v>
      </c>
      <c r="N33" s="72">
        <f t="shared" si="2"/>
        <v>5</v>
      </c>
      <c r="O33" s="61" t="s">
        <v>59</v>
      </c>
      <c r="P33" s="73">
        <f>IF($G33="","",IFERROR(VLOOKUP($G33,Projekte!$B$6:$O$11,7,FALSE()),0))</f>
        <v>160</v>
      </c>
      <c r="Q33" s="74">
        <f t="shared" si="3"/>
        <v>800</v>
      </c>
    </row>
    <row r="34" spans="2:17" x14ac:dyDescent="0.25">
      <c r="B34" s="56">
        <f>IF($C34="","",COUNTA($C$8:$C34))</f>
        <v>27</v>
      </c>
      <c r="C34" s="57">
        <v>46041</v>
      </c>
      <c r="D34" s="58">
        <f t="shared" si="0"/>
        <v>4</v>
      </c>
      <c r="E34" s="59" t="str">
        <f t="shared" si="1"/>
        <v>TTT</v>
      </c>
      <c r="F34" s="60" t="s">
        <v>18</v>
      </c>
      <c r="G34" s="61" t="s">
        <v>80</v>
      </c>
      <c r="H34" s="62" t="str">
        <f>IF($G34="","",IFERROR(VLOOKUP($G34,Projekte!$B$6:$O$11,2,FALSE()),"⚠ unbekannt"))</f>
        <v>Prozessanalyse Logistik</v>
      </c>
      <c r="I34" s="60" t="s">
        <v>31</v>
      </c>
      <c r="J34" s="60" t="s">
        <v>100</v>
      </c>
      <c r="K34" s="63">
        <v>0.54166666666666696</v>
      </c>
      <c r="L34" s="63">
        <v>0.66666666666666696</v>
      </c>
      <c r="M34" s="64">
        <v>0</v>
      </c>
      <c r="N34" s="65">
        <f t="shared" si="2"/>
        <v>3</v>
      </c>
      <c r="O34" s="61" t="s">
        <v>59</v>
      </c>
      <c r="P34" s="66">
        <f>IF($G34="","",IFERROR(VLOOKUP($G34,Projekte!$B$6:$O$11,7,FALSE()),0))</f>
        <v>200</v>
      </c>
      <c r="Q34" s="67">
        <f t="shared" si="3"/>
        <v>600</v>
      </c>
    </row>
    <row r="35" spans="2:17" x14ac:dyDescent="0.25">
      <c r="B35" s="68">
        <f>IF($C35="","",COUNTA($C$8:$C35))</f>
        <v>28</v>
      </c>
      <c r="C35" s="57">
        <v>46042</v>
      </c>
      <c r="D35" s="69">
        <f t="shared" si="0"/>
        <v>4</v>
      </c>
      <c r="E35" s="70" t="str">
        <f t="shared" si="1"/>
        <v>TTT</v>
      </c>
      <c r="F35" s="60" t="s">
        <v>21</v>
      </c>
      <c r="G35" s="61" t="s">
        <v>76</v>
      </c>
      <c r="H35" s="71" t="str">
        <f>IF($G35="","",IFERROR(VLOOKUP($G35,Projekte!$B$6:$O$11,2,FALSE()),"⚠ unbekannt"))</f>
        <v>CRM-Einführung</v>
      </c>
      <c r="I35" s="60" t="s">
        <v>34</v>
      </c>
      <c r="J35" s="60" t="s">
        <v>107</v>
      </c>
      <c r="K35" s="63">
        <v>0.33333333333333298</v>
      </c>
      <c r="L35" s="63">
        <v>0.41666666666666702</v>
      </c>
      <c r="M35" s="64">
        <v>0</v>
      </c>
      <c r="N35" s="72">
        <f t="shared" si="2"/>
        <v>2</v>
      </c>
      <c r="O35" s="61" t="s">
        <v>59</v>
      </c>
      <c r="P35" s="73">
        <f>IF($G35="","",IFERROR(VLOOKUP($G35,Projekte!$B$6:$O$11,7,FALSE()),0))</f>
        <v>480</v>
      </c>
      <c r="Q35" s="74">
        <f t="shared" si="3"/>
        <v>960</v>
      </c>
    </row>
    <row r="36" spans="2:17" x14ac:dyDescent="0.25">
      <c r="B36" s="56">
        <f>IF($C36="","",COUNTA($C$8:$C36))</f>
        <v>29</v>
      </c>
      <c r="C36" s="57">
        <v>46042</v>
      </c>
      <c r="D36" s="58">
        <f t="shared" si="0"/>
        <v>4</v>
      </c>
      <c r="E36" s="59" t="str">
        <f t="shared" si="1"/>
        <v>TTT</v>
      </c>
      <c r="F36" s="60" t="s">
        <v>33</v>
      </c>
      <c r="G36" s="61" t="s">
        <v>74</v>
      </c>
      <c r="H36" s="62" t="str">
        <f>IF($G36="","",IFERROR(VLOOKUP($G36,Projekte!$B$6:$O$11,2,FALSE()),"⚠ unbekannt"))</f>
        <v>Website-Relaunch</v>
      </c>
      <c r="I36" s="60" t="s">
        <v>34</v>
      </c>
      <c r="J36" s="60" t="s">
        <v>101</v>
      </c>
      <c r="K36" s="63">
        <v>0.375</v>
      </c>
      <c r="L36" s="63">
        <v>0.5</v>
      </c>
      <c r="M36" s="64">
        <v>0</v>
      </c>
      <c r="N36" s="65">
        <f t="shared" si="2"/>
        <v>3</v>
      </c>
      <c r="O36" s="61" t="s">
        <v>59</v>
      </c>
      <c r="P36" s="66">
        <f>IF($G36="","",IFERROR(VLOOKUP($G36,Projekte!$B$6:$O$11,7,FALSE()),0))</f>
        <v>320</v>
      </c>
      <c r="Q36" s="67">
        <f t="shared" si="3"/>
        <v>960</v>
      </c>
    </row>
    <row r="37" spans="2:17" x14ac:dyDescent="0.25">
      <c r="B37" s="68">
        <f>IF($C37="","",COUNTA($C$8:$C37))</f>
        <v>30</v>
      </c>
      <c r="C37" s="57">
        <v>46043</v>
      </c>
      <c r="D37" s="69">
        <f t="shared" si="0"/>
        <v>4</v>
      </c>
      <c r="E37" s="70" t="str">
        <f t="shared" si="1"/>
        <v>TTT</v>
      </c>
      <c r="F37" s="60" t="s">
        <v>30</v>
      </c>
      <c r="G37" s="61" t="s">
        <v>84</v>
      </c>
      <c r="H37" s="71" t="str">
        <f>IF($G37="","",IFERROR(VLOOKUP($G37,Projekte!$B$6:$O$11,2,FALSE()),"⚠ unbekannt"))</f>
        <v>Interne Weiterbildung</v>
      </c>
      <c r="I37" s="60" t="s">
        <v>34</v>
      </c>
      <c r="J37" s="60" t="s">
        <v>112</v>
      </c>
      <c r="K37" s="63">
        <v>0.33333333333333298</v>
      </c>
      <c r="L37" s="63">
        <v>0.47916666666666702</v>
      </c>
      <c r="M37" s="64">
        <v>30</v>
      </c>
      <c r="N37" s="72">
        <f t="shared" si="2"/>
        <v>3</v>
      </c>
      <c r="O37" s="61" t="s">
        <v>60</v>
      </c>
      <c r="P37" s="73">
        <f>IF($G37="","",IFERROR(VLOOKUP($G37,Projekte!$B$6:$O$11,7,FALSE()),0))</f>
        <v>120</v>
      </c>
      <c r="Q37" s="74">
        <f t="shared" si="3"/>
        <v>0</v>
      </c>
    </row>
    <row r="38" spans="2:17" x14ac:dyDescent="0.25">
      <c r="B38" s="56">
        <f>IF($C38="","",COUNTA($C$8:$C38))</f>
        <v>31</v>
      </c>
      <c r="C38" s="57">
        <v>46043</v>
      </c>
      <c r="D38" s="58">
        <f t="shared" si="0"/>
        <v>4</v>
      </c>
      <c r="E38" s="59" t="str">
        <f t="shared" si="1"/>
        <v>TTT</v>
      </c>
      <c r="F38" s="60" t="s">
        <v>21</v>
      </c>
      <c r="G38" s="61" t="s">
        <v>78</v>
      </c>
      <c r="H38" s="62" t="str">
        <f>IF($G38="","",IFERROR(VLOOKUP($G38,Projekte!$B$6:$O$11,2,FALSE()),"⚠ unbekannt"))</f>
        <v>Marketing-Kampagne Frühjahr</v>
      </c>
      <c r="I38" s="60" t="s">
        <v>31</v>
      </c>
      <c r="J38" s="60" t="s">
        <v>115</v>
      </c>
      <c r="K38" s="63">
        <v>0.39583333333333298</v>
      </c>
      <c r="L38" s="63">
        <v>0.52083333333333304</v>
      </c>
      <c r="M38" s="64">
        <v>0</v>
      </c>
      <c r="N38" s="65">
        <f t="shared" si="2"/>
        <v>3</v>
      </c>
      <c r="O38" s="61" t="s">
        <v>59</v>
      </c>
      <c r="P38" s="66">
        <f>IF($G38="","",IFERROR(VLOOKUP($G38,Projekte!$B$6:$O$11,7,FALSE()),0))</f>
        <v>160</v>
      </c>
      <c r="Q38" s="67">
        <f t="shared" si="3"/>
        <v>480</v>
      </c>
    </row>
    <row r="39" spans="2:17" x14ac:dyDescent="0.25">
      <c r="B39" s="68">
        <f>IF($C39="","",COUNTA($C$8:$C39))</f>
        <v>32</v>
      </c>
      <c r="C39" s="57">
        <v>46043</v>
      </c>
      <c r="D39" s="69">
        <f t="shared" si="0"/>
        <v>4</v>
      </c>
      <c r="E39" s="70" t="str">
        <f t="shared" si="1"/>
        <v>TTT</v>
      </c>
      <c r="F39" s="60" t="s">
        <v>33</v>
      </c>
      <c r="G39" s="61" t="s">
        <v>78</v>
      </c>
      <c r="H39" s="71" t="str">
        <f>IF($G39="","",IFERROR(VLOOKUP($G39,Projekte!$B$6:$O$11,2,FALSE()),"⚠ unbekannt"))</f>
        <v>Marketing-Kampagne Frühjahr</v>
      </c>
      <c r="I39" s="60" t="s">
        <v>34</v>
      </c>
      <c r="J39" s="60" t="s">
        <v>105</v>
      </c>
      <c r="K39" s="63">
        <v>0.41666666666666702</v>
      </c>
      <c r="L39" s="63">
        <v>0.58333333333333304</v>
      </c>
      <c r="M39" s="64">
        <v>0</v>
      </c>
      <c r="N39" s="72">
        <f t="shared" si="2"/>
        <v>4</v>
      </c>
      <c r="O39" s="61" t="s">
        <v>59</v>
      </c>
      <c r="P39" s="73">
        <f>IF($G39="","",IFERROR(VLOOKUP($G39,Projekte!$B$6:$O$11,7,FALSE()),0))</f>
        <v>160</v>
      </c>
      <c r="Q39" s="74">
        <f t="shared" si="3"/>
        <v>640</v>
      </c>
    </row>
    <row r="40" spans="2:17" x14ac:dyDescent="0.25">
      <c r="B40" s="56">
        <f>IF($C40="","",COUNTA($C$8:$C40))</f>
        <v>33</v>
      </c>
      <c r="C40" s="57">
        <v>46044</v>
      </c>
      <c r="D40" s="58">
        <f t="shared" ref="D40:D71" si="4">IF($C40="","",_xlfn.ISOWEEKNUM($C40))</f>
        <v>4</v>
      </c>
      <c r="E40" s="59" t="str">
        <f t="shared" ref="E40:E71" si="5">IF($C40="","",TEXT($C40,"TTT"))</f>
        <v>TTT</v>
      </c>
      <c r="F40" s="60" t="s">
        <v>33</v>
      </c>
      <c r="G40" s="61" t="s">
        <v>74</v>
      </c>
      <c r="H40" s="62" t="str">
        <f>IF($G40="","",IFERROR(VLOOKUP($G40,Projekte!$B$6:$O$11,2,FALSE()),"⚠ unbekannt"))</f>
        <v>Website-Relaunch</v>
      </c>
      <c r="I40" s="60" t="s">
        <v>19</v>
      </c>
      <c r="J40" s="60" t="s">
        <v>116</v>
      </c>
      <c r="K40" s="63">
        <v>0.33333333333333298</v>
      </c>
      <c r="L40" s="63">
        <v>0.45833333333333298</v>
      </c>
      <c r="M40" s="64">
        <v>0</v>
      </c>
      <c r="N40" s="65">
        <f t="shared" ref="N40:N71" si="6">IF(OR($K40="",$L40=""),"",ROUND(($L40-$K40)*24 - IF($M40="",0,$M40)/60,2))</f>
        <v>3</v>
      </c>
      <c r="O40" s="61" t="s">
        <v>59</v>
      </c>
      <c r="P40" s="66">
        <f>IF($G40="","",IFERROR(VLOOKUP($G40,Projekte!$B$6:$O$11,7,FALSE()),0))</f>
        <v>320</v>
      </c>
      <c r="Q40" s="67">
        <f t="shared" ref="Q40:Q71" si="7">IF($N40="","",IF($O40="Ja",$N40*$P40,0))</f>
        <v>960</v>
      </c>
    </row>
    <row r="41" spans="2:17" x14ac:dyDescent="0.25">
      <c r="B41" s="68">
        <f>IF($C41="","",COUNTA($C$8:$C41))</f>
        <v>34</v>
      </c>
      <c r="C41" s="57">
        <v>46044</v>
      </c>
      <c r="D41" s="69">
        <f t="shared" si="4"/>
        <v>4</v>
      </c>
      <c r="E41" s="70" t="str">
        <f t="shared" si="5"/>
        <v>TTT</v>
      </c>
      <c r="F41" s="60" t="s">
        <v>24</v>
      </c>
      <c r="G41" s="61" t="s">
        <v>74</v>
      </c>
      <c r="H41" s="71" t="str">
        <f>IF($G41="","",IFERROR(VLOOKUP($G41,Projekte!$B$6:$O$11,2,FALSE()),"⚠ unbekannt"))</f>
        <v>Website-Relaunch</v>
      </c>
      <c r="I41" s="60" t="s">
        <v>25</v>
      </c>
      <c r="J41" s="60" t="s">
        <v>117</v>
      </c>
      <c r="K41" s="63">
        <v>0.33333333333333298</v>
      </c>
      <c r="L41" s="63">
        <v>0.51041666666666696</v>
      </c>
      <c r="M41" s="64">
        <v>15</v>
      </c>
      <c r="N41" s="72">
        <f t="shared" si="6"/>
        <v>4</v>
      </c>
      <c r="O41" s="61" t="s">
        <v>59</v>
      </c>
      <c r="P41" s="73">
        <f>IF($G41="","",IFERROR(VLOOKUP($G41,Projekte!$B$6:$O$11,7,FALSE()),0))</f>
        <v>320</v>
      </c>
      <c r="Q41" s="74">
        <f t="shared" si="7"/>
        <v>1280</v>
      </c>
    </row>
    <row r="42" spans="2:17" x14ac:dyDescent="0.25">
      <c r="B42" s="56">
        <f>IF($C42="","",COUNTA($C$8:$C42))</f>
        <v>35</v>
      </c>
      <c r="C42" s="57">
        <v>46044</v>
      </c>
      <c r="D42" s="58">
        <f t="shared" si="4"/>
        <v>4</v>
      </c>
      <c r="E42" s="59" t="str">
        <f t="shared" si="5"/>
        <v>TTT</v>
      </c>
      <c r="F42" s="60" t="s">
        <v>30</v>
      </c>
      <c r="G42" s="61" t="s">
        <v>76</v>
      </c>
      <c r="H42" s="62" t="str">
        <f>IF($G42="","",IFERROR(VLOOKUP($G42,Projekte!$B$6:$O$11,2,FALSE()),"⚠ unbekannt"))</f>
        <v>CRM-Einführung</v>
      </c>
      <c r="I42" s="60" t="s">
        <v>28</v>
      </c>
      <c r="J42" s="60" t="s">
        <v>118</v>
      </c>
      <c r="K42" s="63">
        <v>0.41666666666666702</v>
      </c>
      <c r="L42" s="63">
        <v>0.65625</v>
      </c>
      <c r="M42" s="64">
        <v>45</v>
      </c>
      <c r="N42" s="65">
        <f t="shared" si="6"/>
        <v>5</v>
      </c>
      <c r="O42" s="61" t="s">
        <v>59</v>
      </c>
      <c r="P42" s="66">
        <f>IF($G42="","",IFERROR(VLOOKUP($G42,Projekte!$B$6:$O$11,7,FALSE()),0))</f>
        <v>480</v>
      </c>
      <c r="Q42" s="67">
        <f t="shared" si="7"/>
        <v>2400</v>
      </c>
    </row>
    <row r="43" spans="2:17" x14ac:dyDescent="0.25">
      <c r="B43" s="68">
        <f>IF($C43="","",COUNTA($C$8:$C43))</f>
        <v>36</v>
      </c>
      <c r="C43" s="57">
        <v>46045</v>
      </c>
      <c r="D43" s="69">
        <f t="shared" si="4"/>
        <v>4</v>
      </c>
      <c r="E43" s="70" t="str">
        <f t="shared" si="5"/>
        <v>TTT</v>
      </c>
      <c r="F43" s="60" t="s">
        <v>27</v>
      </c>
      <c r="G43" s="61" t="s">
        <v>74</v>
      </c>
      <c r="H43" s="71" t="str">
        <f>IF($G43="","",IFERROR(VLOOKUP($G43,Projekte!$B$6:$O$11,2,FALSE()),"⚠ unbekannt"))</f>
        <v>Website-Relaunch</v>
      </c>
      <c r="I43" s="60" t="s">
        <v>34</v>
      </c>
      <c r="J43" s="60" t="s">
        <v>112</v>
      </c>
      <c r="K43" s="63">
        <v>0.34375</v>
      </c>
      <c r="L43" s="63">
        <v>0.47916666666666702</v>
      </c>
      <c r="M43" s="64">
        <v>15</v>
      </c>
      <c r="N43" s="72">
        <f t="shared" si="6"/>
        <v>3</v>
      </c>
      <c r="O43" s="61" t="s">
        <v>59</v>
      </c>
      <c r="P43" s="73">
        <f>IF($G43="","",IFERROR(VLOOKUP($G43,Projekte!$B$6:$O$11,7,FALSE()),0))</f>
        <v>320</v>
      </c>
      <c r="Q43" s="74">
        <f t="shared" si="7"/>
        <v>960</v>
      </c>
    </row>
    <row r="44" spans="2:17" x14ac:dyDescent="0.25">
      <c r="B44" s="56">
        <f>IF($C44="","",COUNTA($C$8:$C44))</f>
        <v>37</v>
      </c>
      <c r="C44" s="57">
        <v>46045</v>
      </c>
      <c r="D44" s="58">
        <f t="shared" si="4"/>
        <v>4</v>
      </c>
      <c r="E44" s="59" t="str">
        <f t="shared" si="5"/>
        <v>TTT</v>
      </c>
      <c r="F44" s="60" t="s">
        <v>21</v>
      </c>
      <c r="G44" s="61" t="s">
        <v>80</v>
      </c>
      <c r="H44" s="62" t="str">
        <f>IF($G44="","",IFERROR(VLOOKUP($G44,Projekte!$B$6:$O$11,2,FALSE()),"⚠ unbekannt"))</f>
        <v>Prozessanalyse Logistik</v>
      </c>
      <c r="I44" s="60" t="s">
        <v>31</v>
      </c>
      <c r="J44" s="60" t="s">
        <v>119</v>
      </c>
      <c r="K44" s="63">
        <v>0.38541666666666702</v>
      </c>
      <c r="L44" s="63">
        <v>0.46875</v>
      </c>
      <c r="M44" s="64">
        <v>0</v>
      </c>
      <c r="N44" s="65">
        <f t="shared" si="6"/>
        <v>2</v>
      </c>
      <c r="O44" s="61" t="s">
        <v>59</v>
      </c>
      <c r="P44" s="66">
        <f>IF($G44="","",IFERROR(VLOOKUP($G44,Projekte!$B$6:$O$11,7,FALSE()),0))</f>
        <v>200</v>
      </c>
      <c r="Q44" s="67">
        <f t="shared" si="7"/>
        <v>400</v>
      </c>
    </row>
    <row r="45" spans="2:17" x14ac:dyDescent="0.25">
      <c r="B45" s="68">
        <f>IF($C45="","",COUNTA($C$8:$C45))</f>
        <v>38</v>
      </c>
      <c r="C45" s="57">
        <v>46048</v>
      </c>
      <c r="D45" s="69">
        <f t="shared" si="4"/>
        <v>5</v>
      </c>
      <c r="E45" s="70" t="str">
        <f t="shared" si="5"/>
        <v>TTT</v>
      </c>
      <c r="F45" s="60" t="s">
        <v>30</v>
      </c>
      <c r="G45" s="61" t="s">
        <v>80</v>
      </c>
      <c r="H45" s="71" t="str">
        <f>IF($G45="","",IFERROR(VLOOKUP($G45,Projekte!$B$6:$O$11,2,FALSE()),"⚠ unbekannt"))</f>
        <v>Prozessanalyse Logistik</v>
      </c>
      <c r="I45" s="60" t="s">
        <v>28</v>
      </c>
      <c r="J45" s="60" t="s">
        <v>106</v>
      </c>
      <c r="K45" s="63">
        <v>0.375</v>
      </c>
      <c r="L45" s="63">
        <v>0.59375</v>
      </c>
      <c r="M45" s="64">
        <v>15</v>
      </c>
      <c r="N45" s="72">
        <f t="shared" si="6"/>
        <v>5</v>
      </c>
      <c r="O45" s="61" t="s">
        <v>59</v>
      </c>
      <c r="P45" s="73">
        <f>IF($G45="","",IFERROR(VLOOKUP($G45,Projekte!$B$6:$O$11,7,FALSE()),0))</f>
        <v>200</v>
      </c>
      <c r="Q45" s="74">
        <f t="shared" si="7"/>
        <v>1000</v>
      </c>
    </row>
    <row r="46" spans="2:17" x14ac:dyDescent="0.25">
      <c r="B46" s="56">
        <f>IF($C46="","",COUNTA($C$8:$C46))</f>
        <v>39</v>
      </c>
      <c r="C46" s="57">
        <v>46048</v>
      </c>
      <c r="D46" s="58">
        <f t="shared" si="4"/>
        <v>5</v>
      </c>
      <c r="E46" s="59" t="str">
        <f t="shared" si="5"/>
        <v>TTT</v>
      </c>
      <c r="F46" s="60" t="s">
        <v>33</v>
      </c>
      <c r="G46" s="61" t="s">
        <v>74</v>
      </c>
      <c r="H46" s="62" t="str">
        <f>IF($G46="","",IFERROR(VLOOKUP($G46,Projekte!$B$6:$O$11,2,FALSE()),"⚠ unbekannt"))</f>
        <v>Website-Relaunch</v>
      </c>
      <c r="I46" s="60" t="s">
        <v>36</v>
      </c>
      <c r="J46" s="60" t="s">
        <v>114</v>
      </c>
      <c r="K46" s="63">
        <v>0.54166666666666696</v>
      </c>
      <c r="L46" s="63">
        <v>0.6875</v>
      </c>
      <c r="M46" s="64">
        <v>30</v>
      </c>
      <c r="N46" s="65">
        <f t="shared" si="6"/>
        <v>3</v>
      </c>
      <c r="O46" s="61" t="s">
        <v>59</v>
      </c>
      <c r="P46" s="66">
        <f>IF($G46="","",IFERROR(VLOOKUP($G46,Projekte!$B$6:$O$11,7,FALSE()),0))</f>
        <v>320</v>
      </c>
      <c r="Q46" s="67">
        <f t="shared" si="7"/>
        <v>960</v>
      </c>
    </row>
    <row r="47" spans="2:17" x14ac:dyDescent="0.25">
      <c r="B47" s="68">
        <f>IF($C47="","",COUNTA($C$8:$C47))</f>
        <v>40</v>
      </c>
      <c r="C47" s="57">
        <v>46049</v>
      </c>
      <c r="D47" s="69">
        <f t="shared" si="4"/>
        <v>5</v>
      </c>
      <c r="E47" s="70" t="str">
        <f t="shared" si="5"/>
        <v>TTT</v>
      </c>
      <c r="F47" s="60" t="s">
        <v>24</v>
      </c>
      <c r="G47" s="61" t="s">
        <v>74</v>
      </c>
      <c r="H47" s="71" t="str">
        <f>IF($G47="","",IFERROR(VLOOKUP($G47,Projekte!$B$6:$O$11,2,FALSE()),"⚠ unbekannt"))</f>
        <v>Website-Relaunch</v>
      </c>
      <c r="I47" s="60" t="s">
        <v>25</v>
      </c>
      <c r="J47" s="60" t="s">
        <v>117</v>
      </c>
      <c r="K47" s="63">
        <v>0.375</v>
      </c>
      <c r="L47" s="63">
        <v>0.45833333333333298</v>
      </c>
      <c r="M47" s="64">
        <v>0</v>
      </c>
      <c r="N47" s="72">
        <f t="shared" si="6"/>
        <v>2</v>
      </c>
      <c r="O47" s="61" t="s">
        <v>59</v>
      </c>
      <c r="P47" s="73">
        <f>IF($G47="","",IFERROR(VLOOKUP($G47,Projekte!$B$6:$O$11,7,FALSE()),0))</f>
        <v>320</v>
      </c>
      <c r="Q47" s="74">
        <f t="shared" si="7"/>
        <v>640</v>
      </c>
    </row>
    <row r="48" spans="2:17" x14ac:dyDescent="0.25">
      <c r="B48" s="56">
        <f>IF($C48="","",COUNTA($C$8:$C48))</f>
        <v>41</v>
      </c>
      <c r="C48" s="57">
        <v>46049</v>
      </c>
      <c r="D48" s="58">
        <f t="shared" si="4"/>
        <v>5</v>
      </c>
      <c r="E48" s="59" t="str">
        <f t="shared" si="5"/>
        <v>TTT</v>
      </c>
      <c r="F48" s="60" t="s">
        <v>18</v>
      </c>
      <c r="G48" s="61" t="s">
        <v>74</v>
      </c>
      <c r="H48" s="62" t="str">
        <f>IF($G48="","",IFERROR(VLOOKUP($G48,Projekte!$B$6:$O$11,2,FALSE()),"⚠ unbekannt"))</f>
        <v>Website-Relaunch</v>
      </c>
      <c r="I48" s="60" t="s">
        <v>31</v>
      </c>
      <c r="J48" s="60" t="s">
        <v>99</v>
      </c>
      <c r="K48" s="63">
        <v>0.375</v>
      </c>
      <c r="L48" s="63">
        <v>0.55208333333333304</v>
      </c>
      <c r="M48" s="64">
        <v>15</v>
      </c>
      <c r="N48" s="65">
        <f t="shared" si="6"/>
        <v>4</v>
      </c>
      <c r="O48" s="61" t="s">
        <v>59</v>
      </c>
      <c r="P48" s="66">
        <f>IF($G48="","",IFERROR(VLOOKUP($G48,Projekte!$B$6:$O$11,7,FALSE()),0))</f>
        <v>320</v>
      </c>
      <c r="Q48" s="67">
        <f t="shared" si="7"/>
        <v>1280</v>
      </c>
    </row>
    <row r="49" spans="2:17" x14ac:dyDescent="0.25">
      <c r="B49" s="68">
        <f>IF($C49="","",COUNTA($C$8:$C49))</f>
        <v>42</v>
      </c>
      <c r="C49" s="57">
        <v>46050</v>
      </c>
      <c r="D49" s="69">
        <f t="shared" si="4"/>
        <v>5</v>
      </c>
      <c r="E49" s="70" t="str">
        <f t="shared" si="5"/>
        <v>TTT</v>
      </c>
      <c r="F49" s="60" t="s">
        <v>18</v>
      </c>
      <c r="G49" s="61" t="s">
        <v>80</v>
      </c>
      <c r="H49" s="71" t="str">
        <f>IF($G49="","",IFERROR(VLOOKUP($G49,Projekte!$B$6:$O$11,2,FALSE()),"⚠ unbekannt"))</f>
        <v>Prozessanalyse Logistik</v>
      </c>
      <c r="I49" s="60" t="s">
        <v>31</v>
      </c>
      <c r="J49" s="60" t="s">
        <v>119</v>
      </c>
      <c r="K49" s="63">
        <v>0.375</v>
      </c>
      <c r="L49" s="63">
        <v>0.48958333333333298</v>
      </c>
      <c r="M49" s="64">
        <v>45</v>
      </c>
      <c r="N49" s="72">
        <f t="shared" si="6"/>
        <v>2</v>
      </c>
      <c r="O49" s="61" t="s">
        <v>59</v>
      </c>
      <c r="P49" s="73">
        <f>IF($G49="","",IFERROR(VLOOKUP($G49,Projekte!$B$6:$O$11,7,FALSE()),0))</f>
        <v>200</v>
      </c>
      <c r="Q49" s="74">
        <f t="shared" si="7"/>
        <v>400</v>
      </c>
    </row>
    <row r="50" spans="2:17" x14ac:dyDescent="0.25">
      <c r="B50" s="56">
        <f>IF($C50="","",COUNTA($C$8:$C50))</f>
        <v>43</v>
      </c>
      <c r="C50" s="57">
        <v>46050</v>
      </c>
      <c r="D50" s="58">
        <f t="shared" si="4"/>
        <v>5</v>
      </c>
      <c r="E50" s="59" t="str">
        <f t="shared" si="5"/>
        <v>TTT</v>
      </c>
      <c r="F50" s="60" t="s">
        <v>24</v>
      </c>
      <c r="G50" s="61" t="s">
        <v>74</v>
      </c>
      <c r="H50" s="62" t="str">
        <f>IF($G50="","",IFERROR(VLOOKUP($G50,Projekte!$B$6:$O$11,2,FALSE()),"⚠ unbekannt"))</f>
        <v>Website-Relaunch</v>
      </c>
      <c r="I50" s="60" t="s">
        <v>22</v>
      </c>
      <c r="J50" s="60" t="s">
        <v>120</v>
      </c>
      <c r="K50" s="63">
        <v>0.41666666666666702</v>
      </c>
      <c r="L50" s="63">
        <v>0.51041666666666696</v>
      </c>
      <c r="M50" s="64">
        <v>15</v>
      </c>
      <c r="N50" s="65">
        <f t="shared" si="6"/>
        <v>2</v>
      </c>
      <c r="O50" s="61" t="s">
        <v>59</v>
      </c>
      <c r="P50" s="66">
        <f>IF($G50="","",IFERROR(VLOOKUP($G50,Projekte!$B$6:$O$11,7,FALSE()),0))</f>
        <v>320</v>
      </c>
      <c r="Q50" s="67">
        <f t="shared" si="7"/>
        <v>640</v>
      </c>
    </row>
    <row r="51" spans="2:17" x14ac:dyDescent="0.25">
      <c r="B51" s="68">
        <f>IF($C51="","",COUNTA($C$8:$C51))</f>
        <v>44</v>
      </c>
      <c r="C51" s="57">
        <v>46050</v>
      </c>
      <c r="D51" s="69">
        <f t="shared" si="4"/>
        <v>5</v>
      </c>
      <c r="E51" s="70" t="str">
        <f t="shared" si="5"/>
        <v>TTT</v>
      </c>
      <c r="F51" s="60" t="s">
        <v>21</v>
      </c>
      <c r="G51" s="61" t="s">
        <v>80</v>
      </c>
      <c r="H51" s="71" t="str">
        <f>IF($G51="","",IFERROR(VLOOKUP($G51,Projekte!$B$6:$O$11,2,FALSE()),"⚠ unbekannt"))</f>
        <v>Prozessanalyse Logistik</v>
      </c>
      <c r="I51" s="60" t="s">
        <v>31</v>
      </c>
      <c r="J51" s="60" t="s">
        <v>100</v>
      </c>
      <c r="K51" s="63">
        <v>0.54166666666666696</v>
      </c>
      <c r="L51" s="63">
        <v>0.70833333333333304</v>
      </c>
      <c r="M51" s="64">
        <v>0</v>
      </c>
      <c r="N51" s="72">
        <f t="shared" si="6"/>
        <v>4</v>
      </c>
      <c r="O51" s="61" t="s">
        <v>59</v>
      </c>
      <c r="P51" s="73">
        <f>IF($G51="","",IFERROR(VLOOKUP($G51,Projekte!$B$6:$O$11,7,FALSE()),0))</f>
        <v>200</v>
      </c>
      <c r="Q51" s="74">
        <f t="shared" si="7"/>
        <v>800</v>
      </c>
    </row>
    <row r="52" spans="2:17" x14ac:dyDescent="0.25">
      <c r="B52" s="56" t="str">
        <f>IF($C52="","",COUNTA($C$8:$C52))</f>
        <v/>
      </c>
      <c r="C52" s="41"/>
      <c r="D52" s="58" t="str">
        <f t="shared" si="4"/>
        <v/>
      </c>
      <c r="E52" s="59" t="str">
        <f t="shared" si="5"/>
        <v/>
      </c>
      <c r="F52" s="22"/>
      <c r="G52" s="75"/>
      <c r="H52" s="62" t="str">
        <f>IF($G52="","",IFERROR(VLOOKUP($G52,Projekte!$B$6:$O$11,2,FALSE()),"⚠ unbekannt"))</f>
        <v/>
      </c>
      <c r="I52" s="22"/>
      <c r="J52" s="22"/>
      <c r="K52" s="76"/>
      <c r="L52" s="76"/>
      <c r="M52" s="77"/>
      <c r="N52" s="65" t="str">
        <f t="shared" si="6"/>
        <v/>
      </c>
      <c r="O52" s="75"/>
      <c r="P52" s="66" t="str">
        <f>IF($G52="","",IFERROR(VLOOKUP($G52,Projekte!$B$6:$O$11,7,FALSE()),0))</f>
        <v/>
      </c>
      <c r="Q52" s="67" t="str">
        <f t="shared" si="7"/>
        <v/>
      </c>
    </row>
    <row r="53" spans="2:17" x14ac:dyDescent="0.25">
      <c r="B53" s="68" t="str">
        <f>IF($C53="","",COUNTA($C$8:$C53))</f>
        <v/>
      </c>
      <c r="C53" s="41"/>
      <c r="D53" s="69" t="str">
        <f t="shared" si="4"/>
        <v/>
      </c>
      <c r="E53" s="70" t="str">
        <f t="shared" si="5"/>
        <v/>
      </c>
      <c r="F53" s="22"/>
      <c r="G53" s="75"/>
      <c r="H53" s="71" t="str">
        <f>IF($G53="","",IFERROR(VLOOKUP($G53,Projekte!$B$6:$O$11,2,FALSE()),"⚠ unbekannt"))</f>
        <v/>
      </c>
      <c r="I53" s="22"/>
      <c r="J53" s="22"/>
      <c r="K53" s="76"/>
      <c r="L53" s="76"/>
      <c r="M53" s="77"/>
      <c r="N53" s="72" t="str">
        <f t="shared" si="6"/>
        <v/>
      </c>
      <c r="O53" s="75"/>
      <c r="P53" s="73" t="str">
        <f>IF($G53="","",IFERROR(VLOOKUP($G53,Projekte!$B$6:$O$11,7,FALSE()),0))</f>
        <v/>
      </c>
      <c r="Q53" s="74" t="str">
        <f t="shared" si="7"/>
        <v/>
      </c>
    </row>
    <row r="54" spans="2:17" x14ac:dyDescent="0.25">
      <c r="B54" s="56" t="str">
        <f>IF($C54="","",COUNTA($C$8:$C54))</f>
        <v/>
      </c>
      <c r="C54" s="41"/>
      <c r="D54" s="58" t="str">
        <f t="shared" si="4"/>
        <v/>
      </c>
      <c r="E54" s="59" t="str">
        <f t="shared" si="5"/>
        <v/>
      </c>
      <c r="F54" s="22"/>
      <c r="G54" s="75"/>
      <c r="H54" s="62" t="str">
        <f>IF($G54="","",IFERROR(VLOOKUP($G54,Projekte!$B$6:$O$11,2,FALSE()),"⚠ unbekannt"))</f>
        <v/>
      </c>
      <c r="I54" s="22"/>
      <c r="J54" s="22"/>
      <c r="K54" s="76"/>
      <c r="L54" s="76"/>
      <c r="M54" s="77"/>
      <c r="N54" s="65" t="str">
        <f t="shared" si="6"/>
        <v/>
      </c>
      <c r="O54" s="75"/>
      <c r="P54" s="66" t="str">
        <f>IF($G54="","",IFERROR(VLOOKUP($G54,Projekte!$B$6:$O$11,7,FALSE()),0))</f>
        <v/>
      </c>
      <c r="Q54" s="67" t="str">
        <f t="shared" si="7"/>
        <v/>
      </c>
    </row>
    <row r="55" spans="2:17" x14ac:dyDescent="0.25">
      <c r="B55" s="68" t="str">
        <f>IF($C55="","",COUNTA($C$8:$C55))</f>
        <v/>
      </c>
      <c r="C55" s="41"/>
      <c r="D55" s="69" t="str">
        <f t="shared" si="4"/>
        <v/>
      </c>
      <c r="E55" s="70" t="str">
        <f t="shared" si="5"/>
        <v/>
      </c>
      <c r="F55" s="22"/>
      <c r="G55" s="75"/>
      <c r="H55" s="71" t="str">
        <f>IF($G55="","",IFERROR(VLOOKUP($G55,Projekte!$B$6:$O$11,2,FALSE()),"⚠ unbekannt"))</f>
        <v/>
      </c>
      <c r="I55" s="22"/>
      <c r="J55" s="22"/>
      <c r="K55" s="76"/>
      <c r="L55" s="76"/>
      <c r="M55" s="77"/>
      <c r="N55" s="72" t="str">
        <f t="shared" si="6"/>
        <v/>
      </c>
      <c r="O55" s="75"/>
      <c r="P55" s="73" t="str">
        <f>IF($G55="","",IFERROR(VLOOKUP($G55,Projekte!$B$6:$O$11,7,FALSE()),0))</f>
        <v/>
      </c>
      <c r="Q55" s="74" t="str">
        <f t="shared" si="7"/>
        <v/>
      </c>
    </row>
    <row r="56" spans="2:17" x14ac:dyDescent="0.25">
      <c r="B56" s="56" t="str">
        <f>IF($C56="","",COUNTA($C$8:$C56))</f>
        <v/>
      </c>
      <c r="C56" s="41"/>
      <c r="D56" s="58" t="str">
        <f t="shared" si="4"/>
        <v/>
      </c>
      <c r="E56" s="59" t="str">
        <f t="shared" si="5"/>
        <v/>
      </c>
      <c r="F56" s="22"/>
      <c r="G56" s="75"/>
      <c r="H56" s="62" t="str">
        <f>IF($G56="","",IFERROR(VLOOKUP($G56,Projekte!$B$6:$O$11,2,FALSE()),"⚠ unbekannt"))</f>
        <v/>
      </c>
      <c r="I56" s="22"/>
      <c r="J56" s="22"/>
      <c r="K56" s="76"/>
      <c r="L56" s="76"/>
      <c r="M56" s="77"/>
      <c r="N56" s="65" t="str">
        <f t="shared" si="6"/>
        <v/>
      </c>
      <c r="O56" s="75"/>
      <c r="P56" s="66" t="str">
        <f>IF($G56="","",IFERROR(VLOOKUP($G56,Projekte!$B$6:$O$11,7,FALSE()),0))</f>
        <v/>
      </c>
      <c r="Q56" s="67" t="str">
        <f t="shared" si="7"/>
        <v/>
      </c>
    </row>
    <row r="57" spans="2:17" x14ac:dyDescent="0.25">
      <c r="B57" s="68" t="str">
        <f>IF($C57="","",COUNTA($C$8:$C57))</f>
        <v/>
      </c>
      <c r="C57" s="41"/>
      <c r="D57" s="69" t="str">
        <f t="shared" si="4"/>
        <v/>
      </c>
      <c r="E57" s="70" t="str">
        <f t="shared" si="5"/>
        <v/>
      </c>
      <c r="F57" s="22"/>
      <c r="G57" s="75"/>
      <c r="H57" s="71" t="str">
        <f>IF($G57="","",IFERROR(VLOOKUP($G57,Projekte!$B$6:$O$11,2,FALSE()),"⚠ unbekannt"))</f>
        <v/>
      </c>
      <c r="I57" s="22"/>
      <c r="J57" s="22"/>
      <c r="K57" s="76"/>
      <c r="L57" s="76"/>
      <c r="M57" s="77"/>
      <c r="N57" s="72" t="str">
        <f t="shared" si="6"/>
        <v/>
      </c>
      <c r="O57" s="75"/>
      <c r="P57" s="73" t="str">
        <f>IF($G57="","",IFERROR(VLOOKUP($G57,Projekte!$B$6:$O$11,7,FALSE()),0))</f>
        <v/>
      </c>
      <c r="Q57" s="74" t="str">
        <f t="shared" si="7"/>
        <v/>
      </c>
    </row>
    <row r="58" spans="2:17" x14ac:dyDescent="0.25">
      <c r="B58" s="56" t="str">
        <f>IF($C58="","",COUNTA($C$8:$C58))</f>
        <v/>
      </c>
      <c r="C58" s="41"/>
      <c r="D58" s="58" t="str">
        <f t="shared" si="4"/>
        <v/>
      </c>
      <c r="E58" s="59" t="str">
        <f t="shared" si="5"/>
        <v/>
      </c>
      <c r="F58" s="22"/>
      <c r="G58" s="75"/>
      <c r="H58" s="62" t="str">
        <f>IF($G58="","",IFERROR(VLOOKUP($G58,Projekte!$B$6:$O$11,2,FALSE()),"⚠ unbekannt"))</f>
        <v/>
      </c>
      <c r="I58" s="22"/>
      <c r="J58" s="22"/>
      <c r="K58" s="76"/>
      <c r="L58" s="76"/>
      <c r="M58" s="77"/>
      <c r="N58" s="65" t="str">
        <f t="shared" si="6"/>
        <v/>
      </c>
      <c r="O58" s="75"/>
      <c r="P58" s="66" t="str">
        <f>IF($G58="","",IFERROR(VLOOKUP($G58,Projekte!$B$6:$O$11,7,FALSE()),0))</f>
        <v/>
      </c>
      <c r="Q58" s="67" t="str">
        <f t="shared" si="7"/>
        <v/>
      </c>
    </row>
    <row r="59" spans="2:17" x14ac:dyDescent="0.25">
      <c r="B59" s="68" t="str">
        <f>IF($C59="","",COUNTA($C$8:$C59))</f>
        <v/>
      </c>
      <c r="C59" s="41"/>
      <c r="D59" s="69" t="str">
        <f t="shared" si="4"/>
        <v/>
      </c>
      <c r="E59" s="70" t="str">
        <f t="shared" si="5"/>
        <v/>
      </c>
      <c r="F59" s="22"/>
      <c r="G59" s="75"/>
      <c r="H59" s="71" t="str">
        <f>IF($G59="","",IFERROR(VLOOKUP($G59,Projekte!$B$6:$O$11,2,FALSE()),"⚠ unbekannt"))</f>
        <v/>
      </c>
      <c r="I59" s="22"/>
      <c r="J59" s="22"/>
      <c r="K59" s="76"/>
      <c r="L59" s="76"/>
      <c r="M59" s="77"/>
      <c r="N59" s="72" t="str">
        <f t="shared" si="6"/>
        <v/>
      </c>
      <c r="O59" s="75"/>
      <c r="P59" s="73" t="str">
        <f>IF($G59="","",IFERROR(VLOOKUP($G59,Projekte!$B$6:$O$11,7,FALSE()),0))</f>
        <v/>
      </c>
      <c r="Q59" s="74" t="str">
        <f t="shared" si="7"/>
        <v/>
      </c>
    </row>
    <row r="60" spans="2:17" x14ac:dyDescent="0.25">
      <c r="B60" s="56" t="str">
        <f>IF($C60="","",COUNTA($C$8:$C60))</f>
        <v/>
      </c>
      <c r="C60" s="41"/>
      <c r="D60" s="58" t="str">
        <f t="shared" si="4"/>
        <v/>
      </c>
      <c r="E60" s="59" t="str">
        <f t="shared" si="5"/>
        <v/>
      </c>
      <c r="F60" s="22"/>
      <c r="G60" s="75"/>
      <c r="H60" s="62" t="str">
        <f>IF($G60="","",IFERROR(VLOOKUP($G60,Projekte!$B$6:$O$11,2,FALSE()),"⚠ unbekannt"))</f>
        <v/>
      </c>
      <c r="I60" s="22"/>
      <c r="J60" s="22"/>
      <c r="K60" s="76"/>
      <c r="L60" s="76"/>
      <c r="M60" s="77"/>
      <c r="N60" s="65" t="str">
        <f t="shared" si="6"/>
        <v/>
      </c>
      <c r="O60" s="75"/>
      <c r="P60" s="66" t="str">
        <f>IF($G60="","",IFERROR(VLOOKUP($G60,Projekte!$B$6:$O$11,7,FALSE()),0))</f>
        <v/>
      </c>
      <c r="Q60" s="67" t="str">
        <f t="shared" si="7"/>
        <v/>
      </c>
    </row>
    <row r="61" spans="2:17" x14ac:dyDescent="0.25">
      <c r="B61" s="68" t="str">
        <f>IF($C61="","",COUNTA($C$8:$C61))</f>
        <v/>
      </c>
      <c r="C61" s="41"/>
      <c r="D61" s="69" t="str">
        <f t="shared" si="4"/>
        <v/>
      </c>
      <c r="E61" s="70" t="str">
        <f t="shared" si="5"/>
        <v/>
      </c>
      <c r="F61" s="22"/>
      <c r="G61" s="75"/>
      <c r="H61" s="71" t="str">
        <f>IF($G61="","",IFERROR(VLOOKUP($G61,Projekte!$B$6:$O$11,2,FALSE()),"⚠ unbekannt"))</f>
        <v/>
      </c>
      <c r="I61" s="22"/>
      <c r="J61" s="22"/>
      <c r="K61" s="76"/>
      <c r="L61" s="76"/>
      <c r="M61" s="77"/>
      <c r="N61" s="72" t="str">
        <f t="shared" si="6"/>
        <v/>
      </c>
      <c r="O61" s="75"/>
      <c r="P61" s="73" t="str">
        <f>IF($G61="","",IFERROR(VLOOKUP($G61,Projekte!$B$6:$O$11,7,FALSE()),0))</f>
        <v/>
      </c>
      <c r="Q61" s="74" t="str">
        <f t="shared" si="7"/>
        <v/>
      </c>
    </row>
    <row r="62" spans="2:17" x14ac:dyDescent="0.25">
      <c r="B62" s="56" t="str">
        <f>IF($C62="","",COUNTA($C$8:$C62))</f>
        <v/>
      </c>
      <c r="C62" s="41"/>
      <c r="D62" s="58" t="str">
        <f t="shared" si="4"/>
        <v/>
      </c>
      <c r="E62" s="59" t="str">
        <f t="shared" si="5"/>
        <v/>
      </c>
      <c r="F62" s="22"/>
      <c r="G62" s="75"/>
      <c r="H62" s="62" t="str">
        <f>IF($G62="","",IFERROR(VLOOKUP($G62,Projekte!$B$6:$O$11,2,FALSE()),"⚠ unbekannt"))</f>
        <v/>
      </c>
      <c r="I62" s="22"/>
      <c r="J62" s="22"/>
      <c r="K62" s="76"/>
      <c r="L62" s="76"/>
      <c r="M62" s="77"/>
      <c r="N62" s="65" t="str">
        <f t="shared" si="6"/>
        <v/>
      </c>
      <c r="O62" s="75"/>
      <c r="P62" s="66" t="str">
        <f>IF($G62="","",IFERROR(VLOOKUP($G62,Projekte!$B$6:$O$11,7,FALSE()),0))</f>
        <v/>
      </c>
      <c r="Q62" s="67" t="str">
        <f t="shared" si="7"/>
        <v/>
      </c>
    </row>
    <row r="63" spans="2:17" x14ac:dyDescent="0.25">
      <c r="B63" s="68" t="str">
        <f>IF($C63="","",COUNTA($C$8:$C63))</f>
        <v/>
      </c>
      <c r="C63" s="41"/>
      <c r="D63" s="69" t="str">
        <f t="shared" si="4"/>
        <v/>
      </c>
      <c r="E63" s="70" t="str">
        <f t="shared" si="5"/>
        <v/>
      </c>
      <c r="F63" s="22"/>
      <c r="G63" s="75"/>
      <c r="H63" s="71" t="str">
        <f>IF($G63="","",IFERROR(VLOOKUP($G63,Projekte!$B$6:$O$11,2,FALSE()),"⚠ unbekannt"))</f>
        <v/>
      </c>
      <c r="I63" s="22"/>
      <c r="J63" s="22"/>
      <c r="K63" s="76"/>
      <c r="L63" s="76"/>
      <c r="M63" s="77"/>
      <c r="N63" s="72" t="str">
        <f t="shared" si="6"/>
        <v/>
      </c>
      <c r="O63" s="75"/>
      <c r="P63" s="73" t="str">
        <f>IF($G63="","",IFERROR(VLOOKUP($G63,Projekte!$B$6:$O$11,7,FALSE()),0))</f>
        <v/>
      </c>
      <c r="Q63" s="74" t="str">
        <f t="shared" si="7"/>
        <v/>
      </c>
    </row>
    <row r="64" spans="2:17" x14ac:dyDescent="0.25">
      <c r="B64" s="56" t="str">
        <f>IF($C64="","",COUNTA($C$8:$C64))</f>
        <v/>
      </c>
      <c r="C64" s="41"/>
      <c r="D64" s="58" t="str">
        <f t="shared" si="4"/>
        <v/>
      </c>
      <c r="E64" s="59" t="str">
        <f t="shared" si="5"/>
        <v/>
      </c>
      <c r="F64" s="22"/>
      <c r="G64" s="75"/>
      <c r="H64" s="62" t="str">
        <f>IF($G64="","",IFERROR(VLOOKUP($G64,Projekte!$B$6:$O$11,2,FALSE()),"⚠ unbekannt"))</f>
        <v/>
      </c>
      <c r="I64" s="22"/>
      <c r="J64" s="22"/>
      <c r="K64" s="76"/>
      <c r="L64" s="76"/>
      <c r="M64" s="77"/>
      <c r="N64" s="65" t="str">
        <f t="shared" si="6"/>
        <v/>
      </c>
      <c r="O64" s="75"/>
      <c r="P64" s="66" t="str">
        <f>IF($G64="","",IFERROR(VLOOKUP($G64,Projekte!$B$6:$O$11,7,FALSE()),0))</f>
        <v/>
      </c>
      <c r="Q64" s="67" t="str">
        <f t="shared" si="7"/>
        <v/>
      </c>
    </row>
    <row r="65" spans="2:17" x14ac:dyDescent="0.25">
      <c r="B65" s="68" t="str">
        <f>IF($C65="","",COUNTA($C$8:$C65))</f>
        <v/>
      </c>
      <c r="C65" s="41"/>
      <c r="D65" s="69" t="str">
        <f t="shared" si="4"/>
        <v/>
      </c>
      <c r="E65" s="70" t="str">
        <f t="shared" si="5"/>
        <v/>
      </c>
      <c r="F65" s="22"/>
      <c r="G65" s="75"/>
      <c r="H65" s="71" t="str">
        <f>IF($G65="","",IFERROR(VLOOKUP($G65,Projekte!$B$6:$O$11,2,FALSE()),"⚠ unbekannt"))</f>
        <v/>
      </c>
      <c r="I65" s="22"/>
      <c r="J65" s="22"/>
      <c r="K65" s="76"/>
      <c r="L65" s="76"/>
      <c r="M65" s="77"/>
      <c r="N65" s="72" t="str">
        <f t="shared" si="6"/>
        <v/>
      </c>
      <c r="O65" s="75"/>
      <c r="P65" s="73" t="str">
        <f>IF($G65="","",IFERROR(VLOOKUP($G65,Projekte!$B$6:$O$11,7,FALSE()),0))</f>
        <v/>
      </c>
      <c r="Q65" s="74" t="str">
        <f t="shared" si="7"/>
        <v/>
      </c>
    </row>
    <row r="66" spans="2:17" x14ac:dyDescent="0.25">
      <c r="B66" s="56" t="str">
        <f>IF($C66="","",COUNTA($C$8:$C66))</f>
        <v/>
      </c>
      <c r="C66" s="41"/>
      <c r="D66" s="58" t="str">
        <f t="shared" si="4"/>
        <v/>
      </c>
      <c r="E66" s="59" t="str">
        <f t="shared" si="5"/>
        <v/>
      </c>
      <c r="F66" s="22"/>
      <c r="G66" s="75"/>
      <c r="H66" s="62" t="str">
        <f>IF($G66="","",IFERROR(VLOOKUP($G66,Projekte!$B$6:$O$11,2,FALSE()),"⚠ unbekannt"))</f>
        <v/>
      </c>
      <c r="I66" s="22"/>
      <c r="J66" s="22"/>
      <c r="K66" s="76"/>
      <c r="L66" s="76"/>
      <c r="M66" s="77"/>
      <c r="N66" s="65" t="str">
        <f t="shared" si="6"/>
        <v/>
      </c>
      <c r="O66" s="75"/>
      <c r="P66" s="66" t="str">
        <f>IF($G66="","",IFERROR(VLOOKUP($G66,Projekte!$B$6:$O$11,7,FALSE()),0))</f>
        <v/>
      </c>
      <c r="Q66" s="67" t="str">
        <f t="shared" si="7"/>
        <v/>
      </c>
    </row>
    <row r="67" spans="2:17" x14ac:dyDescent="0.25">
      <c r="B67" s="68" t="str">
        <f>IF($C67="","",COUNTA($C$8:$C67))</f>
        <v/>
      </c>
      <c r="C67" s="41"/>
      <c r="D67" s="69" t="str">
        <f t="shared" si="4"/>
        <v/>
      </c>
      <c r="E67" s="70" t="str">
        <f t="shared" si="5"/>
        <v/>
      </c>
      <c r="F67" s="22"/>
      <c r="G67" s="75"/>
      <c r="H67" s="71" t="str">
        <f>IF($G67="","",IFERROR(VLOOKUP($G67,Projekte!$B$6:$O$11,2,FALSE()),"⚠ unbekannt"))</f>
        <v/>
      </c>
      <c r="I67" s="22"/>
      <c r="J67" s="22"/>
      <c r="K67" s="76"/>
      <c r="L67" s="76"/>
      <c r="M67" s="77"/>
      <c r="N67" s="72" t="str">
        <f t="shared" si="6"/>
        <v/>
      </c>
      <c r="O67" s="75"/>
      <c r="P67" s="73" t="str">
        <f>IF($G67="","",IFERROR(VLOOKUP($G67,Projekte!$B$6:$O$11,7,FALSE()),0))</f>
        <v/>
      </c>
      <c r="Q67" s="74" t="str">
        <f t="shared" si="7"/>
        <v/>
      </c>
    </row>
    <row r="68" spans="2:17" x14ac:dyDescent="0.25">
      <c r="B68" s="56" t="str">
        <f>IF($C68="","",COUNTA($C$8:$C68))</f>
        <v/>
      </c>
      <c r="C68" s="41"/>
      <c r="D68" s="58" t="str">
        <f t="shared" si="4"/>
        <v/>
      </c>
      <c r="E68" s="59" t="str">
        <f t="shared" si="5"/>
        <v/>
      </c>
      <c r="F68" s="22"/>
      <c r="G68" s="75"/>
      <c r="H68" s="62" t="str">
        <f>IF($G68="","",IFERROR(VLOOKUP($G68,Projekte!$B$6:$O$11,2,FALSE()),"⚠ unbekannt"))</f>
        <v/>
      </c>
      <c r="I68" s="22"/>
      <c r="J68" s="22"/>
      <c r="K68" s="76"/>
      <c r="L68" s="76"/>
      <c r="M68" s="77"/>
      <c r="N68" s="65" t="str">
        <f t="shared" si="6"/>
        <v/>
      </c>
      <c r="O68" s="75"/>
      <c r="P68" s="66" t="str">
        <f>IF($G68="","",IFERROR(VLOOKUP($G68,Projekte!$B$6:$O$11,7,FALSE()),0))</f>
        <v/>
      </c>
      <c r="Q68" s="67" t="str">
        <f t="shared" si="7"/>
        <v/>
      </c>
    </row>
    <row r="69" spans="2:17" x14ac:dyDescent="0.25">
      <c r="B69" s="68" t="str">
        <f>IF($C69="","",COUNTA($C$8:$C69))</f>
        <v/>
      </c>
      <c r="C69" s="41"/>
      <c r="D69" s="69" t="str">
        <f t="shared" si="4"/>
        <v/>
      </c>
      <c r="E69" s="70" t="str">
        <f t="shared" si="5"/>
        <v/>
      </c>
      <c r="F69" s="22"/>
      <c r="G69" s="75"/>
      <c r="H69" s="71" t="str">
        <f>IF($G69="","",IFERROR(VLOOKUP($G69,Projekte!$B$6:$O$11,2,FALSE()),"⚠ unbekannt"))</f>
        <v/>
      </c>
      <c r="I69" s="22"/>
      <c r="J69" s="22"/>
      <c r="K69" s="76"/>
      <c r="L69" s="76"/>
      <c r="M69" s="77"/>
      <c r="N69" s="72" t="str">
        <f t="shared" si="6"/>
        <v/>
      </c>
      <c r="O69" s="75"/>
      <c r="P69" s="73" t="str">
        <f>IF($G69="","",IFERROR(VLOOKUP($G69,Projekte!$B$6:$O$11,7,FALSE()),0))</f>
        <v/>
      </c>
      <c r="Q69" s="74" t="str">
        <f t="shared" si="7"/>
        <v/>
      </c>
    </row>
    <row r="70" spans="2:17" x14ac:dyDescent="0.25">
      <c r="B70" s="56" t="str">
        <f>IF($C70="","",COUNTA($C$8:$C70))</f>
        <v/>
      </c>
      <c r="C70" s="41"/>
      <c r="D70" s="58" t="str">
        <f t="shared" si="4"/>
        <v/>
      </c>
      <c r="E70" s="59" t="str">
        <f t="shared" si="5"/>
        <v/>
      </c>
      <c r="F70" s="22"/>
      <c r="G70" s="75"/>
      <c r="H70" s="62" t="str">
        <f>IF($G70="","",IFERROR(VLOOKUP($G70,Projekte!$B$6:$O$11,2,FALSE()),"⚠ unbekannt"))</f>
        <v/>
      </c>
      <c r="I70" s="22"/>
      <c r="J70" s="22"/>
      <c r="K70" s="76"/>
      <c r="L70" s="76"/>
      <c r="M70" s="77"/>
      <c r="N70" s="65" t="str">
        <f t="shared" si="6"/>
        <v/>
      </c>
      <c r="O70" s="75"/>
      <c r="P70" s="66" t="str">
        <f>IF($G70="","",IFERROR(VLOOKUP($G70,Projekte!$B$6:$O$11,7,FALSE()),0))</f>
        <v/>
      </c>
      <c r="Q70" s="67" t="str">
        <f t="shared" si="7"/>
        <v/>
      </c>
    </row>
    <row r="71" spans="2:17" x14ac:dyDescent="0.25">
      <c r="B71" s="68" t="str">
        <f>IF($C71="","",COUNTA($C$8:$C71))</f>
        <v/>
      </c>
      <c r="C71" s="41"/>
      <c r="D71" s="69" t="str">
        <f t="shared" si="4"/>
        <v/>
      </c>
      <c r="E71" s="70" t="str">
        <f t="shared" si="5"/>
        <v/>
      </c>
      <c r="F71" s="22"/>
      <c r="G71" s="75"/>
      <c r="H71" s="71" t="str">
        <f>IF($G71="","",IFERROR(VLOOKUP($G71,Projekte!$B$6:$O$11,2,FALSE()),"⚠ unbekannt"))</f>
        <v/>
      </c>
      <c r="I71" s="22"/>
      <c r="J71" s="22"/>
      <c r="K71" s="76"/>
      <c r="L71" s="76"/>
      <c r="M71" s="77"/>
      <c r="N71" s="72" t="str">
        <f t="shared" si="6"/>
        <v/>
      </c>
      <c r="O71" s="75"/>
      <c r="P71" s="73" t="str">
        <f>IF($G71="","",IFERROR(VLOOKUP($G71,Projekte!$B$6:$O$11,7,FALSE()),0))</f>
        <v/>
      </c>
      <c r="Q71" s="74" t="str">
        <f t="shared" si="7"/>
        <v/>
      </c>
    </row>
    <row r="72" spans="2:17" x14ac:dyDescent="0.25">
      <c r="B72" s="56" t="str">
        <f>IF($C72="","",COUNTA($C$8:$C72))</f>
        <v/>
      </c>
      <c r="C72" s="41"/>
      <c r="D72" s="58" t="str">
        <f t="shared" ref="D72:D103" si="8">IF($C72="","",_xlfn.ISOWEEKNUM($C72))</f>
        <v/>
      </c>
      <c r="E72" s="59" t="str">
        <f t="shared" ref="E72:E103" si="9">IF($C72="","",TEXT($C72,"TTT"))</f>
        <v/>
      </c>
      <c r="F72" s="22"/>
      <c r="G72" s="75"/>
      <c r="H72" s="62" t="str">
        <f>IF($G72="","",IFERROR(VLOOKUP($G72,Projekte!$B$6:$O$11,2,FALSE()),"⚠ unbekannt"))</f>
        <v/>
      </c>
      <c r="I72" s="22"/>
      <c r="J72" s="22"/>
      <c r="K72" s="76"/>
      <c r="L72" s="76"/>
      <c r="M72" s="77"/>
      <c r="N72" s="65" t="str">
        <f t="shared" ref="N72:N103" si="10">IF(OR($K72="",$L72=""),"",ROUND(($L72-$K72)*24 - IF($M72="",0,$M72)/60,2))</f>
        <v/>
      </c>
      <c r="O72" s="75"/>
      <c r="P72" s="66" t="str">
        <f>IF($G72="","",IFERROR(VLOOKUP($G72,Projekte!$B$6:$O$11,7,FALSE()),0))</f>
        <v/>
      </c>
      <c r="Q72" s="67" t="str">
        <f t="shared" ref="Q72:Q103" si="11">IF($N72="","",IF($O72="Ja",$N72*$P72,0))</f>
        <v/>
      </c>
    </row>
    <row r="73" spans="2:17" x14ac:dyDescent="0.25">
      <c r="B73" s="68" t="str">
        <f>IF($C73="","",COUNTA($C$8:$C73))</f>
        <v/>
      </c>
      <c r="C73" s="41"/>
      <c r="D73" s="69" t="str">
        <f t="shared" si="8"/>
        <v/>
      </c>
      <c r="E73" s="70" t="str">
        <f t="shared" si="9"/>
        <v/>
      </c>
      <c r="F73" s="22"/>
      <c r="G73" s="75"/>
      <c r="H73" s="71" t="str">
        <f>IF($G73="","",IFERROR(VLOOKUP($G73,Projekte!$B$6:$O$11,2,FALSE()),"⚠ unbekannt"))</f>
        <v/>
      </c>
      <c r="I73" s="22"/>
      <c r="J73" s="22"/>
      <c r="K73" s="76"/>
      <c r="L73" s="76"/>
      <c r="M73" s="77"/>
      <c r="N73" s="72" t="str">
        <f t="shared" si="10"/>
        <v/>
      </c>
      <c r="O73" s="75"/>
      <c r="P73" s="73" t="str">
        <f>IF($G73="","",IFERROR(VLOOKUP($G73,Projekte!$B$6:$O$11,7,FALSE()),0))</f>
        <v/>
      </c>
      <c r="Q73" s="74" t="str">
        <f t="shared" si="11"/>
        <v/>
      </c>
    </row>
    <row r="74" spans="2:17" x14ac:dyDescent="0.25">
      <c r="B74" s="56" t="str">
        <f>IF($C74="","",COUNTA($C$8:$C74))</f>
        <v/>
      </c>
      <c r="C74" s="41"/>
      <c r="D74" s="58" t="str">
        <f t="shared" si="8"/>
        <v/>
      </c>
      <c r="E74" s="59" t="str">
        <f t="shared" si="9"/>
        <v/>
      </c>
      <c r="F74" s="22"/>
      <c r="G74" s="75"/>
      <c r="H74" s="62" t="str">
        <f>IF($G74="","",IFERROR(VLOOKUP($G74,Projekte!$B$6:$O$11,2,FALSE()),"⚠ unbekannt"))</f>
        <v/>
      </c>
      <c r="I74" s="22"/>
      <c r="J74" s="22"/>
      <c r="K74" s="76"/>
      <c r="L74" s="76"/>
      <c r="M74" s="77"/>
      <c r="N74" s="65" t="str">
        <f t="shared" si="10"/>
        <v/>
      </c>
      <c r="O74" s="75"/>
      <c r="P74" s="66" t="str">
        <f>IF($G74="","",IFERROR(VLOOKUP($G74,Projekte!$B$6:$O$11,7,FALSE()),0))</f>
        <v/>
      </c>
      <c r="Q74" s="67" t="str">
        <f t="shared" si="11"/>
        <v/>
      </c>
    </row>
    <row r="75" spans="2:17" x14ac:dyDescent="0.25">
      <c r="B75" s="68" t="str">
        <f>IF($C75="","",COUNTA($C$8:$C75))</f>
        <v/>
      </c>
      <c r="C75" s="41"/>
      <c r="D75" s="69" t="str">
        <f t="shared" si="8"/>
        <v/>
      </c>
      <c r="E75" s="70" t="str">
        <f t="shared" si="9"/>
        <v/>
      </c>
      <c r="F75" s="22"/>
      <c r="G75" s="75"/>
      <c r="H75" s="71" t="str">
        <f>IF($G75="","",IFERROR(VLOOKUP($G75,Projekte!$B$6:$O$11,2,FALSE()),"⚠ unbekannt"))</f>
        <v/>
      </c>
      <c r="I75" s="22"/>
      <c r="J75" s="22"/>
      <c r="K75" s="76"/>
      <c r="L75" s="76"/>
      <c r="M75" s="77"/>
      <c r="N75" s="72" t="str">
        <f t="shared" si="10"/>
        <v/>
      </c>
      <c r="O75" s="75"/>
      <c r="P75" s="73" t="str">
        <f>IF($G75="","",IFERROR(VLOOKUP($G75,Projekte!$B$6:$O$11,7,FALSE()),0))</f>
        <v/>
      </c>
      <c r="Q75" s="74" t="str">
        <f t="shared" si="11"/>
        <v/>
      </c>
    </row>
    <row r="76" spans="2:17" x14ac:dyDescent="0.25">
      <c r="B76" s="56" t="str">
        <f>IF($C76="","",COUNTA($C$8:$C76))</f>
        <v/>
      </c>
      <c r="C76" s="41"/>
      <c r="D76" s="58" t="str">
        <f t="shared" si="8"/>
        <v/>
      </c>
      <c r="E76" s="59" t="str">
        <f t="shared" si="9"/>
        <v/>
      </c>
      <c r="F76" s="22"/>
      <c r="G76" s="75"/>
      <c r="H76" s="62" t="str">
        <f>IF($G76="","",IFERROR(VLOOKUP($G76,Projekte!$B$6:$O$11,2,FALSE()),"⚠ unbekannt"))</f>
        <v/>
      </c>
      <c r="I76" s="22"/>
      <c r="J76" s="22"/>
      <c r="K76" s="76"/>
      <c r="L76" s="76"/>
      <c r="M76" s="77"/>
      <c r="N76" s="65" t="str">
        <f t="shared" si="10"/>
        <v/>
      </c>
      <c r="O76" s="75"/>
      <c r="P76" s="66" t="str">
        <f>IF($G76="","",IFERROR(VLOOKUP($G76,Projekte!$B$6:$O$11,7,FALSE()),0))</f>
        <v/>
      </c>
      <c r="Q76" s="67" t="str">
        <f t="shared" si="11"/>
        <v/>
      </c>
    </row>
    <row r="77" spans="2:17" x14ac:dyDescent="0.25">
      <c r="B77" s="68" t="str">
        <f>IF($C77="","",COUNTA($C$8:$C77))</f>
        <v/>
      </c>
      <c r="C77" s="41"/>
      <c r="D77" s="69" t="str">
        <f t="shared" si="8"/>
        <v/>
      </c>
      <c r="E77" s="70" t="str">
        <f t="shared" si="9"/>
        <v/>
      </c>
      <c r="F77" s="22"/>
      <c r="G77" s="75"/>
      <c r="H77" s="71" t="str">
        <f>IF($G77="","",IFERROR(VLOOKUP($G77,Projekte!$B$6:$O$11,2,FALSE()),"⚠ unbekannt"))</f>
        <v/>
      </c>
      <c r="I77" s="22"/>
      <c r="J77" s="22"/>
      <c r="K77" s="76"/>
      <c r="L77" s="76"/>
      <c r="M77" s="77"/>
      <c r="N77" s="72" t="str">
        <f t="shared" si="10"/>
        <v/>
      </c>
      <c r="O77" s="75"/>
      <c r="P77" s="73" t="str">
        <f>IF($G77="","",IFERROR(VLOOKUP($G77,Projekte!$B$6:$O$11,7,FALSE()),0))</f>
        <v/>
      </c>
      <c r="Q77" s="74" t="str">
        <f t="shared" si="11"/>
        <v/>
      </c>
    </row>
    <row r="78" spans="2:17" x14ac:dyDescent="0.25">
      <c r="B78" s="56" t="str">
        <f>IF($C78="","",COUNTA($C$8:$C78))</f>
        <v/>
      </c>
      <c r="C78" s="41"/>
      <c r="D78" s="58" t="str">
        <f t="shared" si="8"/>
        <v/>
      </c>
      <c r="E78" s="59" t="str">
        <f t="shared" si="9"/>
        <v/>
      </c>
      <c r="F78" s="22"/>
      <c r="G78" s="75"/>
      <c r="H78" s="62" t="str">
        <f>IF($G78="","",IFERROR(VLOOKUP($G78,Projekte!$B$6:$O$11,2,FALSE()),"⚠ unbekannt"))</f>
        <v/>
      </c>
      <c r="I78" s="22"/>
      <c r="J78" s="22"/>
      <c r="K78" s="76"/>
      <c r="L78" s="76"/>
      <c r="M78" s="77"/>
      <c r="N78" s="65" t="str">
        <f t="shared" si="10"/>
        <v/>
      </c>
      <c r="O78" s="75"/>
      <c r="P78" s="66" t="str">
        <f>IF($G78="","",IFERROR(VLOOKUP($G78,Projekte!$B$6:$O$11,7,FALSE()),0))</f>
        <v/>
      </c>
      <c r="Q78" s="67" t="str">
        <f t="shared" si="11"/>
        <v/>
      </c>
    </row>
    <row r="79" spans="2:17" x14ac:dyDescent="0.25">
      <c r="B79" s="68" t="str">
        <f>IF($C79="","",COUNTA($C$8:$C79))</f>
        <v/>
      </c>
      <c r="C79" s="41"/>
      <c r="D79" s="69" t="str">
        <f t="shared" si="8"/>
        <v/>
      </c>
      <c r="E79" s="70" t="str">
        <f t="shared" si="9"/>
        <v/>
      </c>
      <c r="F79" s="22"/>
      <c r="G79" s="75"/>
      <c r="H79" s="71" t="str">
        <f>IF($G79="","",IFERROR(VLOOKUP($G79,Projekte!$B$6:$O$11,2,FALSE()),"⚠ unbekannt"))</f>
        <v/>
      </c>
      <c r="I79" s="22"/>
      <c r="J79" s="22"/>
      <c r="K79" s="76"/>
      <c r="L79" s="76"/>
      <c r="M79" s="77"/>
      <c r="N79" s="72" t="str">
        <f t="shared" si="10"/>
        <v/>
      </c>
      <c r="O79" s="75"/>
      <c r="P79" s="73" t="str">
        <f>IF($G79="","",IFERROR(VLOOKUP($G79,Projekte!$B$6:$O$11,7,FALSE()),0))</f>
        <v/>
      </c>
      <c r="Q79" s="74" t="str">
        <f t="shared" si="11"/>
        <v/>
      </c>
    </row>
    <row r="80" spans="2:17" x14ac:dyDescent="0.25">
      <c r="B80" s="56" t="str">
        <f>IF($C80="","",COUNTA($C$8:$C80))</f>
        <v/>
      </c>
      <c r="C80" s="41"/>
      <c r="D80" s="58" t="str">
        <f t="shared" si="8"/>
        <v/>
      </c>
      <c r="E80" s="59" t="str">
        <f t="shared" si="9"/>
        <v/>
      </c>
      <c r="F80" s="22"/>
      <c r="G80" s="75"/>
      <c r="H80" s="62" t="str">
        <f>IF($G80="","",IFERROR(VLOOKUP($G80,Projekte!$B$6:$O$11,2,FALSE()),"⚠ unbekannt"))</f>
        <v/>
      </c>
      <c r="I80" s="22"/>
      <c r="J80" s="22"/>
      <c r="K80" s="76"/>
      <c r="L80" s="76"/>
      <c r="M80" s="77"/>
      <c r="N80" s="65" t="str">
        <f t="shared" si="10"/>
        <v/>
      </c>
      <c r="O80" s="75"/>
      <c r="P80" s="66" t="str">
        <f>IF($G80="","",IFERROR(VLOOKUP($G80,Projekte!$B$6:$O$11,7,FALSE()),0))</f>
        <v/>
      </c>
      <c r="Q80" s="67" t="str">
        <f t="shared" si="11"/>
        <v/>
      </c>
    </row>
    <row r="81" spans="2:17" x14ac:dyDescent="0.25">
      <c r="B81" s="68" t="str">
        <f>IF($C81="","",COUNTA($C$8:$C81))</f>
        <v/>
      </c>
      <c r="C81" s="41"/>
      <c r="D81" s="69" t="str">
        <f t="shared" si="8"/>
        <v/>
      </c>
      <c r="E81" s="70" t="str">
        <f t="shared" si="9"/>
        <v/>
      </c>
      <c r="F81" s="22"/>
      <c r="G81" s="75"/>
      <c r="H81" s="71" t="str">
        <f>IF($G81="","",IFERROR(VLOOKUP($G81,Projekte!$B$6:$O$11,2,FALSE()),"⚠ unbekannt"))</f>
        <v/>
      </c>
      <c r="I81" s="22"/>
      <c r="J81" s="22"/>
      <c r="K81" s="76"/>
      <c r="L81" s="76"/>
      <c r="M81" s="77"/>
      <c r="N81" s="72" t="str">
        <f t="shared" si="10"/>
        <v/>
      </c>
      <c r="O81" s="75"/>
      <c r="P81" s="73" t="str">
        <f>IF($G81="","",IFERROR(VLOOKUP($G81,Projekte!$B$6:$O$11,7,FALSE()),0))</f>
        <v/>
      </c>
      <c r="Q81" s="74" t="str">
        <f t="shared" si="11"/>
        <v/>
      </c>
    </row>
    <row r="82" spans="2:17" x14ac:dyDescent="0.25">
      <c r="B82" s="56" t="str">
        <f>IF($C82="","",COUNTA($C$8:$C82))</f>
        <v/>
      </c>
      <c r="C82" s="41"/>
      <c r="D82" s="58" t="str">
        <f t="shared" si="8"/>
        <v/>
      </c>
      <c r="E82" s="59" t="str">
        <f t="shared" si="9"/>
        <v/>
      </c>
      <c r="F82" s="22"/>
      <c r="G82" s="75"/>
      <c r="H82" s="62" t="str">
        <f>IF($G82="","",IFERROR(VLOOKUP($G82,Projekte!$B$6:$O$11,2,FALSE()),"⚠ unbekannt"))</f>
        <v/>
      </c>
      <c r="I82" s="22"/>
      <c r="J82" s="22"/>
      <c r="K82" s="76"/>
      <c r="L82" s="76"/>
      <c r="M82" s="77"/>
      <c r="N82" s="65" t="str">
        <f t="shared" si="10"/>
        <v/>
      </c>
      <c r="O82" s="75"/>
      <c r="P82" s="66" t="str">
        <f>IF($G82="","",IFERROR(VLOOKUP($G82,Projekte!$B$6:$O$11,7,FALSE()),0))</f>
        <v/>
      </c>
      <c r="Q82" s="67" t="str">
        <f t="shared" si="11"/>
        <v/>
      </c>
    </row>
    <row r="83" spans="2:17" x14ac:dyDescent="0.25">
      <c r="B83" s="68" t="str">
        <f>IF($C83="","",COUNTA($C$8:$C83))</f>
        <v/>
      </c>
      <c r="C83" s="41"/>
      <c r="D83" s="69" t="str">
        <f t="shared" si="8"/>
        <v/>
      </c>
      <c r="E83" s="70" t="str">
        <f t="shared" si="9"/>
        <v/>
      </c>
      <c r="F83" s="22"/>
      <c r="G83" s="75"/>
      <c r="H83" s="71" t="str">
        <f>IF($G83="","",IFERROR(VLOOKUP($G83,Projekte!$B$6:$O$11,2,FALSE()),"⚠ unbekannt"))</f>
        <v/>
      </c>
      <c r="I83" s="22"/>
      <c r="J83" s="22"/>
      <c r="K83" s="76"/>
      <c r="L83" s="76"/>
      <c r="M83" s="77"/>
      <c r="N83" s="72" t="str">
        <f t="shared" si="10"/>
        <v/>
      </c>
      <c r="O83" s="75"/>
      <c r="P83" s="73" t="str">
        <f>IF($G83="","",IFERROR(VLOOKUP($G83,Projekte!$B$6:$O$11,7,FALSE()),0))</f>
        <v/>
      </c>
      <c r="Q83" s="74" t="str">
        <f t="shared" si="11"/>
        <v/>
      </c>
    </row>
    <row r="84" spans="2:17" x14ac:dyDescent="0.25">
      <c r="B84" s="56" t="str">
        <f>IF($C84="","",COUNTA($C$8:$C84))</f>
        <v/>
      </c>
      <c r="C84" s="41"/>
      <c r="D84" s="58" t="str">
        <f t="shared" si="8"/>
        <v/>
      </c>
      <c r="E84" s="59" t="str">
        <f t="shared" si="9"/>
        <v/>
      </c>
      <c r="F84" s="22"/>
      <c r="G84" s="75"/>
      <c r="H84" s="62" t="str">
        <f>IF($G84="","",IFERROR(VLOOKUP($G84,Projekte!$B$6:$O$11,2,FALSE()),"⚠ unbekannt"))</f>
        <v/>
      </c>
      <c r="I84" s="22"/>
      <c r="J84" s="22"/>
      <c r="K84" s="76"/>
      <c r="L84" s="76"/>
      <c r="M84" s="77"/>
      <c r="N84" s="65" t="str">
        <f t="shared" si="10"/>
        <v/>
      </c>
      <c r="O84" s="75"/>
      <c r="P84" s="66" t="str">
        <f>IF($G84="","",IFERROR(VLOOKUP($G84,Projekte!$B$6:$O$11,7,FALSE()),0))</f>
        <v/>
      </c>
      <c r="Q84" s="67" t="str">
        <f t="shared" si="11"/>
        <v/>
      </c>
    </row>
    <row r="85" spans="2:17" x14ac:dyDescent="0.25">
      <c r="B85" s="68" t="str">
        <f>IF($C85="","",COUNTA($C$8:$C85))</f>
        <v/>
      </c>
      <c r="C85" s="41"/>
      <c r="D85" s="69" t="str">
        <f t="shared" si="8"/>
        <v/>
      </c>
      <c r="E85" s="70" t="str">
        <f t="shared" si="9"/>
        <v/>
      </c>
      <c r="F85" s="22"/>
      <c r="G85" s="75"/>
      <c r="H85" s="71" t="str">
        <f>IF($G85="","",IFERROR(VLOOKUP($G85,Projekte!$B$6:$O$11,2,FALSE()),"⚠ unbekannt"))</f>
        <v/>
      </c>
      <c r="I85" s="22"/>
      <c r="J85" s="22"/>
      <c r="K85" s="76"/>
      <c r="L85" s="76"/>
      <c r="M85" s="77"/>
      <c r="N85" s="72" t="str">
        <f t="shared" si="10"/>
        <v/>
      </c>
      <c r="O85" s="75"/>
      <c r="P85" s="73" t="str">
        <f>IF($G85="","",IFERROR(VLOOKUP($G85,Projekte!$B$6:$O$11,7,FALSE()),0))</f>
        <v/>
      </c>
      <c r="Q85" s="74" t="str">
        <f t="shared" si="11"/>
        <v/>
      </c>
    </row>
    <row r="86" spans="2:17" x14ac:dyDescent="0.25">
      <c r="B86" s="56" t="str">
        <f>IF($C86="","",COUNTA($C$8:$C86))</f>
        <v/>
      </c>
      <c r="C86" s="41"/>
      <c r="D86" s="58" t="str">
        <f t="shared" si="8"/>
        <v/>
      </c>
      <c r="E86" s="59" t="str">
        <f t="shared" si="9"/>
        <v/>
      </c>
      <c r="F86" s="22"/>
      <c r="G86" s="75"/>
      <c r="H86" s="62" t="str">
        <f>IF($G86="","",IFERROR(VLOOKUP($G86,Projekte!$B$6:$O$11,2,FALSE()),"⚠ unbekannt"))</f>
        <v/>
      </c>
      <c r="I86" s="22"/>
      <c r="J86" s="22"/>
      <c r="K86" s="76"/>
      <c r="L86" s="76"/>
      <c r="M86" s="77"/>
      <c r="N86" s="65" t="str">
        <f t="shared" si="10"/>
        <v/>
      </c>
      <c r="O86" s="75"/>
      <c r="P86" s="66" t="str">
        <f>IF($G86="","",IFERROR(VLOOKUP($G86,Projekte!$B$6:$O$11,7,FALSE()),0))</f>
        <v/>
      </c>
      <c r="Q86" s="67" t="str">
        <f t="shared" si="11"/>
        <v/>
      </c>
    </row>
    <row r="87" spans="2:17" x14ac:dyDescent="0.25">
      <c r="B87" s="68" t="str">
        <f>IF($C87="","",COUNTA($C$8:$C87))</f>
        <v/>
      </c>
      <c r="C87" s="41"/>
      <c r="D87" s="69" t="str">
        <f t="shared" si="8"/>
        <v/>
      </c>
      <c r="E87" s="70" t="str">
        <f t="shared" si="9"/>
        <v/>
      </c>
      <c r="F87" s="22"/>
      <c r="G87" s="75"/>
      <c r="H87" s="71" t="str">
        <f>IF($G87="","",IFERROR(VLOOKUP($G87,Projekte!$B$6:$O$11,2,FALSE()),"⚠ unbekannt"))</f>
        <v/>
      </c>
      <c r="I87" s="22"/>
      <c r="J87" s="22"/>
      <c r="K87" s="76"/>
      <c r="L87" s="76"/>
      <c r="M87" s="77"/>
      <c r="N87" s="72" t="str">
        <f t="shared" si="10"/>
        <v/>
      </c>
      <c r="O87" s="75"/>
      <c r="P87" s="73" t="str">
        <f>IF($G87="","",IFERROR(VLOOKUP($G87,Projekte!$B$6:$O$11,7,FALSE()),0))</f>
        <v/>
      </c>
      <c r="Q87" s="74" t="str">
        <f t="shared" si="11"/>
        <v/>
      </c>
    </row>
    <row r="88" spans="2:17" x14ac:dyDescent="0.25">
      <c r="B88" s="56" t="str">
        <f>IF($C88="","",COUNTA($C$8:$C88))</f>
        <v/>
      </c>
      <c r="C88" s="41"/>
      <c r="D88" s="58" t="str">
        <f t="shared" si="8"/>
        <v/>
      </c>
      <c r="E88" s="59" t="str">
        <f t="shared" si="9"/>
        <v/>
      </c>
      <c r="F88" s="22"/>
      <c r="G88" s="75"/>
      <c r="H88" s="62" t="str">
        <f>IF($G88="","",IFERROR(VLOOKUP($G88,Projekte!$B$6:$O$11,2,FALSE()),"⚠ unbekannt"))</f>
        <v/>
      </c>
      <c r="I88" s="22"/>
      <c r="J88" s="22"/>
      <c r="K88" s="76"/>
      <c r="L88" s="76"/>
      <c r="M88" s="77"/>
      <c r="N88" s="65" t="str">
        <f t="shared" si="10"/>
        <v/>
      </c>
      <c r="O88" s="75"/>
      <c r="P88" s="66" t="str">
        <f>IF($G88="","",IFERROR(VLOOKUP($G88,Projekte!$B$6:$O$11,7,FALSE()),0))</f>
        <v/>
      </c>
      <c r="Q88" s="67" t="str">
        <f t="shared" si="11"/>
        <v/>
      </c>
    </row>
    <row r="89" spans="2:17" x14ac:dyDescent="0.25">
      <c r="B89" s="68" t="str">
        <f>IF($C89="","",COUNTA($C$8:$C89))</f>
        <v/>
      </c>
      <c r="C89" s="41"/>
      <c r="D89" s="69" t="str">
        <f t="shared" si="8"/>
        <v/>
      </c>
      <c r="E89" s="70" t="str">
        <f t="shared" si="9"/>
        <v/>
      </c>
      <c r="F89" s="22"/>
      <c r="G89" s="75"/>
      <c r="H89" s="71" t="str">
        <f>IF($G89="","",IFERROR(VLOOKUP($G89,Projekte!$B$6:$O$11,2,FALSE()),"⚠ unbekannt"))</f>
        <v/>
      </c>
      <c r="I89" s="22"/>
      <c r="J89" s="22"/>
      <c r="K89" s="76"/>
      <c r="L89" s="76"/>
      <c r="M89" s="77"/>
      <c r="N89" s="72" t="str">
        <f t="shared" si="10"/>
        <v/>
      </c>
      <c r="O89" s="75"/>
      <c r="P89" s="73" t="str">
        <f>IF($G89="","",IFERROR(VLOOKUP($G89,Projekte!$B$6:$O$11,7,FALSE()),0))</f>
        <v/>
      </c>
      <c r="Q89" s="74" t="str">
        <f t="shared" si="11"/>
        <v/>
      </c>
    </row>
    <row r="90" spans="2:17" x14ac:dyDescent="0.25">
      <c r="B90" s="56" t="str">
        <f>IF($C90="","",COUNTA($C$8:$C90))</f>
        <v/>
      </c>
      <c r="C90" s="41"/>
      <c r="D90" s="58" t="str">
        <f t="shared" si="8"/>
        <v/>
      </c>
      <c r="E90" s="59" t="str">
        <f t="shared" si="9"/>
        <v/>
      </c>
      <c r="F90" s="22"/>
      <c r="G90" s="75"/>
      <c r="H90" s="62" t="str">
        <f>IF($G90="","",IFERROR(VLOOKUP($G90,Projekte!$B$6:$O$11,2,FALSE()),"⚠ unbekannt"))</f>
        <v/>
      </c>
      <c r="I90" s="22"/>
      <c r="J90" s="22"/>
      <c r="K90" s="76"/>
      <c r="L90" s="76"/>
      <c r="M90" s="77"/>
      <c r="N90" s="65" t="str">
        <f t="shared" si="10"/>
        <v/>
      </c>
      <c r="O90" s="75"/>
      <c r="P90" s="66" t="str">
        <f>IF($G90="","",IFERROR(VLOOKUP($G90,Projekte!$B$6:$O$11,7,FALSE()),0))</f>
        <v/>
      </c>
      <c r="Q90" s="67" t="str">
        <f t="shared" si="11"/>
        <v/>
      </c>
    </row>
    <row r="91" spans="2:17" x14ac:dyDescent="0.25">
      <c r="B91" s="68" t="str">
        <f>IF($C91="","",COUNTA($C$8:$C91))</f>
        <v/>
      </c>
      <c r="C91" s="41"/>
      <c r="D91" s="69" t="str">
        <f t="shared" si="8"/>
        <v/>
      </c>
      <c r="E91" s="70" t="str">
        <f t="shared" si="9"/>
        <v/>
      </c>
      <c r="F91" s="22"/>
      <c r="G91" s="75"/>
      <c r="H91" s="71" t="str">
        <f>IF($G91="","",IFERROR(VLOOKUP($G91,Projekte!$B$6:$O$11,2,FALSE()),"⚠ unbekannt"))</f>
        <v/>
      </c>
      <c r="I91" s="22"/>
      <c r="J91" s="22"/>
      <c r="K91" s="76"/>
      <c r="L91" s="76"/>
      <c r="M91" s="77"/>
      <c r="N91" s="72" t="str">
        <f t="shared" si="10"/>
        <v/>
      </c>
      <c r="O91" s="75"/>
      <c r="P91" s="73" t="str">
        <f>IF($G91="","",IFERROR(VLOOKUP($G91,Projekte!$B$6:$O$11,7,FALSE()),0))</f>
        <v/>
      </c>
      <c r="Q91" s="74" t="str">
        <f t="shared" si="11"/>
        <v/>
      </c>
    </row>
    <row r="92" spans="2:17" x14ac:dyDescent="0.25">
      <c r="B92" s="56" t="str">
        <f>IF($C92="","",COUNTA($C$8:$C92))</f>
        <v/>
      </c>
      <c r="C92" s="41"/>
      <c r="D92" s="58" t="str">
        <f t="shared" si="8"/>
        <v/>
      </c>
      <c r="E92" s="59" t="str">
        <f t="shared" si="9"/>
        <v/>
      </c>
      <c r="F92" s="22"/>
      <c r="G92" s="75"/>
      <c r="H92" s="62" t="str">
        <f>IF($G92="","",IFERROR(VLOOKUP($G92,Projekte!$B$6:$O$11,2,FALSE()),"⚠ unbekannt"))</f>
        <v/>
      </c>
      <c r="I92" s="22"/>
      <c r="J92" s="22"/>
      <c r="K92" s="76"/>
      <c r="L92" s="76"/>
      <c r="M92" s="77"/>
      <c r="N92" s="65" t="str">
        <f t="shared" si="10"/>
        <v/>
      </c>
      <c r="O92" s="75"/>
      <c r="P92" s="66" t="str">
        <f>IF($G92="","",IFERROR(VLOOKUP($G92,Projekte!$B$6:$O$11,7,FALSE()),0))</f>
        <v/>
      </c>
      <c r="Q92" s="67" t="str">
        <f t="shared" si="11"/>
        <v/>
      </c>
    </row>
    <row r="93" spans="2:17" x14ac:dyDescent="0.25">
      <c r="B93" s="68" t="str">
        <f>IF($C93="","",COUNTA($C$8:$C93))</f>
        <v/>
      </c>
      <c r="C93" s="41"/>
      <c r="D93" s="69" t="str">
        <f t="shared" si="8"/>
        <v/>
      </c>
      <c r="E93" s="70" t="str">
        <f t="shared" si="9"/>
        <v/>
      </c>
      <c r="F93" s="22"/>
      <c r="G93" s="75"/>
      <c r="H93" s="71" t="str">
        <f>IF($G93="","",IFERROR(VLOOKUP($G93,Projekte!$B$6:$O$11,2,FALSE()),"⚠ unbekannt"))</f>
        <v/>
      </c>
      <c r="I93" s="22"/>
      <c r="J93" s="22"/>
      <c r="K93" s="76"/>
      <c r="L93" s="76"/>
      <c r="M93" s="77"/>
      <c r="N93" s="72" t="str">
        <f t="shared" si="10"/>
        <v/>
      </c>
      <c r="O93" s="75"/>
      <c r="P93" s="73" t="str">
        <f>IF($G93="","",IFERROR(VLOOKUP($G93,Projekte!$B$6:$O$11,7,FALSE()),0))</f>
        <v/>
      </c>
      <c r="Q93" s="74" t="str">
        <f t="shared" si="11"/>
        <v/>
      </c>
    </row>
    <row r="94" spans="2:17" x14ac:dyDescent="0.25">
      <c r="B94" s="56" t="str">
        <f>IF($C94="","",COUNTA($C$8:$C94))</f>
        <v/>
      </c>
      <c r="C94" s="41"/>
      <c r="D94" s="58" t="str">
        <f t="shared" si="8"/>
        <v/>
      </c>
      <c r="E94" s="59" t="str">
        <f t="shared" si="9"/>
        <v/>
      </c>
      <c r="F94" s="22"/>
      <c r="G94" s="75"/>
      <c r="H94" s="62" t="str">
        <f>IF($G94="","",IFERROR(VLOOKUP($G94,Projekte!$B$6:$O$11,2,FALSE()),"⚠ unbekannt"))</f>
        <v/>
      </c>
      <c r="I94" s="22"/>
      <c r="J94" s="22"/>
      <c r="K94" s="76"/>
      <c r="L94" s="76"/>
      <c r="M94" s="77"/>
      <c r="N94" s="65" t="str">
        <f t="shared" si="10"/>
        <v/>
      </c>
      <c r="O94" s="75"/>
      <c r="P94" s="66" t="str">
        <f>IF($G94="","",IFERROR(VLOOKUP($G94,Projekte!$B$6:$O$11,7,FALSE()),0))</f>
        <v/>
      </c>
      <c r="Q94" s="67" t="str">
        <f t="shared" si="11"/>
        <v/>
      </c>
    </row>
    <row r="95" spans="2:17" x14ac:dyDescent="0.25">
      <c r="B95" s="68" t="str">
        <f>IF($C95="","",COUNTA($C$8:$C95))</f>
        <v/>
      </c>
      <c r="C95" s="41"/>
      <c r="D95" s="69" t="str">
        <f t="shared" si="8"/>
        <v/>
      </c>
      <c r="E95" s="70" t="str">
        <f t="shared" si="9"/>
        <v/>
      </c>
      <c r="F95" s="22"/>
      <c r="G95" s="75"/>
      <c r="H95" s="71" t="str">
        <f>IF($G95="","",IFERROR(VLOOKUP($G95,Projekte!$B$6:$O$11,2,FALSE()),"⚠ unbekannt"))</f>
        <v/>
      </c>
      <c r="I95" s="22"/>
      <c r="J95" s="22"/>
      <c r="K95" s="76"/>
      <c r="L95" s="76"/>
      <c r="M95" s="77"/>
      <c r="N95" s="72" t="str">
        <f t="shared" si="10"/>
        <v/>
      </c>
      <c r="O95" s="75"/>
      <c r="P95" s="73" t="str">
        <f>IF($G95="","",IFERROR(VLOOKUP($G95,Projekte!$B$6:$O$11,7,FALSE()),0))</f>
        <v/>
      </c>
      <c r="Q95" s="74" t="str">
        <f t="shared" si="11"/>
        <v/>
      </c>
    </row>
    <row r="96" spans="2:17" x14ac:dyDescent="0.25">
      <c r="B96" s="56" t="str">
        <f>IF($C96="","",COUNTA($C$8:$C96))</f>
        <v/>
      </c>
      <c r="C96" s="41"/>
      <c r="D96" s="58" t="str">
        <f t="shared" si="8"/>
        <v/>
      </c>
      <c r="E96" s="59" t="str">
        <f t="shared" si="9"/>
        <v/>
      </c>
      <c r="F96" s="22"/>
      <c r="G96" s="75"/>
      <c r="H96" s="62" t="str">
        <f>IF($G96="","",IFERROR(VLOOKUP($G96,Projekte!$B$6:$O$11,2,FALSE()),"⚠ unbekannt"))</f>
        <v/>
      </c>
      <c r="I96" s="22"/>
      <c r="J96" s="22"/>
      <c r="K96" s="76"/>
      <c r="L96" s="76"/>
      <c r="M96" s="77"/>
      <c r="N96" s="65" t="str">
        <f t="shared" si="10"/>
        <v/>
      </c>
      <c r="O96" s="75"/>
      <c r="P96" s="66" t="str">
        <f>IF($G96="","",IFERROR(VLOOKUP($G96,Projekte!$B$6:$O$11,7,FALSE()),0))</f>
        <v/>
      </c>
      <c r="Q96" s="67" t="str">
        <f t="shared" si="11"/>
        <v/>
      </c>
    </row>
    <row r="97" spans="2:17" x14ac:dyDescent="0.25">
      <c r="B97" s="68" t="str">
        <f>IF($C97="","",COUNTA($C$8:$C97))</f>
        <v/>
      </c>
      <c r="C97" s="41"/>
      <c r="D97" s="69" t="str">
        <f t="shared" si="8"/>
        <v/>
      </c>
      <c r="E97" s="70" t="str">
        <f t="shared" si="9"/>
        <v/>
      </c>
      <c r="F97" s="22"/>
      <c r="G97" s="75"/>
      <c r="H97" s="71" t="str">
        <f>IF($G97="","",IFERROR(VLOOKUP($G97,Projekte!$B$6:$O$11,2,FALSE()),"⚠ unbekannt"))</f>
        <v/>
      </c>
      <c r="I97" s="22"/>
      <c r="J97" s="22"/>
      <c r="K97" s="76"/>
      <c r="L97" s="76"/>
      <c r="M97" s="77"/>
      <c r="N97" s="72" t="str">
        <f t="shared" si="10"/>
        <v/>
      </c>
      <c r="O97" s="75"/>
      <c r="P97" s="73" t="str">
        <f>IF($G97="","",IFERROR(VLOOKUP($G97,Projekte!$B$6:$O$11,7,FALSE()),0))</f>
        <v/>
      </c>
      <c r="Q97" s="74" t="str">
        <f t="shared" si="11"/>
        <v/>
      </c>
    </row>
    <row r="98" spans="2:17" x14ac:dyDescent="0.25">
      <c r="B98" s="56" t="str">
        <f>IF($C98="","",COUNTA($C$8:$C98))</f>
        <v/>
      </c>
      <c r="C98" s="41"/>
      <c r="D98" s="58" t="str">
        <f t="shared" si="8"/>
        <v/>
      </c>
      <c r="E98" s="59" t="str">
        <f t="shared" si="9"/>
        <v/>
      </c>
      <c r="F98" s="22"/>
      <c r="G98" s="75"/>
      <c r="H98" s="62" t="str">
        <f>IF($G98="","",IFERROR(VLOOKUP($G98,Projekte!$B$6:$O$11,2,FALSE()),"⚠ unbekannt"))</f>
        <v/>
      </c>
      <c r="I98" s="22"/>
      <c r="J98" s="22"/>
      <c r="K98" s="76"/>
      <c r="L98" s="76"/>
      <c r="M98" s="77"/>
      <c r="N98" s="65" t="str">
        <f t="shared" si="10"/>
        <v/>
      </c>
      <c r="O98" s="75"/>
      <c r="P98" s="66" t="str">
        <f>IF($G98="","",IFERROR(VLOOKUP($G98,Projekte!$B$6:$O$11,7,FALSE()),0))</f>
        <v/>
      </c>
      <c r="Q98" s="67" t="str">
        <f t="shared" si="11"/>
        <v/>
      </c>
    </row>
    <row r="99" spans="2:17" x14ac:dyDescent="0.25">
      <c r="B99" s="68" t="str">
        <f>IF($C99="","",COUNTA($C$8:$C99))</f>
        <v/>
      </c>
      <c r="C99" s="41"/>
      <c r="D99" s="69" t="str">
        <f t="shared" si="8"/>
        <v/>
      </c>
      <c r="E99" s="70" t="str">
        <f t="shared" si="9"/>
        <v/>
      </c>
      <c r="F99" s="22"/>
      <c r="G99" s="75"/>
      <c r="H99" s="71" t="str">
        <f>IF($G99="","",IFERROR(VLOOKUP($G99,Projekte!$B$6:$O$11,2,FALSE()),"⚠ unbekannt"))</f>
        <v/>
      </c>
      <c r="I99" s="22"/>
      <c r="J99" s="22"/>
      <c r="K99" s="76"/>
      <c r="L99" s="76"/>
      <c r="M99" s="77"/>
      <c r="N99" s="72" t="str">
        <f t="shared" si="10"/>
        <v/>
      </c>
      <c r="O99" s="75"/>
      <c r="P99" s="73" t="str">
        <f>IF($G99="","",IFERROR(VLOOKUP($G99,Projekte!$B$6:$O$11,7,FALSE()),0))</f>
        <v/>
      </c>
      <c r="Q99" s="74" t="str">
        <f t="shared" si="11"/>
        <v/>
      </c>
    </row>
    <row r="100" spans="2:17" x14ac:dyDescent="0.25">
      <c r="B100" s="56" t="str">
        <f>IF($C100="","",COUNTA($C$8:$C100))</f>
        <v/>
      </c>
      <c r="C100" s="41"/>
      <c r="D100" s="58" t="str">
        <f t="shared" si="8"/>
        <v/>
      </c>
      <c r="E100" s="59" t="str">
        <f t="shared" si="9"/>
        <v/>
      </c>
      <c r="F100" s="22"/>
      <c r="G100" s="75"/>
      <c r="H100" s="62" t="str">
        <f>IF($G100="","",IFERROR(VLOOKUP($G100,Projekte!$B$6:$O$11,2,FALSE()),"⚠ unbekannt"))</f>
        <v/>
      </c>
      <c r="I100" s="22"/>
      <c r="J100" s="22"/>
      <c r="K100" s="76"/>
      <c r="L100" s="76"/>
      <c r="M100" s="77"/>
      <c r="N100" s="65" t="str">
        <f t="shared" si="10"/>
        <v/>
      </c>
      <c r="O100" s="75"/>
      <c r="P100" s="66" t="str">
        <f>IF($G100="","",IFERROR(VLOOKUP($G100,Projekte!$B$6:$O$11,7,FALSE()),0))</f>
        <v/>
      </c>
      <c r="Q100" s="67" t="str">
        <f t="shared" si="11"/>
        <v/>
      </c>
    </row>
    <row r="101" spans="2:17" x14ac:dyDescent="0.25">
      <c r="B101" s="68" t="str">
        <f>IF($C101="","",COUNTA($C$8:$C101))</f>
        <v/>
      </c>
      <c r="C101" s="41"/>
      <c r="D101" s="69" t="str">
        <f t="shared" si="8"/>
        <v/>
      </c>
      <c r="E101" s="70" t="str">
        <f t="shared" si="9"/>
        <v/>
      </c>
      <c r="F101" s="22"/>
      <c r="G101" s="75"/>
      <c r="H101" s="71" t="str">
        <f>IF($G101="","",IFERROR(VLOOKUP($G101,Projekte!$B$6:$O$11,2,FALSE()),"⚠ unbekannt"))</f>
        <v/>
      </c>
      <c r="I101" s="22"/>
      <c r="J101" s="22"/>
      <c r="K101" s="76"/>
      <c r="L101" s="76"/>
      <c r="M101" s="77"/>
      <c r="N101" s="72" t="str">
        <f t="shared" si="10"/>
        <v/>
      </c>
      <c r="O101" s="75"/>
      <c r="P101" s="73" t="str">
        <f>IF($G101="","",IFERROR(VLOOKUP($G101,Projekte!$B$6:$O$11,7,FALSE()),0))</f>
        <v/>
      </c>
      <c r="Q101" s="74" t="str">
        <f t="shared" si="11"/>
        <v/>
      </c>
    </row>
    <row r="102" spans="2:17" x14ac:dyDescent="0.25">
      <c r="B102" s="56" t="str">
        <f>IF($C102="","",COUNTA($C$8:$C102))</f>
        <v/>
      </c>
      <c r="C102" s="41"/>
      <c r="D102" s="58" t="str">
        <f t="shared" si="8"/>
        <v/>
      </c>
      <c r="E102" s="59" t="str">
        <f t="shared" si="9"/>
        <v/>
      </c>
      <c r="F102" s="22"/>
      <c r="G102" s="75"/>
      <c r="H102" s="62" t="str">
        <f>IF($G102="","",IFERROR(VLOOKUP($G102,Projekte!$B$6:$O$11,2,FALSE()),"⚠ unbekannt"))</f>
        <v/>
      </c>
      <c r="I102" s="22"/>
      <c r="J102" s="22"/>
      <c r="K102" s="76"/>
      <c r="L102" s="76"/>
      <c r="M102" s="77"/>
      <c r="N102" s="65" t="str">
        <f t="shared" si="10"/>
        <v/>
      </c>
      <c r="O102" s="75"/>
      <c r="P102" s="66" t="str">
        <f>IF($G102="","",IFERROR(VLOOKUP($G102,Projekte!$B$6:$O$11,7,FALSE()),0))</f>
        <v/>
      </c>
      <c r="Q102" s="67" t="str">
        <f t="shared" si="11"/>
        <v/>
      </c>
    </row>
    <row r="103" spans="2:17" x14ac:dyDescent="0.25">
      <c r="B103" s="68" t="str">
        <f>IF($C103="","",COUNTA($C$8:$C103))</f>
        <v/>
      </c>
      <c r="C103" s="41"/>
      <c r="D103" s="69" t="str">
        <f t="shared" si="8"/>
        <v/>
      </c>
      <c r="E103" s="70" t="str">
        <f t="shared" si="9"/>
        <v/>
      </c>
      <c r="F103" s="22"/>
      <c r="G103" s="75"/>
      <c r="H103" s="71" t="str">
        <f>IF($G103="","",IFERROR(VLOOKUP($G103,Projekte!$B$6:$O$11,2,FALSE()),"⚠ unbekannt"))</f>
        <v/>
      </c>
      <c r="I103" s="22"/>
      <c r="J103" s="22"/>
      <c r="K103" s="76"/>
      <c r="L103" s="76"/>
      <c r="M103" s="77"/>
      <c r="N103" s="72" t="str">
        <f t="shared" si="10"/>
        <v/>
      </c>
      <c r="O103" s="75"/>
      <c r="P103" s="73" t="str">
        <f>IF($G103="","",IFERROR(VLOOKUP($G103,Projekte!$B$6:$O$11,7,FALSE()),0))</f>
        <v/>
      </c>
      <c r="Q103" s="74" t="str">
        <f t="shared" si="11"/>
        <v/>
      </c>
    </row>
    <row r="104" spans="2:17" x14ac:dyDescent="0.25">
      <c r="B104" s="56" t="str">
        <f>IF($C104="","",COUNTA($C$8:$C104))</f>
        <v/>
      </c>
      <c r="C104" s="41"/>
      <c r="D104" s="58" t="str">
        <f t="shared" ref="D104:D135" si="12">IF($C104="","",_xlfn.ISOWEEKNUM($C104))</f>
        <v/>
      </c>
      <c r="E104" s="59" t="str">
        <f t="shared" ref="E104:E135" si="13">IF($C104="","",TEXT($C104,"TTT"))</f>
        <v/>
      </c>
      <c r="F104" s="22"/>
      <c r="G104" s="75"/>
      <c r="H104" s="62" t="str">
        <f>IF($G104="","",IFERROR(VLOOKUP($G104,Projekte!$B$6:$O$11,2,FALSE()),"⚠ unbekannt"))</f>
        <v/>
      </c>
      <c r="I104" s="22"/>
      <c r="J104" s="22"/>
      <c r="K104" s="76"/>
      <c r="L104" s="76"/>
      <c r="M104" s="77"/>
      <c r="N104" s="65" t="str">
        <f t="shared" ref="N104:N135" si="14">IF(OR($K104="",$L104=""),"",ROUND(($L104-$K104)*24 - IF($M104="",0,$M104)/60,2))</f>
        <v/>
      </c>
      <c r="O104" s="75"/>
      <c r="P104" s="66" t="str">
        <f>IF($G104="","",IFERROR(VLOOKUP($G104,Projekte!$B$6:$O$11,7,FALSE()),0))</f>
        <v/>
      </c>
      <c r="Q104" s="67" t="str">
        <f t="shared" ref="Q104:Q135" si="15">IF($N104="","",IF($O104="Ja",$N104*$P104,0))</f>
        <v/>
      </c>
    </row>
    <row r="105" spans="2:17" x14ac:dyDescent="0.25">
      <c r="B105" s="68" t="str">
        <f>IF($C105="","",COUNTA($C$8:$C105))</f>
        <v/>
      </c>
      <c r="C105" s="41"/>
      <c r="D105" s="69" t="str">
        <f t="shared" si="12"/>
        <v/>
      </c>
      <c r="E105" s="70" t="str">
        <f t="shared" si="13"/>
        <v/>
      </c>
      <c r="F105" s="22"/>
      <c r="G105" s="75"/>
      <c r="H105" s="71" t="str">
        <f>IF($G105="","",IFERROR(VLOOKUP($G105,Projekte!$B$6:$O$11,2,FALSE()),"⚠ unbekannt"))</f>
        <v/>
      </c>
      <c r="I105" s="22"/>
      <c r="J105" s="22"/>
      <c r="K105" s="76"/>
      <c r="L105" s="76"/>
      <c r="M105" s="77"/>
      <c r="N105" s="72" t="str">
        <f t="shared" si="14"/>
        <v/>
      </c>
      <c r="O105" s="75"/>
      <c r="P105" s="73" t="str">
        <f>IF($G105="","",IFERROR(VLOOKUP($G105,Projekte!$B$6:$O$11,7,FALSE()),0))</f>
        <v/>
      </c>
      <c r="Q105" s="74" t="str">
        <f t="shared" si="15"/>
        <v/>
      </c>
    </row>
    <row r="106" spans="2:17" x14ac:dyDescent="0.25">
      <c r="B106" s="56" t="str">
        <f>IF($C106="","",COUNTA($C$8:$C106))</f>
        <v/>
      </c>
      <c r="C106" s="41"/>
      <c r="D106" s="58" t="str">
        <f t="shared" si="12"/>
        <v/>
      </c>
      <c r="E106" s="59" t="str">
        <f t="shared" si="13"/>
        <v/>
      </c>
      <c r="F106" s="22"/>
      <c r="G106" s="75"/>
      <c r="H106" s="62" t="str">
        <f>IF($G106="","",IFERROR(VLOOKUP($G106,Projekte!$B$6:$O$11,2,FALSE()),"⚠ unbekannt"))</f>
        <v/>
      </c>
      <c r="I106" s="22"/>
      <c r="J106" s="22"/>
      <c r="K106" s="76"/>
      <c r="L106" s="76"/>
      <c r="M106" s="77"/>
      <c r="N106" s="65" t="str">
        <f t="shared" si="14"/>
        <v/>
      </c>
      <c r="O106" s="75"/>
      <c r="P106" s="66" t="str">
        <f>IF($G106="","",IFERROR(VLOOKUP($G106,Projekte!$B$6:$O$11,7,FALSE()),0))</f>
        <v/>
      </c>
      <c r="Q106" s="67" t="str">
        <f t="shared" si="15"/>
        <v/>
      </c>
    </row>
    <row r="107" spans="2:17" x14ac:dyDescent="0.25">
      <c r="B107" s="68" t="str">
        <f>IF($C107="","",COUNTA($C$8:$C107))</f>
        <v/>
      </c>
      <c r="C107" s="41"/>
      <c r="D107" s="69" t="str">
        <f t="shared" si="12"/>
        <v/>
      </c>
      <c r="E107" s="70" t="str">
        <f t="shared" si="13"/>
        <v/>
      </c>
      <c r="F107" s="22"/>
      <c r="G107" s="75"/>
      <c r="H107" s="71" t="str">
        <f>IF($G107="","",IFERROR(VLOOKUP($G107,Projekte!$B$6:$O$11,2,FALSE()),"⚠ unbekannt"))</f>
        <v/>
      </c>
      <c r="I107" s="22"/>
      <c r="J107" s="22"/>
      <c r="K107" s="76"/>
      <c r="L107" s="76"/>
      <c r="M107" s="77"/>
      <c r="N107" s="72" t="str">
        <f t="shared" si="14"/>
        <v/>
      </c>
      <c r="O107" s="75"/>
      <c r="P107" s="73" t="str">
        <f>IF($G107="","",IFERROR(VLOOKUP($G107,Projekte!$B$6:$O$11,7,FALSE()),0))</f>
        <v/>
      </c>
      <c r="Q107" s="74" t="str">
        <f t="shared" si="15"/>
        <v/>
      </c>
    </row>
    <row r="108" spans="2:17" x14ac:dyDescent="0.25">
      <c r="B108" s="56" t="str">
        <f>IF($C108="","",COUNTA($C$8:$C108))</f>
        <v/>
      </c>
      <c r="C108" s="41"/>
      <c r="D108" s="58" t="str">
        <f t="shared" si="12"/>
        <v/>
      </c>
      <c r="E108" s="59" t="str">
        <f t="shared" si="13"/>
        <v/>
      </c>
      <c r="F108" s="22"/>
      <c r="G108" s="75"/>
      <c r="H108" s="62" t="str">
        <f>IF($G108="","",IFERROR(VLOOKUP($G108,Projekte!$B$6:$O$11,2,FALSE()),"⚠ unbekannt"))</f>
        <v/>
      </c>
      <c r="I108" s="22"/>
      <c r="J108" s="22"/>
      <c r="K108" s="76"/>
      <c r="L108" s="76"/>
      <c r="M108" s="77"/>
      <c r="N108" s="65" t="str">
        <f t="shared" si="14"/>
        <v/>
      </c>
      <c r="O108" s="75"/>
      <c r="P108" s="66" t="str">
        <f>IF($G108="","",IFERROR(VLOOKUP($G108,Projekte!$B$6:$O$11,7,FALSE()),0))</f>
        <v/>
      </c>
      <c r="Q108" s="67" t="str">
        <f t="shared" si="15"/>
        <v/>
      </c>
    </row>
    <row r="109" spans="2:17" x14ac:dyDescent="0.25">
      <c r="B109" s="68" t="str">
        <f>IF($C109="","",COUNTA($C$8:$C109))</f>
        <v/>
      </c>
      <c r="C109" s="41"/>
      <c r="D109" s="69" t="str">
        <f t="shared" si="12"/>
        <v/>
      </c>
      <c r="E109" s="70" t="str">
        <f t="shared" si="13"/>
        <v/>
      </c>
      <c r="F109" s="22"/>
      <c r="G109" s="75"/>
      <c r="H109" s="71" t="str">
        <f>IF($G109="","",IFERROR(VLOOKUP($G109,Projekte!$B$6:$O$11,2,FALSE()),"⚠ unbekannt"))</f>
        <v/>
      </c>
      <c r="I109" s="22"/>
      <c r="J109" s="22"/>
      <c r="K109" s="76"/>
      <c r="L109" s="76"/>
      <c r="M109" s="77"/>
      <c r="N109" s="72" t="str">
        <f t="shared" si="14"/>
        <v/>
      </c>
      <c r="O109" s="75"/>
      <c r="P109" s="73" t="str">
        <f>IF($G109="","",IFERROR(VLOOKUP($G109,Projekte!$B$6:$O$11,7,FALSE()),0))</f>
        <v/>
      </c>
      <c r="Q109" s="74" t="str">
        <f t="shared" si="15"/>
        <v/>
      </c>
    </row>
    <row r="110" spans="2:17" x14ac:dyDescent="0.25">
      <c r="B110" s="56" t="str">
        <f>IF($C110="","",COUNTA($C$8:$C110))</f>
        <v/>
      </c>
      <c r="C110" s="41"/>
      <c r="D110" s="58" t="str">
        <f t="shared" si="12"/>
        <v/>
      </c>
      <c r="E110" s="59" t="str">
        <f t="shared" si="13"/>
        <v/>
      </c>
      <c r="F110" s="22"/>
      <c r="G110" s="75"/>
      <c r="H110" s="62" t="str">
        <f>IF($G110="","",IFERROR(VLOOKUP($G110,Projekte!$B$6:$O$11,2,FALSE()),"⚠ unbekannt"))</f>
        <v/>
      </c>
      <c r="I110" s="22"/>
      <c r="J110" s="22"/>
      <c r="K110" s="76"/>
      <c r="L110" s="76"/>
      <c r="M110" s="77"/>
      <c r="N110" s="65" t="str">
        <f t="shared" si="14"/>
        <v/>
      </c>
      <c r="O110" s="75"/>
      <c r="P110" s="66" t="str">
        <f>IF($G110="","",IFERROR(VLOOKUP($G110,Projekte!$B$6:$O$11,7,FALSE()),0))</f>
        <v/>
      </c>
      <c r="Q110" s="67" t="str">
        <f t="shared" si="15"/>
        <v/>
      </c>
    </row>
    <row r="111" spans="2:17" x14ac:dyDescent="0.25">
      <c r="B111" s="68" t="str">
        <f>IF($C111="","",COUNTA($C$8:$C111))</f>
        <v/>
      </c>
      <c r="C111" s="41"/>
      <c r="D111" s="69" t="str">
        <f t="shared" si="12"/>
        <v/>
      </c>
      <c r="E111" s="70" t="str">
        <f t="shared" si="13"/>
        <v/>
      </c>
      <c r="F111" s="22"/>
      <c r="G111" s="75"/>
      <c r="H111" s="71" t="str">
        <f>IF($G111="","",IFERROR(VLOOKUP($G111,Projekte!$B$6:$O$11,2,FALSE()),"⚠ unbekannt"))</f>
        <v/>
      </c>
      <c r="I111" s="22"/>
      <c r="J111" s="22"/>
      <c r="K111" s="76"/>
      <c r="L111" s="76"/>
      <c r="M111" s="77"/>
      <c r="N111" s="72" t="str">
        <f t="shared" si="14"/>
        <v/>
      </c>
      <c r="O111" s="75"/>
      <c r="P111" s="73" t="str">
        <f>IF($G111="","",IFERROR(VLOOKUP($G111,Projekte!$B$6:$O$11,7,FALSE()),0))</f>
        <v/>
      </c>
      <c r="Q111" s="74" t="str">
        <f t="shared" si="15"/>
        <v/>
      </c>
    </row>
    <row r="112" spans="2:17" x14ac:dyDescent="0.25">
      <c r="B112" s="56" t="str">
        <f>IF($C112="","",COUNTA($C$8:$C112))</f>
        <v/>
      </c>
      <c r="C112" s="41"/>
      <c r="D112" s="58" t="str">
        <f t="shared" si="12"/>
        <v/>
      </c>
      <c r="E112" s="59" t="str">
        <f t="shared" si="13"/>
        <v/>
      </c>
      <c r="F112" s="22"/>
      <c r="G112" s="75"/>
      <c r="H112" s="62" t="str">
        <f>IF($G112="","",IFERROR(VLOOKUP($G112,Projekte!$B$6:$O$11,2,FALSE()),"⚠ unbekannt"))</f>
        <v/>
      </c>
      <c r="I112" s="22"/>
      <c r="J112" s="22"/>
      <c r="K112" s="76"/>
      <c r="L112" s="76"/>
      <c r="M112" s="77"/>
      <c r="N112" s="65" t="str">
        <f t="shared" si="14"/>
        <v/>
      </c>
      <c r="O112" s="75"/>
      <c r="P112" s="66" t="str">
        <f>IF($G112="","",IFERROR(VLOOKUP($G112,Projekte!$B$6:$O$11,7,FALSE()),0))</f>
        <v/>
      </c>
      <c r="Q112" s="67" t="str">
        <f t="shared" si="15"/>
        <v/>
      </c>
    </row>
    <row r="113" spans="2:17" x14ac:dyDescent="0.25">
      <c r="B113" s="68" t="str">
        <f>IF($C113="","",COUNTA($C$8:$C113))</f>
        <v/>
      </c>
      <c r="C113" s="41"/>
      <c r="D113" s="69" t="str">
        <f t="shared" si="12"/>
        <v/>
      </c>
      <c r="E113" s="70" t="str">
        <f t="shared" si="13"/>
        <v/>
      </c>
      <c r="F113" s="22"/>
      <c r="G113" s="75"/>
      <c r="H113" s="71" t="str">
        <f>IF($G113="","",IFERROR(VLOOKUP($G113,Projekte!$B$6:$O$11,2,FALSE()),"⚠ unbekannt"))</f>
        <v/>
      </c>
      <c r="I113" s="22"/>
      <c r="J113" s="22"/>
      <c r="K113" s="76"/>
      <c r="L113" s="76"/>
      <c r="M113" s="77"/>
      <c r="N113" s="72" t="str">
        <f t="shared" si="14"/>
        <v/>
      </c>
      <c r="O113" s="75"/>
      <c r="P113" s="73" t="str">
        <f>IF($G113="","",IFERROR(VLOOKUP($G113,Projekte!$B$6:$O$11,7,FALSE()),0))</f>
        <v/>
      </c>
      <c r="Q113" s="74" t="str">
        <f t="shared" si="15"/>
        <v/>
      </c>
    </row>
    <row r="114" spans="2:17" x14ac:dyDescent="0.25">
      <c r="B114" s="56" t="str">
        <f>IF($C114="","",COUNTA($C$8:$C114))</f>
        <v/>
      </c>
      <c r="C114" s="41"/>
      <c r="D114" s="58" t="str">
        <f t="shared" si="12"/>
        <v/>
      </c>
      <c r="E114" s="59" t="str">
        <f t="shared" si="13"/>
        <v/>
      </c>
      <c r="F114" s="22"/>
      <c r="G114" s="75"/>
      <c r="H114" s="62" t="str">
        <f>IF($G114="","",IFERROR(VLOOKUP($G114,Projekte!$B$6:$O$11,2,FALSE()),"⚠ unbekannt"))</f>
        <v/>
      </c>
      <c r="I114" s="22"/>
      <c r="J114" s="22"/>
      <c r="K114" s="76"/>
      <c r="L114" s="76"/>
      <c r="M114" s="77"/>
      <c r="N114" s="65" t="str">
        <f t="shared" si="14"/>
        <v/>
      </c>
      <c r="O114" s="75"/>
      <c r="P114" s="66" t="str">
        <f>IF($G114="","",IFERROR(VLOOKUP($G114,Projekte!$B$6:$O$11,7,FALSE()),0))</f>
        <v/>
      </c>
      <c r="Q114" s="67" t="str">
        <f t="shared" si="15"/>
        <v/>
      </c>
    </row>
    <row r="115" spans="2:17" x14ac:dyDescent="0.25">
      <c r="B115" s="68" t="str">
        <f>IF($C115="","",COUNTA($C$8:$C115))</f>
        <v/>
      </c>
      <c r="C115" s="41"/>
      <c r="D115" s="69" t="str">
        <f t="shared" si="12"/>
        <v/>
      </c>
      <c r="E115" s="70" t="str">
        <f t="shared" si="13"/>
        <v/>
      </c>
      <c r="F115" s="22"/>
      <c r="G115" s="75"/>
      <c r="H115" s="71" t="str">
        <f>IF($G115="","",IFERROR(VLOOKUP($G115,Projekte!$B$6:$O$11,2,FALSE()),"⚠ unbekannt"))</f>
        <v/>
      </c>
      <c r="I115" s="22"/>
      <c r="J115" s="22"/>
      <c r="K115" s="76"/>
      <c r="L115" s="76"/>
      <c r="M115" s="77"/>
      <c r="N115" s="72" t="str">
        <f t="shared" si="14"/>
        <v/>
      </c>
      <c r="O115" s="75"/>
      <c r="P115" s="73" t="str">
        <f>IF($G115="","",IFERROR(VLOOKUP($G115,Projekte!$B$6:$O$11,7,FALSE()),0))</f>
        <v/>
      </c>
      <c r="Q115" s="74" t="str">
        <f t="shared" si="15"/>
        <v/>
      </c>
    </row>
    <row r="116" spans="2:17" x14ac:dyDescent="0.25">
      <c r="B116" s="56" t="str">
        <f>IF($C116="","",COUNTA($C$8:$C116))</f>
        <v/>
      </c>
      <c r="C116" s="41"/>
      <c r="D116" s="58" t="str">
        <f t="shared" si="12"/>
        <v/>
      </c>
      <c r="E116" s="59" t="str">
        <f t="shared" si="13"/>
        <v/>
      </c>
      <c r="F116" s="22"/>
      <c r="G116" s="75"/>
      <c r="H116" s="62" t="str">
        <f>IF($G116="","",IFERROR(VLOOKUP($G116,Projekte!$B$6:$O$11,2,FALSE()),"⚠ unbekannt"))</f>
        <v/>
      </c>
      <c r="I116" s="22"/>
      <c r="J116" s="22"/>
      <c r="K116" s="76"/>
      <c r="L116" s="76"/>
      <c r="M116" s="77"/>
      <c r="N116" s="65" t="str">
        <f t="shared" si="14"/>
        <v/>
      </c>
      <c r="O116" s="75"/>
      <c r="P116" s="66" t="str">
        <f>IF($G116="","",IFERROR(VLOOKUP($G116,Projekte!$B$6:$O$11,7,FALSE()),0))</f>
        <v/>
      </c>
      <c r="Q116" s="67" t="str">
        <f t="shared" si="15"/>
        <v/>
      </c>
    </row>
    <row r="117" spans="2:17" x14ac:dyDescent="0.25">
      <c r="B117" s="68" t="str">
        <f>IF($C117="","",COUNTA($C$8:$C117))</f>
        <v/>
      </c>
      <c r="C117" s="41"/>
      <c r="D117" s="69" t="str">
        <f t="shared" si="12"/>
        <v/>
      </c>
      <c r="E117" s="70" t="str">
        <f t="shared" si="13"/>
        <v/>
      </c>
      <c r="F117" s="22"/>
      <c r="G117" s="75"/>
      <c r="H117" s="71" t="str">
        <f>IF($G117="","",IFERROR(VLOOKUP($G117,Projekte!$B$6:$O$11,2,FALSE()),"⚠ unbekannt"))</f>
        <v/>
      </c>
      <c r="I117" s="22"/>
      <c r="J117" s="22"/>
      <c r="K117" s="76"/>
      <c r="L117" s="76"/>
      <c r="M117" s="77"/>
      <c r="N117" s="72" t="str">
        <f t="shared" si="14"/>
        <v/>
      </c>
      <c r="O117" s="75"/>
      <c r="P117" s="73" t="str">
        <f>IF($G117="","",IFERROR(VLOOKUP($G117,Projekte!$B$6:$O$11,7,FALSE()),0))</f>
        <v/>
      </c>
      <c r="Q117" s="74" t="str">
        <f t="shared" si="15"/>
        <v/>
      </c>
    </row>
    <row r="118" spans="2:17" x14ac:dyDescent="0.25">
      <c r="B118" s="56" t="str">
        <f>IF($C118="","",COUNTA($C$8:$C118))</f>
        <v/>
      </c>
      <c r="C118" s="41"/>
      <c r="D118" s="58" t="str">
        <f t="shared" si="12"/>
        <v/>
      </c>
      <c r="E118" s="59" t="str">
        <f t="shared" si="13"/>
        <v/>
      </c>
      <c r="F118" s="22"/>
      <c r="G118" s="75"/>
      <c r="H118" s="62" t="str">
        <f>IF($G118="","",IFERROR(VLOOKUP($G118,Projekte!$B$6:$O$11,2,FALSE()),"⚠ unbekannt"))</f>
        <v/>
      </c>
      <c r="I118" s="22"/>
      <c r="J118" s="22"/>
      <c r="K118" s="76"/>
      <c r="L118" s="76"/>
      <c r="M118" s="77"/>
      <c r="N118" s="65" t="str">
        <f t="shared" si="14"/>
        <v/>
      </c>
      <c r="O118" s="75"/>
      <c r="P118" s="66" t="str">
        <f>IF($G118="","",IFERROR(VLOOKUP($G118,Projekte!$B$6:$O$11,7,FALSE()),0))</f>
        <v/>
      </c>
      <c r="Q118" s="67" t="str">
        <f t="shared" si="15"/>
        <v/>
      </c>
    </row>
    <row r="119" spans="2:17" x14ac:dyDescent="0.25">
      <c r="B119" s="68" t="str">
        <f>IF($C119="","",COUNTA($C$8:$C119))</f>
        <v/>
      </c>
      <c r="C119" s="41"/>
      <c r="D119" s="69" t="str">
        <f t="shared" si="12"/>
        <v/>
      </c>
      <c r="E119" s="70" t="str">
        <f t="shared" si="13"/>
        <v/>
      </c>
      <c r="F119" s="22"/>
      <c r="G119" s="75"/>
      <c r="H119" s="71" t="str">
        <f>IF($G119="","",IFERROR(VLOOKUP($G119,Projekte!$B$6:$O$11,2,FALSE()),"⚠ unbekannt"))</f>
        <v/>
      </c>
      <c r="I119" s="22"/>
      <c r="J119" s="22"/>
      <c r="K119" s="76"/>
      <c r="L119" s="76"/>
      <c r="M119" s="77"/>
      <c r="N119" s="72" t="str">
        <f t="shared" si="14"/>
        <v/>
      </c>
      <c r="O119" s="75"/>
      <c r="P119" s="73" t="str">
        <f>IF($G119="","",IFERROR(VLOOKUP($G119,Projekte!$B$6:$O$11,7,FALSE()),0))</f>
        <v/>
      </c>
      <c r="Q119" s="74" t="str">
        <f t="shared" si="15"/>
        <v/>
      </c>
    </row>
    <row r="120" spans="2:17" x14ac:dyDescent="0.25">
      <c r="B120" s="56" t="str">
        <f>IF($C120="","",COUNTA($C$8:$C120))</f>
        <v/>
      </c>
      <c r="C120" s="41"/>
      <c r="D120" s="58" t="str">
        <f t="shared" si="12"/>
        <v/>
      </c>
      <c r="E120" s="59" t="str">
        <f t="shared" si="13"/>
        <v/>
      </c>
      <c r="F120" s="22"/>
      <c r="G120" s="75"/>
      <c r="H120" s="62" t="str">
        <f>IF($G120="","",IFERROR(VLOOKUP($G120,Projekte!$B$6:$O$11,2,FALSE()),"⚠ unbekannt"))</f>
        <v/>
      </c>
      <c r="I120" s="22"/>
      <c r="J120" s="22"/>
      <c r="K120" s="76"/>
      <c r="L120" s="76"/>
      <c r="M120" s="77"/>
      <c r="N120" s="65" t="str">
        <f t="shared" si="14"/>
        <v/>
      </c>
      <c r="O120" s="75"/>
      <c r="P120" s="66" t="str">
        <f>IF($G120="","",IFERROR(VLOOKUP($G120,Projekte!$B$6:$O$11,7,FALSE()),0))</f>
        <v/>
      </c>
      <c r="Q120" s="67" t="str">
        <f t="shared" si="15"/>
        <v/>
      </c>
    </row>
    <row r="121" spans="2:17" x14ac:dyDescent="0.25">
      <c r="B121" s="68" t="str">
        <f>IF($C121="","",COUNTA($C$8:$C121))</f>
        <v/>
      </c>
      <c r="C121" s="41"/>
      <c r="D121" s="69" t="str">
        <f t="shared" si="12"/>
        <v/>
      </c>
      <c r="E121" s="70" t="str">
        <f t="shared" si="13"/>
        <v/>
      </c>
      <c r="F121" s="22"/>
      <c r="G121" s="75"/>
      <c r="H121" s="71" t="str">
        <f>IF($G121="","",IFERROR(VLOOKUP($G121,Projekte!$B$6:$O$11,2,FALSE()),"⚠ unbekannt"))</f>
        <v/>
      </c>
      <c r="I121" s="22"/>
      <c r="J121" s="22"/>
      <c r="K121" s="76"/>
      <c r="L121" s="76"/>
      <c r="M121" s="77"/>
      <c r="N121" s="72" t="str">
        <f t="shared" si="14"/>
        <v/>
      </c>
      <c r="O121" s="75"/>
      <c r="P121" s="73" t="str">
        <f>IF($G121="","",IFERROR(VLOOKUP($G121,Projekte!$B$6:$O$11,7,FALSE()),0))</f>
        <v/>
      </c>
      <c r="Q121" s="74" t="str">
        <f t="shared" si="15"/>
        <v/>
      </c>
    </row>
    <row r="122" spans="2:17" x14ac:dyDescent="0.25">
      <c r="B122" s="56" t="str">
        <f>IF($C122="","",COUNTA($C$8:$C122))</f>
        <v/>
      </c>
      <c r="C122" s="41"/>
      <c r="D122" s="58" t="str">
        <f t="shared" si="12"/>
        <v/>
      </c>
      <c r="E122" s="59" t="str">
        <f t="shared" si="13"/>
        <v/>
      </c>
      <c r="F122" s="22"/>
      <c r="G122" s="75"/>
      <c r="H122" s="62" t="str">
        <f>IF($G122="","",IFERROR(VLOOKUP($G122,Projekte!$B$6:$O$11,2,FALSE()),"⚠ unbekannt"))</f>
        <v/>
      </c>
      <c r="I122" s="22"/>
      <c r="J122" s="22"/>
      <c r="K122" s="76"/>
      <c r="L122" s="76"/>
      <c r="M122" s="77"/>
      <c r="N122" s="65" t="str">
        <f t="shared" si="14"/>
        <v/>
      </c>
      <c r="O122" s="75"/>
      <c r="P122" s="66" t="str">
        <f>IF($G122="","",IFERROR(VLOOKUP($G122,Projekte!$B$6:$O$11,7,FALSE()),0))</f>
        <v/>
      </c>
      <c r="Q122" s="67" t="str">
        <f t="shared" si="15"/>
        <v/>
      </c>
    </row>
    <row r="123" spans="2:17" x14ac:dyDescent="0.25">
      <c r="B123" s="68" t="str">
        <f>IF($C123="","",COUNTA($C$8:$C123))</f>
        <v/>
      </c>
      <c r="C123" s="41"/>
      <c r="D123" s="69" t="str">
        <f t="shared" si="12"/>
        <v/>
      </c>
      <c r="E123" s="70" t="str">
        <f t="shared" si="13"/>
        <v/>
      </c>
      <c r="F123" s="22"/>
      <c r="G123" s="75"/>
      <c r="H123" s="71" t="str">
        <f>IF($G123="","",IFERROR(VLOOKUP($G123,Projekte!$B$6:$O$11,2,FALSE()),"⚠ unbekannt"))</f>
        <v/>
      </c>
      <c r="I123" s="22"/>
      <c r="J123" s="22"/>
      <c r="K123" s="76"/>
      <c r="L123" s="76"/>
      <c r="M123" s="77"/>
      <c r="N123" s="72" t="str">
        <f t="shared" si="14"/>
        <v/>
      </c>
      <c r="O123" s="75"/>
      <c r="P123" s="73" t="str">
        <f>IF($G123="","",IFERROR(VLOOKUP($G123,Projekte!$B$6:$O$11,7,FALSE()),0))</f>
        <v/>
      </c>
      <c r="Q123" s="74" t="str">
        <f t="shared" si="15"/>
        <v/>
      </c>
    </row>
    <row r="124" spans="2:17" x14ac:dyDescent="0.25">
      <c r="B124" s="56" t="str">
        <f>IF($C124="","",COUNTA($C$8:$C124))</f>
        <v/>
      </c>
      <c r="C124" s="41"/>
      <c r="D124" s="58" t="str">
        <f t="shared" si="12"/>
        <v/>
      </c>
      <c r="E124" s="59" t="str">
        <f t="shared" si="13"/>
        <v/>
      </c>
      <c r="F124" s="22"/>
      <c r="G124" s="75"/>
      <c r="H124" s="62" t="str">
        <f>IF($G124="","",IFERROR(VLOOKUP($G124,Projekte!$B$6:$O$11,2,FALSE()),"⚠ unbekannt"))</f>
        <v/>
      </c>
      <c r="I124" s="22"/>
      <c r="J124" s="22"/>
      <c r="K124" s="76"/>
      <c r="L124" s="76"/>
      <c r="M124" s="77"/>
      <c r="N124" s="65" t="str">
        <f t="shared" si="14"/>
        <v/>
      </c>
      <c r="O124" s="75"/>
      <c r="P124" s="66" t="str">
        <f>IF($G124="","",IFERROR(VLOOKUP($G124,Projekte!$B$6:$O$11,7,FALSE()),0))</f>
        <v/>
      </c>
      <c r="Q124" s="67" t="str">
        <f t="shared" si="15"/>
        <v/>
      </c>
    </row>
    <row r="125" spans="2:17" x14ac:dyDescent="0.25">
      <c r="B125" s="68" t="str">
        <f>IF($C125="","",COUNTA($C$8:$C125))</f>
        <v/>
      </c>
      <c r="C125" s="41"/>
      <c r="D125" s="69" t="str">
        <f t="shared" si="12"/>
        <v/>
      </c>
      <c r="E125" s="70" t="str">
        <f t="shared" si="13"/>
        <v/>
      </c>
      <c r="F125" s="22"/>
      <c r="G125" s="75"/>
      <c r="H125" s="71" t="str">
        <f>IF($G125="","",IFERROR(VLOOKUP($G125,Projekte!$B$6:$O$11,2,FALSE()),"⚠ unbekannt"))</f>
        <v/>
      </c>
      <c r="I125" s="22"/>
      <c r="J125" s="22"/>
      <c r="K125" s="76"/>
      <c r="L125" s="76"/>
      <c r="M125" s="77"/>
      <c r="N125" s="72" t="str">
        <f t="shared" si="14"/>
        <v/>
      </c>
      <c r="O125" s="75"/>
      <c r="P125" s="73" t="str">
        <f>IF($G125="","",IFERROR(VLOOKUP($G125,Projekte!$B$6:$O$11,7,FALSE()),0))</f>
        <v/>
      </c>
      <c r="Q125" s="74" t="str">
        <f t="shared" si="15"/>
        <v/>
      </c>
    </row>
    <row r="126" spans="2:17" x14ac:dyDescent="0.25">
      <c r="B126" s="56" t="str">
        <f>IF($C126="","",COUNTA($C$8:$C126))</f>
        <v/>
      </c>
      <c r="C126" s="41"/>
      <c r="D126" s="58" t="str">
        <f t="shared" si="12"/>
        <v/>
      </c>
      <c r="E126" s="59" t="str">
        <f t="shared" si="13"/>
        <v/>
      </c>
      <c r="F126" s="22"/>
      <c r="G126" s="75"/>
      <c r="H126" s="62" t="str">
        <f>IF($G126="","",IFERROR(VLOOKUP($G126,Projekte!$B$6:$O$11,2,FALSE()),"⚠ unbekannt"))</f>
        <v/>
      </c>
      <c r="I126" s="22"/>
      <c r="J126" s="22"/>
      <c r="K126" s="76"/>
      <c r="L126" s="76"/>
      <c r="M126" s="77"/>
      <c r="N126" s="65" t="str">
        <f t="shared" si="14"/>
        <v/>
      </c>
      <c r="O126" s="75"/>
      <c r="P126" s="66" t="str">
        <f>IF($G126="","",IFERROR(VLOOKUP($G126,Projekte!$B$6:$O$11,7,FALSE()),0))</f>
        <v/>
      </c>
      <c r="Q126" s="67" t="str">
        <f t="shared" si="15"/>
        <v/>
      </c>
    </row>
    <row r="127" spans="2:17" x14ac:dyDescent="0.25">
      <c r="B127" s="68" t="str">
        <f>IF($C127="","",COUNTA($C$8:$C127))</f>
        <v/>
      </c>
      <c r="C127" s="41"/>
      <c r="D127" s="69" t="str">
        <f t="shared" si="12"/>
        <v/>
      </c>
      <c r="E127" s="70" t="str">
        <f t="shared" si="13"/>
        <v/>
      </c>
      <c r="F127" s="22"/>
      <c r="G127" s="75"/>
      <c r="H127" s="71" t="str">
        <f>IF($G127="","",IFERROR(VLOOKUP($G127,Projekte!$B$6:$O$11,2,FALSE()),"⚠ unbekannt"))</f>
        <v/>
      </c>
      <c r="I127" s="22"/>
      <c r="J127" s="22"/>
      <c r="K127" s="76"/>
      <c r="L127" s="76"/>
      <c r="M127" s="77"/>
      <c r="N127" s="72" t="str">
        <f t="shared" si="14"/>
        <v/>
      </c>
      <c r="O127" s="75"/>
      <c r="P127" s="73" t="str">
        <f>IF($G127="","",IFERROR(VLOOKUP($G127,Projekte!$B$6:$O$11,7,FALSE()),0))</f>
        <v/>
      </c>
      <c r="Q127" s="74" t="str">
        <f t="shared" si="15"/>
        <v/>
      </c>
    </row>
    <row r="128" spans="2:17" x14ac:dyDescent="0.25">
      <c r="B128" s="56" t="str">
        <f>IF($C128="","",COUNTA($C$8:$C128))</f>
        <v/>
      </c>
      <c r="C128" s="41"/>
      <c r="D128" s="58" t="str">
        <f t="shared" si="12"/>
        <v/>
      </c>
      <c r="E128" s="59" t="str">
        <f t="shared" si="13"/>
        <v/>
      </c>
      <c r="F128" s="22"/>
      <c r="G128" s="75"/>
      <c r="H128" s="62" t="str">
        <f>IF($G128="","",IFERROR(VLOOKUP($G128,Projekte!$B$6:$O$11,2,FALSE()),"⚠ unbekannt"))</f>
        <v/>
      </c>
      <c r="I128" s="22"/>
      <c r="J128" s="22"/>
      <c r="K128" s="76"/>
      <c r="L128" s="76"/>
      <c r="M128" s="77"/>
      <c r="N128" s="65" t="str">
        <f t="shared" si="14"/>
        <v/>
      </c>
      <c r="O128" s="75"/>
      <c r="P128" s="66" t="str">
        <f>IF($G128="","",IFERROR(VLOOKUP($G128,Projekte!$B$6:$O$11,7,FALSE()),0))</f>
        <v/>
      </c>
      <c r="Q128" s="67" t="str">
        <f t="shared" si="15"/>
        <v/>
      </c>
    </row>
    <row r="129" spans="2:17" x14ac:dyDescent="0.25">
      <c r="B129" s="68" t="str">
        <f>IF($C129="","",COUNTA($C$8:$C129))</f>
        <v/>
      </c>
      <c r="C129" s="41"/>
      <c r="D129" s="69" t="str">
        <f t="shared" si="12"/>
        <v/>
      </c>
      <c r="E129" s="70" t="str">
        <f t="shared" si="13"/>
        <v/>
      </c>
      <c r="F129" s="22"/>
      <c r="G129" s="75"/>
      <c r="H129" s="71" t="str">
        <f>IF($G129="","",IFERROR(VLOOKUP($G129,Projekte!$B$6:$O$11,2,FALSE()),"⚠ unbekannt"))</f>
        <v/>
      </c>
      <c r="I129" s="22"/>
      <c r="J129" s="22"/>
      <c r="K129" s="76"/>
      <c r="L129" s="76"/>
      <c r="M129" s="77"/>
      <c r="N129" s="72" t="str">
        <f t="shared" si="14"/>
        <v/>
      </c>
      <c r="O129" s="75"/>
      <c r="P129" s="73" t="str">
        <f>IF($G129="","",IFERROR(VLOOKUP($G129,Projekte!$B$6:$O$11,7,FALSE()),0))</f>
        <v/>
      </c>
      <c r="Q129" s="74" t="str">
        <f t="shared" si="15"/>
        <v/>
      </c>
    </row>
    <row r="130" spans="2:17" x14ac:dyDescent="0.25">
      <c r="B130" s="56" t="str">
        <f>IF($C130="","",COUNTA($C$8:$C130))</f>
        <v/>
      </c>
      <c r="C130" s="41"/>
      <c r="D130" s="58" t="str">
        <f t="shared" si="12"/>
        <v/>
      </c>
      <c r="E130" s="59" t="str">
        <f t="shared" si="13"/>
        <v/>
      </c>
      <c r="F130" s="22"/>
      <c r="G130" s="75"/>
      <c r="H130" s="62" t="str">
        <f>IF($G130="","",IFERROR(VLOOKUP($G130,Projekte!$B$6:$O$11,2,FALSE()),"⚠ unbekannt"))</f>
        <v/>
      </c>
      <c r="I130" s="22"/>
      <c r="J130" s="22"/>
      <c r="K130" s="76"/>
      <c r="L130" s="76"/>
      <c r="M130" s="77"/>
      <c r="N130" s="65" t="str">
        <f t="shared" si="14"/>
        <v/>
      </c>
      <c r="O130" s="75"/>
      <c r="P130" s="66" t="str">
        <f>IF($G130="","",IFERROR(VLOOKUP($G130,Projekte!$B$6:$O$11,7,FALSE()),0))</f>
        <v/>
      </c>
      <c r="Q130" s="67" t="str">
        <f t="shared" si="15"/>
        <v/>
      </c>
    </row>
    <row r="131" spans="2:17" x14ac:dyDescent="0.25">
      <c r="B131" s="68" t="str">
        <f>IF($C131="","",COUNTA($C$8:$C131))</f>
        <v/>
      </c>
      <c r="C131" s="41"/>
      <c r="D131" s="69" t="str">
        <f t="shared" si="12"/>
        <v/>
      </c>
      <c r="E131" s="70" t="str">
        <f t="shared" si="13"/>
        <v/>
      </c>
      <c r="F131" s="22"/>
      <c r="G131" s="75"/>
      <c r="H131" s="71" t="str">
        <f>IF($G131="","",IFERROR(VLOOKUP($G131,Projekte!$B$6:$O$11,2,FALSE()),"⚠ unbekannt"))</f>
        <v/>
      </c>
      <c r="I131" s="22"/>
      <c r="J131" s="22"/>
      <c r="K131" s="76"/>
      <c r="L131" s="76"/>
      <c r="M131" s="77"/>
      <c r="N131" s="72" t="str">
        <f t="shared" si="14"/>
        <v/>
      </c>
      <c r="O131" s="75"/>
      <c r="P131" s="73" t="str">
        <f>IF($G131="","",IFERROR(VLOOKUP($G131,Projekte!$B$6:$O$11,7,FALSE()),0))</f>
        <v/>
      </c>
      <c r="Q131" s="74" t="str">
        <f t="shared" si="15"/>
        <v/>
      </c>
    </row>
    <row r="132" spans="2:17" x14ac:dyDescent="0.25">
      <c r="B132" s="56" t="str">
        <f>IF($C132="","",COUNTA($C$8:$C132))</f>
        <v/>
      </c>
      <c r="C132" s="41"/>
      <c r="D132" s="58" t="str">
        <f t="shared" si="12"/>
        <v/>
      </c>
      <c r="E132" s="59" t="str">
        <f t="shared" si="13"/>
        <v/>
      </c>
      <c r="F132" s="22"/>
      <c r="G132" s="75"/>
      <c r="H132" s="62" t="str">
        <f>IF($G132="","",IFERROR(VLOOKUP($G132,Projekte!$B$6:$O$11,2,FALSE()),"⚠ unbekannt"))</f>
        <v/>
      </c>
      <c r="I132" s="22"/>
      <c r="J132" s="22"/>
      <c r="K132" s="76"/>
      <c r="L132" s="76"/>
      <c r="M132" s="77"/>
      <c r="N132" s="65" t="str">
        <f t="shared" si="14"/>
        <v/>
      </c>
      <c r="O132" s="75"/>
      <c r="P132" s="66" t="str">
        <f>IF($G132="","",IFERROR(VLOOKUP($G132,Projekte!$B$6:$O$11,7,FALSE()),0))</f>
        <v/>
      </c>
      <c r="Q132" s="67" t="str">
        <f t="shared" si="15"/>
        <v/>
      </c>
    </row>
    <row r="133" spans="2:17" x14ac:dyDescent="0.25">
      <c r="B133" s="68" t="str">
        <f>IF($C133="","",COUNTA($C$8:$C133))</f>
        <v/>
      </c>
      <c r="C133" s="41"/>
      <c r="D133" s="69" t="str">
        <f t="shared" si="12"/>
        <v/>
      </c>
      <c r="E133" s="70" t="str">
        <f t="shared" si="13"/>
        <v/>
      </c>
      <c r="F133" s="22"/>
      <c r="G133" s="75"/>
      <c r="H133" s="71" t="str">
        <f>IF($G133="","",IFERROR(VLOOKUP($G133,Projekte!$B$6:$O$11,2,FALSE()),"⚠ unbekannt"))</f>
        <v/>
      </c>
      <c r="I133" s="22"/>
      <c r="J133" s="22"/>
      <c r="K133" s="76"/>
      <c r="L133" s="76"/>
      <c r="M133" s="77"/>
      <c r="N133" s="72" t="str">
        <f t="shared" si="14"/>
        <v/>
      </c>
      <c r="O133" s="75"/>
      <c r="P133" s="73" t="str">
        <f>IF($G133="","",IFERROR(VLOOKUP($G133,Projekte!$B$6:$O$11,7,FALSE()),0))</f>
        <v/>
      </c>
      <c r="Q133" s="74" t="str">
        <f t="shared" si="15"/>
        <v/>
      </c>
    </row>
    <row r="134" spans="2:17" x14ac:dyDescent="0.25">
      <c r="B134" s="56" t="str">
        <f>IF($C134="","",COUNTA($C$8:$C134))</f>
        <v/>
      </c>
      <c r="C134" s="41"/>
      <c r="D134" s="58" t="str">
        <f t="shared" si="12"/>
        <v/>
      </c>
      <c r="E134" s="59" t="str">
        <f t="shared" si="13"/>
        <v/>
      </c>
      <c r="F134" s="22"/>
      <c r="G134" s="75"/>
      <c r="H134" s="62" t="str">
        <f>IF($G134="","",IFERROR(VLOOKUP($G134,Projekte!$B$6:$O$11,2,FALSE()),"⚠ unbekannt"))</f>
        <v/>
      </c>
      <c r="I134" s="22"/>
      <c r="J134" s="22"/>
      <c r="K134" s="76"/>
      <c r="L134" s="76"/>
      <c r="M134" s="77"/>
      <c r="N134" s="65" t="str">
        <f t="shared" si="14"/>
        <v/>
      </c>
      <c r="O134" s="75"/>
      <c r="P134" s="66" t="str">
        <f>IF($G134="","",IFERROR(VLOOKUP($G134,Projekte!$B$6:$O$11,7,FALSE()),0))</f>
        <v/>
      </c>
      <c r="Q134" s="67" t="str">
        <f t="shared" si="15"/>
        <v/>
      </c>
    </row>
    <row r="135" spans="2:17" x14ac:dyDescent="0.25">
      <c r="B135" s="68" t="str">
        <f>IF($C135="","",COUNTA($C$8:$C135))</f>
        <v/>
      </c>
      <c r="C135" s="41"/>
      <c r="D135" s="69" t="str">
        <f t="shared" si="12"/>
        <v/>
      </c>
      <c r="E135" s="70" t="str">
        <f t="shared" si="13"/>
        <v/>
      </c>
      <c r="F135" s="22"/>
      <c r="G135" s="75"/>
      <c r="H135" s="71" t="str">
        <f>IF($G135="","",IFERROR(VLOOKUP($G135,Projekte!$B$6:$O$11,2,FALSE()),"⚠ unbekannt"))</f>
        <v/>
      </c>
      <c r="I135" s="22"/>
      <c r="J135" s="22"/>
      <c r="K135" s="76"/>
      <c r="L135" s="76"/>
      <c r="M135" s="77"/>
      <c r="N135" s="72" t="str">
        <f t="shared" si="14"/>
        <v/>
      </c>
      <c r="O135" s="75"/>
      <c r="P135" s="73" t="str">
        <f>IF($G135="","",IFERROR(VLOOKUP($G135,Projekte!$B$6:$O$11,7,FALSE()),0))</f>
        <v/>
      </c>
      <c r="Q135" s="74" t="str">
        <f t="shared" si="15"/>
        <v/>
      </c>
    </row>
    <row r="136" spans="2:17" x14ac:dyDescent="0.25">
      <c r="B136" s="56" t="str">
        <f>IF($C136="","",COUNTA($C$8:$C136))</f>
        <v/>
      </c>
      <c r="C136" s="41"/>
      <c r="D136" s="58" t="str">
        <f t="shared" ref="D136:D167" si="16">IF($C136="","",_xlfn.ISOWEEKNUM($C136))</f>
        <v/>
      </c>
      <c r="E136" s="59" t="str">
        <f t="shared" ref="E136:E167" si="17">IF($C136="","",TEXT($C136,"TTT"))</f>
        <v/>
      </c>
      <c r="F136" s="22"/>
      <c r="G136" s="75"/>
      <c r="H136" s="62" t="str">
        <f>IF($G136="","",IFERROR(VLOOKUP($G136,Projekte!$B$6:$O$11,2,FALSE()),"⚠ unbekannt"))</f>
        <v/>
      </c>
      <c r="I136" s="22"/>
      <c r="J136" s="22"/>
      <c r="K136" s="76"/>
      <c r="L136" s="76"/>
      <c r="M136" s="77"/>
      <c r="N136" s="65" t="str">
        <f t="shared" ref="N136:N167" si="18">IF(OR($K136="",$L136=""),"",ROUND(($L136-$K136)*24 - IF($M136="",0,$M136)/60,2))</f>
        <v/>
      </c>
      <c r="O136" s="75"/>
      <c r="P136" s="66" t="str">
        <f>IF($G136="","",IFERROR(VLOOKUP($G136,Projekte!$B$6:$O$11,7,FALSE()),0))</f>
        <v/>
      </c>
      <c r="Q136" s="67" t="str">
        <f t="shared" ref="Q136:Q167" si="19">IF($N136="","",IF($O136="Ja",$N136*$P136,0))</f>
        <v/>
      </c>
    </row>
    <row r="137" spans="2:17" x14ac:dyDescent="0.25">
      <c r="B137" s="68" t="str">
        <f>IF($C137="","",COUNTA($C$8:$C137))</f>
        <v/>
      </c>
      <c r="C137" s="41"/>
      <c r="D137" s="69" t="str">
        <f t="shared" si="16"/>
        <v/>
      </c>
      <c r="E137" s="70" t="str">
        <f t="shared" si="17"/>
        <v/>
      </c>
      <c r="F137" s="22"/>
      <c r="G137" s="75"/>
      <c r="H137" s="71" t="str">
        <f>IF($G137="","",IFERROR(VLOOKUP($G137,Projekte!$B$6:$O$11,2,FALSE()),"⚠ unbekannt"))</f>
        <v/>
      </c>
      <c r="I137" s="22"/>
      <c r="J137" s="22"/>
      <c r="K137" s="76"/>
      <c r="L137" s="76"/>
      <c r="M137" s="77"/>
      <c r="N137" s="72" t="str">
        <f t="shared" si="18"/>
        <v/>
      </c>
      <c r="O137" s="75"/>
      <c r="P137" s="73" t="str">
        <f>IF($G137="","",IFERROR(VLOOKUP($G137,Projekte!$B$6:$O$11,7,FALSE()),0))</f>
        <v/>
      </c>
      <c r="Q137" s="74" t="str">
        <f t="shared" si="19"/>
        <v/>
      </c>
    </row>
    <row r="138" spans="2:17" x14ac:dyDescent="0.25">
      <c r="B138" s="56" t="str">
        <f>IF($C138="","",COUNTA($C$8:$C138))</f>
        <v/>
      </c>
      <c r="C138" s="41"/>
      <c r="D138" s="58" t="str">
        <f t="shared" si="16"/>
        <v/>
      </c>
      <c r="E138" s="59" t="str">
        <f t="shared" si="17"/>
        <v/>
      </c>
      <c r="F138" s="22"/>
      <c r="G138" s="75"/>
      <c r="H138" s="62" t="str">
        <f>IF($G138="","",IFERROR(VLOOKUP($G138,Projekte!$B$6:$O$11,2,FALSE()),"⚠ unbekannt"))</f>
        <v/>
      </c>
      <c r="I138" s="22"/>
      <c r="J138" s="22"/>
      <c r="K138" s="76"/>
      <c r="L138" s="76"/>
      <c r="M138" s="77"/>
      <c r="N138" s="65" t="str">
        <f t="shared" si="18"/>
        <v/>
      </c>
      <c r="O138" s="75"/>
      <c r="P138" s="66" t="str">
        <f>IF($G138="","",IFERROR(VLOOKUP($G138,Projekte!$B$6:$O$11,7,FALSE()),0))</f>
        <v/>
      </c>
      <c r="Q138" s="67" t="str">
        <f t="shared" si="19"/>
        <v/>
      </c>
    </row>
    <row r="139" spans="2:17" x14ac:dyDescent="0.25">
      <c r="B139" s="68" t="str">
        <f>IF($C139="","",COUNTA($C$8:$C139))</f>
        <v/>
      </c>
      <c r="C139" s="41"/>
      <c r="D139" s="69" t="str">
        <f t="shared" si="16"/>
        <v/>
      </c>
      <c r="E139" s="70" t="str">
        <f t="shared" si="17"/>
        <v/>
      </c>
      <c r="F139" s="22"/>
      <c r="G139" s="75"/>
      <c r="H139" s="71" t="str">
        <f>IF($G139="","",IFERROR(VLOOKUP($G139,Projekte!$B$6:$O$11,2,FALSE()),"⚠ unbekannt"))</f>
        <v/>
      </c>
      <c r="I139" s="22"/>
      <c r="J139" s="22"/>
      <c r="K139" s="76"/>
      <c r="L139" s="76"/>
      <c r="M139" s="77"/>
      <c r="N139" s="72" t="str">
        <f t="shared" si="18"/>
        <v/>
      </c>
      <c r="O139" s="75"/>
      <c r="P139" s="73" t="str">
        <f>IF($G139="","",IFERROR(VLOOKUP($G139,Projekte!$B$6:$O$11,7,FALSE()),0))</f>
        <v/>
      </c>
      <c r="Q139" s="74" t="str">
        <f t="shared" si="19"/>
        <v/>
      </c>
    </row>
    <row r="140" spans="2:17" x14ac:dyDescent="0.25">
      <c r="B140" s="56" t="str">
        <f>IF($C140="","",COUNTA($C$8:$C140))</f>
        <v/>
      </c>
      <c r="C140" s="41"/>
      <c r="D140" s="58" t="str">
        <f t="shared" si="16"/>
        <v/>
      </c>
      <c r="E140" s="59" t="str">
        <f t="shared" si="17"/>
        <v/>
      </c>
      <c r="F140" s="22"/>
      <c r="G140" s="75"/>
      <c r="H140" s="62" t="str">
        <f>IF($G140="","",IFERROR(VLOOKUP($G140,Projekte!$B$6:$O$11,2,FALSE()),"⚠ unbekannt"))</f>
        <v/>
      </c>
      <c r="I140" s="22"/>
      <c r="J140" s="22"/>
      <c r="K140" s="76"/>
      <c r="L140" s="76"/>
      <c r="M140" s="77"/>
      <c r="N140" s="65" t="str">
        <f t="shared" si="18"/>
        <v/>
      </c>
      <c r="O140" s="75"/>
      <c r="P140" s="66" t="str">
        <f>IF($G140="","",IFERROR(VLOOKUP($G140,Projekte!$B$6:$O$11,7,FALSE()),0))</f>
        <v/>
      </c>
      <c r="Q140" s="67" t="str">
        <f t="shared" si="19"/>
        <v/>
      </c>
    </row>
    <row r="141" spans="2:17" x14ac:dyDescent="0.25">
      <c r="B141" s="68" t="str">
        <f>IF($C141="","",COUNTA($C$8:$C141))</f>
        <v/>
      </c>
      <c r="C141" s="41"/>
      <c r="D141" s="69" t="str">
        <f t="shared" si="16"/>
        <v/>
      </c>
      <c r="E141" s="70" t="str">
        <f t="shared" si="17"/>
        <v/>
      </c>
      <c r="F141" s="22"/>
      <c r="G141" s="75"/>
      <c r="H141" s="71" t="str">
        <f>IF($G141="","",IFERROR(VLOOKUP($G141,Projekte!$B$6:$O$11,2,FALSE()),"⚠ unbekannt"))</f>
        <v/>
      </c>
      <c r="I141" s="22"/>
      <c r="J141" s="22"/>
      <c r="K141" s="76"/>
      <c r="L141" s="76"/>
      <c r="M141" s="77"/>
      <c r="N141" s="72" t="str">
        <f t="shared" si="18"/>
        <v/>
      </c>
      <c r="O141" s="75"/>
      <c r="P141" s="73" t="str">
        <f>IF($G141="","",IFERROR(VLOOKUP($G141,Projekte!$B$6:$O$11,7,FALSE()),0))</f>
        <v/>
      </c>
      <c r="Q141" s="74" t="str">
        <f t="shared" si="19"/>
        <v/>
      </c>
    </row>
    <row r="142" spans="2:17" x14ac:dyDescent="0.25">
      <c r="B142" s="56" t="str">
        <f>IF($C142="","",COUNTA($C$8:$C142))</f>
        <v/>
      </c>
      <c r="C142" s="41"/>
      <c r="D142" s="58" t="str">
        <f t="shared" si="16"/>
        <v/>
      </c>
      <c r="E142" s="59" t="str">
        <f t="shared" si="17"/>
        <v/>
      </c>
      <c r="F142" s="22"/>
      <c r="G142" s="75"/>
      <c r="H142" s="62" t="str">
        <f>IF($G142="","",IFERROR(VLOOKUP($G142,Projekte!$B$6:$O$11,2,FALSE()),"⚠ unbekannt"))</f>
        <v/>
      </c>
      <c r="I142" s="22"/>
      <c r="J142" s="22"/>
      <c r="K142" s="76"/>
      <c r="L142" s="76"/>
      <c r="M142" s="77"/>
      <c r="N142" s="65" t="str">
        <f t="shared" si="18"/>
        <v/>
      </c>
      <c r="O142" s="75"/>
      <c r="P142" s="66" t="str">
        <f>IF($G142="","",IFERROR(VLOOKUP($G142,Projekte!$B$6:$O$11,7,FALSE()),0))</f>
        <v/>
      </c>
      <c r="Q142" s="67" t="str">
        <f t="shared" si="19"/>
        <v/>
      </c>
    </row>
    <row r="143" spans="2:17" x14ac:dyDescent="0.25">
      <c r="B143" s="68" t="str">
        <f>IF($C143="","",COUNTA($C$8:$C143))</f>
        <v/>
      </c>
      <c r="C143" s="41"/>
      <c r="D143" s="69" t="str">
        <f t="shared" si="16"/>
        <v/>
      </c>
      <c r="E143" s="70" t="str">
        <f t="shared" si="17"/>
        <v/>
      </c>
      <c r="F143" s="22"/>
      <c r="G143" s="75"/>
      <c r="H143" s="71" t="str">
        <f>IF($G143="","",IFERROR(VLOOKUP($G143,Projekte!$B$6:$O$11,2,FALSE()),"⚠ unbekannt"))</f>
        <v/>
      </c>
      <c r="I143" s="22"/>
      <c r="J143" s="22"/>
      <c r="K143" s="76"/>
      <c r="L143" s="76"/>
      <c r="M143" s="77"/>
      <c r="N143" s="72" t="str">
        <f t="shared" si="18"/>
        <v/>
      </c>
      <c r="O143" s="75"/>
      <c r="P143" s="73" t="str">
        <f>IF($G143="","",IFERROR(VLOOKUP($G143,Projekte!$B$6:$O$11,7,FALSE()),0))</f>
        <v/>
      </c>
      <c r="Q143" s="74" t="str">
        <f t="shared" si="19"/>
        <v/>
      </c>
    </row>
    <row r="144" spans="2:17" x14ac:dyDescent="0.25">
      <c r="B144" s="56" t="str">
        <f>IF($C144="","",COUNTA($C$8:$C144))</f>
        <v/>
      </c>
      <c r="C144" s="41"/>
      <c r="D144" s="58" t="str">
        <f t="shared" si="16"/>
        <v/>
      </c>
      <c r="E144" s="59" t="str">
        <f t="shared" si="17"/>
        <v/>
      </c>
      <c r="F144" s="22"/>
      <c r="G144" s="75"/>
      <c r="H144" s="62" t="str">
        <f>IF($G144="","",IFERROR(VLOOKUP($G144,Projekte!$B$6:$O$11,2,FALSE()),"⚠ unbekannt"))</f>
        <v/>
      </c>
      <c r="I144" s="22"/>
      <c r="J144" s="22"/>
      <c r="K144" s="76"/>
      <c r="L144" s="76"/>
      <c r="M144" s="77"/>
      <c r="N144" s="65" t="str">
        <f t="shared" si="18"/>
        <v/>
      </c>
      <c r="O144" s="75"/>
      <c r="P144" s="66" t="str">
        <f>IF($G144="","",IFERROR(VLOOKUP($G144,Projekte!$B$6:$O$11,7,FALSE()),0))</f>
        <v/>
      </c>
      <c r="Q144" s="67" t="str">
        <f t="shared" si="19"/>
        <v/>
      </c>
    </row>
    <row r="145" spans="2:17" x14ac:dyDescent="0.25">
      <c r="B145" s="68" t="str">
        <f>IF($C145="","",COUNTA($C$8:$C145))</f>
        <v/>
      </c>
      <c r="C145" s="41"/>
      <c r="D145" s="69" t="str">
        <f t="shared" si="16"/>
        <v/>
      </c>
      <c r="E145" s="70" t="str">
        <f t="shared" si="17"/>
        <v/>
      </c>
      <c r="F145" s="22"/>
      <c r="G145" s="75"/>
      <c r="H145" s="71" t="str">
        <f>IF($G145="","",IFERROR(VLOOKUP($G145,Projekte!$B$6:$O$11,2,FALSE()),"⚠ unbekannt"))</f>
        <v/>
      </c>
      <c r="I145" s="22"/>
      <c r="J145" s="22"/>
      <c r="K145" s="76"/>
      <c r="L145" s="76"/>
      <c r="M145" s="77"/>
      <c r="N145" s="72" t="str">
        <f t="shared" si="18"/>
        <v/>
      </c>
      <c r="O145" s="75"/>
      <c r="P145" s="73" t="str">
        <f>IF($G145="","",IFERROR(VLOOKUP($G145,Projekte!$B$6:$O$11,7,FALSE()),0))</f>
        <v/>
      </c>
      <c r="Q145" s="74" t="str">
        <f t="shared" si="19"/>
        <v/>
      </c>
    </row>
    <row r="146" spans="2:17" x14ac:dyDescent="0.25">
      <c r="B146" s="56" t="str">
        <f>IF($C146="","",COUNTA($C$8:$C146))</f>
        <v/>
      </c>
      <c r="C146" s="41"/>
      <c r="D146" s="58" t="str">
        <f t="shared" si="16"/>
        <v/>
      </c>
      <c r="E146" s="59" t="str">
        <f t="shared" si="17"/>
        <v/>
      </c>
      <c r="F146" s="22"/>
      <c r="G146" s="75"/>
      <c r="H146" s="62" t="str">
        <f>IF($G146="","",IFERROR(VLOOKUP($G146,Projekte!$B$6:$O$11,2,FALSE()),"⚠ unbekannt"))</f>
        <v/>
      </c>
      <c r="I146" s="22"/>
      <c r="J146" s="22"/>
      <c r="K146" s="76"/>
      <c r="L146" s="76"/>
      <c r="M146" s="77"/>
      <c r="N146" s="65" t="str">
        <f t="shared" si="18"/>
        <v/>
      </c>
      <c r="O146" s="75"/>
      <c r="P146" s="66" t="str">
        <f>IF($G146="","",IFERROR(VLOOKUP($G146,Projekte!$B$6:$O$11,7,FALSE()),0))</f>
        <v/>
      </c>
      <c r="Q146" s="67" t="str">
        <f t="shared" si="19"/>
        <v/>
      </c>
    </row>
    <row r="147" spans="2:17" x14ac:dyDescent="0.25">
      <c r="B147" s="68" t="str">
        <f>IF($C147="","",COUNTA($C$8:$C147))</f>
        <v/>
      </c>
      <c r="C147" s="41"/>
      <c r="D147" s="69" t="str">
        <f t="shared" si="16"/>
        <v/>
      </c>
      <c r="E147" s="70" t="str">
        <f t="shared" si="17"/>
        <v/>
      </c>
      <c r="F147" s="22"/>
      <c r="G147" s="75"/>
      <c r="H147" s="71" t="str">
        <f>IF($G147="","",IFERROR(VLOOKUP($G147,Projekte!$B$6:$O$11,2,FALSE()),"⚠ unbekannt"))</f>
        <v/>
      </c>
      <c r="I147" s="22"/>
      <c r="J147" s="22"/>
      <c r="K147" s="76"/>
      <c r="L147" s="76"/>
      <c r="M147" s="77"/>
      <c r="N147" s="72" t="str">
        <f t="shared" si="18"/>
        <v/>
      </c>
      <c r="O147" s="75"/>
      <c r="P147" s="73" t="str">
        <f>IF($G147="","",IFERROR(VLOOKUP($G147,Projekte!$B$6:$O$11,7,FALSE()),0))</f>
        <v/>
      </c>
      <c r="Q147" s="74" t="str">
        <f t="shared" si="19"/>
        <v/>
      </c>
    </row>
    <row r="148" spans="2:17" x14ac:dyDescent="0.25">
      <c r="B148" s="56" t="str">
        <f>IF($C148="","",COUNTA($C$8:$C148))</f>
        <v/>
      </c>
      <c r="C148" s="41"/>
      <c r="D148" s="58" t="str">
        <f t="shared" si="16"/>
        <v/>
      </c>
      <c r="E148" s="59" t="str">
        <f t="shared" si="17"/>
        <v/>
      </c>
      <c r="F148" s="22"/>
      <c r="G148" s="75"/>
      <c r="H148" s="62" t="str">
        <f>IF($G148="","",IFERROR(VLOOKUP($G148,Projekte!$B$6:$O$11,2,FALSE()),"⚠ unbekannt"))</f>
        <v/>
      </c>
      <c r="I148" s="22"/>
      <c r="J148" s="22"/>
      <c r="K148" s="76"/>
      <c r="L148" s="76"/>
      <c r="M148" s="77"/>
      <c r="N148" s="65" t="str">
        <f t="shared" si="18"/>
        <v/>
      </c>
      <c r="O148" s="75"/>
      <c r="P148" s="66" t="str">
        <f>IF($G148="","",IFERROR(VLOOKUP($G148,Projekte!$B$6:$O$11,7,FALSE()),0))</f>
        <v/>
      </c>
      <c r="Q148" s="67" t="str">
        <f t="shared" si="19"/>
        <v/>
      </c>
    </row>
    <row r="149" spans="2:17" x14ac:dyDescent="0.25">
      <c r="B149" s="68" t="str">
        <f>IF($C149="","",COUNTA($C$8:$C149))</f>
        <v/>
      </c>
      <c r="C149" s="41"/>
      <c r="D149" s="69" t="str">
        <f t="shared" si="16"/>
        <v/>
      </c>
      <c r="E149" s="70" t="str">
        <f t="shared" si="17"/>
        <v/>
      </c>
      <c r="F149" s="22"/>
      <c r="G149" s="75"/>
      <c r="H149" s="71" t="str">
        <f>IF($G149="","",IFERROR(VLOOKUP($G149,Projekte!$B$6:$O$11,2,FALSE()),"⚠ unbekannt"))</f>
        <v/>
      </c>
      <c r="I149" s="22"/>
      <c r="J149" s="22"/>
      <c r="K149" s="76"/>
      <c r="L149" s="76"/>
      <c r="M149" s="77"/>
      <c r="N149" s="72" t="str">
        <f t="shared" si="18"/>
        <v/>
      </c>
      <c r="O149" s="75"/>
      <c r="P149" s="73" t="str">
        <f>IF($G149="","",IFERROR(VLOOKUP($G149,Projekte!$B$6:$O$11,7,FALSE()),0))</f>
        <v/>
      </c>
      <c r="Q149" s="74" t="str">
        <f t="shared" si="19"/>
        <v/>
      </c>
    </row>
    <row r="150" spans="2:17" x14ac:dyDescent="0.25">
      <c r="B150" s="56" t="str">
        <f>IF($C150="","",COUNTA($C$8:$C150))</f>
        <v/>
      </c>
      <c r="C150" s="41"/>
      <c r="D150" s="58" t="str">
        <f t="shared" si="16"/>
        <v/>
      </c>
      <c r="E150" s="59" t="str">
        <f t="shared" si="17"/>
        <v/>
      </c>
      <c r="F150" s="22"/>
      <c r="G150" s="75"/>
      <c r="H150" s="62" t="str">
        <f>IF($G150="","",IFERROR(VLOOKUP($G150,Projekte!$B$6:$O$11,2,FALSE()),"⚠ unbekannt"))</f>
        <v/>
      </c>
      <c r="I150" s="22"/>
      <c r="J150" s="22"/>
      <c r="K150" s="76"/>
      <c r="L150" s="76"/>
      <c r="M150" s="77"/>
      <c r="N150" s="65" t="str">
        <f t="shared" si="18"/>
        <v/>
      </c>
      <c r="O150" s="75"/>
      <c r="P150" s="66" t="str">
        <f>IF($G150="","",IFERROR(VLOOKUP($G150,Projekte!$B$6:$O$11,7,FALSE()),0))</f>
        <v/>
      </c>
      <c r="Q150" s="67" t="str">
        <f t="shared" si="19"/>
        <v/>
      </c>
    </row>
    <row r="151" spans="2:17" x14ac:dyDescent="0.25">
      <c r="B151" s="68" t="str">
        <f>IF($C151="","",COUNTA($C$8:$C151))</f>
        <v/>
      </c>
      <c r="C151" s="41"/>
      <c r="D151" s="69" t="str">
        <f t="shared" si="16"/>
        <v/>
      </c>
      <c r="E151" s="70" t="str">
        <f t="shared" si="17"/>
        <v/>
      </c>
      <c r="F151" s="22"/>
      <c r="G151" s="75"/>
      <c r="H151" s="71" t="str">
        <f>IF($G151="","",IFERROR(VLOOKUP($G151,Projekte!$B$6:$O$11,2,FALSE()),"⚠ unbekannt"))</f>
        <v/>
      </c>
      <c r="I151" s="22"/>
      <c r="J151" s="22"/>
      <c r="K151" s="76"/>
      <c r="L151" s="76"/>
      <c r="M151" s="77"/>
      <c r="N151" s="72" t="str">
        <f t="shared" si="18"/>
        <v/>
      </c>
      <c r="O151" s="75"/>
      <c r="P151" s="73" t="str">
        <f>IF($G151="","",IFERROR(VLOOKUP($G151,Projekte!$B$6:$O$11,7,FALSE()),0))</f>
        <v/>
      </c>
      <c r="Q151" s="74" t="str">
        <f t="shared" si="19"/>
        <v/>
      </c>
    </row>
    <row r="152" spans="2:17" x14ac:dyDescent="0.25">
      <c r="B152" s="56" t="str">
        <f>IF($C152="","",COUNTA($C$8:$C152))</f>
        <v/>
      </c>
      <c r="C152" s="41"/>
      <c r="D152" s="58" t="str">
        <f t="shared" si="16"/>
        <v/>
      </c>
      <c r="E152" s="59" t="str">
        <f t="shared" si="17"/>
        <v/>
      </c>
      <c r="F152" s="22"/>
      <c r="G152" s="75"/>
      <c r="H152" s="62" t="str">
        <f>IF($G152="","",IFERROR(VLOOKUP($G152,Projekte!$B$6:$O$11,2,FALSE()),"⚠ unbekannt"))</f>
        <v/>
      </c>
      <c r="I152" s="22"/>
      <c r="J152" s="22"/>
      <c r="K152" s="76"/>
      <c r="L152" s="76"/>
      <c r="M152" s="77"/>
      <c r="N152" s="65" t="str">
        <f t="shared" si="18"/>
        <v/>
      </c>
      <c r="O152" s="75"/>
      <c r="P152" s="66" t="str">
        <f>IF($G152="","",IFERROR(VLOOKUP($G152,Projekte!$B$6:$O$11,7,FALSE()),0))</f>
        <v/>
      </c>
      <c r="Q152" s="67" t="str">
        <f t="shared" si="19"/>
        <v/>
      </c>
    </row>
    <row r="153" spans="2:17" x14ac:dyDescent="0.25">
      <c r="B153" s="68" t="str">
        <f>IF($C153="","",COUNTA($C$8:$C153))</f>
        <v/>
      </c>
      <c r="C153" s="41"/>
      <c r="D153" s="69" t="str">
        <f t="shared" si="16"/>
        <v/>
      </c>
      <c r="E153" s="70" t="str">
        <f t="shared" si="17"/>
        <v/>
      </c>
      <c r="F153" s="22"/>
      <c r="G153" s="75"/>
      <c r="H153" s="71" t="str">
        <f>IF($G153="","",IFERROR(VLOOKUP($G153,Projekte!$B$6:$O$11,2,FALSE()),"⚠ unbekannt"))</f>
        <v/>
      </c>
      <c r="I153" s="22"/>
      <c r="J153" s="22"/>
      <c r="K153" s="76"/>
      <c r="L153" s="76"/>
      <c r="M153" s="77"/>
      <c r="N153" s="72" t="str">
        <f t="shared" si="18"/>
        <v/>
      </c>
      <c r="O153" s="75"/>
      <c r="P153" s="73" t="str">
        <f>IF($G153="","",IFERROR(VLOOKUP($G153,Projekte!$B$6:$O$11,7,FALSE()),0))</f>
        <v/>
      </c>
      <c r="Q153" s="74" t="str">
        <f t="shared" si="19"/>
        <v/>
      </c>
    </row>
    <row r="154" spans="2:17" x14ac:dyDescent="0.25">
      <c r="B154" s="56" t="str">
        <f>IF($C154="","",COUNTA($C$8:$C154))</f>
        <v/>
      </c>
      <c r="C154" s="41"/>
      <c r="D154" s="58" t="str">
        <f t="shared" si="16"/>
        <v/>
      </c>
      <c r="E154" s="59" t="str">
        <f t="shared" si="17"/>
        <v/>
      </c>
      <c r="F154" s="22"/>
      <c r="G154" s="75"/>
      <c r="H154" s="62" t="str">
        <f>IF($G154="","",IFERROR(VLOOKUP($G154,Projekte!$B$6:$O$11,2,FALSE()),"⚠ unbekannt"))</f>
        <v/>
      </c>
      <c r="I154" s="22"/>
      <c r="J154" s="22"/>
      <c r="K154" s="76"/>
      <c r="L154" s="76"/>
      <c r="M154" s="77"/>
      <c r="N154" s="65" t="str">
        <f t="shared" si="18"/>
        <v/>
      </c>
      <c r="O154" s="75"/>
      <c r="P154" s="66" t="str">
        <f>IF($G154="","",IFERROR(VLOOKUP($G154,Projekte!$B$6:$O$11,7,FALSE()),0))</f>
        <v/>
      </c>
      <c r="Q154" s="67" t="str">
        <f t="shared" si="19"/>
        <v/>
      </c>
    </row>
    <row r="155" spans="2:17" x14ac:dyDescent="0.25">
      <c r="B155" s="68" t="str">
        <f>IF($C155="","",COUNTA($C$8:$C155))</f>
        <v/>
      </c>
      <c r="C155" s="41"/>
      <c r="D155" s="69" t="str">
        <f t="shared" si="16"/>
        <v/>
      </c>
      <c r="E155" s="70" t="str">
        <f t="shared" si="17"/>
        <v/>
      </c>
      <c r="F155" s="22"/>
      <c r="G155" s="75"/>
      <c r="H155" s="71" t="str">
        <f>IF($G155="","",IFERROR(VLOOKUP($G155,Projekte!$B$6:$O$11,2,FALSE()),"⚠ unbekannt"))</f>
        <v/>
      </c>
      <c r="I155" s="22"/>
      <c r="J155" s="22"/>
      <c r="K155" s="76"/>
      <c r="L155" s="76"/>
      <c r="M155" s="77"/>
      <c r="N155" s="72" t="str">
        <f t="shared" si="18"/>
        <v/>
      </c>
      <c r="O155" s="75"/>
      <c r="P155" s="73" t="str">
        <f>IF($G155="","",IFERROR(VLOOKUP($G155,Projekte!$B$6:$O$11,7,FALSE()),0))</f>
        <v/>
      </c>
      <c r="Q155" s="74" t="str">
        <f t="shared" si="19"/>
        <v/>
      </c>
    </row>
    <row r="156" spans="2:17" x14ac:dyDescent="0.25">
      <c r="B156" s="56" t="str">
        <f>IF($C156="","",COUNTA($C$8:$C156))</f>
        <v/>
      </c>
      <c r="C156" s="41"/>
      <c r="D156" s="58" t="str">
        <f t="shared" si="16"/>
        <v/>
      </c>
      <c r="E156" s="59" t="str">
        <f t="shared" si="17"/>
        <v/>
      </c>
      <c r="F156" s="22"/>
      <c r="G156" s="75"/>
      <c r="H156" s="62" t="str">
        <f>IF($G156="","",IFERROR(VLOOKUP($G156,Projekte!$B$6:$O$11,2,FALSE()),"⚠ unbekannt"))</f>
        <v/>
      </c>
      <c r="I156" s="22"/>
      <c r="J156" s="22"/>
      <c r="K156" s="76"/>
      <c r="L156" s="76"/>
      <c r="M156" s="77"/>
      <c r="N156" s="65" t="str">
        <f t="shared" si="18"/>
        <v/>
      </c>
      <c r="O156" s="75"/>
      <c r="P156" s="66" t="str">
        <f>IF($G156="","",IFERROR(VLOOKUP($G156,Projekte!$B$6:$O$11,7,FALSE()),0))</f>
        <v/>
      </c>
      <c r="Q156" s="67" t="str">
        <f t="shared" si="19"/>
        <v/>
      </c>
    </row>
    <row r="157" spans="2:17" x14ac:dyDescent="0.25">
      <c r="B157" s="68" t="str">
        <f>IF($C157="","",COUNTA($C$8:$C157))</f>
        <v/>
      </c>
      <c r="C157" s="41"/>
      <c r="D157" s="69" t="str">
        <f t="shared" si="16"/>
        <v/>
      </c>
      <c r="E157" s="70" t="str">
        <f t="shared" si="17"/>
        <v/>
      </c>
      <c r="F157" s="22"/>
      <c r="G157" s="75"/>
      <c r="H157" s="71" t="str">
        <f>IF($G157="","",IFERROR(VLOOKUP($G157,Projekte!$B$6:$O$11,2,FALSE()),"⚠ unbekannt"))</f>
        <v/>
      </c>
      <c r="I157" s="22"/>
      <c r="J157" s="22"/>
      <c r="K157" s="76"/>
      <c r="L157" s="76"/>
      <c r="M157" s="77"/>
      <c r="N157" s="72" t="str">
        <f t="shared" si="18"/>
        <v/>
      </c>
      <c r="O157" s="75"/>
      <c r="P157" s="73" t="str">
        <f>IF($G157="","",IFERROR(VLOOKUP($G157,Projekte!$B$6:$O$11,7,FALSE()),0))</f>
        <v/>
      </c>
      <c r="Q157" s="74" t="str">
        <f t="shared" si="19"/>
        <v/>
      </c>
    </row>
    <row r="158" spans="2:17" x14ac:dyDescent="0.25">
      <c r="B158" s="56" t="str">
        <f>IF($C158="","",COUNTA($C$8:$C158))</f>
        <v/>
      </c>
      <c r="C158" s="41"/>
      <c r="D158" s="58" t="str">
        <f t="shared" si="16"/>
        <v/>
      </c>
      <c r="E158" s="59" t="str">
        <f t="shared" si="17"/>
        <v/>
      </c>
      <c r="F158" s="22"/>
      <c r="G158" s="75"/>
      <c r="H158" s="62" t="str">
        <f>IF($G158="","",IFERROR(VLOOKUP($G158,Projekte!$B$6:$O$11,2,FALSE()),"⚠ unbekannt"))</f>
        <v/>
      </c>
      <c r="I158" s="22"/>
      <c r="J158" s="22"/>
      <c r="K158" s="76"/>
      <c r="L158" s="76"/>
      <c r="M158" s="77"/>
      <c r="N158" s="65" t="str">
        <f t="shared" si="18"/>
        <v/>
      </c>
      <c r="O158" s="75"/>
      <c r="P158" s="66" t="str">
        <f>IF($G158="","",IFERROR(VLOOKUP($G158,Projekte!$B$6:$O$11,7,FALSE()),0))</f>
        <v/>
      </c>
      <c r="Q158" s="67" t="str">
        <f t="shared" si="19"/>
        <v/>
      </c>
    </row>
    <row r="159" spans="2:17" x14ac:dyDescent="0.25">
      <c r="B159" s="68" t="str">
        <f>IF($C159="","",COUNTA($C$8:$C159))</f>
        <v/>
      </c>
      <c r="C159" s="41"/>
      <c r="D159" s="69" t="str">
        <f t="shared" si="16"/>
        <v/>
      </c>
      <c r="E159" s="70" t="str">
        <f t="shared" si="17"/>
        <v/>
      </c>
      <c r="F159" s="22"/>
      <c r="G159" s="75"/>
      <c r="H159" s="71" t="str">
        <f>IF($G159="","",IFERROR(VLOOKUP($G159,Projekte!$B$6:$O$11,2,FALSE()),"⚠ unbekannt"))</f>
        <v/>
      </c>
      <c r="I159" s="22"/>
      <c r="J159" s="22"/>
      <c r="K159" s="76"/>
      <c r="L159" s="76"/>
      <c r="M159" s="77"/>
      <c r="N159" s="72" t="str">
        <f t="shared" si="18"/>
        <v/>
      </c>
      <c r="O159" s="75"/>
      <c r="P159" s="73" t="str">
        <f>IF($G159="","",IFERROR(VLOOKUP($G159,Projekte!$B$6:$O$11,7,FALSE()),0))</f>
        <v/>
      </c>
      <c r="Q159" s="74" t="str">
        <f t="shared" si="19"/>
        <v/>
      </c>
    </row>
    <row r="160" spans="2:17" x14ac:dyDescent="0.25">
      <c r="B160" s="56" t="str">
        <f>IF($C160="","",COUNTA($C$8:$C160))</f>
        <v/>
      </c>
      <c r="C160" s="41"/>
      <c r="D160" s="58" t="str">
        <f t="shared" si="16"/>
        <v/>
      </c>
      <c r="E160" s="59" t="str">
        <f t="shared" si="17"/>
        <v/>
      </c>
      <c r="F160" s="22"/>
      <c r="G160" s="75"/>
      <c r="H160" s="62" t="str">
        <f>IF($G160="","",IFERROR(VLOOKUP($G160,Projekte!$B$6:$O$11,2,FALSE()),"⚠ unbekannt"))</f>
        <v/>
      </c>
      <c r="I160" s="22"/>
      <c r="J160" s="22"/>
      <c r="K160" s="76"/>
      <c r="L160" s="76"/>
      <c r="M160" s="77"/>
      <c r="N160" s="65" t="str">
        <f t="shared" si="18"/>
        <v/>
      </c>
      <c r="O160" s="75"/>
      <c r="P160" s="66" t="str">
        <f>IF($G160="","",IFERROR(VLOOKUP($G160,Projekte!$B$6:$O$11,7,FALSE()),0))</f>
        <v/>
      </c>
      <c r="Q160" s="67" t="str">
        <f t="shared" si="19"/>
        <v/>
      </c>
    </row>
    <row r="161" spans="2:17" x14ac:dyDescent="0.25">
      <c r="B161" s="68" t="str">
        <f>IF($C161="","",COUNTA($C$8:$C161))</f>
        <v/>
      </c>
      <c r="C161" s="41"/>
      <c r="D161" s="69" t="str">
        <f t="shared" si="16"/>
        <v/>
      </c>
      <c r="E161" s="70" t="str">
        <f t="shared" si="17"/>
        <v/>
      </c>
      <c r="F161" s="22"/>
      <c r="G161" s="75"/>
      <c r="H161" s="71" t="str">
        <f>IF($G161="","",IFERROR(VLOOKUP($G161,Projekte!$B$6:$O$11,2,FALSE()),"⚠ unbekannt"))</f>
        <v/>
      </c>
      <c r="I161" s="22"/>
      <c r="J161" s="22"/>
      <c r="K161" s="76"/>
      <c r="L161" s="76"/>
      <c r="M161" s="77"/>
      <c r="N161" s="72" t="str">
        <f t="shared" si="18"/>
        <v/>
      </c>
      <c r="O161" s="75"/>
      <c r="P161" s="73" t="str">
        <f>IF($G161="","",IFERROR(VLOOKUP($G161,Projekte!$B$6:$O$11,7,FALSE()),0))</f>
        <v/>
      </c>
      <c r="Q161" s="74" t="str">
        <f t="shared" si="19"/>
        <v/>
      </c>
    </row>
    <row r="162" spans="2:17" x14ac:dyDescent="0.25">
      <c r="B162" s="56" t="str">
        <f>IF($C162="","",COUNTA($C$8:$C162))</f>
        <v/>
      </c>
      <c r="C162" s="41"/>
      <c r="D162" s="58" t="str">
        <f t="shared" si="16"/>
        <v/>
      </c>
      <c r="E162" s="59" t="str">
        <f t="shared" si="17"/>
        <v/>
      </c>
      <c r="F162" s="22"/>
      <c r="G162" s="75"/>
      <c r="H162" s="62" t="str">
        <f>IF($G162="","",IFERROR(VLOOKUP($G162,Projekte!$B$6:$O$11,2,FALSE()),"⚠ unbekannt"))</f>
        <v/>
      </c>
      <c r="I162" s="22"/>
      <c r="J162" s="22"/>
      <c r="K162" s="76"/>
      <c r="L162" s="76"/>
      <c r="M162" s="77"/>
      <c r="N162" s="65" t="str">
        <f t="shared" si="18"/>
        <v/>
      </c>
      <c r="O162" s="75"/>
      <c r="P162" s="66" t="str">
        <f>IF($G162="","",IFERROR(VLOOKUP($G162,Projekte!$B$6:$O$11,7,FALSE()),0))</f>
        <v/>
      </c>
      <c r="Q162" s="67" t="str">
        <f t="shared" si="19"/>
        <v/>
      </c>
    </row>
    <row r="163" spans="2:17" x14ac:dyDescent="0.25">
      <c r="B163" s="68" t="str">
        <f>IF($C163="","",COUNTA($C$8:$C163))</f>
        <v/>
      </c>
      <c r="C163" s="41"/>
      <c r="D163" s="69" t="str">
        <f t="shared" si="16"/>
        <v/>
      </c>
      <c r="E163" s="70" t="str">
        <f t="shared" si="17"/>
        <v/>
      </c>
      <c r="F163" s="22"/>
      <c r="G163" s="75"/>
      <c r="H163" s="71" t="str">
        <f>IF($G163="","",IFERROR(VLOOKUP($G163,Projekte!$B$6:$O$11,2,FALSE()),"⚠ unbekannt"))</f>
        <v/>
      </c>
      <c r="I163" s="22"/>
      <c r="J163" s="22"/>
      <c r="K163" s="76"/>
      <c r="L163" s="76"/>
      <c r="M163" s="77"/>
      <c r="N163" s="72" t="str">
        <f t="shared" si="18"/>
        <v/>
      </c>
      <c r="O163" s="75"/>
      <c r="P163" s="73" t="str">
        <f>IF($G163="","",IFERROR(VLOOKUP($G163,Projekte!$B$6:$O$11,7,FALSE()),0))</f>
        <v/>
      </c>
      <c r="Q163" s="74" t="str">
        <f t="shared" si="19"/>
        <v/>
      </c>
    </row>
    <row r="164" spans="2:17" x14ac:dyDescent="0.25">
      <c r="B164" s="56" t="str">
        <f>IF($C164="","",COUNTA($C$8:$C164))</f>
        <v/>
      </c>
      <c r="C164" s="41"/>
      <c r="D164" s="58" t="str">
        <f t="shared" si="16"/>
        <v/>
      </c>
      <c r="E164" s="59" t="str">
        <f t="shared" si="17"/>
        <v/>
      </c>
      <c r="F164" s="22"/>
      <c r="G164" s="75"/>
      <c r="H164" s="62" t="str">
        <f>IF($G164="","",IFERROR(VLOOKUP($G164,Projekte!$B$6:$O$11,2,FALSE()),"⚠ unbekannt"))</f>
        <v/>
      </c>
      <c r="I164" s="22"/>
      <c r="J164" s="22"/>
      <c r="K164" s="76"/>
      <c r="L164" s="76"/>
      <c r="M164" s="77"/>
      <c r="N164" s="65" t="str">
        <f t="shared" si="18"/>
        <v/>
      </c>
      <c r="O164" s="75"/>
      <c r="P164" s="66" t="str">
        <f>IF($G164="","",IFERROR(VLOOKUP($G164,Projekte!$B$6:$O$11,7,FALSE()),0))</f>
        <v/>
      </c>
      <c r="Q164" s="67" t="str">
        <f t="shared" si="19"/>
        <v/>
      </c>
    </row>
    <row r="165" spans="2:17" x14ac:dyDescent="0.25">
      <c r="B165" s="68" t="str">
        <f>IF($C165="","",COUNTA($C$8:$C165))</f>
        <v/>
      </c>
      <c r="C165" s="41"/>
      <c r="D165" s="69" t="str">
        <f t="shared" si="16"/>
        <v/>
      </c>
      <c r="E165" s="70" t="str">
        <f t="shared" si="17"/>
        <v/>
      </c>
      <c r="F165" s="22"/>
      <c r="G165" s="75"/>
      <c r="H165" s="71" t="str">
        <f>IF($G165="","",IFERROR(VLOOKUP($G165,Projekte!$B$6:$O$11,2,FALSE()),"⚠ unbekannt"))</f>
        <v/>
      </c>
      <c r="I165" s="22"/>
      <c r="J165" s="22"/>
      <c r="K165" s="76"/>
      <c r="L165" s="76"/>
      <c r="M165" s="77"/>
      <c r="N165" s="72" t="str">
        <f t="shared" si="18"/>
        <v/>
      </c>
      <c r="O165" s="75"/>
      <c r="P165" s="73" t="str">
        <f>IF($G165="","",IFERROR(VLOOKUP($G165,Projekte!$B$6:$O$11,7,FALSE()),0))</f>
        <v/>
      </c>
      <c r="Q165" s="74" t="str">
        <f t="shared" si="19"/>
        <v/>
      </c>
    </row>
    <row r="166" spans="2:17" x14ac:dyDescent="0.25">
      <c r="B166" s="56" t="str">
        <f>IF($C166="","",COUNTA($C$8:$C166))</f>
        <v/>
      </c>
      <c r="C166" s="41"/>
      <c r="D166" s="58" t="str">
        <f t="shared" si="16"/>
        <v/>
      </c>
      <c r="E166" s="59" t="str">
        <f t="shared" si="17"/>
        <v/>
      </c>
      <c r="F166" s="22"/>
      <c r="G166" s="75"/>
      <c r="H166" s="62" t="str">
        <f>IF($G166="","",IFERROR(VLOOKUP($G166,Projekte!$B$6:$O$11,2,FALSE()),"⚠ unbekannt"))</f>
        <v/>
      </c>
      <c r="I166" s="22"/>
      <c r="J166" s="22"/>
      <c r="K166" s="76"/>
      <c r="L166" s="76"/>
      <c r="M166" s="77"/>
      <c r="N166" s="65" t="str">
        <f t="shared" si="18"/>
        <v/>
      </c>
      <c r="O166" s="75"/>
      <c r="P166" s="66" t="str">
        <f>IF($G166="","",IFERROR(VLOOKUP($G166,Projekte!$B$6:$O$11,7,FALSE()),0))</f>
        <v/>
      </c>
      <c r="Q166" s="67" t="str">
        <f t="shared" si="19"/>
        <v/>
      </c>
    </row>
    <row r="167" spans="2:17" x14ac:dyDescent="0.25">
      <c r="B167" s="68" t="str">
        <f>IF($C167="","",COUNTA($C$8:$C167))</f>
        <v/>
      </c>
      <c r="C167" s="41"/>
      <c r="D167" s="69" t="str">
        <f t="shared" si="16"/>
        <v/>
      </c>
      <c r="E167" s="70" t="str">
        <f t="shared" si="17"/>
        <v/>
      </c>
      <c r="F167" s="22"/>
      <c r="G167" s="75"/>
      <c r="H167" s="71" t="str">
        <f>IF($G167="","",IFERROR(VLOOKUP($G167,Projekte!$B$6:$O$11,2,FALSE()),"⚠ unbekannt"))</f>
        <v/>
      </c>
      <c r="I167" s="22"/>
      <c r="J167" s="22"/>
      <c r="K167" s="76"/>
      <c r="L167" s="76"/>
      <c r="M167" s="77"/>
      <c r="N167" s="72" t="str">
        <f t="shared" si="18"/>
        <v/>
      </c>
      <c r="O167" s="75"/>
      <c r="P167" s="73" t="str">
        <f>IF($G167="","",IFERROR(VLOOKUP($G167,Projekte!$B$6:$O$11,7,FALSE()),0))</f>
        <v/>
      </c>
      <c r="Q167" s="74" t="str">
        <f t="shared" si="19"/>
        <v/>
      </c>
    </row>
    <row r="168" spans="2:17" x14ac:dyDescent="0.25">
      <c r="B168" s="56" t="str">
        <f>IF($C168="","",COUNTA($C$8:$C168))</f>
        <v/>
      </c>
      <c r="C168" s="41"/>
      <c r="D168" s="58" t="str">
        <f t="shared" ref="D168:D199" si="20">IF($C168="","",_xlfn.ISOWEEKNUM($C168))</f>
        <v/>
      </c>
      <c r="E168" s="59" t="str">
        <f t="shared" ref="E168:E199" si="21">IF($C168="","",TEXT($C168,"TTT"))</f>
        <v/>
      </c>
      <c r="F168" s="22"/>
      <c r="G168" s="75"/>
      <c r="H168" s="62" t="str">
        <f>IF($G168="","",IFERROR(VLOOKUP($G168,Projekte!$B$6:$O$11,2,FALSE()),"⚠ unbekannt"))</f>
        <v/>
      </c>
      <c r="I168" s="22"/>
      <c r="J168" s="22"/>
      <c r="K168" s="76"/>
      <c r="L168" s="76"/>
      <c r="M168" s="77"/>
      <c r="N168" s="65" t="str">
        <f t="shared" ref="N168:N199" si="22">IF(OR($K168="",$L168=""),"",ROUND(($L168-$K168)*24 - IF($M168="",0,$M168)/60,2))</f>
        <v/>
      </c>
      <c r="O168" s="75"/>
      <c r="P168" s="66" t="str">
        <f>IF($G168="","",IFERROR(VLOOKUP($G168,Projekte!$B$6:$O$11,7,FALSE()),0))</f>
        <v/>
      </c>
      <c r="Q168" s="67" t="str">
        <f t="shared" ref="Q168:Q199" si="23">IF($N168="","",IF($O168="Ja",$N168*$P168,0))</f>
        <v/>
      </c>
    </row>
    <row r="169" spans="2:17" x14ac:dyDescent="0.25">
      <c r="B169" s="68" t="str">
        <f>IF($C169="","",COUNTA($C$8:$C169))</f>
        <v/>
      </c>
      <c r="C169" s="41"/>
      <c r="D169" s="69" t="str">
        <f t="shared" si="20"/>
        <v/>
      </c>
      <c r="E169" s="70" t="str">
        <f t="shared" si="21"/>
        <v/>
      </c>
      <c r="F169" s="22"/>
      <c r="G169" s="75"/>
      <c r="H169" s="71" t="str">
        <f>IF($G169="","",IFERROR(VLOOKUP($G169,Projekte!$B$6:$O$11,2,FALSE()),"⚠ unbekannt"))</f>
        <v/>
      </c>
      <c r="I169" s="22"/>
      <c r="J169" s="22"/>
      <c r="K169" s="76"/>
      <c r="L169" s="76"/>
      <c r="M169" s="77"/>
      <c r="N169" s="72" t="str">
        <f t="shared" si="22"/>
        <v/>
      </c>
      <c r="O169" s="75"/>
      <c r="P169" s="73" t="str">
        <f>IF($G169="","",IFERROR(VLOOKUP($G169,Projekte!$B$6:$O$11,7,FALSE()),0))</f>
        <v/>
      </c>
      <c r="Q169" s="74" t="str">
        <f t="shared" si="23"/>
        <v/>
      </c>
    </row>
    <row r="170" spans="2:17" x14ac:dyDescent="0.25">
      <c r="B170" s="56" t="str">
        <f>IF($C170="","",COUNTA($C$8:$C170))</f>
        <v/>
      </c>
      <c r="C170" s="41"/>
      <c r="D170" s="58" t="str">
        <f t="shared" si="20"/>
        <v/>
      </c>
      <c r="E170" s="59" t="str">
        <f t="shared" si="21"/>
        <v/>
      </c>
      <c r="F170" s="22"/>
      <c r="G170" s="75"/>
      <c r="H170" s="62" t="str">
        <f>IF($G170="","",IFERROR(VLOOKUP($G170,Projekte!$B$6:$O$11,2,FALSE()),"⚠ unbekannt"))</f>
        <v/>
      </c>
      <c r="I170" s="22"/>
      <c r="J170" s="22"/>
      <c r="K170" s="76"/>
      <c r="L170" s="76"/>
      <c r="M170" s="77"/>
      <c r="N170" s="65" t="str">
        <f t="shared" si="22"/>
        <v/>
      </c>
      <c r="O170" s="75"/>
      <c r="P170" s="66" t="str">
        <f>IF($G170="","",IFERROR(VLOOKUP($G170,Projekte!$B$6:$O$11,7,FALSE()),0))</f>
        <v/>
      </c>
      <c r="Q170" s="67" t="str">
        <f t="shared" si="23"/>
        <v/>
      </c>
    </row>
    <row r="171" spans="2:17" x14ac:dyDescent="0.25">
      <c r="B171" s="68" t="str">
        <f>IF($C171="","",COUNTA($C$8:$C171))</f>
        <v/>
      </c>
      <c r="C171" s="41"/>
      <c r="D171" s="69" t="str">
        <f t="shared" si="20"/>
        <v/>
      </c>
      <c r="E171" s="70" t="str">
        <f t="shared" si="21"/>
        <v/>
      </c>
      <c r="F171" s="22"/>
      <c r="G171" s="75"/>
      <c r="H171" s="71" t="str">
        <f>IF($G171="","",IFERROR(VLOOKUP($G171,Projekte!$B$6:$O$11,2,FALSE()),"⚠ unbekannt"))</f>
        <v/>
      </c>
      <c r="I171" s="22"/>
      <c r="J171" s="22"/>
      <c r="K171" s="76"/>
      <c r="L171" s="76"/>
      <c r="M171" s="77"/>
      <c r="N171" s="72" t="str">
        <f t="shared" si="22"/>
        <v/>
      </c>
      <c r="O171" s="75"/>
      <c r="P171" s="73" t="str">
        <f>IF($G171="","",IFERROR(VLOOKUP($G171,Projekte!$B$6:$O$11,7,FALSE()),0))</f>
        <v/>
      </c>
      <c r="Q171" s="74" t="str">
        <f t="shared" si="23"/>
        <v/>
      </c>
    </row>
    <row r="172" spans="2:17" x14ac:dyDescent="0.25">
      <c r="B172" s="56" t="str">
        <f>IF($C172="","",COUNTA($C$8:$C172))</f>
        <v/>
      </c>
      <c r="C172" s="41"/>
      <c r="D172" s="58" t="str">
        <f t="shared" si="20"/>
        <v/>
      </c>
      <c r="E172" s="59" t="str">
        <f t="shared" si="21"/>
        <v/>
      </c>
      <c r="F172" s="22"/>
      <c r="G172" s="75"/>
      <c r="H172" s="62" t="str">
        <f>IF($G172="","",IFERROR(VLOOKUP($G172,Projekte!$B$6:$O$11,2,FALSE()),"⚠ unbekannt"))</f>
        <v/>
      </c>
      <c r="I172" s="22"/>
      <c r="J172" s="22"/>
      <c r="K172" s="76"/>
      <c r="L172" s="76"/>
      <c r="M172" s="77"/>
      <c r="N172" s="65" t="str">
        <f t="shared" si="22"/>
        <v/>
      </c>
      <c r="O172" s="75"/>
      <c r="P172" s="66" t="str">
        <f>IF($G172="","",IFERROR(VLOOKUP($G172,Projekte!$B$6:$O$11,7,FALSE()),0))</f>
        <v/>
      </c>
      <c r="Q172" s="67" t="str">
        <f t="shared" si="23"/>
        <v/>
      </c>
    </row>
    <row r="173" spans="2:17" x14ac:dyDescent="0.25">
      <c r="B173" s="68" t="str">
        <f>IF($C173="","",COUNTA($C$8:$C173))</f>
        <v/>
      </c>
      <c r="C173" s="41"/>
      <c r="D173" s="69" t="str">
        <f t="shared" si="20"/>
        <v/>
      </c>
      <c r="E173" s="70" t="str">
        <f t="shared" si="21"/>
        <v/>
      </c>
      <c r="F173" s="22"/>
      <c r="G173" s="75"/>
      <c r="H173" s="71" t="str">
        <f>IF($G173="","",IFERROR(VLOOKUP($G173,Projekte!$B$6:$O$11,2,FALSE()),"⚠ unbekannt"))</f>
        <v/>
      </c>
      <c r="I173" s="22"/>
      <c r="J173" s="22"/>
      <c r="K173" s="76"/>
      <c r="L173" s="76"/>
      <c r="M173" s="77"/>
      <c r="N173" s="72" t="str">
        <f t="shared" si="22"/>
        <v/>
      </c>
      <c r="O173" s="75"/>
      <c r="P173" s="73" t="str">
        <f>IF($G173="","",IFERROR(VLOOKUP($G173,Projekte!$B$6:$O$11,7,FALSE()),0))</f>
        <v/>
      </c>
      <c r="Q173" s="74" t="str">
        <f t="shared" si="23"/>
        <v/>
      </c>
    </row>
    <row r="174" spans="2:17" x14ac:dyDescent="0.25">
      <c r="B174" s="56" t="str">
        <f>IF($C174="","",COUNTA($C$8:$C174))</f>
        <v/>
      </c>
      <c r="C174" s="41"/>
      <c r="D174" s="58" t="str">
        <f t="shared" si="20"/>
        <v/>
      </c>
      <c r="E174" s="59" t="str">
        <f t="shared" si="21"/>
        <v/>
      </c>
      <c r="F174" s="22"/>
      <c r="G174" s="75"/>
      <c r="H174" s="62" t="str">
        <f>IF($G174="","",IFERROR(VLOOKUP($G174,Projekte!$B$6:$O$11,2,FALSE()),"⚠ unbekannt"))</f>
        <v/>
      </c>
      <c r="I174" s="22"/>
      <c r="J174" s="22"/>
      <c r="K174" s="76"/>
      <c r="L174" s="76"/>
      <c r="M174" s="77"/>
      <c r="N174" s="65" t="str">
        <f t="shared" si="22"/>
        <v/>
      </c>
      <c r="O174" s="75"/>
      <c r="P174" s="66" t="str">
        <f>IF($G174="","",IFERROR(VLOOKUP($G174,Projekte!$B$6:$O$11,7,FALSE()),0))</f>
        <v/>
      </c>
      <c r="Q174" s="67" t="str">
        <f t="shared" si="23"/>
        <v/>
      </c>
    </row>
    <row r="175" spans="2:17" x14ac:dyDescent="0.25">
      <c r="B175" s="68" t="str">
        <f>IF($C175="","",COUNTA($C$8:$C175))</f>
        <v/>
      </c>
      <c r="C175" s="41"/>
      <c r="D175" s="69" t="str">
        <f t="shared" si="20"/>
        <v/>
      </c>
      <c r="E175" s="70" t="str">
        <f t="shared" si="21"/>
        <v/>
      </c>
      <c r="F175" s="22"/>
      <c r="G175" s="75"/>
      <c r="H175" s="71" t="str">
        <f>IF($G175="","",IFERROR(VLOOKUP($G175,Projekte!$B$6:$O$11,2,FALSE()),"⚠ unbekannt"))</f>
        <v/>
      </c>
      <c r="I175" s="22"/>
      <c r="J175" s="22"/>
      <c r="K175" s="76"/>
      <c r="L175" s="76"/>
      <c r="M175" s="77"/>
      <c r="N175" s="72" t="str">
        <f t="shared" si="22"/>
        <v/>
      </c>
      <c r="O175" s="75"/>
      <c r="P175" s="73" t="str">
        <f>IF($G175="","",IFERROR(VLOOKUP($G175,Projekte!$B$6:$O$11,7,FALSE()),0))</f>
        <v/>
      </c>
      <c r="Q175" s="74" t="str">
        <f t="shared" si="23"/>
        <v/>
      </c>
    </row>
    <row r="176" spans="2:17" x14ac:dyDescent="0.25">
      <c r="B176" s="56" t="str">
        <f>IF($C176="","",COUNTA($C$8:$C176))</f>
        <v/>
      </c>
      <c r="C176" s="41"/>
      <c r="D176" s="58" t="str">
        <f t="shared" si="20"/>
        <v/>
      </c>
      <c r="E176" s="59" t="str">
        <f t="shared" si="21"/>
        <v/>
      </c>
      <c r="F176" s="22"/>
      <c r="G176" s="75"/>
      <c r="H176" s="62" t="str">
        <f>IF($G176="","",IFERROR(VLOOKUP($G176,Projekte!$B$6:$O$11,2,FALSE()),"⚠ unbekannt"))</f>
        <v/>
      </c>
      <c r="I176" s="22"/>
      <c r="J176" s="22"/>
      <c r="K176" s="76"/>
      <c r="L176" s="76"/>
      <c r="M176" s="77"/>
      <c r="N176" s="65" t="str">
        <f t="shared" si="22"/>
        <v/>
      </c>
      <c r="O176" s="75"/>
      <c r="P176" s="66" t="str">
        <f>IF($G176="","",IFERROR(VLOOKUP($G176,Projekte!$B$6:$O$11,7,FALSE()),0))</f>
        <v/>
      </c>
      <c r="Q176" s="67" t="str">
        <f t="shared" si="23"/>
        <v/>
      </c>
    </row>
    <row r="177" spans="2:17" x14ac:dyDescent="0.25">
      <c r="B177" s="68" t="str">
        <f>IF($C177="","",COUNTA($C$8:$C177))</f>
        <v/>
      </c>
      <c r="C177" s="41"/>
      <c r="D177" s="69" t="str">
        <f t="shared" si="20"/>
        <v/>
      </c>
      <c r="E177" s="70" t="str">
        <f t="shared" si="21"/>
        <v/>
      </c>
      <c r="F177" s="22"/>
      <c r="G177" s="75"/>
      <c r="H177" s="71" t="str">
        <f>IF($G177="","",IFERROR(VLOOKUP($G177,Projekte!$B$6:$O$11,2,FALSE()),"⚠ unbekannt"))</f>
        <v/>
      </c>
      <c r="I177" s="22"/>
      <c r="J177" s="22"/>
      <c r="K177" s="76"/>
      <c r="L177" s="76"/>
      <c r="M177" s="77"/>
      <c r="N177" s="72" t="str">
        <f t="shared" si="22"/>
        <v/>
      </c>
      <c r="O177" s="75"/>
      <c r="P177" s="73" t="str">
        <f>IF($G177="","",IFERROR(VLOOKUP($G177,Projekte!$B$6:$O$11,7,FALSE()),0))</f>
        <v/>
      </c>
      <c r="Q177" s="74" t="str">
        <f t="shared" si="23"/>
        <v/>
      </c>
    </row>
    <row r="178" spans="2:17" x14ac:dyDescent="0.25">
      <c r="B178" s="56" t="str">
        <f>IF($C178="","",COUNTA($C$8:$C178))</f>
        <v/>
      </c>
      <c r="C178" s="41"/>
      <c r="D178" s="58" t="str">
        <f t="shared" si="20"/>
        <v/>
      </c>
      <c r="E178" s="59" t="str">
        <f t="shared" si="21"/>
        <v/>
      </c>
      <c r="F178" s="22"/>
      <c r="G178" s="75"/>
      <c r="H178" s="62" t="str">
        <f>IF($G178="","",IFERROR(VLOOKUP($G178,Projekte!$B$6:$O$11,2,FALSE()),"⚠ unbekannt"))</f>
        <v/>
      </c>
      <c r="I178" s="22"/>
      <c r="J178" s="22"/>
      <c r="K178" s="76"/>
      <c r="L178" s="76"/>
      <c r="M178" s="77"/>
      <c r="N178" s="65" t="str">
        <f t="shared" si="22"/>
        <v/>
      </c>
      <c r="O178" s="75"/>
      <c r="P178" s="66" t="str">
        <f>IF($G178="","",IFERROR(VLOOKUP($G178,Projekte!$B$6:$O$11,7,FALSE()),0))</f>
        <v/>
      </c>
      <c r="Q178" s="67" t="str">
        <f t="shared" si="23"/>
        <v/>
      </c>
    </row>
    <row r="179" spans="2:17" x14ac:dyDescent="0.25">
      <c r="B179" s="68" t="str">
        <f>IF($C179="","",COUNTA($C$8:$C179))</f>
        <v/>
      </c>
      <c r="C179" s="41"/>
      <c r="D179" s="69" t="str">
        <f t="shared" si="20"/>
        <v/>
      </c>
      <c r="E179" s="70" t="str">
        <f t="shared" si="21"/>
        <v/>
      </c>
      <c r="F179" s="22"/>
      <c r="G179" s="75"/>
      <c r="H179" s="71" t="str">
        <f>IF($G179="","",IFERROR(VLOOKUP($G179,Projekte!$B$6:$O$11,2,FALSE()),"⚠ unbekannt"))</f>
        <v/>
      </c>
      <c r="I179" s="22"/>
      <c r="J179" s="22"/>
      <c r="K179" s="76"/>
      <c r="L179" s="76"/>
      <c r="M179" s="77"/>
      <c r="N179" s="72" t="str">
        <f t="shared" si="22"/>
        <v/>
      </c>
      <c r="O179" s="75"/>
      <c r="P179" s="73" t="str">
        <f>IF($G179="","",IFERROR(VLOOKUP($G179,Projekte!$B$6:$O$11,7,FALSE()),0))</f>
        <v/>
      </c>
      <c r="Q179" s="74" t="str">
        <f t="shared" si="23"/>
        <v/>
      </c>
    </row>
    <row r="180" spans="2:17" x14ac:dyDescent="0.25">
      <c r="B180" s="56" t="str">
        <f>IF($C180="","",COUNTA($C$8:$C180))</f>
        <v/>
      </c>
      <c r="C180" s="41"/>
      <c r="D180" s="58" t="str">
        <f t="shared" si="20"/>
        <v/>
      </c>
      <c r="E180" s="59" t="str">
        <f t="shared" si="21"/>
        <v/>
      </c>
      <c r="F180" s="22"/>
      <c r="G180" s="75"/>
      <c r="H180" s="62" t="str">
        <f>IF($G180="","",IFERROR(VLOOKUP($G180,Projekte!$B$6:$O$11,2,FALSE()),"⚠ unbekannt"))</f>
        <v/>
      </c>
      <c r="I180" s="22"/>
      <c r="J180" s="22"/>
      <c r="K180" s="76"/>
      <c r="L180" s="76"/>
      <c r="M180" s="77"/>
      <c r="N180" s="65" t="str">
        <f t="shared" si="22"/>
        <v/>
      </c>
      <c r="O180" s="75"/>
      <c r="P180" s="66" t="str">
        <f>IF($G180="","",IFERROR(VLOOKUP($G180,Projekte!$B$6:$O$11,7,FALSE()),0))</f>
        <v/>
      </c>
      <c r="Q180" s="67" t="str">
        <f t="shared" si="23"/>
        <v/>
      </c>
    </row>
    <row r="181" spans="2:17" x14ac:dyDescent="0.25">
      <c r="B181" s="68" t="str">
        <f>IF($C181="","",COUNTA($C$8:$C181))</f>
        <v/>
      </c>
      <c r="C181" s="41"/>
      <c r="D181" s="69" t="str">
        <f t="shared" si="20"/>
        <v/>
      </c>
      <c r="E181" s="70" t="str">
        <f t="shared" si="21"/>
        <v/>
      </c>
      <c r="F181" s="22"/>
      <c r="G181" s="75"/>
      <c r="H181" s="71" t="str">
        <f>IF($G181="","",IFERROR(VLOOKUP($G181,Projekte!$B$6:$O$11,2,FALSE()),"⚠ unbekannt"))</f>
        <v/>
      </c>
      <c r="I181" s="22"/>
      <c r="J181" s="22"/>
      <c r="K181" s="76"/>
      <c r="L181" s="76"/>
      <c r="M181" s="77"/>
      <c r="N181" s="72" t="str">
        <f t="shared" si="22"/>
        <v/>
      </c>
      <c r="O181" s="75"/>
      <c r="P181" s="73" t="str">
        <f>IF($G181="","",IFERROR(VLOOKUP($G181,Projekte!$B$6:$O$11,7,FALSE()),0))</f>
        <v/>
      </c>
      <c r="Q181" s="74" t="str">
        <f t="shared" si="23"/>
        <v/>
      </c>
    </row>
    <row r="182" spans="2:17" x14ac:dyDescent="0.25">
      <c r="B182" s="56" t="str">
        <f>IF($C182="","",COUNTA($C$8:$C182))</f>
        <v/>
      </c>
      <c r="C182" s="41"/>
      <c r="D182" s="58" t="str">
        <f t="shared" si="20"/>
        <v/>
      </c>
      <c r="E182" s="59" t="str">
        <f t="shared" si="21"/>
        <v/>
      </c>
      <c r="F182" s="22"/>
      <c r="G182" s="75"/>
      <c r="H182" s="62" t="str">
        <f>IF($G182="","",IFERROR(VLOOKUP($G182,Projekte!$B$6:$O$11,2,FALSE()),"⚠ unbekannt"))</f>
        <v/>
      </c>
      <c r="I182" s="22"/>
      <c r="J182" s="22"/>
      <c r="K182" s="76"/>
      <c r="L182" s="76"/>
      <c r="M182" s="77"/>
      <c r="N182" s="65" t="str">
        <f t="shared" si="22"/>
        <v/>
      </c>
      <c r="O182" s="75"/>
      <c r="P182" s="66" t="str">
        <f>IF($G182="","",IFERROR(VLOOKUP($G182,Projekte!$B$6:$O$11,7,FALSE()),0))</f>
        <v/>
      </c>
      <c r="Q182" s="67" t="str">
        <f t="shared" si="23"/>
        <v/>
      </c>
    </row>
    <row r="183" spans="2:17" x14ac:dyDescent="0.25">
      <c r="B183" s="68" t="str">
        <f>IF($C183="","",COUNTA($C$8:$C183))</f>
        <v/>
      </c>
      <c r="C183" s="41"/>
      <c r="D183" s="69" t="str">
        <f t="shared" si="20"/>
        <v/>
      </c>
      <c r="E183" s="70" t="str">
        <f t="shared" si="21"/>
        <v/>
      </c>
      <c r="F183" s="22"/>
      <c r="G183" s="75"/>
      <c r="H183" s="71" t="str">
        <f>IF($G183="","",IFERROR(VLOOKUP($G183,Projekte!$B$6:$O$11,2,FALSE()),"⚠ unbekannt"))</f>
        <v/>
      </c>
      <c r="I183" s="22"/>
      <c r="J183" s="22"/>
      <c r="K183" s="76"/>
      <c r="L183" s="76"/>
      <c r="M183" s="77"/>
      <c r="N183" s="72" t="str">
        <f t="shared" si="22"/>
        <v/>
      </c>
      <c r="O183" s="75"/>
      <c r="P183" s="73" t="str">
        <f>IF($G183="","",IFERROR(VLOOKUP($G183,Projekte!$B$6:$O$11,7,FALSE()),0))</f>
        <v/>
      </c>
      <c r="Q183" s="74" t="str">
        <f t="shared" si="23"/>
        <v/>
      </c>
    </row>
    <row r="184" spans="2:17" x14ac:dyDescent="0.25">
      <c r="B184" s="56" t="str">
        <f>IF($C184="","",COUNTA($C$8:$C184))</f>
        <v/>
      </c>
      <c r="C184" s="41"/>
      <c r="D184" s="58" t="str">
        <f t="shared" si="20"/>
        <v/>
      </c>
      <c r="E184" s="59" t="str">
        <f t="shared" si="21"/>
        <v/>
      </c>
      <c r="F184" s="22"/>
      <c r="G184" s="75"/>
      <c r="H184" s="62" t="str">
        <f>IF($G184="","",IFERROR(VLOOKUP($G184,Projekte!$B$6:$O$11,2,FALSE()),"⚠ unbekannt"))</f>
        <v/>
      </c>
      <c r="I184" s="22"/>
      <c r="J184" s="22"/>
      <c r="K184" s="76"/>
      <c r="L184" s="76"/>
      <c r="M184" s="77"/>
      <c r="N184" s="65" t="str">
        <f t="shared" si="22"/>
        <v/>
      </c>
      <c r="O184" s="75"/>
      <c r="P184" s="66" t="str">
        <f>IF($G184="","",IFERROR(VLOOKUP($G184,Projekte!$B$6:$O$11,7,FALSE()),0))</f>
        <v/>
      </c>
      <c r="Q184" s="67" t="str">
        <f t="shared" si="23"/>
        <v/>
      </c>
    </row>
    <row r="185" spans="2:17" x14ac:dyDescent="0.25">
      <c r="B185" s="68" t="str">
        <f>IF($C185="","",COUNTA($C$8:$C185))</f>
        <v/>
      </c>
      <c r="C185" s="41"/>
      <c r="D185" s="69" t="str">
        <f t="shared" si="20"/>
        <v/>
      </c>
      <c r="E185" s="70" t="str">
        <f t="shared" si="21"/>
        <v/>
      </c>
      <c r="F185" s="22"/>
      <c r="G185" s="75"/>
      <c r="H185" s="71" t="str">
        <f>IF($G185="","",IFERROR(VLOOKUP($G185,Projekte!$B$6:$O$11,2,FALSE()),"⚠ unbekannt"))</f>
        <v/>
      </c>
      <c r="I185" s="22"/>
      <c r="J185" s="22"/>
      <c r="K185" s="76"/>
      <c r="L185" s="76"/>
      <c r="M185" s="77"/>
      <c r="N185" s="72" t="str">
        <f t="shared" si="22"/>
        <v/>
      </c>
      <c r="O185" s="75"/>
      <c r="P185" s="73" t="str">
        <f>IF($G185="","",IFERROR(VLOOKUP($G185,Projekte!$B$6:$O$11,7,FALSE()),0))</f>
        <v/>
      </c>
      <c r="Q185" s="74" t="str">
        <f t="shared" si="23"/>
        <v/>
      </c>
    </row>
    <row r="186" spans="2:17" x14ac:dyDescent="0.25">
      <c r="B186" s="56" t="str">
        <f>IF($C186="","",COUNTA($C$8:$C186))</f>
        <v/>
      </c>
      <c r="C186" s="41"/>
      <c r="D186" s="58" t="str">
        <f t="shared" si="20"/>
        <v/>
      </c>
      <c r="E186" s="59" t="str">
        <f t="shared" si="21"/>
        <v/>
      </c>
      <c r="F186" s="22"/>
      <c r="G186" s="75"/>
      <c r="H186" s="62" t="str">
        <f>IF($G186="","",IFERROR(VLOOKUP($G186,Projekte!$B$6:$O$11,2,FALSE()),"⚠ unbekannt"))</f>
        <v/>
      </c>
      <c r="I186" s="22"/>
      <c r="J186" s="22"/>
      <c r="K186" s="76"/>
      <c r="L186" s="76"/>
      <c r="M186" s="77"/>
      <c r="N186" s="65" t="str">
        <f t="shared" si="22"/>
        <v/>
      </c>
      <c r="O186" s="75"/>
      <c r="P186" s="66" t="str">
        <f>IF($G186="","",IFERROR(VLOOKUP($G186,Projekte!$B$6:$O$11,7,FALSE()),0))</f>
        <v/>
      </c>
      <c r="Q186" s="67" t="str">
        <f t="shared" si="23"/>
        <v/>
      </c>
    </row>
    <row r="187" spans="2:17" x14ac:dyDescent="0.25">
      <c r="B187" s="68" t="str">
        <f>IF($C187="","",COUNTA($C$8:$C187))</f>
        <v/>
      </c>
      <c r="C187" s="41"/>
      <c r="D187" s="69" t="str">
        <f t="shared" si="20"/>
        <v/>
      </c>
      <c r="E187" s="70" t="str">
        <f t="shared" si="21"/>
        <v/>
      </c>
      <c r="F187" s="22"/>
      <c r="G187" s="75"/>
      <c r="H187" s="71" t="str">
        <f>IF($G187="","",IFERROR(VLOOKUP($G187,Projekte!$B$6:$O$11,2,FALSE()),"⚠ unbekannt"))</f>
        <v/>
      </c>
      <c r="I187" s="22"/>
      <c r="J187" s="22"/>
      <c r="K187" s="76"/>
      <c r="L187" s="76"/>
      <c r="M187" s="77"/>
      <c r="N187" s="72" t="str">
        <f t="shared" si="22"/>
        <v/>
      </c>
      <c r="O187" s="75"/>
      <c r="P187" s="73" t="str">
        <f>IF($G187="","",IFERROR(VLOOKUP($G187,Projekte!$B$6:$O$11,7,FALSE()),0))</f>
        <v/>
      </c>
      <c r="Q187" s="74" t="str">
        <f t="shared" si="23"/>
        <v/>
      </c>
    </row>
    <row r="188" spans="2:17" x14ac:dyDescent="0.25">
      <c r="B188" s="56" t="str">
        <f>IF($C188="","",COUNTA($C$8:$C188))</f>
        <v/>
      </c>
      <c r="C188" s="41"/>
      <c r="D188" s="58" t="str">
        <f t="shared" si="20"/>
        <v/>
      </c>
      <c r="E188" s="59" t="str">
        <f t="shared" si="21"/>
        <v/>
      </c>
      <c r="F188" s="22"/>
      <c r="G188" s="75"/>
      <c r="H188" s="62" t="str">
        <f>IF($G188="","",IFERROR(VLOOKUP($G188,Projekte!$B$6:$O$11,2,FALSE()),"⚠ unbekannt"))</f>
        <v/>
      </c>
      <c r="I188" s="22"/>
      <c r="J188" s="22"/>
      <c r="K188" s="76"/>
      <c r="L188" s="76"/>
      <c r="M188" s="77"/>
      <c r="N188" s="65" t="str">
        <f t="shared" si="22"/>
        <v/>
      </c>
      <c r="O188" s="75"/>
      <c r="P188" s="66" t="str">
        <f>IF($G188="","",IFERROR(VLOOKUP($G188,Projekte!$B$6:$O$11,7,FALSE()),0))</f>
        <v/>
      </c>
      <c r="Q188" s="67" t="str">
        <f t="shared" si="23"/>
        <v/>
      </c>
    </row>
    <row r="189" spans="2:17" x14ac:dyDescent="0.25">
      <c r="B189" s="68" t="str">
        <f>IF($C189="","",COUNTA($C$8:$C189))</f>
        <v/>
      </c>
      <c r="C189" s="41"/>
      <c r="D189" s="69" t="str">
        <f t="shared" si="20"/>
        <v/>
      </c>
      <c r="E189" s="70" t="str">
        <f t="shared" si="21"/>
        <v/>
      </c>
      <c r="F189" s="22"/>
      <c r="G189" s="75"/>
      <c r="H189" s="71" t="str">
        <f>IF($G189="","",IFERROR(VLOOKUP($G189,Projekte!$B$6:$O$11,2,FALSE()),"⚠ unbekannt"))</f>
        <v/>
      </c>
      <c r="I189" s="22"/>
      <c r="J189" s="22"/>
      <c r="K189" s="76"/>
      <c r="L189" s="76"/>
      <c r="M189" s="77"/>
      <c r="N189" s="72" t="str">
        <f t="shared" si="22"/>
        <v/>
      </c>
      <c r="O189" s="75"/>
      <c r="P189" s="73" t="str">
        <f>IF($G189="","",IFERROR(VLOOKUP($G189,Projekte!$B$6:$O$11,7,FALSE()),0))</f>
        <v/>
      </c>
      <c r="Q189" s="74" t="str">
        <f t="shared" si="23"/>
        <v/>
      </c>
    </row>
    <row r="190" spans="2:17" x14ac:dyDescent="0.25">
      <c r="B190" s="56" t="str">
        <f>IF($C190="","",COUNTA($C$8:$C190))</f>
        <v/>
      </c>
      <c r="C190" s="41"/>
      <c r="D190" s="58" t="str">
        <f t="shared" si="20"/>
        <v/>
      </c>
      <c r="E190" s="59" t="str">
        <f t="shared" si="21"/>
        <v/>
      </c>
      <c r="F190" s="22"/>
      <c r="G190" s="75"/>
      <c r="H190" s="62" t="str">
        <f>IF($G190="","",IFERROR(VLOOKUP($G190,Projekte!$B$6:$O$11,2,FALSE()),"⚠ unbekannt"))</f>
        <v/>
      </c>
      <c r="I190" s="22"/>
      <c r="J190" s="22"/>
      <c r="K190" s="76"/>
      <c r="L190" s="76"/>
      <c r="M190" s="77"/>
      <c r="N190" s="65" t="str">
        <f t="shared" si="22"/>
        <v/>
      </c>
      <c r="O190" s="75"/>
      <c r="P190" s="66" t="str">
        <f>IF($G190="","",IFERROR(VLOOKUP($G190,Projekte!$B$6:$O$11,7,FALSE()),0))</f>
        <v/>
      </c>
      <c r="Q190" s="67" t="str">
        <f t="shared" si="23"/>
        <v/>
      </c>
    </row>
    <row r="191" spans="2:17" x14ac:dyDescent="0.25">
      <c r="B191" s="68" t="str">
        <f>IF($C191="","",COUNTA($C$8:$C191))</f>
        <v/>
      </c>
      <c r="C191" s="41"/>
      <c r="D191" s="69" t="str">
        <f t="shared" si="20"/>
        <v/>
      </c>
      <c r="E191" s="70" t="str">
        <f t="shared" si="21"/>
        <v/>
      </c>
      <c r="F191" s="22"/>
      <c r="G191" s="75"/>
      <c r="H191" s="71" t="str">
        <f>IF($G191="","",IFERROR(VLOOKUP($G191,Projekte!$B$6:$O$11,2,FALSE()),"⚠ unbekannt"))</f>
        <v/>
      </c>
      <c r="I191" s="22"/>
      <c r="J191" s="22"/>
      <c r="K191" s="76"/>
      <c r="L191" s="76"/>
      <c r="M191" s="77"/>
      <c r="N191" s="72" t="str">
        <f t="shared" si="22"/>
        <v/>
      </c>
      <c r="O191" s="75"/>
      <c r="P191" s="73" t="str">
        <f>IF($G191="","",IFERROR(VLOOKUP($G191,Projekte!$B$6:$O$11,7,FALSE()),0))</f>
        <v/>
      </c>
      <c r="Q191" s="74" t="str">
        <f t="shared" si="23"/>
        <v/>
      </c>
    </row>
    <row r="192" spans="2:17" x14ac:dyDescent="0.25">
      <c r="B192" s="56" t="str">
        <f>IF($C192="","",COUNTA($C$8:$C192))</f>
        <v/>
      </c>
      <c r="C192" s="41"/>
      <c r="D192" s="58" t="str">
        <f t="shared" si="20"/>
        <v/>
      </c>
      <c r="E192" s="59" t="str">
        <f t="shared" si="21"/>
        <v/>
      </c>
      <c r="F192" s="22"/>
      <c r="G192" s="75"/>
      <c r="H192" s="62" t="str">
        <f>IF($G192="","",IFERROR(VLOOKUP($G192,Projekte!$B$6:$O$11,2,FALSE()),"⚠ unbekannt"))</f>
        <v/>
      </c>
      <c r="I192" s="22"/>
      <c r="J192" s="22"/>
      <c r="K192" s="76"/>
      <c r="L192" s="76"/>
      <c r="M192" s="77"/>
      <c r="N192" s="65" t="str">
        <f t="shared" si="22"/>
        <v/>
      </c>
      <c r="O192" s="75"/>
      <c r="P192" s="66" t="str">
        <f>IF($G192="","",IFERROR(VLOOKUP($G192,Projekte!$B$6:$O$11,7,FALSE()),0))</f>
        <v/>
      </c>
      <c r="Q192" s="67" t="str">
        <f t="shared" si="23"/>
        <v/>
      </c>
    </row>
    <row r="193" spans="2:17" x14ac:dyDescent="0.25">
      <c r="B193" s="68" t="str">
        <f>IF($C193="","",COUNTA($C$8:$C193))</f>
        <v/>
      </c>
      <c r="C193" s="41"/>
      <c r="D193" s="69" t="str">
        <f t="shared" si="20"/>
        <v/>
      </c>
      <c r="E193" s="70" t="str">
        <f t="shared" si="21"/>
        <v/>
      </c>
      <c r="F193" s="22"/>
      <c r="G193" s="75"/>
      <c r="H193" s="71" t="str">
        <f>IF($G193="","",IFERROR(VLOOKUP($G193,Projekte!$B$6:$O$11,2,FALSE()),"⚠ unbekannt"))</f>
        <v/>
      </c>
      <c r="I193" s="22"/>
      <c r="J193" s="22"/>
      <c r="K193" s="76"/>
      <c r="L193" s="76"/>
      <c r="M193" s="77"/>
      <c r="N193" s="72" t="str">
        <f t="shared" si="22"/>
        <v/>
      </c>
      <c r="O193" s="75"/>
      <c r="P193" s="73" t="str">
        <f>IF($G193="","",IFERROR(VLOOKUP($G193,Projekte!$B$6:$O$11,7,FALSE()),0))</f>
        <v/>
      </c>
      <c r="Q193" s="74" t="str">
        <f t="shared" si="23"/>
        <v/>
      </c>
    </row>
    <row r="194" spans="2:17" x14ac:dyDescent="0.25">
      <c r="B194" s="56" t="str">
        <f>IF($C194="","",COUNTA($C$8:$C194))</f>
        <v/>
      </c>
      <c r="C194" s="41"/>
      <c r="D194" s="58" t="str">
        <f t="shared" si="20"/>
        <v/>
      </c>
      <c r="E194" s="59" t="str">
        <f t="shared" si="21"/>
        <v/>
      </c>
      <c r="F194" s="22"/>
      <c r="G194" s="75"/>
      <c r="H194" s="62" t="str">
        <f>IF($G194="","",IFERROR(VLOOKUP($G194,Projekte!$B$6:$O$11,2,FALSE()),"⚠ unbekannt"))</f>
        <v/>
      </c>
      <c r="I194" s="22"/>
      <c r="J194" s="22"/>
      <c r="K194" s="76"/>
      <c r="L194" s="76"/>
      <c r="M194" s="77"/>
      <c r="N194" s="65" t="str">
        <f t="shared" si="22"/>
        <v/>
      </c>
      <c r="O194" s="75"/>
      <c r="P194" s="66" t="str">
        <f>IF($G194="","",IFERROR(VLOOKUP($G194,Projekte!$B$6:$O$11,7,FALSE()),0))</f>
        <v/>
      </c>
      <c r="Q194" s="67" t="str">
        <f t="shared" si="23"/>
        <v/>
      </c>
    </row>
    <row r="195" spans="2:17" x14ac:dyDescent="0.25">
      <c r="B195" s="68" t="str">
        <f>IF($C195="","",COUNTA($C$8:$C195))</f>
        <v/>
      </c>
      <c r="C195" s="41"/>
      <c r="D195" s="69" t="str">
        <f t="shared" si="20"/>
        <v/>
      </c>
      <c r="E195" s="70" t="str">
        <f t="shared" si="21"/>
        <v/>
      </c>
      <c r="F195" s="22"/>
      <c r="G195" s="75"/>
      <c r="H195" s="71" t="str">
        <f>IF($G195="","",IFERROR(VLOOKUP($G195,Projekte!$B$6:$O$11,2,FALSE()),"⚠ unbekannt"))</f>
        <v/>
      </c>
      <c r="I195" s="22"/>
      <c r="J195" s="22"/>
      <c r="K195" s="76"/>
      <c r="L195" s="76"/>
      <c r="M195" s="77"/>
      <c r="N195" s="72" t="str">
        <f t="shared" si="22"/>
        <v/>
      </c>
      <c r="O195" s="75"/>
      <c r="P195" s="73" t="str">
        <f>IF($G195="","",IFERROR(VLOOKUP($G195,Projekte!$B$6:$O$11,7,FALSE()),0))</f>
        <v/>
      </c>
      <c r="Q195" s="74" t="str">
        <f t="shared" si="23"/>
        <v/>
      </c>
    </row>
    <row r="196" spans="2:17" x14ac:dyDescent="0.25">
      <c r="B196" s="56" t="str">
        <f>IF($C196="","",COUNTA($C$8:$C196))</f>
        <v/>
      </c>
      <c r="C196" s="41"/>
      <c r="D196" s="58" t="str">
        <f t="shared" si="20"/>
        <v/>
      </c>
      <c r="E196" s="59" t="str">
        <f t="shared" si="21"/>
        <v/>
      </c>
      <c r="F196" s="22"/>
      <c r="G196" s="75"/>
      <c r="H196" s="62" t="str">
        <f>IF($G196="","",IFERROR(VLOOKUP($G196,Projekte!$B$6:$O$11,2,FALSE()),"⚠ unbekannt"))</f>
        <v/>
      </c>
      <c r="I196" s="22"/>
      <c r="J196" s="22"/>
      <c r="K196" s="76"/>
      <c r="L196" s="76"/>
      <c r="M196" s="77"/>
      <c r="N196" s="65" t="str">
        <f t="shared" si="22"/>
        <v/>
      </c>
      <c r="O196" s="75"/>
      <c r="P196" s="66" t="str">
        <f>IF($G196="","",IFERROR(VLOOKUP($G196,Projekte!$B$6:$O$11,7,FALSE()),0))</f>
        <v/>
      </c>
      <c r="Q196" s="67" t="str">
        <f t="shared" si="23"/>
        <v/>
      </c>
    </row>
    <row r="197" spans="2:17" x14ac:dyDescent="0.25">
      <c r="B197" s="68" t="str">
        <f>IF($C197="","",COUNTA($C$8:$C197))</f>
        <v/>
      </c>
      <c r="C197" s="41"/>
      <c r="D197" s="69" t="str">
        <f t="shared" si="20"/>
        <v/>
      </c>
      <c r="E197" s="70" t="str">
        <f t="shared" si="21"/>
        <v/>
      </c>
      <c r="F197" s="22"/>
      <c r="G197" s="75"/>
      <c r="H197" s="71" t="str">
        <f>IF($G197="","",IFERROR(VLOOKUP($G197,Projekte!$B$6:$O$11,2,FALSE()),"⚠ unbekannt"))</f>
        <v/>
      </c>
      <c r="I197" s="22"/>
      <c r="J197" s="22"/>
      <c r="K197" s="76"/>
      <c r="L197" s="76"/>
      <c r="M197" s="77"/>
      <c r="N197" s="72" t="str">
        <f t="shared" si="22"/>
        <v/>
      </c>
      <c r="O197" s="75"/>
      <c r="P197" s="73" t="str">
        <f>IF($G197="","",IFERROR(VLOOKUP($G197,Projekte!$B$6:$O$11,7,FALSE()),0))</f>
        <v/>
      </c>
      <c r="Q197" s="74" t="str">
        <f t="shared" si="23"/>
        <v/>
      </c>
    </row>
    <row r="198" spans="2:17" x14ac:dyDescent="0.25">
      <c r="B198" s="56" t="str">
        <f>IF($C198="","",COUNTA($C$8:$C198))</f>
        <v/>
      </c>
      <c r="C198" s="41"/>
      <c r="D198" s="58" t="str">
        <f t="shared" si="20"/>
        <v/>
      </c>
      <c r="E198" s="59" t="str">
        <f t="shared" si="21"/>
        <v/>
      </c>
      <c r="F198" s="22"/>
      <c r="G198" s="75"/>
      <c r="H198" s="62" t="str">
        <f>IF($G198="","",IFERROR(VLOOKUP($G198,Projekte!$B$6:$O$11,2,FALSE()),"⚠ unbekannt"))</f>
        <v/>
      </c>
      <c r="I198" s="22"/>
      <c r="J198" s="22"/>
      <c r="K198" s="76"/>
      <c r="L198" s="76"/>
      <c r="M198" s="77"/>
      <c r="N198" s="65" t="str">
        <f t="shared" si="22"/>
        <v/>
      </c>
      <c r="O198" s="75"/>
      <c r="P198" s="66" t="str">
        <f>IF($G198="","",IFERROR(VLOOKUP($G198,Projekte!$B$6:$O$11,7,FALSE()),0))</f>
        <v/>
      </c>
      <c r="Q198" s="67" t="str">
        <f t="shared" si="23"/>
        <v/>
      </c>
    </row>
    <row r="199" spans="2:17" x14ac:dyDescent="0.25">
      <c r="B199" s="68" t="str">
        <f>IF($C199="","",COUNTA($C$8:$C199))</f>
        <v/>
      </c>
      <c r="C199" s="41"/>
      <c r="D199" s="69" t="str">
        <f t="shared" si="20"/>
        <v/>
      </c>
      <c r="E199" s="70" t="str">
        <f t="shared" si="21"/>
        <v/>
      </c>
      <c r="F199" s="22"/>
      <c r="G199" s="75"/>
      <c r="H199" s="71" t="str">
        <f>IF($G199="","",IFERROR(VLOOKUP($G199,Projekte!$B$6:$O$11,2,FALSE()),"⚠ unbekannt"))</f>
        <v/>
      </c>
      <c r="I199" s="22"/>
      <c r="J199" s="22"/>
      <c r="K199" s="76"/>
      <c r="L199" s="76"/>
      <c r="M199" s="77"/>
      <c r="N199" s="72" t="str">
        <f t="shared" si="22"/>
        <v/>
      </c>
      <c r="O199" s="75"/>
      <c r="P199" s="73" t="str">
        <f>IF($G199="","",IFERROR(VLOOKUP($G199,Projekte!$B$6:$O$11,7,FALSE()),0))</f>
        <v/>
      </c>
      <c r="Q199" s="74" t="str">
        <f t="shared" si="23"/>
        <v/>
      </c>
    </row>
    <row r="200" spans="2:17" x14ac:dyDescent="0.25">
      <c r="B200" s="56" t="str">
        <f>IF($C200="","",COUNTA($C$8:$C200))</f>
        <v/>
      </c>
      <c r="C200" s="41"/>
      <c r="D200" s="58" t="str">
        <f t="shared" ref="D200:D207" si="24">IF($C200="","",_xlfn.ISOWEEKNUM($C200))</f>
        <v/>
      </c>
      <c r="E200" s="59" t="str">
        <f t="shared" ref="E200:E207" si="25">IF($C200="","",TEXT($C200,"TTT"))</f>
        <v/>
      </c>
      <c r="F200" s="22"/>
      <c r="G200" s="75"/>
      <c r="H200" s="62" t="str">
        <f>IF($G200="","",IFERROR(VLOOKUP($G200,Projekte!$B$6:$O$11,2,FALSE()),"⚠ unbekannt"))</f>
        <v/>
      </c>
      <c r="I200" s="22"/>
      <c r="J200" s="22"/>
      <c r="K200" s="76"/>
      <c r="L200" s="76"/>
      <c r="M200" s="77"/>
      <c r="N200" s="65" t="str">
        <f t="shared" ref="N200:N207" si="26">IF(OR($K200="",$L200=""),"",ROUND(($L200-$K200)*24 - IF($M200="",0,$M200)/60,2))</f>
        <v/>
      </c>
      <c r="O200" s="75"/>
      <c r="P200" s="66" t="str">
        <f>IF($G200="","",IFERROR(VLOOKUP($G200,Projekte!$B$6:$O$11,7,FALSE()),0))</f>
        <v/>
      </c>
      <c r="Q200" s="67" t="str">
        <f t="shared" ref="Q200:Q207" si="27">IF($N200="","",IF($O200="Ja",$N200*$P200,0))</f>
        <v/>
      </c>
    </row>
    <row r="201" spans="2:17" x14ac:dyDescent="0.25">
      <c r="B201" s="68" t="str">
        <f>IF($C201="","",COUNTA($C$8:$C201))</f>
        <v/>
      </c>
      <c r="C201" s="41"/>
      <c r="D201" s="69" t="str">
        <f t="shared" si="24"/>
        <v/>
      </c>
      <c r="E201" s="70" t="str">
        <f t="shared" si="25"/>
        <v/>
      </c>
      <c r="F201" s="22"/>
      <c r="G201" s="75"/>
      <c r="H201" s="71" t="str">
        <f>IF($G201="","",IFERROR(VLOOKUP($G201,Projekte!$B$6:$O$11,2,FALSE()),"⚠ unbekannt"))</f>
        <v/>
      </c>
      <c r="I201" s="22"/>
      <c r="J201" s="22"/>
      <c r="K201" s="76"/>
      <c r="L201" s="76"/>
      <c r="M201" s="77"/>
      <c r="N201" s="72" t="str">
        <f t="shared" si="26"/>
        <v/>
      </c>
      <c r="O201" s="75"/>
      <c r="P201" s="73" t="str">
        <f>IF($G201="","",IFERROR(VLOOKUP($G201,Projekte!$B$6:$O$11,7,FALSE()),0))</f>
        <v/>
      </c>
      <c r="Q201" s="74" t="str">
        <f t="shared" si="27"/>
        <v/>
      </c>
    </row>
    <row r="202" spans="2:17" x14ac:dyDescent="0.25">
      <c r="B202" s="56" t="str">
        <f>IF($C202="","",COUNTA($C$8:$C202))</f>
        <v/>
      </c>
      <c r="C202" s="41"/>
      <c r="D202" s="58" t="str">
        <f t="shared" si="24"/>
        <v/>
      </c>
      <c r="E202" s="59" t="str">
        <f t="shared" si="25"/>
        <v/>
      </c>
      <c r="F202" s="22"/>
      <c r="G202" s="75"/>
      <c r="H202" s="62" t="str">
        <f>IF($G202="","",IFERROR(VLOOKUP($G202,Projekte!$B$6:$O$11,2,FALSE()),"⚠ unbekannt"))</f>
        <v/>
      </c>
      <c r="I202" s="22"/>
      <c r="J202" s="22"/>
      <c r="K202" s="76"/>
      <c r="L202" s="76"/>
      <c r="M202" s="77"/>
      <c r="N202" s="65" t="str">
        <f t="shared" si="26"/>
        <v/>
      </c>
      <c r="O202" s="75"/>
      <c r="P202" s="66" t="str">
        <f>IF($G202="","",IFERROR(VLOOKUP($G202,Projekte!$B$6:$O$11,7,FALSE()),0))</f>
        <v/>
      </c>
      <c r="Q202" s="67" t="str">
        <f t="shared" si="27"/>
        <v/>
      </c>
    </row>
    <row r="203" spans="2:17" x14ac:dyDescent="0.25">
      <c r="B203" s="68" t="str">
        <f>IF($C203="","",COUNTA($C$8:$C203))</f>
        <v/>
      </c>
      <c r="C203" s="41"/>
      <c r="D203" s="69" t="str">
        <f t="shared" si="24"/>
        <v/>
      </c>
      <c r="E203" s="70" t="str">
        <f t="shared" si="25"/>
        <v/>
      </c>
      <c r="F203" s="22"/>
      <c r="G203" s="75"/>
      <c r="H203" s="71" t="str">
        <f>IF($G203="","",IFERROR(VLOOKUP($G203,Projekte!$B$6:$O$11,2,FALSE()),"⚠ unbekannt"))</f>
        <v/>
      </c>
      <c r="I203" s="22"/>
      <c r="J203" s="22"/>
      <c r="K203" s="76"/>
      <c r="L203" s="76"/>
      <c r="M203" s="77"/>
      <c r="N203" s="72" t="str">
        <f t="shared" si="26"/>
        <v/>
      </c>
      <c r="O203" s="75"/>
      <c r="P203" s="73" t="str">
        <f>IF($G203="","",IFERROR(VLOOKUP($G203,Projekte!$B$6:$O$11,7,FALSE()),0))</f>
        <v/>
      </c>
      <c r="Q203" s="74" t="str">
        <f t="shared" si="27"/>
        <v/>
      </c>
    </row>
    <row r="204" spans="2:17" x14ac:dyDescent="0.25">
      <c r="B204" s="56" t="str">
        <f>IF($C204="","",COUNTA($C$8:$C204))</f>
        <v/>
      </c>
      <c r="C204" s="41"/>
      <c r="D204" s="58" t="str">
        <f t="shared" si="24"/>
        <v/>
      </c>
      <c r="E204" s="59" t="str">
        <f t="shared" si="25"/>
        <v/>
      </c>
      <c r="F204" s="22"/>
      <c r="G204" s="75"/>
      <c r="H204" s="62" t="str">
        <f>IF($G204="","",IFERROR(VLOOKUP($G204,Projekte!$B$6:$O$11,2,FALSE()),"⚠ unbekannt"))</f>
        <v/>
      </c>
      <c r="I204" s="22"/>
      <c r="J204" s="22"/>
      <c r="K204" s="76"/>
      <c r="L204" s="76"/>
      <c r="M204" s="77"/>
      <c r="N204" s="65" t="str">
        <f t="shared" si="26"/>
        <v/>
      </c>
      <c r="O204" s="75"/>
      <c r="P204" s="66" t="str">
        <f>IF($G204="","",IFERROR(VLOOKUP($G204,Projekte!$B$6:$O$11,7,FALSE()),0))</f>
        <v/>
      </c>
      <c r="Q204" s="67" t="str">
        <f t="shared" si="27"/>
        <v/>
      </c>
    </row>
    <row r="205" spans="2:17" x14ac:dyDescent="0.25">
      <c r="B205" s="68" t="str">
        <f>IF($C205="","",COUNTA($C$8:$C205))</f>
        <v/>
      </c>
      <c r="C205" s="41"/>
      <c r="D205" s="69" t="str">
        <f t="shared" si="24"/>
        <v/>
      </c>
      <c r="E205" s="70" t="str">
        <f t="shared" si="25"/>
        <v/>
      </c>
      <c r="F205" s="22"/>
      <c r="G205" s="75"/>
      <c r="H205" s="71" t="str">
        <f>IF($G205="","",IFERROR(VLOOKUP($G205,Projekte!$B$6:$O$11,2,FALSE()),"⚠ unbekannt"))</f>
        <v/>
      </c>
      <c r="I205" s="22"/>
      <c r="J205" s="22"/>
      <c r="K205" s="76"/>
      <c r="L205" s="76"/>
      <c r="M205" s="77"/>
      <c r="N205" s="72" t="str">
        <f t="shared" si="26"/>
        <v/>
      </c>
      <c r="O205" s="75"/>
      <c r="P205" s="73" t="str">
        <f>IF($G205="","",IFERROR(VLOOKUP($G205,Projekte!$B$6:$O$11,7,FALSE()),0))</f>
        <v/>
      </c>
      <c r="Q205" s="74" t="str">
        <f t="shared" si="27"/>
        <v/>
      </c>
    </row>
    <row r="206" spans="2:17" x14ac:dyDescent="0.25">
      <c r="B206" s="56" t="str">
        <f>IF($C206="","",COUNTA($C$8:$C206))</f>
        <v/>
      </c>
      <c r="C206" s="41"/>
      <c r="D206" s="58" t="str">
        <f t="shared" si="24"/>
        <v/>
      </c>
      <c r="E206" s="59" t="str">
        <f t="shared" si="25"/>
        <v/>
      </c>
      <c r="F206" s="22"/>
      <c r="G206" s="75"/>
      <c r="H206" s="62" t="str">
        <f>IF($G206="","",IFERROR(VLOOKUP($G206,Projekte!$B$6:$O$11,2,FALSE()),"⚠ unbekannt"))</f>
        <v/>
      </c>
      <c r="I206" s="22"/>
      <c r="J206" s="22"/>
      <c r="K206" s="76"/>
      <c r="L206" s="76"/>
      <c r="M206" s="77"/>
      <c r="N206" s="65" t="str">
        <f t="shared" si="26"/>
        <v/>
      </c>
      <c r="O206" s="75"/>
      <c r="P206" s="66" t="str">
        <f>IF($G206="","",IFERROR(VLOOKUP($G206,Projekte!$B$6:$O$11,7,FALSE()),0))</f>
        <v/>
      </c>
      <c r="Q206" s="67" t="str">
        <f t="shared" si="27"/>
        <v/>
      </c>
    </row>
    <row r="207" spans="2:17" x14ac:dyDescent="0.25">
      <c r="B207" s="68" t="str">
        <f>IF($C207="","",COUNTA($C$8:$C207))</f>
        <v/>
      </c>
      <c r="C207" s="41"/>
      <c r="D207" s="69" t="str">
        <f t="shared" si="24"/>
        <v/>
      </c>
      <c r="E207" s="70" t="str">
        <f t="shared" si="25"/>
        <v/>
      </c>
      <c r="F207" s="22"/>
      <c r="G207" s="75"/>
      <c r="H207" s="71" t="str">
        <f>IF($G207="","",IFERROR(VLOOKUP($G207,Projekte!$B$6:$O$11,2,FALSE()),"⚠ unbekannt"))</f>
        <v/>
      </c>
      <c r="I207" s="22"/>
      <c r="J207" s="22"/>
      <c r="K207" s="76"/>
      <c r="L207" s="76"/>
      <c r="M207" s="77"/>
      <c r="N207" s="72" t="str">
        <f t="shared" si="26"/>
        <v/>
      </c>
      <c r="O207" s="75"/>
      <c r="P207" s="73" t="str">
        <f>IF($G207="","",IFERROR(VLOOKUP($G207,Projekte!$B$6:$O$11,7,FALSE()),0))</f>
        <v/>
      </c>
      <c r="Q207" s="74" t="str">
        <f t="shared" si="27"/>
        <v/>
      </c>
    </row>
    <row r="208" spans="2:17" x14ac:dyDescent="0.25">
      <c r="B208" s="78" t="s">
        <v>121</v>
      </c>
      <c r="C208" s="79"/>
      <c r="D208" s="79"/>
      <c r="E208" s="79"/>
      <c r="F208" s="79"/>
      <c r="G208" s="79"/>
      <c r="H208" s="79"/>
      <c r="I208" s="79"/>
      <c r="J208" s="79"/>
      <c r="K208" s="79"/>
      <c r="L208" s="79"/>
      <c r="M208" s="79"/>
      <c r="N208" s="80">
        <f>SUM(N8:N207)</f>
        <v>145</v>
      </c>
      <c r="O208" s="79"/>
      <c r="P208" s="79"/>
      <c r="Q208" s="81">
        <f>SUM(Q8:Q207)</f>
        <v>32880</v>
      </c>
    </row>
  </sheetData>
  <mergeCells count="2">
    <mergeCell ref="B2:P2"/>
    <mergeCell ref="B3:P3"/>
  </mergeCells>
  <conditionalFormatting sqref="O8:O207">
    <cfRule type="cellIs" dxfId="1" priority="2" operator="equal">
      <formula>"Nein"</formula>
    </cfRule>
    <cfRule type="cellIs" dxfId="0" priority="3" operator="equal">
      <formula>"Ja"</formula>
    </cfRule>
  </conditionalFormatting>
  <pageMargins left="0.75" right="0.75" top="1" bottom="1" header="0.511811023622047" footer="0.511811023622047"/>
  <pageSetup paperSize="9" orientation="portrait" horizontalDpi="300" verticalDpi="300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errorTitle="Ungültig" error="Bitte Mitarbeiter aus der Liste wählen." xr:uid="{00000000-0002-0000-0300-000000000000}">
          <x14:formula1>
            <xm:f>Stammdaten!$C$7:$C$12</xm:f>
          </x14:formula1>
          <x14:formula2>
            <xm:f>0</xm:f>
          </x14:formula2>
          <xm:sqref>F8:F207</xm:sqref>
        </x14:dataValidation>
        <x14:dataValidation type="list" allowBlank="1" errorTitle="Ungültig" error="Bitte gültige Projekt-Nr. wählen." xr:uid="{00000000-0002-0000-0300-000001000000}">
          <x14:formula1>
            <xm:f>Projekte!$B$6:$B$11</xm:f>
          </x14:formula1>
          <x14:formula2>
            <xm:f>0</xm:f>
          </x14:formula2>
          <xm:sqref>G8:G207</xm:sqref>
        </x14:dataValidation>
        <x14:dataValidation type="list" allowBlank="1" xr:uid="{00000000-0002-0000-0300-000002000000}">
          <x14:formula1>
            <xm:f>Stammdaten!$F$6:$F$14</xm:f>
          </x14:formula1>
          <x14:formula2>
            <xm:f>0</xm:f>
          </x14:formula2>
          <xm:sqref>I8:I207</xm:sqref>
        </x14:dataValidation>
        <x14:dataValidation type="list" allowBlank="1" xr:uid="{00000000-0002-0000-0300-000003000000}">
          <x14:formula1>
            <xm:f>Stammdaten!$H$12:$H$13</xm:f>
          </x14:formula1>
          <x14:formula2>
            <xm:f>0</xm:f>
          </x14:formula2>
          <xm:sqref>O8:O207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Dashboard</vt:lpstr>
      <vt:lpstr>Stammdaten</vt:lpstr>
      <vt:lpstr>Projekte</vt:lpstr>
      <vt:lpstr>Zeiterfassung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1</cp:revision>
  <dcterms:created xsi:type="dcterms:W3CDTF">2026-07-07T09:24:22Z</dcterms:created>
  <dcterms:modified xsi:type="dcterms:W3CDTF">2026-07-07T17:00:43Z</dcterms:modified>
  <dc:language>en-US</dc:language>
</cp:coreProperties>
</file>