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434E0066-260E-41BA-BFD2-4B9186B1D1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Arbeitspakete" sheetId="2" r:id="rId2"/>
    <sheet name="Kosten" sheetId="3" r:id="rId3"/>
    <sheet name="Risiken" sheetId="4" r:id="rId4"/>
    <sheet name="Liste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K101" i="3"/>
  <c r="I101" i="3"/>
  <c r="H101" i="3"/>
  <c r="K100" i="3"/>
  <c r="I100" i="3"/>
  <c r="H100" i="3"/>
  <c r="K99" i="3"/>
  <c r="I99" i="3"/>
  <c r="H99" i="3"/>
  <c r="K98" i="3"/>
  <c r="I98" i="3"/>
  <c r="H98" i="3"/>
  <c r="K97" i="3"/>
  <c r="I97" i="3"/>
  <c r="H97" i="3"/>
  <c r="K96" i="3"/>
  <c r="I96" i="3"/>
  <c r="H96" i="3"/>
  <c r="K95" i="3"/>
  <c r="I95" i="3"/>
  <c r="H95" i="3"/>
  <c r="K94" i="3"/>
  <c r="I94" i="3"/>
  <c r="H94" i="3"/>
  <c r="K93" i="3"/>
  <c r="I93" i="3"/>
  <c r="H93" i="3"/>
  <c r="K92" i="3"/>
  <c r="I92" i="3"/>
  <c r="H92" i="3"/>
  <c r="K91" i="3"/>
  <c r="I91" i="3"/>
  <c r="H91" i="3"/>
  <c r="K90" i="3"/>
  <c r="I90" i="3"/>
  <c r="H90" i="3"/>
  <c r="K89" i="3"/>
  <c r="I89" i="3"/>
  <c r="H89" i="3"/>
  <c r="K88" i="3"/>
  <c r="I88" i="3"/>
  <c r="H88" i="3"/>
  <c r="K87" i="3"/>
  <c r="I87" i="3"/>
  <c r="H87" i="3"/>
  <c r="K86" i="3"/>
  <c r="I86" i="3"/>
  <c r="H86" i="3"/>
  <c r="K85" i="3"/>
  <c r="I85" i="3"/>
  <c r="H85" i="3"/>
  <c r="K84" i="3"/>
  <c r="I84" i="3"/>
  <c r="H84" i="3"/>
  <c r="K83" i="3"/>
  <c r="I83" i="3"/>
  <c r="H83" i="3"/>
  <c r="K82" i="3"/>
  <c r="I82" i="3"/>
  <c r="H82" i="3"/>
  <c r="K81" i="3"/>
  <c r="I81" i="3"/>
  <c r="H81" i="3"/>
  <c r="K80" i="3"/>
  <c r="I80" i="3"/>
  <c r="H80" i="3"/>
  <c r="K79" i="3"/>
  <c r="I79" i="3"/>
  <c r="H79" i="3"/>
  <c r="K78" i="3"/>
  <c r="I78" i="3"/>
  <c r="H78" i="3"/>
  <c r="K77" i="3"/>
  <c r="I77" i="3"/>
  <c r="H77" i="3"/>
  <c r="K76" i="3"/>
  <c r="I76" i="3"/>
  <c r="H76" i="3"/>
  <c r="K75" i="3"/>
  <c r="I75" i="3"/>
  <c r="H75" i="3"/>
  <c r="K74" i="3"/>
  <c r="I74" i="3"/>
  <c r="H74" i="3"/>
  <c r="K73" i="3"/>
  <c r="I73" i="3"/>
  <c r="H73" i="3"/>
  <c r="K72" i="3"/>
  <c r="I72" i="3"/>
  <c r="H72" i="3"/>
  <c r="K71" i="3"/>
  <c r="I71" i="3"/>
  <c r="H71" i="3"/>
  <c r="K70" i="3"/>
  <c r="I70" i="3"/>
  <c r="H70" i="3"/>
  <c r="K69" i="3"/>
  <c r="I69" i="3"/>
  <c r="H69" i="3"/>
  <c r="K68" i="3"/>
  <c r="I68" i="3"/>
  <c r="H68" i="3"/>
  <c r="K67" i="3"/>
  <c r="I67" i="3"/>
  <c r="H67" i="3"/>
  <c r="K66" i="3"/>
  <c r="I66" i="3"/>
  <c r="H66" i="3"/>
  <c r="K65" i="3"/>
  <c r="I65" i="3"/>
  <c r="H65" i="3"/>
  <c r="K64" i="3"/>
  <c r="I64" i="3"/>
  <c r="H64" i="3"/>
  <c r="K63" i="3"/>
  <c r="I63" i="3"/>
  <c r="H63" i="3"/>
  <c r="K62" i="3"/>
  <c r="I62" i="3"/>
  <c r="H62" i="3"/>
  <c r="K61" i="3"/>
  <c r="I61" i="3"/>
  <c r="H61" i="3"/>
  <c r="K60" i="3"/>
  <c r="I60" i="3"/>
  <c r="H60" i="3"/>
  <c r="K59" i="3"/>
  <c r="I59" i="3"/>
  <c r="H59" i="3"/>
  <c r="K58" i="3"/>
  <c r="I58" i="3"/>
  <c r="H58" i="3"/>
  <c r="K57" i="3"/>
  <c r="I57" i="3"/>
  <c r="H57" i="3"/>
  <c r="K56" i="3"/>
  <c r="I56" i="3"/>
  <c r="H56" i="3"/>
  <c r="K55" i="3"/>
  <c r="I55" i="3"/>
  <c r="H55" i="3"/>
  <c r="K54" i="3"/>
  <c r="I54" i="3"/>
  <c r="H54" i="3"/>
  <c r="K53" i="3"/>
  <c r="I53" i="3"/>
  <c r="H53" i="3"/>
  <c r="K52" i="3"/>
  <c r="I52" i="3"/>
  <c r="H52" i="3"/>
  <c r="K51" i="3"/>
  <c r="I51" i="3"/>
  <c r="H51" i="3"/>
  <c r="K50" i="3"/>
  <c r="I50" i="3"/>
  <c r="H50" i="3"/>
  <c r="K49" i="3"/>
  <c r="I49" i="3"/>
  <c r="H49" i="3"/>
  <c r="K48" i="3"/>
  <c r="I48" i="3"/>
  <c r="H48" i="3"/>
  <c r="K47" i="3"/>
  <c r="I47" i="3"/>
  <c r="H47" i="3"/>
  <c r="K46" i="3"/>
  <c r="I46" i="3"/>
  <c r="H46" i="3"/>
  <c r="K45" i="3"/>
  <c r="I45" i="3"/>
  <c r="H45" i="3"/>
  <c r="K44" i="3"/>
  <c r="I44" i="3"/>
  <c r="H44" i="3"/>
  <c r="K43" i="3"/>
  <c r="I43" i="3"/>
  <c r="H43" i="3"/>
  <c r="K42" i="3"/>
  <c r="I42" i="3"/>
  <c r="H42" i="3"/>
  <c r="K41" i="3"/>
  <c r="I41" i="3"/>
  <c r="H41" i="3"/>
  <c r="K40" i="3"/>
  <c r="I40" i="3"/>
  <c r="H40" i="3"/>
  <c r="K39" i="3"/>
  <c r="I39" i="3"/>
  <c r="H39" i="3"/>
  <c r="K38" i="3"/>
  <c r="I38" i="3"/>
  <c r="H38" i="3"/>
  <c r="K37" i="3"/>
  <c r="I37" i="3"/>
  <c r="H37" i="3"/>
  <c r="K36" i="3"/>
  <c r="I36" i="3"/>
  <c r="H36" i="3"/>
  <c r="K35" i="3"/>
  <c r="I35" i="3"/>
  <c r="H35" i="3"/>
  <c r="K34" i="3"/>
  <c r="I34" i="3"/>
  <c r="H34" i="3"/>
  <c r="K33" i="3"/>
  <c r="I33" i="3"/>
  <c r="H33" i="3"/>
  <c r="K32" i="3"/>
  <c r="I32" i="3"/>
  <c r="H32" i="3"/>
  <c r="K31" i="3"/>
  <c r="I31" i="3"/>
  <c r="H31" i="3"/>
  <c r="K30" i="3"/>
  <c r="I30" i="3"/>
  <c r="H30" i="3"/>
  <c r="K29" i="3"/>
  <c r="I29" i="3"/>
  <c r="H29" i="3"/>
  <c r="K28" i="3"/>
  <c r="I28" i="3"/>
  <c r="H28" i="3"/>
  <c r="K27" i="3"/>
  <c r="I27" i="3"/>
  <c r="H27" i="3"/>
  <c r="K26" i="3"/>
  <c r="I26" i="3"/>
  <c r="H26" i="3"/>
  <c r="K25" i="3"/>
  <c r="I25" i="3"/>
  <c r="H25" i="3"/>
  <c r="K24" i="3"/>
  <c r="I24" i="3"/>
  <c r="H24" i="3"/>
  <c r="K23" i="3"/>
  <c r="I23" i="3"/>
  <c r="H23" i="3"/>
  <c r="K22" i="3"/>
  <c r="I22" i="3" s="1"/>
  <c r="H22" i="3"/>
  <c r="K21" i="3"/>
  <c r="I21" i="3" s="1"/>
  <c r="H21" i="3"/>
  <c r="K20" i="3"/>
  <c r="I20" i="3" s="1"/>
  <c r="H20" i="3"/>
  <c r="K19" i="3"/>
  <c r="I19" i="3" s="1"/>
  <c r="H19" i="3"/>
  <c r="K18" i="3"/>
  <c r="I18" i="3" s="1"/>
  <c r="H18" i="3"/>
  <c r="K17" i="3"/>
  <c r="I17" i="3" s="1"/>
  <c r="H17" i="3"/>
  <c r="K16" i="3"/>
  <c r="I16" i="3" s="1"/>
  <c r="H16" i="3"/>
  <c r="K15" i="3"/>
  <c r="I15" i="3" s="1"/>
  <c r="H15" i="3"/>
  <c r="K14" i="3"/>
  <c r="I14" i="3" s="1"/>
  <c r="H14" i="3"/>
  <c r="K13" i="3"/>
  <c r="I13" i="3" s="1"/>
  <c r="H13" i="3"/>
  <c r="K12" i="3"/>
  <c r="I12" i="3" s="1"/>
  <c r="H12" i="3"/>
  <c r="K11" i="3"/>
  <c r="I11" i="3" s="1"/>
  <c r="H11" i="3"/>
  <c r="K10" i="3"/>
  <c r="I10" i="3" s="1"/>
  <c r="H10" i="3"/>
  <c r="K9" i="3"/>
  <c r="I9" i="3"/>
  <c r="H9" i="3"/>
  <c r="K8" i="3"/>
  <c r="I8" i="3" s="1"/>
  <c r="H8" i="3"/>
  <c r="K7" i="3"/>
  <c r="I7" i="3"/>
  <c r="H7" i="3"/>
  <c r="K6" i="3"/>
  <c r="I6" i="3"/>
  <c r="H6" i="3"/>
  <c r="K5" i="3"/>
  <c r="I5" i="3"/>
  <c r="H5" i="3"/>
  <c r="K4" i="3"/>
  <c r="I4" i="3"/>
  <c r="H4" i="3"/>
  <c r="K3" i="3"/>
  <c r="I3" i="3"/>
  <c r="H3" i="3"/>
  <c r="K2" i="3"/>
  <c r="I2" i="3" s="1"/>
  <c r="H2" i="3"/>
  <c r="U51" i="2"/>
  <c r="T51" i="2"/>
  <c r="S51" i="2"/>
  <c r="R51" i="2"/>
  <c r="Q51" i="2"/>
  <c r="M51" i="2"/>
  <c r="L51" i="2"/>
  <c r="K51" i="2"/>
  <c r="J51" i="2"/>
  <c r="G51" i="2"/>
  <c r="U50" i="2"/>
  <c r="T50" i="2"/>
  <c r="S50" i="2"/>
  <c r="R50" i="2"/>
  <c r="Q50" i="2"/>
  <c r="M50" i="2"/>
  <c r="L50" i="2"/>
  <c r="K50" i="2"/>
  <c r="J50" i="2"/>
  <c r="G50" i="2"/>
  <c r="U49" i="2"/>
  <c r="T49" i="2"/>
  <c r="S49" i="2"/>
  <c r="R49" i="2"/>
  <c r="Q49" i="2"/>
  <c r="M49" i="2"/>
  <c r="L49" i="2"/>
  <c r="K49" i="2"/>
  <c r="J49" i="2"/>
  <c r="G49" i="2"/>
  <c r="U48" i="2"/>
  <c r="T48" i="2"/>
  <c r="S48" i="2"/>
  <c r="R48" i="2"/>
  <c r="Q48" i="2"/>
  <c r="M48" i="2"/>
  <c r="L48" i="2"/>
  <c r="K48" i="2"/>
  <c r="J48" i="2"/>
  <c r="G48" i="2"/>
  <c r="U47" i="2"/>
  <c r="T47" i="2"/>
  <c r="S47" i="2"/>
  <c r="R47" i="2"/>
  <c r="Q47" i="2"/>
  <c r="M47" i="2"/>
  <c r="L47" i="2"/>
  <c r="K47" i="2"/>
  <c r="J47" i="2"/>
  <c r="G47" i="2"/>
  <c r="U46" i="2"/>
  <c r="T46" i="2"/>
  <c r="S46" i="2"/>
  <c r="R46" i="2"/>
  <c r="Q46" i="2"/>
  <c r="M46" i="2"/>
  <c r="L46" i="2"/>
  <c r="K46" i="2"/>
  <c r="J46" i="2"/>
  <c r="G46" i="2"/>
  <c r="U45" i="2"/>
  <c r="T45" i="2"/>
  <c r="S45" i="2"/>
  <c r="R45" i="2"/>
  <c r="Q45" i="2"/>
  <c r="M45" i="2"/>
  <c r="L45" i="2"/>
  <c r="K45" i="2"/>
  <c r="J45" i="2"/>
  <c r="G45" i="2"/>
  <c r="U44" i="2"/>
  <c r="T44" i="2"/>
  <c r="S44" i="2"/>
  <c r="R44" i="2"/>
  <c r="Q44" i="2"/>
  <c r="M44" i="2"/>
  <c r="L44" i="2"/>
  <c r="K44" i="2"/>
  <c r="J44" i="2"/>
  <c r="G44" i="2"/>
  <c r="U43" i="2"/>
  <c r="T43" i="2"/>
  <c r="S43" i="2"/>
  <c r="R43" i="2"/>
  <c r="Q43" i="2"/>
  <c r="M43" i="2"/>
  <c r="L43" i="2"/>
  <c r="K43" i="2"/>
  <c r="J43" i="2"/>
  <c r="G43" i="2"/>
  <c r="U42" i="2"/>
  <c r="T42" i="2"/>
  <c r="S42" i="2"/>
  <c r="R42" i="2"/>
  <c r="Q42" i="2"/>
  <c r="M42" i="2"/>
  <c r="L42" i="2"/>
  <c r="K42" i="2"/>
  <c r="J42" i="2"/>
  <c r="G42" i="2"/>
  <c r="U41" i="2"/>
  <c r="T41" i="2"/>
  <c r="S41" i="2"/>
  <c r="R41" i="2"/>
  <c r="Q41" i="2"/>
  <c r="M41" i="2"/>
  <c r="L41" i="2"/>
  <c r="K41" i="2"/>
  <c r="J41" i="2"/>
  <c r="G41" i="2"/>
  <c r="U40" i="2"/>
  <c r="T40" i="2"/>
  <c r="S40" i="2"/>
  <c r="R40" i="2"/>
  <c r="Q40" i="2"/>
  <c r="M40" i="2"/>
  <c r="L40" i="2"/>
  <c r="K40" i="2"/>
  <c r="J40" i="2"/>
  <c r="G40" i="2"/>
  <c r="U39" i="2"/>
  <c r="T39" i="2"/>
  <c r="S39" i="2"/>
  <c r="R39" i="2"/>
  <c r="Q39" i="2"/>
  <c r="M39" i="2"/>
  <c r="L39" i="2"/>
  <c r="K39" i="2"/>
  <c r="J39" i="2"/>
  <c r="G39" i="2"/>
  <c r="U38" i="2"/>
  <c r="T38" i="2"/>
  <c r="S38" i="2"/>
  <c r="R38" i="2"/>
  <c r="Q38" i="2"/>
  <c r="M38" i="2"/>
  <c r="L38" i="2"/>
  <c r="K38" i="2"/>
  <c r="J38" i="2"/>
  <c r="G38" i="2"/>
  <c r="U37" i="2"/>
  <c r="T37" i="2"/>
  <c r="S37" i="2"/>
  <c r="R37" i="2"/>
  <c r="Q37" i="2"/>
  <c r="M37" i="2"/>
  <c r="L37" i="2"/>
  <c r="K37" i="2"/>
  <c r="J37" i="2"/>
  <c r="G37" i="2"/>
  <c r="U36" i="2"/>
  <c r="T36" i="2"/>
  <c r="S36" i="2"/>
  <c r="R36" i="2"/>
  <c r="Q36" i="2"/>
  <c r="M36" i="2"/>
  <c r="L36" i="2"/>
  <c r="K36" i="2"/>
  <c r="J36" i="2"/>
  <c r="G36" i="2"/>
  <c r="U35" i="2"/>
  <c r="T35" i="2"/>
  <c r="S35" i="2"/>
  <c r="R35" i="2"/>
  <c r="Q35" i="2"/>
  <c r="M35" i="2"/>
  <c r="L35" i="2"/>
  <c r="K35" i="2"/>
  <c r="J35" i="2"/>
  <c r="G35" i="2"/>
  <c r="U34" i="2"/>
  <c r="T34" i="2"/>
  <c r="S34" i="2"/>
  <c r="R34" i="2"/>
  <c r="Q34" i="2"/>
  <c r="M34" i="2"/>
  <c r="L34" i="2"/>
  <c r="K34" i="2"/>
  <c r="J34" i="2"/>
  <c r="G34" i="2"/>
  <c r="U33" i="2"/>
  <c r="T33" i="2"/>
  <c r="S33" i="2"/>
  <c r="R33" i="2"/>
  <c r="Q33" i="2"/>
  <c r="M33" i="2"/>
  <c r="L33" i="2"/>
  <c r="K33" i="2"/>
  <c r="J33" i="2"/>
  <c r="G33" i="2"/>
  <c r="U32" i="2"/>
  <c r="T32" i="2"/>
  <c r="S32" i="2"/>
  <c r="R32" i="2"/>
  <c r="Q32" i="2"/>
  <c r="M32" i="2"/>
  <c r="L32" i="2"/>
  <c r="K32" i="2"/>
  <c r="J32" i="2"/>
  <c r="G32" i="2"/>
  <c r="U31" i="2"/>
  <c r="T31" i="2"/>
  <c r="S31" i="2"/>
  <c r="R31" i="2"/>
  <c r="Q31" i="2"/>
  <c r="M31" i="2"/>
  <c r="L31" i="2"/>
  <c r="K31" i="2"/>
  <c r="J31" i="2"/>
  <c r="G31" i="2"/>
  <c r="U30" i="2"/>
  <c r="T30" i="2"/>
  <c r="S30" i="2"/>
  <c r="R30" i="2"/>
  <c r="Q30" i="2"/>
  <c r="M30" i="2"/>
  <c r="L30" i="2"/>
  <c r="K30" i="2"/>
  <c r="J30" i="2"/>
  <c r="G30" i="2"/>
  <c r="U29" i="2"/>
  <c r="T29" i="2"/>
  <c r="S29" i="2"/>
  <c r="R29" i="2"/>
  <c r="Q29" i="2"/>
  <c r="M29" i="2"/>
  <c r="L29" i="2"/>
  <c r="K29" i="2"/>
  <c r="J29" i="2"/>
  <c r="G29" i="2"/>
  <c r="U28" i="2"/>
  <c r="T28" i="2"/>
  <c r="S28" i="2"/>
  <c r="R28" i="2"/>
  <c r="Q28" i="2"/>
  <c r="M28" i="2"/>
  <c r="L28" i="2"/>
  <c r="K28" i="2"/>
  <c r="J28" i="2"/>
  <c r="G28" i="2"/>
  <c r="U27" i="2"/>
  <c r="T27" i="2"/>
  <c r="S27" i="2"/>
  <c r="R27" i="2"/>
  <c r="Q27" i="2"/>
  <c r="M27" i="2"/>
  <c r="L27" i="2"/>
  <c r="K27" i="2"/>
  <c r="J27" i="2"/>
  <c r="G27" i="2"/>
  <c r="U26" i="2"/>
  <c r="T26" i="2"/>
  <c r="S26" i="2"/>
  <c r="R26" i="2"/>
  <c r="Q26" i="2"/>
  <c r="M26" i="2"/>
  <c r="L26" i="2"/>
  <c r="K26" i="2"/>
  <c r="J26" i="2"/>
  <c r="G26" i="2"/>
  <c r="U25" i="2"/>
  <c r="T25" i="2"/>
  <c r="S25" i="2"/>
  <c r="R25" i="2"/>
  <c r="Q25" i="2"/>
  <c r="M25" i="2"/>
  <c r="L25" i="2"/>
  <c r="K25" i="2"/>
  <c r="J25" i="2"/>
  <c r="G25" i="2"/>
  <c r="U24" i="2"/>
  <c r="T24" i="2"/>
  <c r="S24" i="2"/>
  <c r="R24" i="2"/>
  <c r="Q24" i="2"/>
  <c r="M24" i="2"/>
  <c r="L24" i="2"/>
  <c r="K24" i="2"/>
  <c r="J24" i="2"/>
  <c r="G24" i="2"/>
  <c r="U23" i="2"/>
  <c r="T23" i="2"/>
  <c r="S23" i="2"/>
  <c r="R23" i="2"/>
  <c r="Q23" i="2"/>
  <c r="M23" i="2"/>
  <c r="L23" i="2"/>
  <c r="K23" i="2"/>
  <c r="J23" i="2"/>
  <c r="G23" i="2"/>
  <c r="U22" i="2"/>
  <c r="T22" i="2"/>
  <c r="S22" i="2"/>
  <c r="R22" i="2"/>
  <c r="Q22" i="2"/>
  <c r="M22" i="2"/>
  <c r="L22" i="2"/>
  <c r="K22" i="2"/>
  <c r="J22" i="2"/>
  <c r="G22" i="2"/>
  <c r="U21" i="2"/>
  <c r="T21" i="2"/>
  <c r="S21" i="2"/>
  <c r="R21" i="2"/>
  <c r="Q21" i="2"/>
  <c r="M21" i="2"/>
  <c r="L21" i="2"/>
  <c r="K21" i="2"/>
  <c r="J21" i="2"/>
  <c r="G21" i="2"/>
  <c r="U20" i="2"/>
  <c r="T20" i="2"/>
  <c r="S20" i="2"/>
  <c r="R20" i="2"/>
  <c r="Q20" i="2"/>
  <c r="M20" i="2"/>
  <c r="L20" i="2"/>
  <c r="K20" i="2"/>
  <c r="J20" i="2"/>
  <c r="G20" i="2"/>
  <c r="U19" i="2"/>
  <c r="T19" i="2"/>
  <c r="S19" i="2"/>
  <c r="R19" i="2"/>
  <c r="Q19" i="2"/>
  <c r="M19" i="2"/>
  <c r="L19" i="2"/>
  <c r="K19" i="2"/>
  <c r="J19" i="2"/>
  <c r="G19" i="2"/>
  <c r="U18" i="2"/>
  <c r="T18" i="2"/>
  <c r="S18" i="2"/>
  <c r="R18" i="2"/>
  <c r="Q18" i="2"/>
  <c r="M18" i="2"/>
  <c r="L18" i="2"/>
  <c r="K18" i="2"/>
  <c r="J18" i="2"/>
  <c r="G18" i="2"/>
  <c r="U17" i="2"/>
  <c r="T17" i="2"/>
  <c r="S17" i="2"/>
  <c r="R17" i="2"/>
  <c r="Q17" i="2"/>
  <c r="M17" i="2"/>
  <c r="L17" i="2"/>
  <c r="K17" i="2"/>
  <c r="J17" i="2"/>
  <c r="G17" i="2"/>
  <c r="U16" i="2"/>
  <c r="T16" i="2"/>
  <c r="S16" i="2"/>
  <c r="R16" i="2"/>
  <c r="Q16" i="2"/>
  <c r="M16" i="2"/>
  <c r="L16" i="2"/>
  <c r="K16" i="2"/>
  <c r="J16" i="2"/>
  <c r="G16" i="2"/>
  <c r="U15" i="2"/>
  <c r="T15" i="2"/>
  <c r="S15" i="2"/>
  <c r="R15" i="2"/>
  <c r="Q15" i="2"/>
  <c r="M15" i="2"/>
  <c r="L15" i="2"/>
  <c r="K15" i="2"/>
  <c r="J15" i="2"/>
  <c r="G15" i="2"/>
  <c r="U14" i="2"/>
  <c r="T14" i="2"/>
  <c r="S14" i="2"/>
  <c r="R14" i="2"/>
  <c r="Q14" i="2"/>
  <c r="M14" i="2"/>
  <c r="L14" i="2"/>
  <c r="K14" i="2"/>
  <c r="J14" i="2"/>
  <c r="G14" i="2"/>
  <c r="U13" i="2"/>
  <c r="T13" i="2"/>
  <c r="Q13" i="2"/>
  <c r="M13" i="2"/>
  <c r="L13" i="2"/>
  <c r="S13" i="2" s="1"/>
  <c r="K13" i="2"/>
  <c r="J13" i="2"/>
  <c r="R13" i="2" s="1"/>
  <c r="G13" i="2"/>
  <c r="U12" i="2"/>
  <c r="M12" i="2" s="1"/>
  <c r="S12" i="2" s="1"/>
  <c r="T12" i="2"/>
  <c r="Q12" i="2"/>
  <c r="L12" i="2"/>
  <c r="K12" i="2"/>
  <c r="J12" i="2"/>
  <c r="R12" i="2" s="1"/>
  <c r="U11" i="2"/>
  <c r="T11" i="2"/>
  <c r="Q11" i="2"/>
  <c r="M11" i="2"/>
  <c r="J11" i="2"/>
  <c r="R11" i="2" s="1"/>
  <c r="G11" i="2"/>
  <c r="U10" i="2"/>
  <c r="M10" i="2" s="1"/>
  <c r="T10" i="2"/>
  <c r="Q10" i="2"/>
  <c r="J10" i="2"/>
  <c r="R10" i="2" s="1"/>
  <c r="U9" i="2"/>
  <c r="T9" i="2"/>
  <c r="Q9" i="2"/>
  <c r="M9" i="2"/>
  <c r="J9" i="2"/>
  <c r="R9" i="2" s="1"/>
  <c r="G9" i="2"/>
  <c r="U8" i="2"/>
  <c r="M8" i="2" s="1"/>
  <c r="T8" i="2"/>
  <c r="Q8" i="2"/>
  <c r="J8" i="2"/>
  <c r="R8" i="2" s="1"/>
  <c r="U7" i="2"/>
  <c r="T7" i="2"/>
  <c r="Q7" i="2"/>
  <c r="M7" i="2"/>
  <c r="J7" i="2"/>
  <c r="R7" i="2" s="1"/>
  <c r="G7" i="2"/>
  <c r="U6" i="2"/>
  <c r="M6" i="2" s="1"/>
  <c r="T6" i="2"/>
  <c r="Q6" i="2"/>
  <c r="J6" i="2"/>
  <c r="R6" i="2" s="1"/>
  <c r="U5" i="2"/>
  <c r="T5" i="2"/>
  <c r="Q5" i="2"/>
  <c r="M5" i="2"/>
  <c r="J5" i="2"/>
  <c r="R5" i="2" s="1"/>
  <c r="G5" i="2"/>
  <c r="U4" i="2"/>
  <c r="G4" i="2" s="1"/>
  <c r="T4" i="2"/>
  <c r="Q4" i="2"/>
  <c r="M4" i="2"/>
  <c r="J4" i="2"/>
  <c r="R4" i="2" s="1"/>
  <c r="U3" i="2"/>
  <c r="T3" i="2"/>
  <c r="Q3" i="2"/>
  <c r="M3" i="2"/>
  <c r="J3" i="2"/>
  <c r="R3" i="2" s="1"/>
  <c r="G3" i="2"/>
  <c r="U2" i="2"/>
  <c r="G2" i="2" s="1"/>
  <c r="T2" i="2"/>
  <c r="Q2" i="2"/>
  <c r="M2" i="2"/>
  <c r="J2" i="2"/>
  <c r="R2" i="2" s="1"/>
  <c r="A35" i="1"/>
  <c r="C35" i="1" s="1"/>
  <c r="B34" i="1"/>
  <c r="A34" i="1"/>
  <c r="C34" i="1" s="1"/>
  <c r="C33" i="1"/>
  <c r="B33" i="1"/>
  <c r="A33" i="1"/>
  <c r="C32" i="1"/>
  <c r="B32" i="1"/>
  <c r="A32" i="1"/>
  <c r="A31" i="1"/>
  <c r="C31" i="1" s="1"/>
  <c r="B30" i="1"/>
  <c r="A30" i="1"/>
  <c r="C30" i="1" s="1"/>
  <c r="L29" i="1"/>
  <c r="J29" i="1"/>
  <c r="I29" i="1"/>
  <c r="H29" i="1"/>
  <c r="G29" i="1"/>
  <c r="C29" i="1"/>
  <c r="B29" i="1"/>
  <c r="A29" i="1"/>
  <c r="L28" i="1"/>
  <c r="J28" i="1"/>
  <c r="I28" i="1"/>
  <c r="H28" i="1"/>
  <c r="G28" i="1"/>
  <c r="B28" i="1"/>
  <c r="A28" i="1"/>
  <c r="C28" i="1" s="1"/>
  <c r="L27" i="1"/>
  <c r="J27" i="1"/>
  <c r="I27" i="1"/>
  <c r="H27" i="1"/>
  <c r="G27" i="1"/>
  <c r="C27" i="1"/>
  <c r="B27" i="1"/>
  <c r="A27" i="1"/>
  <c r="L26" i="1"/>
  <c r="J26" i="1"/>
  <c r="I26" i="1"/>
  <c r="H26" i="1"/>
  <c r="G26" i="1"/>
  <c r="B26" i="1"/>
  <c r="A26" i="1"/>
  <c r="C26" i="1" s="1"/>
  <c r="L25" i="1"/>
  <c r="J25" i="1"/>
  <c r="I25" i="1"/>
  <c r="H25" i="1"/>
  <c r="G25" i="1"/>
  <c r="C25" i="1"/>
  <c r="B25" i="1"/>
  <c r="A25" i="1"/>
  <c r="L24" i="1"/>
  <c r="J24" i="1"/>
  <c r="I24" i="1"/>
  <c r="H24" i="1"/>
  <c r="G24" i="1"/>
  <c r="B24" i="1"/>
  <c r="A24" i="1"/>
  <c r="C24" i="1" s="1"/>
  <c r="G19" i="1"/>
  <c r="B17" i="1"/>
  <c r="B16" i="1"/>
  <c r="B15" i="1"/>
  <c r="B14" i="1"/>
  <c r="H13" i="1"/>
  <c r="B13" i="1"/>
  <c r="C15" i="1" s="1"/>
  <c r="H11" i="1"/>
  <c r="H6" i="1"/>
  <c r="H12" i="1" s="1"/>
  <c r="H5" i="1"/>
  <c r="H10" i="1" s="1"/>
  <c r="E33" i="1" l="1"/>
  <c r="E32" i="1"/>
  <c r="E29" i="1"/>
  <c r="E27" i="1"/>
  <c r="E25" i="1"/>
  <c r="E31" i="1"/>
  <c r="E35" i="1"/>
  <c r="E28" i="1"/>
  <c r="E26" i="1"/>
  <c r="E24" i="1"/>
  <c r="E30" i="1"/>
  <c r="E34" i="1"/>
  <c r="C17" i="1"/>
  <c r="K3" i="2"/>
  <c r="L3" i="2" s="1"/>
  <c r="S3" i="2" s="1"/>
  <c r="K5" i="2"/>
  <c r="L5" i="2" s="1"/>
  <c r="S5" i="2" s="1"/>
  <c r="K7" i="2"/>
  <c r="L7" i="2" s="1"/>
  <c r="S7" i="2" s="1"/>
  <c r="K9" i="2"/>
  <c r="L9" i="2" s="1"/>
  <c r="S9" i="2" s="1"/>
  <c r="K11" i="2"/>
  <c r="L11" i="2" s="1"/>
  <c r="S11" i="2" s="1"/>
  <c r="D24" i="1"/>
  <c r="D26" i="1"/>
  <c r="D28" i="1"/>
  <c r="D30" i="1"/>
  <c r="B31" i="1"/>
  <c r="D33" i="1" s="1"/>
  <c r="B35" i="1"/>
  <c r="C13" i="1"/>
  <c r="C14" i="1"/>
  <c r="G6" i="2"/>
  <c r="G8" i="2"/>
  <c r="G10" i="2"/>
  <c r="G12" i="2"/>
  <c r="K2" i="2"/>
  <c r="K4" i="2"/>
  <c r="L4" i="2" s="1"/>
  <c r="S4" i="2" s="1"/>
  <c r="K6" i="2"/>
  <c r="L6" i="2" s="1"/>
  <c r="S6" i="2" s="1"/>
  <c r="K8" i="2"/>
  <c r="L8" i="2" s="1"/>
  <c r="S8" i="2" s="1"/>
  <c r="K10" i="2"/>
  <c r="L10" i="2" s="1"/>
  <c r="S10" i="2" s="1"/>
  <c r="D25" i="1"/>
  <c r="D27" i="1"/>
  <c r="D29" i="1"/>
  <c r="C16" i="1"/>
  <c r="L2" i="2" l="1"/>
  <c r="S2" i="2" s="1"/>
  <c r="G18" i="1" s="1"/>
  <c r="H7" i="1"/>
  <c r="H8" i="1" s="1"/>
  <c r="H9" i="1" s="1"/>
  <c r="D35" i="1"/>
  <c r="D31" i="1"/>
  <c r="D34" i="1"/>
  <c r="D32" i="1"/>
  <c r="G17" i="1" l="1"/>
  <c r="H4" i="1"/>
</calcChain>
</file>

<file path=xl/sharedStrings.xml><?xml version="1.0" encoding="utf-8"?>
<sst xmlns="http://schemas.openxmlformats.org/spreadsheetml/2006/main" count="424" uniqueCount="240">
  <si>
    <t>Projektcontrolling Excel Vorlage 2026</t>
  </si>
  <si>
    <t>Projektinformationen</t>
  </si>
  <si>
    <t>Executive Summary</t>
  </si>
  <si>
    <t>Projektname</t>
  </si>
  <si>
    <t>Musterprojekt 2026</t>
  </si>
  <si>
    <t>Gesamtstatus</t>
  </si>
  <si>
    <t>Statusstichtag</t>
  </si>
  <si>
    <t>2026-07-06</t>
  </si>
  <si>
    <t>Budget Soll</t>
  </si>
  <si>
    <t>Projektleitung</t>
  </si>
  <si>
    <t>Projektleitung Musterteam</t>
  </si>
  <si>
    <t>Ist-Kosten</t>
  </si>
  <si>
    <t>Geplanter Start</t>
  </si>
  <si>
    <t>2026-01-08</t>
  </si>
  <si>
    <t>Prognose bis Abschluss</t>
  </si>
  <si>
    <t>Geplantes Ende</t>
  </si>
  <si>
    <t>2026-11-20</t>
  </si>
  <si>
    <t>Budgetabweichung</t>
  </si>
  <si>
    <t>Abweichung in %</t>
  </si>
  <si>
    <t>Gewichteter Fortschritt</t>
  </si>
  <si>
    <t>Statusübersicht Arbeitspakete</t>
  </si>
  <si>
    <t>Earned Value</t>
  </si>
  <si>
    <t>Status</t>
  </si>
  <si>
    <t>Anzahl</t>
  </si>
  <si>
    <t>Anteil</t>
  </si>
  <si>
    <t>CPI</t>
  </si>
  <si>
    <t>Nicht begonnen</t>
  </si>
  <si>
    <t>Max. Risikowert</t>
  </si>
  <si>
    <t>In Arbeit</t>
  </si>
  <si>
    <t>Blockiert</t>
  </si>
  <si>
    <t>Abgeschlossen</t>
  </si>
  <si>
    <t>Steuerungsbedarf / Hinweise</t>
  </si>
  <si>
    <t>Pausiert</t>
  </si>
  <si>
    <t>Budget</t>
  </si>
  <si>
    <t>Termin</t>
  </si>
  <si>
    <t>Risiko</t>
  </si>
  <si>
    <t>Monatliches Kostencontrolling 2026</t>
  </si>
  <si>
    <t>Risikomonitor</t>
  </si>
  <si>
    <t>Monat</t>
  </si>
  <si>
    <t>Planbudget fällig</t>
  </si>
  <si>
    <t>Plan kumuliert</t>
  </si>
  <si>
    <t>Ist kumuliert</t>
  </si>
  <si>
    <t>Risiko-ID</t>
  </si>
  <si>
    <t>Bereich</t>
  </si>
  <si>
    <t>Risikowert</t>
  </si>
  <si>
    <t>Fälligkeit</t>
  </si>
  <si>
    <t>Maßnahme</t>
  </si>
  <si>
    <t>2026-07-17</t>
  </si>
  <si>
    <t>2026-07-24</t>
  </si>
  <si>
    <t>2026-07-31</t>
  </si>
  <si>
    <t>2026-08-07</t>
  </si>
  <si>
    <t>2026-07-10</t>
  </si>
  <si>
    <t>2026-08-21</t>
  </si>
  <si>
    <t>Hinweis zur Nutzung</t>
  </si>
  <si>
    <t>Blau hinterlegte bzw. tabellarische Eingabebereiche können angepasst werden. Formeln berechnen Budget, Ist-Kosten, Prognose, Abweichungen, Fortschritt, CPI und Ampeln automatisch.</t>
  </si>
  <si>
    <t>Für neue Projekte können die Beispieldaten ersetzt oder erweitert werden; die Listen liefern Dropdowns für konsistente Eingaben.</t>
  </si>
  <si>
    <t>AP-ID</t>
  </si>
  <si>
    <t>Phase</t>
  </si>
  <si>
    <t>Arbeitspaket</t>
  </si>
  <si>
    <t>Verantwortlich</t>
  </si>
  <si>
    <t>Start</t>
  </si>
  <si>
    <t>Ende</t>
  </si>
  <si>
    <t>Dauer
(Tage)</t>
  </si>
  <si>
    <t>Fortschritt</t>
  </si>
  <si>
    <t>Prognose
bis Abschluss</t>
  </si>
  <si>
    <t>Abweichung</t>
  </si>
  <si>
    <t>Terminverzug
(Tage)</t>
  </si>
  <si>
    <t>Priorität</t>
  </si>
  <si>
    <t>Bemerkung</t>
  </si>
  <si>
    <t>Ampel</t>
  </si>
  <si>
    <t>StartDatum</t>
  </si>
  <si>
    <t>EndDatum</t>
  </si>
  <si>
    <t>AP-001</t>
  </si>
  <si>
    <t>Initiierung</t>
  </si>
  <si>
    <t>Projektauftrag und Zielbild klären</t>
  </si>
  <si>
    <t>2026-01-16</t>
  </si>
  <si>
    <t>Hoch</t>
  </si>
  <si>
    <t>Freigegebenes Zielbild liegt vor.</t>
  </si>
  <si>
    <t>AP-002</t>
  </si>
  <si>
    <t>Stakeholder- und Anforderungssammlung</t>
  </si>
  <si>
    <t>Fachbereich</t>
  </si>
  <si>
    <t>2026-01-19</t>
  </si>
  <si>
    <t>2026-02-06</t>
  </si>
  <si>
    <t>Kernanforderungen priorisiert.</t>
  </si>
  <si>
    <t>AP-003</t>
  </si>
  <si>
    <t>Planung</t>
  </si>
  <si>
    <t>Termin-, Ressourcen- und Budgetplanung</t>
  </si>
  <si>
    <t>Controlling</t>
  </si>
  <si>
    <t>2026-02-09</t>
  </si>
  <si>
    <t>2026-02-27</t>
  </si>
  <si>
    <t>Basisplan Version 1.0 erstellt.</t>
  </si>
  <si>
    <t>AP-004</t>
  </si>
  <si>
    <t>Fachliches Konzept und Abnahmekriterien</t>
  </si>
  <si>
    <t>2026-03-02</t>
  </si>
  <si>
    <t>2026-03-27</t>
  </si>
  <si>
    <t>Letzte fachliche Rückmeldungen offen.</t>
  </si>
  <si>
    <t>AP-005</t>
  </si>
  <si>
    <t>Umsetzung</t>
  </si>
  <si>
    <t>Umsetzung Arbeitspaket A</t>
  </si>
  <si>
    <t>Umsetzungsteam</t>
  </si>
  <si>
    <t>2026-03-30</t>
  </si>
  <si>
    <t>2026-05-29</t>
  </si>
  <si>
    <t>Leichte Mehrkosten durch Zusatzabstimmungen.</t>
  </si>
  <si>
    <t>AP-006</t>
  </si>
  <si>
    <t>Umsetzung Arbeitspaket B</t>
  </si>
  <si>
    <t>2026-04-20</t>
  </si>
  <si>
    <t>2026-07-03</t>
  </si>
  <si>
    <t>Kapazität im Juli kritisch.</t>
  </si>
  <si>
    <t>AP-007</t>
  </si>
  <si>
    <t>Steuerung</t>
  </si>
  <si>
    <t>Projektcontrolling und Statusreporting</t>
  </si>
  <si>
    <t>2026-10-30</t>
  </si>
  <si>
    <t>Mittel</t>
  </si>
  <si>
    <t>Monatlicher Soll-Ist-Abgleich aktiv.</t>
  </si>
  <si>
    <t>AP-008</t>
  </si>
  <si>
    <t>Lieferanten- und Schnittstellenkoordination</t>
  </si>
  <si>
    <t>Externer Partner</t>
  </si>
  <si>
    <t>2026-03-16</t>
  </si>
  <si>
    <t>2026-08-14</t>
  </si>
  <si>
    <t>Abhängigkeit zu externen Terminen beachten.</t>
  </si>
  <si>
    <t>AP-009</t>
  </si>
  <si>
    <t>Abnahme</t>
  </si>
  <si>
    <t>Qualitätssicherung und Testdurchführung</t>
  </si>
  <si>
    <t>Qualitätssicherung</t>
  </si>
  <si>
    <t>2026-06-01</t>
  </si>
  <si>
    <t>2026-09-11</t>
  </si>
  <si>
    <t>Testfälle werden sukzessive ergänzt.</t>
  </si>
  <si>
    <t>AP-010</t>
  </si>
  <si>
    <t>Schulung, Übergabe und Dokumentation</t>
  </si>
  <si>
    <t>2026-08-03</t>
  </si>
  <si>
    <t>2026-09-25</t>
  </si>
  <si>
    <t>Material wird aus Konzept abgeleitet.</t>
  </si>
  <si>
    <t>AP-011</t>
  </si>
  <si>
    <t>Abnahmevorbereitung und Entscheidungsvorlage</t>
  </si>
  <si>
    <t>2026-09-14</t>
  </si>
  <si>
    <t>2026-10-09</t>
  </si>
  <si>
    <t>Noch nicht gestartet.</t>
  </si>
  <si>
    <t>AP-012</t>
  </si>
  <si>
    <t>Abschluss</t>
  </si>
  <si>
    <t>Einführung, Nachlauf und Projektabschluss</t>
  </si>
  <si>
    <t>2026-10-12</t>
  </si>
  <si>
    <t>Abschlussphase nach Freigabe.</t>
  </si>
  <si>
    <t>Datum</t>
  </si>
  <si>
    <t>Kostenart</t>
  </si>
  <si>
    <t>Beschreibung</t>
  </si>
  <si>
    <t>Ressource/Lieferant</t>
  </si>
  <si>
    <t>Menge/Std.</t>
  </si>
  <si>
    <t>Satz/Preis</t>
  </si>
  <si>
    <t>Betrag IST</t>
  </si>
  <si>
    <t>Rechnungsstatus</t>
  </si>
  <si>
    <t>DatumWert</t>
  </si>
  <si>
    <t>2026-01-12</t>
  </si>
  <si>
    <t>Personal</t>
  </si>
  <si>
    <t>Projektstart und Abstimmungsrunde</t>
  </si>
  <si>
    <t>Bezahlt</t>
  </si>
  <si>
    <t>2026-01-20</t>
  </si>
  <si>
    <t>Interviews und Anforderungsworkshops</t>
  </si>
  <si>
    <t>2026-01-30</t>
  </si>
  <si>
    <t>Extern</t>
  </si>
  <si>
    <t>Moderation Anforderungsworkshop</t>
  </si>
  <si>
    <t>2026-02-12</t>
  </si>
  <si>
    <t>Planung und Baseline</t>
  </si>
  <si>
    <t>2026-02-25</t>
  </si>
  <si>
    <t>Lizenz</t>
  </si>
  <si>
    <t>Planungstool und Reporting-Zugänge</t>
  </si>
  <si>
    <t>2026-03-06</t>
  </si>
  <si>
    <t>Fachkonzept erstellen</t>
  </si>
  <si>
    <t>2026-03-20</t>
  </si>
  <si>
    <t>Review fachliches Konzept</t>
  </si>
  <si>
    <t>2026-03-31</t>
  </si>
  <si>
    <t>Umsetzung Paket A Sprint 1</t>
  </si>
  <si>
    <t>2026-04-17</t>
  </si>
  <si>
    <t>Umsetzung Paket A Sprint 2</t>
  </si>
  <si>
    <t>2026-04-24</t>
  </si>
  <si>
    <t>Vorbereitung Paket B</t>
  </si>
  <si>
    <t>2026-04-30</t>
  </si>
  <si>
    <t>Monatsreport März/April</t>
  </si>
  <si>
    <t>2026-05-08</t>
  </si>
  <si>
    <t>Schnittstellenabstimmung</t>
  </si>
  <si>
    <t>2026-05-15</t>
  </si>
  <si>
    <t>Umsetzung Paket A Nacharbeiten</t>
  </si>
  <si>
    <t>2026-05-28</t>
  </si>
  <si>
    <t>Umsetzung Paket B Sprint 1</t>
  </si>
  <si>
    <t>Reisekosten</t>
  </si>
  <si>
    <t>Vor-Ort-Abstimmung</t>
  </si>
  <si>
    <t>2026-06-05</t>
  </si>
  <si>
    <t>Testplanung und Testfälle</t>
  </si>
  <si>
    <t>Freigegeben</t>
  </si>
  <si>
    <t>2026-06-12</t>
  </si>
  <si>
    <t>Umsetzung Paket B Sprint 2</t>
  </si>
  <si>
    <t>2026-06-19</t>
  </si>
  <si>
    <t>Material</t>
  </si>
  <si>
    <t>Testdaten und Prüfumgebung</t>
  </si>
  <si>
    <t>Offen</t>
  </si>
  <si>
    <t>2026-06-26</t>
  </si>
  <si>
    <t>Statusbericht und Abweichungsanalyse</t>
  </si>
  <si>
    <t>Koordination externer Beiträge</t>
  </si>
  <si>
    <t>Erste Schulungsstruktur</t>
  </si>
  <si>
    <t>Wahrscheinlichkeit</t>
  </si>
  <si>
    <t>Auswirkung</t>
  </si>
  <si>
    <t>Restwert</t>
  </si>
  <si>
    <t>Kommentar</t>
  </si>
  <si>
    <t>R-001</t>
  </si>
  <si>
    <t>Umfang</t>
  </si>
  <si>
    <t>Zusätzliche Anforderungen erhöhen den Aufwand.</t>
  </si>
  <si>
    <t>Maßnahme läuft</t>
  </si>
  <si>
    <t>Änderungen über Change-Log priorisieren und separat freigeben.</t>
  </si>
  <si>
    <t>Puffer im Budget prüfen.</t>
  </si>
  <si>
    <t>R-002</t>
  </si>
  <si>
    <t>Ressourcen</t>
  </si>
  <si>
    <t>Kapazitätsengpass im Umsetzungsteam.</t>
  </si>
  <si>
    <t>Ersatzkapazität und Priorisierung kritischer Aufgaben klären.</t>
  </si>
  <si>
    <t>Kann Terminplan beeinflussen.</t>
  </si>
  <si>
    <t>R-003</t>
  </si>
  <si>
    <t>Liefertermine externer Beiträge verschieben sich.</t>
  </si>
  <si>
    <t>In Beobachtung</t>
  </si>
  <si>
    <t>Wöchentliche Abstimmung mit Eskalationsweg einführen.</t>
  </si>
  <si>
    <t>Abhängigkeit zu AP-008.</t>
  </si>
  <si>
    <t>R-004</t>
  </si>
  <si>
    <t>Qualität</t>
  </si>
  <si>
    <t>Testabdeckung reicht für Abnahme nicht aus.</t>
  </si>
  <si>
    <t>Testfälle nach Kritikalität ergänzen.</t>
  </si>
  <si>
    <t>Frühwarnwert im Blick behalten.</t>
  </si>
  <si>
    <t>R-005</t>
  </si>
  <si>
    <t>Kostenprognose überschreitet den Puffer.</t>
  </si>
  <si>
    <t>Monatliche Prognose mit Ist-Kosten und Restaufwand aktualisieren.</t>
  </si>
  <si>
    <t>CPI als Indikator nutzen.</t>
  </si>
  <si>
    <t>R-006</t>
  </si>
  <si>
    <t>Akzeptanz</t>
  </si>
  <si>
    <t>Nutzerakzeptanz bleibt hinter Erwartung zurück.</t>
  </si>
  <si>
    <t>Frühzeitige Schulungsinhalte und Feedbackrunde einplanen.</t>
  </si>
  <si>
    <t>Relevant für Übergabe.</t>
  </si>
  <si>
    <t>Risikostatus</t>
  </si>
  <si>
    <t>Rolle/Verantwortung</t>
  </si>
  <si>
    <t>Grün</t>
  </si>
  <si>
    <t>Gelb</t>
  </si>
  <si>
    <t>Niedrig</t>
  </si>
  <si>
    <t>Rot</t>
  </si>
  <si>
    <t>Geschlossen</t>
  </si>
  <si>
    <t>Sonstiges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</si>
</sst>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\€\ #,##0"/>
    <numFmt numFmtId="166" formatCode="0.0%"/>
    <numFmt numFmtId="167" formatCode="mmm\ yyyy"/>
  </numFmts>
  <fonts count="6" x14ac:knownFonts="1">
    <font>
      <sz val="11"/>
      <name val="Carlito"/>
    </font>
    <font>
      <b/>
      <sz val="11"/>
      <color rgb="FFFFFFFF"/>
      <name val="Calibri"/>
    </font>
    <font>
      <sz val="11"/>
      <color rgb="FF0F172A"/>
      <name val="Calibri"/>
    </font>
    <font>
      <b/>
      <sz val="18"/>
      <color rgb="FFFFFFFF"/>
      <name val="Calibri"/>
    </font>
    <font>
      <b/>
      <sz val="11"/>
      <color rgb="FF0F172A"/>
      <name val="Calibri"/>
    </font>
    <font>
      <sz val="11"/>
      <name val="Carlito"/>
    </font>
  </fonts>
  <fills count="9">
    <fill>
      <patternFill patternType="none"/>
    </fill>
    <fill>
      <patternFill patternType="gray125"/>
    </fill>
    <fill>
      <patternFill patternType="solid">
        <fgColor rgb="FFF8FAFC"/>
      </patternFill>
    </fill>
    <fill>
      <patternFill patternType="solid">
        <fgColor rgb="FFE0F2FE"/>
      </patternFill>
    </fill>
    <fill>
      <patternFill patternType="solid">
        <fgColor rgb="FFFFFFFF"/>
      </patternFill>
    </fill>
    <fill>
      <patternFill patternType="solid">
        <fgColor rgb="FF1E293B"/>
      </patternFill>
    </fill>
    <fill>
      <patternFill patternType="solid">
        <fgColor rgb="FF0F766E"/>
      </patternFill>
    </fill>
    <fill>
      <patternFill patternType="solid">
        <fgColor rgb="FF334155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 wrapText="1"/>
    </xf>
    <xf numFmtId="0" fontId="2" fillId="3" borderId="0" xfId="1" applyFont="1" applyFill="1" applyAlignment="1">
      <alignment vertical="center" wrapText="1"/>
    </xf>
    <xf numFmtId="9" fontId="2" fillId="0" borderId="0" xfId="1" applyNumberFormat="1" applyFont="1" applyAlignment="1">
      <alignment vertical="center" wrapText="1"/>
    </xf>
    <xf numFmtId="167" fontId="2" fillId="0" borderId="0" xfId="1" applyNumberFormat="1" applyFont="1" applyAlignment="1">
      <alignment vertical="center" wrapText="1"/>
    </xf>
    <xf numFmtId="165" fontId="2" fillId="0" borderId="0" xfId="1" applyNumberFormat="1" applyFont="1" applyAlignment="1">
      <alignment vertical="center" wrapText="1"/>
    </xf>
    <xf numFmtId="2" fontId="2" fillId="0" borderId="0" xfId="1" applyNumberFormat="1" applyFont="1" applyAlignment="1">
      <alignment vertical="center" wrapText="1"/>
    </xf>
    <xf numFmtId="4" fontId="2" fillId="0" borderId="0" xfId="1" applyNumberFormat="1" applyFont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4" fillId="4" borderId="0" xfId="1" applyFont="1" applyFill="1" applyAlignment="1">
      <alignment horizontal="right" vertical="center" wrapText="1"/>
    </xf>
    <xf numFmtId="165" fontId="4" fillId="4" borderId="0" xfId="1" applyNumberFormat="1" applyFont="1" applyFill="1" applyAlignment="1">
      <alignment horizontal="right" vertical="center" wrapText="1"/>
    </xf>
    <xf numFmtId="166" fontId="4" fillId="4" borderId="0" xfId="1" applyNumberFormat="1" applyFont="1" applyFill="1" applyAlignment="1">
      <alignment horizontal="right" vertical="center" wrapText="1"/>
    </xf>
    <xf numFmtId="2" fontId="4" fillId="4" borderId="0" xfId="1" applyNumberFormat="1" applyFont="1" applyFill="1" applyAlignment="1">
      <alignment horizontal="right" vertical="center" wrapText="1"/>
    </xf>
    <xf numFmtId="0" fontId="1" fillId="5" borderId="0" xfId="1" applyFont="1" applyFill="1" applyAlignment="1">
      <alignment horizontal="center" vertical="center" wrapText="1"/>
    </xf>
    <xf numFmtId="1" fontId="4" fillId="4" borderId="0" xfId="1" applyNumberFormat="1" applyFont="1" applyFill="1" applyAlignment="1">
      <alignment horizontal="right" vertical="center" wrapText="1"/>
    </xf>
    <xf numFmtId="49" fontId="2" fillId="0" borderId="0" xfId="1" applyNumberFormat="1" applyFont="1" applyAlignment="1">
      <alignment vertical="center" wrapText="1"/>
    </xf>
    <xf numFmtId="49" fontId="2" fillId="3" borderId="0" xfId="1" applyNumberFormat="1" applyFont="1" applyFill="1" applyAlignment="1">
      <alignment vertical="center" wrapText="1"/>
    </xf>
    <xf numFmtId="0" fontId="3" fillId="5" borderId="0" xfId="1" applyFont="1" applyFill="1" applyAlignment="1">
      <alignment horizontal="center" vertical="center" wrapText="1"/>
    </xf>
    <xf numFmtId="0" fontId="1" fillId="6" borderId="0" xfId="1" applyFont="1" applyFill="1" applyAlignment="1">
      <alignment horizontal="center" vertical="center" wrapText="1"/>
    </xf>
    <xf numFmtId="0" fontId="1" fillId="7" borderId="0" xfId="1" applyFont="1" applyFill="1" applyAlignment="1">
      <alignment horizontal="center" vertical="center" wrapText="1"/>
    </xf>
    <xf numFmtId="0" fontId="2" fillId="4" borderId="0" xfId="1" applyFont="1" applyFill="1" applyAlignment="1">
      <alignment vertical="center" wrapText="1"/>
    </xf>
    <xf numFmtId="0" fontId="1" fillId="5" borderId="0" xfId="1" applyFont="1" applyFill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2" fillId="8" borderId="0" xfId="1" applyFont="1" applyFill="1" applyAlignment="1">
      <alignment vertical="center" wrapText="1"/>
    </xf>
  </cellXfs>
  <cellStyles count="2">
    <cellStyle name="Normal" xfId="1" xr:uid="{00000000-0005-0000-0000-000000000000}"/>
    <cellStyle name="Standard" xfId="0" builtinId="0"/>
  </cellStyles>
  <dxfs count="8">
    <dxf>
      <font>
        <b/>
        <color rgb="FFDC2626"/>
      </font>
      <fill>
        <patternFill>
          <bgColor rgb="FFFEE2E2"/>
        </patternFill>
      </fill>
    </dxf>
    <dxf>
      <font>
        <b/>
        <color rgb="FF92400E"/>
      </font>
      <fill>
        <patternFill>
          <bgColor rgb="FFFEF3C7"/>
        </patternFill>
      </fill>
    </dxf>
    <dxf>
      <font>
        <b/>
        <color rgb="FF16A34A"/>
      </font>
      <fill>
        <patternFill>
          <bgColor rgb="FFDCFCE7"/>
        </patternFill>
      </fill>
    </dxf>
    <dxf>
      <font>
        <color rgb="FFDC2626"/>
      </font>
      <fill>
        <patternFill>
          <bgColor rgb="FFFEE2E2"/>
        </patternFill>
      </fill>
    </dxf>
    <dxf>
      <font>
        <b/>
        <color rgb="FFDC2626"/>
      </font>
      <fill>
        <patternFill>
          <bgColor rgb="FFFEE2E2"/>
        </patternFill>
      </fill>
    </dxf>
    <dxf>
      <font>
        <b/>
        <color rgb="FFDC2626"/>
      </font>
      <fill>
        <patternFill>
          <bgColor rgb="FFFEE2E2"/>
        </patternFill>
      </fill>
    </dxf>
    <dxf>
      <font>
        <b/>
        <color rgb="FF92400E"/>
      </font>
      <fill>
        <patternFill>
          <bgColor rgb="FFFEF3C7"/>
        </patternFill>
      </fill>
    </dxf>
    <dxf>
      <font>
        <b/>
        <color rgb="FF16A34A"/>
      </font>
      <fill>
        <patternFill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Kostenverlauf 2026: Plan vs. Ist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Planbudget fällig</c:v>
          </c:tx>
          <c:cat>
            <c:numRef>
              <c:f>Übersicht!$A$24:$A$35</c:f>
              <c:numCache>
                <c:formatCode>mmm\ yyyy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Übersicht!$B$24:$B$35</c:f>
              <c:numCache>
                <c:formatCode>\€\ #,##0</c:formatCode>
                <c:ptCount val="12"/>
                <c:pt idx="0">
                  <c:v>12000</c:v>
                </c:pt>
                <c:pt idx="1">
                  <c:v>33500</c:v>
                </c:pt>
                <c:pt idx="2">
                  <c:v>28500</c:v>
                </c:pt>
                <c:pt idx="3">
                  <c:v>0</c:v>
                </c:pt>
                <c:pt idx="4">
                  <c:v>66000</c:v>
                </c:pt>
                <c:pt idx="5">
                  <c:v>0</c:v>
                </c:pt>
                <c:pt idx="6">
                  <c:v>74000</c:v>
                </c:pt>
                <c:pt idx="7">
                  <c:v>21000</c:v>
                </c:pt>
                <c:pt idx="8">
                  <c:v>58000</c:v>
                </c:pt>
                <c:pt idx="9">
                  <c:v>39000</c:v>
                </c:pt>
                <c:pt idx="10">
                  <c:v>26500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CA8-9FEF-EB80F93AB0D5}"/>
            </c:ext>
          </c:extLst>
        </c:ser>
        <c:ser>
          <c:idx val="1"/>
          <c:order val="1"/>
          <c:tx>
            <c:v>Ist-Kosten</c:v>
          </c:tx>
          <c:cat>
            <c:numRef>
              <c:f>Übersicht!$A$24:$A$35</c:f>
              <c:numCache>
                <c:formatCode>mmm\ yyyy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Übersicht!$C$24:$C$35</c:f>
              <c:numCache>
                <c:formatCode>\€\ #,##0</c:formatCode>
                <c:ptCount val="12"/>
                <c:pt idx="0">
                  <c:v>12670</c:v>
                </c:pt>
                <c:pt idx="1">
                  <c:v>8420</c:v>
                </c:pt>
                <c:pt idx="2">
                  <c:v>28768</c:v>
                </c:pt>
                <c:pt idx="3">
                  <c:v>26696</c:v>
                </c:pt>
                <c:pt idx="4">
                  <c:v>30756</c:v>
                </c:pt>
                <c:pt idx="5">
                  <c:v>27966</c:v>
                </c:pt>
                <c:pt idx="6">
                  <c:v>5700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CA8-9FEF-EB80F93AB0D5}"/>
            </c:ext>
          </c:extLst>
        </c:ser>
        <c:ser>
          <c:idx val="2"/>
          <c:order val="2"/>
          <c:tx>
            <c:v>Plan kumuliert</c:v>
          </c:tx>
          <c:cat>
            <c:numRef>
              <c:f>Übersicht!$A$24:$A$35</c:f>
              <c:numCache>
                <c:formatCode>mmm\ yyyy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Übersicht!$D$24:$D$35</c:f>
              <c:numCache>
                <c:formatCode>\€\ #,##0</c:formatCode>
                <c:ptCount val="12"/>
                <c:pt idx="0">
                  <c:v>12000</c:v>
                </c:pt>
                <c:pt idx="1">
                  <c:v>45500</c:v>
                </c:pt>
                <c:pt idx="2">
                  <c:v>74000</c:v>
                </c:pt>
                <c:pt idx="3">
                  <c:v>74000</c:v>
                </c:pt>
                <c:pt idx="4">
                  <c:v>140000</c:v>
                </c:pt>
                <c:pt idx="5">
                  <c:v>140000</c:v>
                </c:pt>
                <c:pt idx="6">
                  <c:v>214000</c:v>
                </c:pt>
                <c:pt idx="7">
                  <c:v>235000</c:v>
                </c:pt>
                <c:pt idx="8">
                  <c:v>293000</c:v>
                </c:pt>
                <c:pt idx="9">
                  <c:v>332000</c:v>
                </c:pt>
                <c:pt idx="10">
                  <c:v>358500</c:v>
                </c:pt>
                <c:pt idx="11">
                  <c:v>358500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E3-4CA8-9FEF-EB80F93AB0D5}"/>
            </c:ext>
          </c:extLst>
        </c:ser>
        <c:ser>
          <c:idx val="3"/>
          <c:order val="3"/>
          <c:tx>
            <c:v>Ist kumuliert</c:v>
          </c:tx>
          <c:cat>
            <c:numRef>
              <c:f>Übersicht!$A$24:$A$35</c:f>
              <c:numCache>
                <c:formatCode>mmm\ yyyy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Übersicht!$E$24:$E$35</c:f>
              <c:numCache>
                <c:formatCode>\€\ #,##0</c:formatCode>
                <c:ptCount val="12"/>
                <c:pt idx="0">
                  <c:v>12670</c:v>
                </c:pt>
                <c:pt idx="1">
                  <c:v>21090</c:v>
                </c:pt>
                <c:pt idx="2">
                  <c:v>49858</c:v>
                </c:pt>
                <c:pt idx="3">
                  <c:v>76554</c:v>
                </c:pt>
                <c:pt idx="4">
                  <c:v>107310</c:v>
                </c:pt>
                <c:pt idx="5">
                  <c:v>135276</c:v>
                </c:pt>
                <c:pt idx="6">
                  <c:v>140976</c:v>
                </c:pt>
                <c:pt idx="7">
                  <c:v>140976</c:v>
                </c:pt>
                <c:pt idx="8">
                  <c:v>140976</c:v>
                </c:pt>
                <c:pt idx="9">
                  <c:v>140976</c:v>
                </c:pt>
                <c:pt idx="10">
                  <c:v>140976</c:v>
                </c:pt>
                <c:pt idx="11">
                  <c:v>140976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E3-4CA8-9FEF-EB80F93AB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date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mmm\ yyyy" sourceLinked="1"/>
        <c:majorTickMark val="none"/>
        <c:minorTickMark val="none"/>
        <c:tickLblPos val="nextTo"/>
        <c:crossAx val="48672768"/>
        <c:crosses val="autoZero"/>
        <c:auto val="1"/>
        <c:lblOffset val="100"/>
        <c:baseTimeUnit val="months"/>
      </c:date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€\ #,##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Status der Arbeitspakete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Anzahl</c:v>
          </c:tx>
          <c:invertIfNegative val="1"/>
          <c:cat>
            <c:strRef>
              <c:f>Übersicht!$A$13:$A$17</c:f>
              <c:strCache>
                <c:ptCount val="5"/>
                <c:pt idx="0">
                  <c:v>Nicht begonnen</c:v>
                </c:pt>
                <c:pt idx="1">
                  <c:v>In Arbeit</c:v>
                </c:pt>
                <c:pt idx="2">
                  <c:v>Blockiert</c:v>
                </c:pt>
                <c:pt idx="3">
                  <c:v>Abgeschlossen</c:v>
                </c:pt>
                <c:pt idx="4">
                  <c:v>Pausiert</c:v>
                </c:pt>
              </c:strCache>
            </c:strRef>
          </c:cat>
          <c:val>
            <c:numRef>
              <c:f>Übersicht!$B$13:$B$17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D-4BE7-8976-D36D7FA4D7BC}"/>
            </c:ext>
          </c:extLst>
        </c:ser>
        <c:ser>
          <c:idx val="1"/>
          <c:order val="1"/>
          <c:tx>
            <c:v>Anteil</c:v>
          </c:tx>
          <c:invertIfNegative val="1"/>
          <c:cat>
            <c:strRef>
              <c:f>Übersicht!$A$13:$A$17</c:f>
              <c:strCache>
                <c:ptCount val="5"/>
                <c:pt idx="0">
                  <c:v>Nicht begonnen</c:v>
                </c:pt>
                <c:pt idx="1">
                  <c:v>In Arbeit</c:v>
                </c:pt>
                <c:pt idx="2">
                  <c:v>Blockiert</c:v>
                </c:pt>
                <c:pt idx="3">
                  <c:v>Abgeschlossen</c:v>
                </c:pt>
                <c:pt idx="4">
                  <c:v>Pausiert</c:v>
                </c:pt>
              </c:strCache>
            </c:strRef>
          </c:cat>
          <c:val>
            <c:numRef>
              <c:f>Übersicht!$C$13:$C$17</c:f>
              <c:numCache>
                <c:formatCode>0%</c:formatCode>
                <c:ptCount val="5"/>
                <c:pt idx="0">
                  <c:v>0.25</c:v>
                </c:pt>
                <c:pt idx="1">
                  <c:v>0.5</c:v>
                </c:pt>
                <c:pt idx="2">
                  <c:v>0</c:v>
                </c:pt>
                <c:pt idx="3">
                  <c:v>0.25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D-4BE7-8976-D36D7FA4D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30</xdr:row>
      <xdr:rowOff>0</xdr:rowOff>
    </xdr:from>
    <xdr:to>
      <xdr:col>14</xdr:col>
      <xdr:colOff>0</xdr:colOff>
      <xdr:row>48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5</xdr:col>
      <xdr:colOff>0</xdr:colOff>
      <xdr:row>56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rbeitspaketeTabelle" displayName="ArbeitspaketeTabelle" ref="A1:S51">
  <tableColumns count="19">
    <tableColumn id="1" xr3:uid="{00000000-0010-0000-0000-000001000000}" name="AP-ID"/>
    <tableColumn id="2" xr3:uid="{00000000-0010-0000-0000-000002000000}" name="Phase"/>
    <tableColumn id="3" xr3:uid="{00000000-0010-0000-0000-000003000000}" name="Arbeitspaket"/>
    <tableColumn id="4" xr3:uid="{00000000-0010-0000-0000-000004000000}" name="Verantwortlich"/>
    <tableColumn id="5" xr3:uid="{00000000-0010-0000-0000-000005000000}" name="Start"/>
    <tableColumn id="6" xr3:uid="{00000000-0010-0000-0000-000006000000}" name="Ende"/>
    <tableColumn id="7" xr3:uid="{00000000-0010-0000-0000-000007000000}" name="Dauer_x000a_(Tage)"/>
    <tableColumn id="8" xr3:uid="{00000000-0010-0000-0000-000008000000}" name="Fortschritt"/>
    <tableColumn id="9" xr3:uid="{00000000-0010-0000-0000-000009000000}" name="Budget Soll"/>
    <tableColumn id="10" xr3:uid="{00000000-0010-0000-0000-00000A000000}" name="Ist-Kosten"/>
    <tableColumn id="11" xr3:uid="{00000000-0010-0000-0000-00000B000000}" name="Prognose_x000a_bis Abschluss"/>
    <tableColumn id="12" xr3:uid="{00000000-0010-0000-0000-00000C000000}" name="Abweichung"/>
    <tableColumn id="13" xr3:uid="{00000000-0010-0000-0000-00000D000000}" name="Terminverzug_x000a_(Tage)"/>
    <tableColumn id="14" xr3:uid="{00000000-0010-0000-0000-00000E000000}" name="Status"/>
    <tableColumn id="15" xr3:uid="{00000000-0010-0000-0000-00000F000000}" name="Priorität"/>
    <tableColumn id="16" xr3:uid="{00000000-0010-0000-0000-000010000000}" name="Bemerkung"/>
    <tableColumn id="17" xr3:uid="{00000000-0010-0000-0000-000011000000}" name="Earned Value"/>
    <tableColumn id="18" xr3:uid="{00000000-0010-0000-0000-000012000000}" name="CPI"/>
    <tableColumn id="19" xr3:uid="{00000000-0010-0000-0000-000013000000}" name="Ampe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KostenTabelle" displayName="KostenTabelle" ref="A1:J101">
  <tableColumns count="10">
    <tableColumn id="1" xr3:uid="{00000000-0010-0000-0100-000001000000}" name="Datum"/>
    <tableColumn id="2" xr3:uid="{00000000-0010-0000-0100-000002000000}" name="Kostenart"/>
    <tableColumn id="3" xr3:uid="{00000000-0010-0000-0100-000003000000}" name="AP-ID"/>
    <tableColumn id="4" xr3:uid="{00000000-0010-0000-0100-000004000000}" name="Beschreibung"/>
    <tableColumn id="5" xr3:uid="{00000000-0010-0000-0100-000005000000}" name="Ressource/Lieferant"/>
    <tableColumn id="6" xr3:uid="{00000000-0010-0000-0100-000006000000}" name="Menge/Std."/>
    <tableColumn id="7" xr3:uid="{00000000-0010-0000-0100-000007000000}" name="Satz/Preis"/>
    <tableColumn id="8" xr3:uid="{00000000-0010-0000-0100-000008000000}" name="Betrag IST"/>
    <tableColumn id="9" xr3:uid="{00000000-0010-0000-0100-000009000000}" name="Monat"/>
    <tableColumn id="10" xr3:uid="{00000000-0010-0000-0100-00000A000000}" name="Rechnungsstatu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RisikenTabelle" displayName="RisikenTabelle" ref="A1:L51">
  <tableColumns count="12">
    <tableColumn id="1" xr3:uid="{00000000-0010-0000-0200-000001000000}" name="Risiko-ID"/>
    <tableColumn id="2" xr3:uid="{00000000-0010-0000-0200-000002000000}" name="Bereich"/>
    <tableColumn id="3" xr3:uid="{00000000-0010-0000-0200-000003000000}" name="Risiko"/>
    <tableColumn id="4" xr3:uid="{00000000-0010-0000-0200-000004000000}" name="Wahrscheinlichkeit"/>
    <tableColumn id="5" xr3:uid="{00000000-0010-0000-0200-000005000000}" name="Auswirkung"/>
    <tableColumn id="6" xr3:uid="{00000000-0010-0000-0200-000006000000}" name="Risikowert"/>
    <tableColumn id="7" xr3:uid="{00000000-0010-0000-0200-000007000000}" name="Status"/>
    <tableColumn id="8" xr3:uid="{00000000-0010-0000-0200-000008000000}" name="Verantwortlich"/>
    <tableColumn id="9" xr3:uid="{00000000-0010-0000-0200-000009000000}" name="Maßnahme"/>
    <tableColumn id="10" xr3:uid="{00000000-0010-0000-0200-00000A000000}" name="Fälligkeit"/>
    <tableColumn id="11" xr3:uid="{00000000-0010-0000-0200-00000B000000}" name="Restwert"/>
    <tableColumn id="12" xr3:uid="{00000000-0010-0000-0200-00000C000000}" name="Komment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0"/>
  <sheetViews>
    <sheetView tabSelected="1" topLeftCell="A6" workbookViewId="0">
      <selection activeCell="P16" sqref="P16"/>
    </sheetView>
  </sheetViews>
  <sheetFormatPr baseColWidth="10" defaultColWidth="9" defaultRowHeight="15" x14ac:dyDescent="0.25"/>
  <cols>
    <col min="1" max="1" width="13.25" bestFit="1" customWidth="1"/>
    <col min="2" max="2" width="16" customWidth="1"/>
    <col min="3" max="3" width="8.75" bestFit="1" customWidth="1"/>
    <col min="4" max="4" width="12.25" bestFit="1" customWidth="1"/>
    <col min="5" max="5" width="10.75" bestFit="1" customWidth="1"/>
    <col min="6" max="6" width="19.125" bestFit="1" customWidth="1"/>
    <col min="7" max="7" width="7.75" bestFit="1" customWidth="1"/>
    <col min="8" max="8" width="9.75" bestFit="1" customWidth="1"/>
    <col min="9" max="9" width="9.125" bestFit="1" customWidth="1"/>
    <col min="10" max="10" width="13.625" bestFit="1" customWidth="1"/>
    <col min="11" max="11" width="9.125" bestFit="1" customWidth="1"/>
    <col min="12" max="14" width="18" customWidth="1"/>
    <col min="15" max="36" width="9" style="25"/>
  </cols>
  <sheetData>
    <row r="1" spans="1:14" ht="23.2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25" customFormat="1" x14ac:dyDescent="0.25"/>
    <row r="3" spans="1:14" x14ac:dyDescent="0.25">
      <c r="A3" s="19" t="s">
        <v>1</v>
      </c>
      <c r="B3" s="19"/>
      <c r="C3" s="25"/>
      <c r="D3" s="25"/>
      <c r="E3" s="25"/>
      <c r="F3" s="19" t="s">
        <v>2</v>
      </c>
      <c r="G3" s="19"/>
      <c r="H3" s="19"/>
      <c r="I3" s="19"/>
      <c r="J3" s="19"/>
      <c r="K3" s="19"/>
      <c r="L3" s="19"/>
      <c r="M3" s="19"/>
      <c r="N3" s="19"/>
    </row>
    <row r="4" spans="1:14" x14ac:dyDescent="0.25">
      <c r="A4" s="9" t="s">
        <v>3</v>
      </c>
      <c r="B4" s="3" t="s">
        <v>4</v>
      </c>
      <c r="C4" s="25"/>
      <c r="D4" s="25"/>
      <c r="E4" s="25"/>
      <c r="F4" s="9" t="s">
        <v>5</v>
      </c>
      <c r="G4" s="9"/>
      <c r="H4" s="10" t="str">
        <f>IF(OR(H9/H5&gt;0.08,H12&lt;0.85,H13&gt;=16),"Rot",IF(OR(H9/H5&gt;0.03,H12&lt;0.95,H13&gt;=12),"Gelb","Grün"))</f>
        <v>Rot</v>
      </c>
      <c r="I4" s="25"/>
      <c r="J4" s="25"/>
      <c r="K4" s="25"/>
      <c r="L4" s="25"/>
      <c r="M4" s="25"/>
      <c r="N4" s="25"/>
    </row>
    <row r="5" spans="1:14" x14ac:dyDescent="0.25">
      <c r="A5" s="9" t="s">
        <v>6</v>
      </c>
      <c r="B5" s="17" t="s">
        <v>7</v>
      </c>
      <c r="C5" s="25"/>
      <c r="D5" s="25"/>
      <c r="E5" s="25"/>
      <c r="F5" s="9" t="s">
        <v>8</v>
      </c>
      <c r="G5" s="9"/>
      <c r="H5" s="11">
        <f>SUM(Arbeitspakete!$I$2:$I$51)</f>
        <v>358500</v>
      </c>
      <c r="I5" s="25"/>
      <c r="J5" s="25"/>
      <c r="K5" s="25"/>
      <c r="L5" s="25"/>
      <c r="M5" s="25"/>
      <c r="N5" s="25"/>
    </row>
    <row r="6" spans="1:14" ht="30" x14ac:dyDescent="0.25">
      <c r="A6" s="9" t="s">
        <v>9</v>
      </c>
      <c r="B6" s="17" t="s">
        <v>10</v>
      </c>
      <c r="C6" s="25"/>
      <c r="D6" s="25"/>
      <c r="E6" s="25"/>
      <c r="F6" s="9" t="s">
        <v>11</v>
      </c>
      <c r="G6" s="9"/>
      <c r="H6" s="11">
        <f>SUM(Kosten!$H$2:$H$101)</f>
        <v>140976</v>
      </c>
      <c r="I6" s="25"/>
      <c r="J6" s="25"/>
      <c r="K6" s="25"/>
      <c r="L6" s="25"/>
      <c r="M6" s="25"/>
      <c r="N6" s="25"/>
    </row>
    <row r="7" spans="1:14" x14ac:dyDescent="0.25">
      <c r="A7" s="9" t="s">
        <v>12</v>
      </c>
      <c r="B7" s="17" t="s">
        <v>13</v>
      </c>
      <c r="C7" s="25"/>
      <c r="D7" s="25"/>
      <c r="E7" s="25"/>
      <c r="F7" s="9" t="s">
        <v>14</v>
      </c>
      <c r="G7" s="9"/>
      <c r="H7" s="11">
        <f>SUM(Arbeitspakete!$K$2:$K$51)</f>
        <v>372763.33333333337</v>
      </c>
      <c r="I7" s="25"/>
      <c r="J7" s="25"/>
      <c r="K7" s="25"/>
      <c r="L7" s="25"/>
      <c r="M7" s="25"/>
      <c r="N7" s="25"/>
    </row>
    <row r="8" spans="1:14" x14ac:dyDescent="0.25">
      <c r="A8" s="9" t="s">
        <v>15</v>
      </c>
      <c r="B8" s="17" t="s">
        <v>16</v>
      </c>
      <c r="C8" s="25"/>
      <c r="D8" s="25"/>
      <c r="E8" s="25"/>
      <c r="F8" s="9" t="s">
        <v>17</v>
      </c>
      <c r="G8" s="9"/>
      <c r="H8" s="11">
        <f>H7-H5</f>
        <v>14263.333333333372</v>
      </c>
      <c r="I8" s="25"/>
      <c r="J8" s="25"/>
      <c r="K8" s="25"/>
      <c r="L8" s="25"/>
      <c r="M8" s="25"/>
      <c r="N8" s="25"/>
    </row>
    <row r="9" spans="1:14" x14ac:dyDescent="0.25">
      <c r="A9" s="25"/>
      <c r="B9" s="25"/>
      <c r="C9" s="25"/>
      <c r="D9" s="25"/>
      <c r="E9" s="25"/>
      <c r="F9" s="9" t="s">
        <v>18</v>
      </c>
      <c r="G9" s="9"/>
      <c r="H9" s="12">
        <f>IF(H5=0,0,H8/H5)</f>
        <v>3.9786145978614705E-2</v>
      </c>
      <c r="I9" s="25"/>
      <c r="J9" s="25"/>
      <c r="K9" s="25"/>
      <c r="L9" s="25"/>
      <c r="M9" s="25"/>
      <c r="N9" s="25"/>
    </row>
    <row r="10" spans="1:14" x14ac:dyDescent="0.25">
      <c r="A10" s="25"/>
      <c r="B10" s="25"/>
      <c r="C10" s="25"/>
      <c r="D10" s="25"/>
      <c r="E10" s="25"/>
      <c r="F10" s="9" t="s">
        <v>19</v>
      </c>
      <c r="G10" s="9"/>
      <c r="H10" s="12">
        <f>IF(H5=0,0,SUMPRODUCT(Arbeitspakete!$I$2:$I$51,Arbeitspakete!$H$2:$H$51)/H5)</f>
        <v>0.53560669456066945</v>
      </c>
      <c r="I10" s="25"/>
      <c r="J10" s="25"/>
      <c r="K10" s="25"/>
      <c r="L10" s="25"/>
      <c r="M10" s="25"/>
      <c r="N10" s="25"/>
    </row>
    <row r="11" spans="1:14" x14ac:dyDescent="0.25">
      <c r="A11" s="20" t="s">
        <v>20</v>
      </c>
      <c r="B11" s="20"/>
      <c r="C11" s="20"/>
      <c r="D11" s="25"/>
      <c r="E11" s="25"/>
      <c r="F11" s="9" t="s">
        <v>21</v>
      </c>
      <c r="G11" s="9"/>
      <c r="H11" s="11">
        <f>SUM(Arbeitspakete!$Q$2:$Q$51)</f>
        <v>192015</v>
      </c>
      <c r="I11" s="25"/>
      <c r="J11" s="25"/>
      <c r="K11" s="25"/>
      <c r="L11" s="25"/>
      <c r="M11" s="25"/>
      <c r="N11" s="25"/>
    </row>
    <row r="12" spans="1:14" x14ac:dyDescent="0.25">
      <c r="A12" s="14" t="s">
        <v>22</v>
      </c>
      <c r="B12" s="14" t="s">
        <v>23</v>
      </c>
      <c r="C12" s="14" t="s">
        <v>24</v>
      </c>
      <c r="D12" s="25"/>
      <c r="E12" s="25"/>
      <c r="F12" s="9" t="s">
        <v>25</v>
      </c>
      <c r="G12" s="9"/>
      <c r="H12" s="13">
        <f>IF(H6=0,0,H11/H6)</f>
        <v>1.3620403472931564</v>
      </c>
      <c r="I12" s="25"/>
      <c r="J12" s="25"/>
      <c r="K12" s="25"/>
      <c r="L12" s="25"/>
      <c r="M12" s="25"/>
      <c r="N12" s="25"/>
    </row>
    <row r="13" spans="1:14" x14ac:dyDescent="0.25">
      <c r="A13" s="2" t="s">
        <v>26</v>
      </c>
      <c r="B13" s="2">
        <f>COUNTIF(Arbeitspakete!$N$2:$N$51,A13)</f>
        <v>3</v>
      </c>
      <c r="C13" s="4">
        <f>IF(SUM($B$13:$B$17)=0,0,B13/SUM($B$13:$B$17))</f>
        <v>0.25</v>
      </c>
      <c r="D13" s="25"/>
      <c r="E13" s="25"/>
      <c r="F13" s="9" t="s">
        <v>27</v>
      </c>
      <c r="G13" s="9"/>
      <c r="H13" s="15">
        <f>MAX(Risiken!$F$2:$F$51)</f>
        <v>16</v>
      </c>
      <c r="I13" s="25"/>
      <c r="J13" s="25"/>
      <c r="K13" s="25"/>
      <c r="L13" s="25"/>
      <c r="M13" s="25"/>
      <c r="N13" s="25"/>
    </row>
    <row r="14" spans="1:14" x14ac:dyDescent="0.25">
      <c r="A14" s="2" t="s">
        <v>28</v>
      </c>
      <c r="B14" s="2">
        <f>COUNTIF(Arbeitspakete!$N$2:$N$51,A14)</f>
        <v>6</v>
      </c>
      <c r="C14" s="4">
        <f>IF(SUM($B$13:$B$17)=0,0,B14/SUM($B$13:$B$17))</f>
        <v>0.5</v>
      </c>
      <c r="D14" s="25"/>
      <c r="E14" s="25"/>
      <c r="F14" s="2"/>
      <c r="G14" s="2"/>
      <c r="H14" s="2"/>
      <c r="I14" s="25"/>
      <c r="J14" s="25"/>
      <c r="K14" s="25"/>
      <c r="L14" s="25"/>
      <c r="M14" s="25"/>
      <c r="N14" s="25"/>
    </row>
    <row r="15" spans="1:14" x14ac:dyDescent="0.25">
      <c r="A15" s="2" t="s">
        <v>29</v>
      </c>
      <c r="B15" s="2">
        <f>COUNTIF(Arbeitspakete!$N$2:$N$51,A15)</f>
        <v>0</v>
      </c>
      <c r="C15" s="4">
        <f>IF(SUM($B$13:$B$17)=0,0,B15/SUM($B$13:$B$17))</f>
        <v>0</v>
      </c>
      <c r="D15" s="25"/>
      <c r="E15" s="25"/>
      <c r="F15" s="2"/>
      <c r="G15" s="2"/>
      <c r="H15" s="2"/>
      <c r="I15" s="25"/>
      <c r="J15" s="25"/>
      <c r="K15" s="25"/>
      <c r="L15" s="25"/>
      <c r="M15" s="25"/>
      <c r="N15" s="25"/>
    </row>
    <row r="16" spans="1:14" x14ac:dyDescent="0.25">
      <c r="A16" s="2" t="s">
        <v>30</v>
      </c>
      <c r="B16" s="2">
        <f>COUNTIF(Arbeitspakete!$N$2:$N$51,A16)</f>
        <v>3</v>
      </c>
      <c r="C16" s="4">
        <f>IF(SUM($B$13:$B$17)=0,0,B16/SUM($B$13:$B$17))</f>
        <v>0.25</v>
      </c>
      <c r="D16" s="25"/>
      <c r="E16" s="25"/>
      <c r="F16" s="20" t="s">
        <v>31</v>
      </c>
      <c r="G16" s="20"/>
      <c r="H16" s="20"/>
      <c r="I16" s="20"/>
      <c r="J16" s="20"/>
      <c r="K16" s="20"/>
      <c r="L16" s="20"/>
      <c r="M16" s="20"/>
      <c r="N16" s="20"/>
    </row>
    <row r="17" spans="1:14" x14ac:dyDescent="0.25">
      <c r="A17" s="2" t="s">
        <v>32</v>
      </c>
      <c r="B17" s="2">
        <f>COUNTIF(Arbeitspakete!$N$2:$N$51,A17)</f>
        <v>0</v>
      </c>
      <c r="C17" s="4">
        <f>IF(SUM($B$13:$B$17)=0,0,B17/SUM($B$13:$B$17))</f>
        <v>0</v>
      </c>
      <c r="D17" s="25"/>
      <c r="E17" s="25"/>
      <c r="F17" s="9" t="s">
        <v>33</v>
      </c>
      <c r="G17" s="21" t="str">
        <f>IF(H9&gt;0,"Prognose liegt über dem Sollbudget. Gegenmaßnahmen prüfen.","Budget liegt aktuell im Rahmen der Planung.")</f>
        <v>Prognose liegt über dem Sollbudget. Gegenmaßnahmen prüfen.</v>
      </c>
      <c r="H17" s="21"/>
      <c r="I17" s="21"/>
      <c r="J17" s="21"/>
      <c r="K17" s="21"/>
      <c r="L17" s="21"/>
      <c r="M17" s="21"/>
      <c r="N17" s="21"/>
    </row>
    <row r="18" spans="1:14" x14ac:dyDescent="0.25">
      <c r="A18" s="25"/>
      <c r="B18" s="25"/>
      <c r="C18" s="25"/>
      <c r="D18" s="25"/>
      <c r="E18" s="25"/>
      <c r="F18" s="9" t="s">
        <v>34</v>
      </c>
      <c r="G18" s="21" t="str">
        <f>IF(COUNTIF(Arbeitspakete!$S$2:$S$51,"Rot")&gt;0,"Mindestens ein Arbeitspaket ist kritisch. Bitte Termine und Blockaden prüfen.","Keine kritische Terminampel aus den Arbeitspaketen.")</f>
        <v>Mindestens ein Arbeitspaket ist kritisch. Bitte Termine und Blockaden prüfen.</v>
      </c>
      <c r="H18" s="21"/>
      <c r="I18" s="21"/>
      <c r="J18" s="21"/>
      <c r="K18" s="21"/>
      <c r="L18" s="21"/>
      <c r="M18" s="21"/>
      <c r="N18" s="21"/>
    </row>
    <row r="19" spans="1:14" x14ac:dyDescent="0.25">
      <c r="A19" s="25"/>
      <c r="B19" s="25"/>
      <c r="C19" s="25"/>
      <c r="D19" s="25"/>
      <c r="E19" s="25"/>
      <c r="F19" s="9" t="s">
        <v>35</v>
      </c>
      <c r="G19" s="21" t="str">
        <f>IF(H13&gt;=16,"Mindestens ein Risiko ist sehr hoch bewertet. Sofortige Eskalation empfohlen.",IF(H13&gt;=12,"Erhöhte Risikolage: Maßnahmen aktiv nachhalten.","Risikolage beherrschbar."))</f>
        <v>Mindestens ein Risiko ist sehr hoch bewertet. Sofortige Eskalation empfohlen.</v>
      </c>
      <c r="H19" s="21"/>
      <c r="I19" s="21"/>
      <c r="J19" s="21"/>
      <c r="K19" s="21"/>
      <c r="L19" s="21"/>
      <c r="M19" s="21"/>
      <c r="N19" s="21"/>
    </row>
    <row r="20" spans="1:14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x14ac:dyDescent="0.25">
      <c r="A22" s="20" t="s">
        <v>36</v>
      </c>
      <c r="B22" s="20"/>
      <c r="C22" s="20"/>
      <c r="D22" s="20"/>
      <c r="E22" s="20"/>
      <c r="F22" s="25"/>
      <c r="G22" s="20" t="s">
        <v>37</v>
      </c>
      <c r="H22" s="20"/>
      <c r="I22" s="20"/>
      <c r="J22" s="20"/>
      <c r="K22" s="20"/>
      <c r="L22" s="20"/>
      <c r="M22" s="20"/>
      <c r="N22" s="20"/>
    </row>
    <row r="23" spans="1:14" x14ac:dyDescent="0.25">
      <c r="A23" s="14" t="s">
        <v>38</v>
      </c>
      <c r="B23" s="14" t="s">
        <v>39</v>
      </c>
      <c r="C23" s="14" t="s">
        <v>11</v>
      </c>
      <c r="D23" s="14" t="s">
        <v>40</v>
      </c>
      <c r="E23" s="14" t="s">
        <v>41</v>
      </c>
      <c r="F23" s="25"/>
      <c r="G23" s="14" t="s">
        <v>42</v>
      </c>
      <c r="H23" s="14" t="s">
        <v>43</v>
      </c>
      <c r="I23" s="14" t="s">
        <v>44</v>
      </c>
      <c r="J23" s="14" t="s">
        <v>22</v>
      </c>
      <c r="K23" s="14" t="s">
        <v>45</v>
      </c>
      <c r="L23" s="22" t="s">
        <v>46</v>
      </c>
      <c r="M23" s="22"/>
      <c r="N23" s="22"/>
    </row>
    <row r="24" spans="1:14" x14ac:dyDescent="0.25">
      <c r="A24" s="5">
        <f>DATE(2026,1,1)</f>
        <v>46023</v>
      </c>
      <c r="B24" s="6">
        <f>SUMIFS(Arbeitspakete!$I$2:$I$51,Arbeitspakete!$U$2:$U$51,"&gt;="&amp;A24,Arbeitspakete!$U$2:$U$51,"&lt;="&amp;EOMONTH(A24,0))</f>
        <v>12000</v>
      </c>
      <c r="C24" s="6">
        <f>SUMIFS(Kosten!$H$2:$H$101,Kosten!$K$2:$K$101,"&gt;="&amp;A24,Kosten!$K$2:$K$101,"&lt;="&amp;EOMONTH(A24,0))</f>
        <v>12670</v>
      </c>
      <c r="D24" s="6">
        <f>SUM($B$24:B24)</f>
        <v>12000</v>
      </c>
      <c r="E24" s="6">
        <f>SUM($C$24:C24)</f>
        <v>12670</v>
      </c>
      <c r="F24" s="25"/>
      <c r="G24" s="2" t="str">
        <f>Risiken!A2</f>
        <v>R-001</v>
      </c>
      <c r="H24" s="2" t="str">
        <f>Risiken!B2</f>
        <v>Umfang</v>
      </c>
      <c r="I24" s="2">
        <f>Risiken!F2</f>
        <v>12</v>
      </c>
      <c r="J24" s="2" t="str">
        <f>Risiken!G2</f>
        <v>Maßnahme läuft</v>
      </c>
      <c r="K24" s="16" t="s">
        <v>47</v>
      </c>
      <c r="L24" s="23" t="str">
        <f>Risiken!I2</f>
        <v>Änderungen über Change-Log priorisieren und separat freigeben.</v>
      </c>
      <c r="M24" s="23"/>
      <c r="N24" s="23"/>
    </row>
    <row r="25" spans="1:14" x14ac:dyDescent="0.25">
      <c r="A25" s="5">
        <f>DATE(2026,2,1)</f>
        <v>46054</v>
      </c>
      <c r="B25" s="6">
        <f>SUMIFS(Arbeitspakete!$I$2:$I$51,Arbeitspakete!$U$2:$U$51,"&gt;="&amp;A25,Arbeitspakete!$U$2:$U$51,"&lt;="&amp;EOMONTH(A25,0))</f>
        <v>33500</v>
      </c>
      <c r="C25" s="6">
        <f>SUMIFS(Kosten!$H$2:$H$101,Kosten!$K$2:$K$101,"&gt;="&amp;A25,Kosten!$K$2:$K$101,"&lt;="&amp;EOMONTH(A25,0))</f>
        <v>8420</v>
      </c>
      <c r="D25" s="6">
        <f>SUM($B$24:B25)</f>
        <v>45500</v>
      </c>
      <c r="E25" s="6">
        <f>SUM($C$24:C25)</f>
        <v>21090</v>
      </c>
      <c r="F25" s="25"/>
      <c r="G25" s="2" t="str">
        <f>Risiken!A3</f>
        <v>R-002</v>
      </c>
      <c r="H25" s="2" t="str">
        <f>Risiken!B3</f>
        <v>Ressourcen</v>
      </c>
      <c r="I25" s="2">
        <f>Risiken!F3</f>
        <v>16</v>
      </c>
      <c r="J25" s="2" t="str">
        <f>Risiken!G3</f>
        <v>Offen</v>
      </c>
      <c r="K25" s="16" t="s">
        <v>48</v>
      </c>
      <c r="L25" s="23" t="str">
        <f>Risiken!I3</f>
        <v>Ersatzkapazität und Priorisierung kritischer Aufgaben klären.</v>
      </c>
      <c r="M25" s="23"/>
      <c r="N25" s="23"/>
    </row>
    <row r="26" spans="1:14" x14ac:dyDescent="0.25">
      <c r="A26" s="5">
        <f>DATE(2026,3,1)</f>
        <v>46082</v>
      </c>
      <c r="B26" s="6">
        <f>SUMIFS(Arbeitspakete!$I$2:$I$51,Arbeitspakete!$U$2:$U$51,"&gt;="&amp;A26,Arbeitspakete!$U$2:$U$51,"&lt;="&amp;EOMONTH(A26,0))</f>
        <v>28500</v>
      </c>
      <c r="C26" s="6">
        <f>SUMIFS(Kosten!$H$2:$H$101,Kosten!$K$2:$K$101,"&gt;="&amp;A26,Kosten!$K$2:$K$101,"&lt;="&amp;EOMONTH(A26,0))</f>
        <v>28768</v>
      </c>
      <c r="D26" s="6">
        <f>SUM($B$24:B26)</f>
        <v>74000</v>
      </c>
      <c r="E26" s="6">
        <f>SUM($C$24:C26)</f>
        <v>49858</v>
      </c>
      <c r="F26" s="25"/>
      <c r="G26" s="2" t="str">
        <f>Risiken!A4</f>
        <v>R-003</v>
      </c>
      <c r="H26" s="2" t="str">
        <f>Risiken!B4</f>
        <v>Extern</v>
      </c>
      <c r="I26" s="2">
        <f>Risiken!F4</f>
        <v>15</v>
      </c>
      <c r="J26" s="2" t="str">
        <f>Risiken!G4</f>
        <v>In Beobachtung</v>
      </c>
      <c r="K26" s="16" t="s">
        <v>49</v>
      </c>
      <c r="L26" s="23" t="str">
        <f>Risiken!I4</f>
        <v>Wöchentliche Abstimmung mit Eskalationsweg einführen.</v>
      </c>
      <c r="M26" s="23"/>
      <c r="N26" s="23"/>
    </row>
    <row r="27" spans="1:14" x14ac:dyDescent="0.25">
      <c r="A27" s="5">
        <f>DATE(2026,4,1)</f>
        <v>46113</v>
      </c>
      <c r="B27" s="6">
        <f>SUMIFS(Arbeitspakete!$I$2:$I$51,Arbeitspakete!$U$2:$U$51,"&gt;="&amp;A27,Arbeitspakete!$U$2:$U$51,"&lt;="&amp;EOMONTH(A27,0))</f>
        <v>0</v>
      </c>
      <c r="C27" s="6">
        <f>SUMIFS(Kosten!$H$2:$H$101,Kosten!$K$2:$K$101,"&gt;="&amp;A27,Kosten!$K$2:$K$101,"&lt;="&amp;EOMONTH(A27,0))</f>
        <v>26696</v>
      </c>
      <c r="D27" s="6">
        <f>SUM($B$24:B27)</f>
        <v>74000</v>
      </c>
      <c r="E27" s="6">
        <f>SUM($C$24:C27)</f>
        <v>76554</v>
      </c>
      <c r="F27" s="25"/>
      <c r="G27" s="2" t="str">
        <f>Risiken!A5</f>
        <v>R-004</v>
      </c>
      <c r="H27" s="2" t="str">
        <f>Risiken!B5</f>
        <v>Qualität</v>
      </c>
      <c r="I27" s="2">
        <f>Risiken!F5</f>
        <v>8</v>
      </c>
      <c r="J27" s="2" t="str">
        <f>Risiken!G5</f>
        <v>Maßnahme läuft</v>
      </c>
      <c r="K27" s="16" t="s">
        <v>50</v>
      </c>
      <c r="L27" s="23" t="str">
        <f>Risiken!I5</f>
        <v>Testfälle nach Kritikalität ergänzen.</v>
      </c>
      <c r="M27" s="23"/>
      <c r="N27" s="23"/>
    </row>
    <row r="28" spans="1:14" x14ac:dyDescent="0.25">
      <c r="A28" s="5">
        <f>DATE(2026,5,1)</f>
        <v>46143</v>
      </c>
      <c r="B28" s="6">
        <f>SUMIFS(Arbeitspakete!$I$2:$I$51,Arbeitspakete!$U$2:$U$51,"&gt;="&amp;A28,Arbeitspakete!$U$2:$U$51,"&lt;="&amp;EOMONTH(A28,0))</f>
        <v>66000</v>
      </c>
      <c r="C28" s="6">
        <f>SUMIFS(Kosten!$H$2:$H$101,Kosten!$K$2:$K$101,"&gt;="&amp;A28,Kosten!$K$2:$K$101,"&lt;="&amp;EOMONTH(A28,0))</f>
        <v>30756</v>
      </c>
      <c r="D28" s="6">
        <f>SUM($B$24:B28)</f>
        <v>140000</v>
      </c>
      <c r="E28" s="6">
        <f>SUM($C$24:C28)</f>
        <v>107310</v>
      </c>
      <c r="F28" s="25"/>
      <c r="G28" s="2" t="str">
        <f>Risiken!A6</f>
        <v>R-005</v>
      </c>
      <c r="H28" s="2" t="str">
        <f>Risiken!B6</f>
        <v>Budget</v>
      </c>
      <c r="I28" s="2">
        <f>Risiken!F6</f>
        <v>9</v>
      </c>
      <c r="J28" s="2" t="str">
        <f>Risiken!G6</f>
        <v>In Beobachtung</v>
      </c>
      <c r="K28" s="16" t="s">
        <v>51</v>
      </c>
      <c r="L28" s="23" t="str">
        <f>Risiken!I6</f>
        <v>Monatliche Prognose mit Ist-Kosten und Restaufwand aktualisieren.</v>
      </c>
      <c r="M28" s="23"/>
      <c r="N28" s="23"/>
    </row>
    <row r="29" spans="1:14" x14ac:dyDescent="0.25">
      <c r="A29" s="5">
        <f>DATE(2026,6,1)</f>
        <v>46174</v>
      </c>
      <c r="B29" s="6">
        <f>SUMIFS(Arbeitspakete!$I$2:$I$51,Arbeitspakete!$U$2:$U$51,"&gt;="&amp;A29,Arbeitspakete!$U$2:$U$51,"&lt;="&amp;EOMONTH(A29,0))</f>
        <v>0</v>
      </c>
      <c r="C29" s="6">
        <f>SUMIFS(Kosten!$H$2:$H$101,Kosten!$K$2:$K$101,"&gt;="&amp;A29,Kosten!$K$2:$K$101,"&lt;="&amp;EOMONTH(A29,0))</f>
        <v>27966</v>
      </c>
      <c r="D29" s="6">
        <f>SUM($B$24:B29)</f>
        <v>140000</v>
      </c>
      <c r="E29" s="6">
        <f>SUM($C$24:C29)</f>
        <v>135276</v>
      </c>
      <c r="F29" s="25"/>
      <c r="G29" s="2" t="str">
        <f>Risiken!A7</f>
        <v>R-006</v>
      </c>
      <c r="H29" s="2" t="str">
        <f>Risiken!B7</f>
        <v>Akzeptanz</v>
      </c>
      <c r="I29" s="2">
        <f>Risiken!F7</f>
        <v>6</v>
      </c>
      <c r="J29" s="2" t="str">
        <f>Risiken!G7</f>
        <v>Offen</v>
      </c>
      <c r="K29" s="16" t="s">
        <v>52</v>
      </c>
      <c r="L29" s="23" t="str">
        <f>Risiken!I7</f>
        <v>Frühzeitige Schulungsinhalte und Feedbackrunde einplanen.</v>
      </c>
      <c r="M29" s="23"/>
      <c r="N29" s="23"/>
    </row>
    <row r="30" spans="1:14" x14ac:dyDescent="0.25">
      <c r="A30" s="5">
        <f>DATE(2026,7,1)</f>
        <v>46204</v>
      </c>
      <c r="B30" s="6">
        <f>SUMIFS(Arbeitspakete!$I$2:$I$51,Arbeitspakete!$U$2:$U$51,"&gt;="&amp;A30,Arbeitspakete!$U$2:$U$51,"&lt;="&amp;EOMONTH(A30,0))</f>
        <v>74000</v>
      </c>
      <c r="C30" s="6">
        <f>SUMIFS(Kosten!$H$2:$H$101,Kosten!$K$2:$K$101,"&gt;="&amp;A30,Kosten!$K$2:$K$101,"&lt;="&amp;EOMONTH(A30,0))</f>
        <v>5700</v>
      </c>
      <c r="D30" s="6">
        <f>SUM($B$24:B30)</f>
        <v>214000</v>
      </c>
      <c r="E30" s="6">
        <f>SUM($C$24:C30)</f>
        <v>140976</v>
      </c>
      <c r="F30" s="25"/>
      <c r="G30" s="25"/>
      <c r="H30" s="25"/>
      <c r="I30" s="25"/>
      <c r="J30" s="25"/>
      <c r="K30" s="25"/>
      <c r="L30" s="25"/>
      <c r="M30" s="25"/>
      <c r="N30" s="25"/>
    </row>
    <row r="31" spans="1:14" x14ac:dyDescent="0.25">
      <c r="A31" s="5">
        <f>DATE(2026,8,1)</f>
        <v>46235</v>
      </c>
      <c r="B31" s="6">
        <f>SUMIFS(Arbeitspakete!$I$2:$I$51,Arbeitspakete!$U$2:$U$51,"&gt;="&amp;A31,Arbeitspakete!$U$2:$U$51,"&lt;="&amp;EOMONTH(A31,0))</f>
        <v>21000</v>
      </c>
      <c r="C31" s="6">
        <f>SUMIFS(Kosten!$H$2:$H$101,Kosten!$K$2:$K$101,"&gt;="&amp;A31,Kosten!$K$2:$K$101,"&lt;="&amp;EOMONTH(A31,0))</f>
        <v>0</v>
      </c>
      <c r="D31" s="6">
        <f>SUM($B$24:B31)</f>
        <v>235000</v>
      </c>
      <c r="E31" s="6">
        <f>SUM($C$24:C31)</f>
        <v>140976</v>
      </c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25">
      <c r="A32" s="5">
        <f>DATE(2026,9,1)</f>
        <v>46266</v>
      </c>
      <c r="B32" s="6">
        <f>SUMIFS(Arbeitspakete!$I$2:$I$51,Arbeitspakete!$U$2:$U$51,"&gt;="&amp;A32,Arbeitspakete!$U$2:$U$51,"&lt;="&amp;EOMONTH(A32,0))</f>
        <v>58000</v>
      </c>
      <c r="C32" s="6">
        <f>SUMIFS(Kosten!$H$2:$H$101,Kosten!$K$2:$K$101,"&gt;="&amp;A32,Kosten!$K$2:$K$101,"&lt;="&amp;EOMONTH(A32,0))</f>
        <v>0</v>
      </c>
      <c r="D32" s="6">
        <f>SUM($B$24:B32)</f>
        <v>293000</v>
      </c>
      <c r="E32" s="6">
        <f>SUM($C$24:C32)</f>
        <v>140976</v>
      </c>
      <c r="F32" s="25"/>
      <c r="G32" s="25"/>
      <c r="H32" s="25"/>
      <c r="I32" s="25"/>
      <c r="J32" s="25"/>
      <c r="K32" s="25"/>
      <c r="L32" s="25"/>
      <c r="M32" s="25"/>
      <c r="N32" s="25"/>
    </row>
    <row r="33" spans="1:14" x14ac:dyDescent="0.25">
      <c r="A33" s="5">
        <f>DATE(2026,10,1)</f>
        <v>46296</v>
      </c>
      <c r="B33" s="6">
        <f>SUMIFS(Arbeitspakete!$I$2:$I$51,Arbeitspakete!$U$2:$U$51,"&gt;="&amp;A33,Arbeitspakete!$U$2:$U$51,"&lt;="&amp;EOMONTH(A33,0))</f>
        <v>39000</v>
      </c>
      <c r="C33" s="6">
        <f>SUMIFS(Kosten!$H$2:$H$101,Kosten!$K$2:$K$101,"&gt;="&amp;A33,Kosten!$K$2:$K$101,"&lt;="&amp;EOMONTH(A33,0))</f>
        <v>0</v>
      </c>
      <c r="D33" s="6">
        <f>SUM($B$24:B33)</f>
        <v>332000</v>
      </c>
      <c r="E33" s="6">
        <f>SUM($C$24:C33)</f>
        <v>140976</v>
      </c>
      <c r="F33" s="25"/>
      <c r="G33" s="25"/>
      <c r="H33" s="25"/>
      <c r="I33" s="25"/>
      <c r="J33" s="25"/>
      <c r="K33" s="25"/>
      <c r="L33" s="25"/>
      <c r="M33" s="25"/>
      <c r="N33" s="25"/>
    </row>
    <row r="34" spans="1:14" x14ac:dyDescent="0.25">
      <c r="A34" s="5">
        <f>DATE(2026,11,1)</f>
        <v>46327</v>
      </c>
      <c r="B34" s="6">
        <f>SUMIFS(Arbeitspakete!$I$2:$I$51,Arbeitspakete!$U$2:$U$51,"&gt;="&amp;A34,Arbeitspakete!$U$2:$U$51,"&lt;="&amp;EOMONTH(A34,0))</f>
        <v>26500</v>
      </c>
      <c r="C34" s="6">
        <f>SUMIFS(Kosten!$H$2:$H$101,Kosten!$K$2:$K$101,"&gt;="&amp;A34,Kosten!$K$2:$K$101,"&lt;="&amp;EOMONTH(A34,0))</f>
        <v>0</v>
      </c>
      <c r="D34" s="6">
        <f>SUM($B$24:B34)</f>
        <v>358500</v>
      </c>
      <c r="E34" s="6">
        <f>SUM($C$24:C34)</f>
        <v>140976</v>
      </c>
      <c r="F34" s="25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5">
        <f>DATE(2026,12,1)</f>
        <v>46357</v>
      </c>
      <c r="B35" s="6">
        <f>SUMIFS(Arbeitspakete!$I$2:$I$51,Arbeitspakete!$U$2:$U$51,"&gt;="&amp;A35,Arbeitspakete!$U$2:$U$51,"&lt;="&amp;EOMONTH(A35,0))</f>
        <v>0</v>
      </c>
      <c r="C35" s="6">
        <f>SUMIFS(Kosten!$H$2:$H$101,Kosten!$K$2:$K$101,"&gt;="&amp;A35,Kosten!$K$2:$K$101,"&lt;="&amp;EOMONTH(A35,0))</f>
        <v>0</v>
      </c>
      <c r="D35" s="6">
        <f>SUM($B$24:B35)</f>
        <v>358500</v>
      </c>
      <c r="E35" s="6">
        <f>SUM($C$24:C35)</f>
        <v>140976</v>
      </c>
      <c r="F35" s="25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5"/>
      <c r="B36" s="25"/>
      <c r="C36" s="25"/>
      <c r="D36" s="25"/>
      <c r="E36" s="25"/>
      <c r="F36" s="25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5"/>
      <c r="B37" s="25"/>
      <c r="C37" s="25"/>
      <c r="D37" s="25"/>
      <c r="E37" s="25"/>
      <c r="F37" s="25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0" t="s">
        <v>53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x14ac:dyDescent="0.25">
      <c r="A39" s="24" t="s">
        <v>54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 x14ac:dyDescent="0.25">
      <c r="A40" s="24" t="s">
        <v>55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4" s="25" customFormat="1" x14ac:dyDescent="0.25"/>
    <row r="42" spans="1:14" s="25" customFormat="1" x14ac:dyDescent="0.25"/>
    <row r="43" spans="1:14" s="25" customFormat="1" x14ac:dyDescent="0.25"/>
    <row r="44" spans="1:14" s="25" customFormat="1" x14ac:dyDescent="0.25"/>
    <row r="45" spans="1:14" s="25" customFormat="1" x14ac:dyDescent="0.25"/>
    <row r="46" spans="1:14" s="25" customFormat="1" x14ac:dyDescent="0.25"/>
    <row r="47" spans="1:14" s="25" customFormat="1" x14ac:dyDescent="0.25"/>
    <row r="48" spans="1:14" s="25" customFormat="1" x14ac:dyDescent="0.25"/>
    <row r="49" s="25" customFormat="1" x14ac:dyDescent="0.25"/>
    <row r="50" s="25" customFormat="1" x14ac:dyDescent="0.25"/>
    <row r="51" s="25" customFormat="1" x14ac:dyDescent="0.25"/>
    <row r="52" s="25" customFormat="1" x14ac:dyDescent="0.25"/>
    <row r="53" s="25" customFormat="1" x14ac:dyDescent="0.25"/>
    <row r="54" s="25" customFormat="1" x14ac:dyDescent="0.25"/>
    <row r="55" s="25" customFormat="1" x14ac:dyDescent="0.25"/>
    <row r="56" s="25" customFormat="1" x14ac:dyDescent="0.25"/>
    <row r="57" s="25" customFormat="1" x14ac:dyDescent="0.25"/>
    <row r="58" s="25" customFormat="1" x14ac:dyDescent="0.25"/>
    <row r="59" s="25" customFormat="1" x14ac:dyDescent="0.25"/>
    <row r="60" s="25" customFormat="1" x14ac:dyDescent="0.25"/>
    <row r="61" s="25" customFormat="1" x14ac:dyDescent="0.25"/>
    <row r="62" s="25" customFormat="1" x14ac:dyDescent="0.25"/>
    <row r="63" s="25" customFormat="1" x14ac:dyDescent="0.25"/>
    <row r="64" s="25" customFormat="1" x14ac:dyDescent="0.25"/>
    <row r="65" s="25" customFormat="1" x14ac:dyDescent="0.25"/>
    <row r="66" s="25" customFormat="1" x14ac:dyDescent="0.25"/>
    <row r="67" s="25" customFormat="1" x14ac:dyDescent="0.25"/>
    <row r="68" s="25" customFormat="1" x14ac:dyDescent="0.25"/>
    <row r="69" s="25" customFormat="1" x14ac:dyDescent="0.25"/>
    <row r="70" s="25" customFormat="1" x14ac:dyDescent="0.25"/>
    <row r="71" s="25" customFormat="1" x14ac:dyDescent="0.25"/>
    <row r="72" s="25" customFormat="1" x14ac:dyDescent="0.25"/>
    <row r="73" s="25" customFormat="1" x14ac:dyDescent="0.25"/>
    <row r="74" s="25" customFormat="1" x14ac:dyDescent="0.25"/>
    <row r="75" s="25" customFormat="1" x14ac:dyDescent="0.25"/>
    <row r="76" s="25" customFormat="1" x14ac:dyDescent="0.25"/>
    <row r="77" s="25" customFormat="1" x14ac:dyDescent="0.25"/>
    <row r="78" s="25" customFormat="1" x14ac:dyDescent="0.25"/>
    <row r="79" s="25" customFormat="1" x14ac:dyDescent="0.25"/>
    <row r="80" s="25" customFormat="1" x14ac:dyDescent="0.25"/>
    <row r="81" spans="1:14" s="25" customFormat="1" x14ac:dyDescent="0.25"/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</sheetData>
  <mergeCells count="20">
    <mergeCell ref="L28:N28"/>
    <mergeCell ref="L29:N29"/>
    <mergeCell ref="A38:N38"/>
    <mergeCell ref="A39:N39"/>
    <mergeCell ref="A40:N40"/>
    <mergeCell ref="L23:N23"/>
    <mergeCell ref="L24:N24"/>
    <mergeCell ref="L25:N25"/>
    <mergeCell ref="L26:N26"/>
    <mergeCell ref="L27:N27"/>
    <mergeCell ref="G17:N17"/>
    <mergeCell ref="G18:N18"/>
    <mergeCell ref="G19:N19"/>
    <mergeCell ref="A22:E22"/>
    <mergeCell ref="G22:N22"/>
    <mergeCell ref="A1:N1"/>
    <mergeCell ref="F3:N3"/>
    <mergeCell ref="A11:C11"/>
    <mergeCell ref="F16:N16"/>
    <mergeCell ref="A3:B3"/>
  </mergeCells>
  <conditionalFormatting sqref="C13:C17">
    <cfRule type="dataBar" priority="6">
      <dataBar>
        <cfvo type="min"/>
        <cfvo type="max"/>
        <color rgb="FF0F766E"/>
      </dataBar>
    </cfRule>
    <cfRule type="dataBar" priority="7">
      <dataBar>
        <cfvo type="min"/>
        <cfvo type="max"/>
        <color rgb="FF0F766E"/>
      </dataBar>
      <extLst>
        <ext xmlns:x14="http://schemas.microsoft.com/office/spreadsheetml/2009/9/main" uri="{B025F937-C7B1-47D3-B67F-A62EFF666E3E}">
          <x14:id>{AE64D6AA-59C5-CF83-12C2-2D403FBD6152}</x14:id>
        </ext>
      </extLst>
    </cfRule>
  </conditionalFormatting>
  <conditionalFormatting sqref="H4">
    <cfRule type="expression" dxfId="7" priority="1">
      <formula>H4="Grün"</formula>
    </cfRule>
    <cfRule type="expression" dxfId="6" priority="2">
      <formula>H4="Gelb"</formula>
    </cfRule>
    <cfRule type="expression" dxfId="5" priority="3">
      <formula>H4="Rot"</formula>
    </cfRule>
  </conditionalFormatting>
  <conditionalFormatting sqref="H9:H10">
    <cfRule type="expression" dxfId="4" priority="4">
      <formula>H9&gt;0</formula>
    </cfRule>
  </conditionalFormatting>
  <conditionalFormatting sqref="I24:I29">
    <cfRule type="colorScale" priority="5">
      <colorScale>
        <cfvo type="min"/>
        <cfvo type="percentile" val="50"/>
        <cfvo type="max"/>
        <color rgb="FFDCFCE7"/>
        <color rgb="FFFEF3C7"/>
        <color rgb="FFFEE2E2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64D6AA-59C5-CF83-12C2-2D403FBD6152}">
            <x14:dataBar>
              <x14:cfvo type="min"/>
              <x14:cfvo type="max"/>
              <x14:negativeFillColor auto="1"/>
              <x14:axisColor auto="1"/>
            </x14:dataBar>
          </x14:cfRule>
          <xm:sqref>C13:C17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0"/>
  <sheetViews>
    <sheetView workbookViewId="0"/>
  </sheetViews>
  <sheetFormatPr baseColWidth="10" defaultColWidth="9" defaultRowHeight="15" x14ac:dyDescent="0.25"/>
  <cols>
    <col min="1" max="1" width="10" customWidth="1"/>
    <col min="2" max="2" width="14" customWidth="1"/>
    <col min="3" max="3" width="34" customWidth="1"/>
    <col min="4" max="4" width="18" customWidth="1"/>
    <col min="5" max="6" width="12" customWidth="1"/>
    <col min="7" max="7" width="10" customWidth="1"/>
    <col min="8" max="8" width="12" customWidth="1"/>
    <col min="9" max="12" width="14" customWidth="1"/>
    <col min="13" max="13" width="12" customWidth="1"/>
    <col min="14" max="14" width="18" customWidth="1"/>
    <col min="15" max="15" width="12" customWidth="1"/>
    <col min="16" max="16" width="36" customWidth="1"/>
    <col min="17" max="19" width="13" customWidth="1"/>
    <col min="20" max="21" width="0.125" customWidth="1"/>
  </cols>
  <sheetData>
    <row r="1" spans="1:26" ht="26.45" customHeight="1" x14ac:dyDescent="0.25">
      <c r="A1" s="14" t="s">
        <v>56</v>
      </c>
      <c r="B1" s="14" t="s">
        <v>57</v>
      </c>
      <c r="C1" s="14" t="s">
        <v>58</v>
      </c>
      <c r="D1" s="14" t="s">
        <v>59</v>
      </c>
      <c r="E1" s="14" t="s">
        <v>60</v>
      </c>
      <c r="F1" s="14" t="s">
        <v>61</v>
      </c>
      <c r="G1" s="14" t="s">
        <v>62</v>
      </c>
      <c r="H1" s="14" t="s">
        <v>63</v>
      </c>
      <c r="I1" s="14" t="s">
        <v>8</v>
      </c>
      <c r="J1" s="14" t="s">
        <v>11</v>
      </c>
      <c r="K1" s="14" t="s">
        <v>64</v>
      </c>
      <c r="L1" s="14" t="s">
        <v>65</v>
      </c>
      <c r="M1" s="14" t="s">
        <v>66</v>
      </c>
      <c r="N1" s="14" t="s">
        <v>22</v>
      </c>
      <c r="O1" s="14" t="s">
        <v>67</v>
      </c>
      <c r="P1" s="14" t="s">
        <v>68</v>
      </c>
      <c r="Q1" s="14" t="s">
        <v>21</v>
      </c>
      <c r="R1" s="14" t="s">
        <v>25</v>
      </c>
      <c r="S1" s="14" t="s">
        <v>69</v>
      </c>
      <c r="T1" s="1" t="s">
        <v>70</v>
      </c>
      <c r="U1" s="1" t="s">
        <v>71</v>
      </c>
      <c r="V1" s="1"/>
      <c r="W1" s="1"/>
      <c r="X1" s="1"/>
      <c r="Y1" s="1"/>
      <c r="Z1" s="1"/>
    </row>
    <row r="2" spans="1:26" ht="24" customHeight="1" x14ac:dyDescent="0.25">
      <c r="A2" s="2" t="s">
        <v>72</v>
      </c>
      <c r="B2" s="2" t="s">
        <v>73</v>
      </c>
      <c r="C2" s="2" t="s">
        <v>74</v>
      </c>
      <c r="D2" s="2" t="s">
        <v>9</v>
      </c>
      <c r="E2" s="16" t="s">
        <v>13</v>
      </c>
      <c r="F2" s="16" t="s">
        <v>75</v>
      </c>
      <c r="G2" s="2">
        <f t="shared" ref="G2:G33" si="0">IF(A2="","",U2-T2+1)</f>
        <v>9</v>
      </c>
      <c r="H2" s="4">
        <v>1</v>
      </c>
      <c r="I2" s="6">
        <v>12000</v>
      </c>
      <c r="J2" s="6">
        <f>IF(A2="","",SUMIFS(Kosten!$H$2:$H$101,Kosten!$C$2:$C$101,A2))</f>
        <v>3610</v>
      </c>
      <c r="K2" s="6">
        <f t="shared" ref="K2:K33" si="1">IF(A2="","",IF(H2=0,I2,MAX(I2,J2/H2)))</f>
        <v>12000</v>
      </c>
      <c r="L2" s="6">
        <f t="shared" ref="L2:L33" si="2">IF(A2="","",K2-I2)</f>
        <v>0</v>
      </c>
      <c r="M2" s="2">
        <f>IF(A2="","",IF(H2&gt;=1,0,MAX(0,DATE(VALUE(LEFT(Übersicht!$B$5,4)),VALUE(MID(Übersicht!$B$5,6,2)),VALUE(RIGHT(Übersicht!$B$5,2)))-U2)))</f>
        <v>0</v>
      </c>
      <c r="N2" s="2" t="s">
        <v>30</v>
      </c>
      <c r="O2" s="2" t="s">
        <v>76</v>
      </c>
      <c r="P2" s="2" t="s">
        <v>77</v>
      </c>
      <c r="Q2" s="6">
        <f t="shared" ref="Q2:Q33" si="3">IF(A2="","",I2*H2)</f>
        <v>12000</v>
      </c>
      <c r="R2" s="7">
        <f t="shared" ref="R2:R33" si="4">IF(A2="","",IF(J2=0,"",Q2/J2))</f>
        <v>3.3240997229916895</v>
      </c>
      <c r="S2" s="2" t="str">
        <f t="shared" ref="S2:S33" si="5">IF(A2="","",IF(OR(N2="Blockiert",L2/MAX(1,I2)&gt;0.12,M2&gt;14),"Rot",IF(OR(L2/MAX(1,I2)&gt;0.04,M2&gt;0,H2&lt;0.3),"Gelb","Grün")))</f>
        <v>Grün</v>
      </c>
      <c r="T2" s="1">
        <f t="shared" ref="T2:T33" si="6">IF(E2="","",DATE(VALUE(LEFT(E2,4)),VALUE(MID(E2,6,2)),VALUE(RIGHT(E2,2))))</f>
        <v>46030</v>
      </c>
      <c r="U2" s="1">
        <f t="shared" ref="U2:U33" si="7">IF(F2="","",DATE(VALUE(LEFT(F2,4)),VALUE(MID(F2,6,2)),VALUE(RIGHT(F2,2))))</f>
        <v>46038</v>
      </c>
      <c r="V2" s="1"/>
      <c r="W2" s="1"/>
      <c r="X2" s="1"/>
      <c r="Y2" s="1"/>
      <c r="Z2" s="1"/>
    </row>
    <row r="3" spans="1:26" ht="24" customHeight="1" x14ac:dyDescent="0.25">
      <c r="A3" s="2" t="s">
        <v>78</v>
      </c>
      <c r="B3" s="2" t="s">
        <v>73</v>
      </c>
      <c r="C3" s="2" t="s">
        <v>79</v>
      </c>
      <c r="D3" s="2" t="s">
        <v>80</v>
      </c>
      <c r="E3" s="16" t="s">
        <v>81</v>
      </c>
      <c r="F3" s="16" t="s">
        <v>82</v>
      </c>
      <c r="G3" s="2">
        <f t="shared" si="0"/>
        <v>19</v>
      </c>
      <c r="H3" s="4">
        <v>1</v>
      </c>
      <c r="I3" s="6">
        <v>18000</v>
      </c>
      <c r="J3" s="6">
        <f>IF(A3="","",SUMIFS(Kosten!$H$2:$H$101,Kosten!$C$2:$C$101,A3))</f>
        <v>9060</v>
      </c>
      <c r="K3" s="6">
        <f t="shared" si="1"/>
        <v>18000</v>
      </c>
      <c r="L3" s="6">
        <f t="shared" si="2"/>
        <v>0</v>
      </c>
      <c r="M3" s="2">
        <f>IF(A3="","",IF(H3&gt;=1,0,MAX(0,DATE(VALUE(LEFT(Übersicht!$B$5,4)),VALUE(MID(Übersicht!$B$5,6,2)),VALUE(RIGHT(Übersicht!$B$5,2)))-U3)))</f>
        <v>0</v>
      </c>
      <c r="N3" s="2" t="s">
        <v>30</v>
      </c>
      <c r="O3" s="2" t="s">
        <v>76</v>
      </c>
      <c r="P3" s="2" t="s">
        <v>83</v>
      </c>
      <c r="Q3" s="6">
        <f t="shared" si="3"/>
        <v>18000</v>
      </c>
      <c r="R3" s="7">
        <f t="shared" si="4"/>
        <v>1.9867549668874172</v>
      </c>
      <c r="S3" s="2" t="str">
        <f t="shared" si="5"/>
        <v>Grün</v>
      </c>
      <c r="T3" s="1">
        <f t="shared" si="6"/>
        <v>46041</v>
      </c>
      <c r="U3" s="1">
        <f t="shared" si="7"/>
        <v>46059</v>
      </c>
      <c r="V3" s="1"/>
      <c r="W3" s="1"/>
      <c r="X3" s="1"/>
      <c r="Y3" s="1"/>
      <c r="Z3" s="1"/>
    </row>
    <row r="4" spans="1:26" ht="24" customHeight="1" x14ac:dyDescent="0.25">
      <c r="A4" s="2" t="s">
        <v>84</v>
      </c>
      <c r="B4" s="2" t="s">
        <v>85</v>
      </c>
      <c r="C4" s="2" t="s">
        <v>86</v>
      </c>
      <c r="D4" s="2" t="s">
        <v>87</v>
      </c>
      <c r="E4" s="16" t="s">
        <v>88</v>
      </c>
      <c r="F4" s="16" t="s">
        <v>89</v>
      </c>
      <c r="G4" s="2">
        <f t="shared" si="0"/>
        <v>19</v>
      </c>
      <c r="H4" s="4">
        <v>1</v>
      </c>
      <c r="I4" s="6">
        <v>15500</v>
      </c>
      <c r="J4" s="6">
        <f>IF(A4="","",SUMIFS(Kosten!$H$2:$H$101,Kosten!$C$2:$C$101,A4))</f>
        <v>8420</v>
      </c>
      <c r="K4" s="6">
        <f t="shared" si="1"/>
        <v>15500</v>
      </c>
      <c r="L4" s="6">
        <f t="shared" si="2"/>
        <v>0</v>
      </c>
      <c r="M4" s="2">
        <f>IF(A4="","",IF(H4&gt;=1,0,MAX(0,DATE(VALUE(LEFT(Übersicht!$B$5,4)),VALUE(MID(Übersicht!$B$5,6,2)),VALUE(RIGHT(Übersicht!$B$5,2)))-U4)))</f>
        <v>0</v>
      </c>
      <c r="N4" s="2" t="s">
        <v>30</v>
      </c>
      <c r="O4" s="2" t="s">
        <v>76</v>
      </c>
      <c r="P4" s="2" t="s">
        <v>90</v>
      </c>
      <c r="Q4" s="6">
        <f t="shared" si="3"/>
        <v>15500</v>
      </c>
      <c r="R4" s="7">
        <f t="shared" si="4"/>
        <v>1.840855106888361</v>
      </c>
      <c r="S4" s="2" t="str">
        <f t="shared" si="5"/>
        <v>Grün</v>
      </c>
      <c r="T4" s="1">
        <f t="shared" si="6"/>
        <v>46062</v>
      </c>
      <c r="U4" s="1">
        <f t="shared" si="7"/>
        <v>46080</v>
      </c>
      <c r="V4" s="1"/>
      <c r="W4" s="1"/>
      <c r="X4" s="1"/>
      <c r="Y4" s="1"/>
      <c r="Z4" s="1"/>
    </row>
    <row r="5" spans="1:26" ht="24" customHeight="1" x14ac:dyDescent="0.25">
      <c r="A5" s="2" t="s">
        <v>91</v>
      </c>
      <c r="B5" s="2" t="s">
        <v>85</v>
      </c>
      <c r="C5" s="2" t="s">
        <v>92</v>
      </c>
      <c r="D5" s="2" t="s">
        <v>80</v>
      </c>
      <c r="E5" s="16" t="s">
        <v>93</v>
      </c>
      <c r="F5" s="16" t="s">
        <v>94</v>
      </c>
      <c r="G5" s="2">
        <f t="shared" si="0"/>
        <v>26</v>
      </c>
      <c r="H5" s="4">
        <v>0.92</v>
      </c>
      <c r="I5" s="6">
        <v>28500</v>
      </c>
      <c r="J5" s="6">
        <f>IF(A5="","",SUMIFS(Kosten!$H$2:$H$101,Kosten!$C$2:$C$101,A5))</f>
        <v>14048</v>
      </c>
      <c r="K5" s="6">
        <f t="shared" si="1"/>
        <v>28500</v>
      </c>
      <c r="L5" s="6">
        <f t="shared" si="2"/>
        <v>0</v>
      </c>
      <c r="M5" s="2">
        <f>IF(A5="","",IF(H5&gt;=1,0,MAX(0,DATE(VALUE(LEFT(Übersicht!$B$5,4)),VALUE(MID(Übersicht!$B$5,6,2)),VALUE(RIGHT(Übersicht!$B$5,2)))-U5)))</f>
        <v>101</v>
      </c>
      <c r="N5" s="2" t="s">
        <v>28</v>
      </c>
      <c r="O5" s="2" t="s">
        <v>76</v>
      </c>
      <c r="P5" s="2" t="s">
        <v>95</v>
      </c>
      <c r="Q5" s="6">
        <f t="shared" si="3"/>
        <v>26220</v>
      </c>
      <c r="R5" s="7">
        <f t="shared" si="4"/>
        <v>1.8664578587699316</v>
      </c>
      <c r="S5" s="2" t="str">
        <f t="shared" si="5"/>
        <v>Rot</v>
      </c>
      <c r="T5" s="1">
        <f t="shared" si="6"/>
        <v>46083</v>
      </c>
      <c r="U5" s="1">
        <f t="shared" si="7"/>
        <v>46108</v>
      </c>
      <c r="V5" s="1"/>
      <c r="W5" s="1"/>
      <c r="X5" s="1"/>
      <c r="Y5" s="1"/>
      <c r="Z5" s="1"/>
    </row>
    <row r="6" spans="1:26" ht="24" customHeight="1" x14ac:dyDescent="0.25">
      <c r="A6" s="2" t="s">
        <v>96</v>
      </c>
      <c r="B6" s="2" t="s">
        <v>97</v>
      </c>
      <c r="C6" s="2" t="s">
        <v>98</v>
      </c>
      <c r="D6" s="2" t="s">
        <v>99</v>
      </c>
      <c r="E6" s="16" t="s">
        <v>100</v>
      </c>
      <c r="F6" s="16" t="s">
        <v>101</v>
      </c>
      <c r="G6" s="2">
        <f t="shared" si="0"/>
        <v>61</v>
      </c>
      <c r="H6" s="4">
        <v>0.72</v>
      </c>
      <c r="I6" s="6">
        <v>66000</v>
      </c>
      <c r="J6" s="6">
        <f>IF(A6="","",SUMIFS(Kosten!$H$2:$H$101,Kosten!$C$2:$C$101,A6))</f>
        <v>42688</v>
      </c>
      <c r="K6" s="6">
        <f t="shared" si="1"/>
        <v>66000</v>
      </c>
      <c r="L6" s="6">
        <f t="shared" si="2"/>
        <v>0</v>
      </c>
      <c r="M6" s="2">
        <f>IF(A6="","",IF(H6&gt;=1,0,MAX(0,DATE(VALUE(LEFT(Übersicht!$B$5,4)),VALUE(MID(Übersicht!$B$5,6,2)),VALUE(RIGHT(Übersicht!$B$5,2)))-U6)))</f>
        <v>38</v>
      </c>
      <c r="N6" s="2" t="s">
        <v>28</v>
      </c>
      <c r="O6" s="2" t="s">
        <v>76</v>
      </c>
      <c r="P6" s="2" t="s">
        <v>102</v>
      </c>
      <c r="Q6" s="6">
        <f t="shared" si="3"/>
        <v>47520</v>
      </c>
      <c r="R6" s="7">
        <f t="shared" si="4"/>
        <v>1.1131934032983508</v>
      </c>
      <c r="S6" s="2" t="str">
        <f t="shared" si="5"/>
        <v>Rot</v>
      </c>
      <c r="T6" s="1">
        <f t="shared" si="6"/>
        <v>46111</v>
      </c>
      <c r="U6" s="1">
        <f t="shared" si="7"/>
        <v>46171</v>
      </c>
      <c r="V6" s="1"/>
      <c r="W6" s="1"/>
      <c r="X6" s="1"/>
      <c r="Y6" s="1"/>
      <c r="Z6" s="1"/>
    </row>
    <row r="7" spans="1:26" ht="24" customHeight="1" x14ac:dyDescent="0.25">
      <c r="A7" s="2" t="s">
        <v>103</v>
      </c>
      <c r="B7" s="2" t="s">
        <v>97</v>
      </c>
      <c r="C7" s="2" t="s">
        <v>104</v>
      </c>
      <c r="D7" s="2" t="s">
        <v>99</v>
      </c>
      <c r="E7" s="16" t="s">
        <v>105</v>
      </c>
      <c r="F7" s="16" t="s">
        <v>106</v>
      </c>
      <c r="G7" s="2">
        <f t="shared" si="0"/>
        <v>75</v>
      </c>
      <c r="H7" s="4">
        <v>0.48</v>
      </c>
      <c r="I7" s="6">
        <v>74000</v>
      </c>
      <c r="J7" s="6">
        <f>IF(A7="","",SUMIFS(Kosten!$H$2:$H$101,Kosten!$C$2:$C$101,A7))</f>
        <v>37720</v>
      </c>
      <c r="K7" s="6">
        <f t="shared" si="1"/>
        <v>78583.333333333343</v>
      </c>
      <c r="L7" s="6">
        <f t="shared" si="2"/>
        <v>4583.333333333343</v>
      </c>
      <c r="M7" s="2">
        <f>IF(A7="","",IF(H7&gt;=1,0,MAX(0,DATE(VALUE(LEFT(Übersicht!$B$5,4)),VALUE(MID(Übersicht!$B$5,6,2)),VALUE(RIGHT(Übersicht!$B$5,2)))-U7)))</f>
        <v>3</v>
      </c>
      <c r="N7" s="2" t="s">
        <v>28</v>
      </c>
      <c r="O7" s="2" t="s">
        <v>76</v>
      </c>
      <c r="P7" s="2" t="s">
        <v>107</v>
      </c>
      <c r="Q7" s="6">
        <f t="shared" si="3"/>
        <v>35520</v>
      </c>
      <c r="R7" s="7">
        <f t="shared" si="4"/>
        <v>0.94167550371155884</v>
      </c>
      <c r="S7" s="2" t="str">
        <f t="shared" si="5"/>
        <v>Gelb</v>
      </c>
      <c r="T7" s="1">
        <f t="shared" si="6"/>
        <v>46132</v>
      </c>
      <c r="U7" s="1">
        <f t="shared" si="7"/>
        <v>46206</v>
      </c>
      <c r="V7" s="1"/>
      <c r="W7" s="1"/>
      <c r="X7" s="1"/>
      <c r="Y7" s="1"/>
      <c r="Z7" s="1"/>
    </row>
    <row r="8" spans="1:26" ht="24" customHeight="1" x14ac:dyDescent="0.25">
      <c r="A8" s="2" t="s">
        <v>108</v>
      </c>
      <c r="B8" s="2" t="s">
        <v>109</v>
      </c>
      <c r="C8" s="2" t="s">
        <v>110</v>
      </c>
      <c r="D8" s="2" t="s">
        <v>87</v>
      </c>
      <c r="E8" s="16" t="s">
        <v>81</v>
      </c>
      <c r="F8" s="16" t="s">
        <v>111</v>
      </c>
      <c r="G8" s="2">
        <f t="shared" si="0"/>
        <v>285</v>
      </c>
      <c r="H8" s="4">
        <v>0.55000000000000004</v>
      </c>
      <c r="I8" s="6">
        <v>24500</v>
      </c>
      <c r="J8" s="6">
        <f>IF(A8="","",SUMIFS(Kosten!$H$2:$H$101,Kosten!$C$2:$C$101,A8))</f>
        <v>4590</v>
      </c>
      <c r="K8" s="6">
        <f t="shared" si="1"/>
        <v>24500</v>
      </c>
      <c r="L8" s="6">
        <f t="shared" si="2"/>
        <v>0</v>
      </c>
      <c r="M8" s="2">
        <f>IF(A8="","",IF(H8&gt;=1,0,MAX(0,DATE(VALUE(LEFT(Übersicht!$B$5,4)),VALUE(MID(Übersicht!$B$5,6,2)),VALUE(RIGHT(Übersicht!$B$5,2)))-U8)))</f>
        <v>0</v>
      </c>
      <c r="N8" s="2" t="s">
        <v>28</v>
      </c>
      <c r="O8" s="2" t="s">
        <v>112</v>
      </c>
      <c r="P8" s="2" t="s">
        <v>113</v>
      </c>
      <c r="Q8" s="6">
        <f t="shared" si="3"/>
        <v>13475.000000000002</v>
      </c>
      <c r="R8" s="7">
        <f t="shared" si="4"/>
        <v>2.9357298474945539</v>
      </c>
      <c r="S8" s="2" t="str">
        <f t="shared" si="5"/>
        <v>Grün</v>
      </c>
      <c r="T8" s="1">
        <f t="shared" si="6"/>
        <v>46041</v>
      </c>
      <c r="U8" s="1">
        <f t="shared" si="7"/>
        <v>46325</v>
      </c>
      <c r="V8" s="1"/>
      <c r="W8" s="1"/>
      <c r="X8" s="1"/>
      <c r="Y8" s="1"/>
      <c r="Z8" s="1"/>
    </row>
    <row r="9" spans="1:26" ht="24" customHeight="1" x14ac:dyDescent="0.25">
      <c r="A9" s="2" t="s">
        <v>114</v>
      </c>
      <c r="B9" s="2" t="s">
        <v>109</v>
      </c>
      <c r="C9" s="2" t="s">
        <v>115</v>
      </c>
      <c r="D9" s="2" t="s">
        <v>116</v>
      </c>
      <c r="E9" s="16" t="s">
        <v>117</v>
      </c>
      <c r="F9" s="16" t="s">
        <v>118</v>
      </c>
      <c r="G9" s="2">
        <f t="shared" si="0"/>
        <v>152</v>
      </c>
      <c r="H9" s="4">
        <v>0.6</v>
      </c>
      <c r="I9" s="6">
        <v>21000</v>
      </c>
      <c r="J9" s="6">
        <f>IF(A9="","",SUMIFS(Kosten!$H$2:$H$101,Kosten!$C$2:$C$101,A9))</f>
        <v>9296</v>
      </c>
      <c r="K9" s="6">
        <f t="shared" si="1"/>
        <v>21000</v>
      </c>
      <c r="L9" s="6">
        <f t="shared" si="2"/>
        <v>0</v>
      </c>
      <c r="M9" s="2">
        <f>IF(A9="","",IF(H9&gt;=1,0,MAX(0,DATE(VALUE(LEFT(Übersicht!$B$5,4)),VALUE(MID(Übersicht!$B$5,6,2)),VALUE(RIGHT(Übersicht!$B$5,2)))-U9)))</f>
        <v>0</v>
      </c>
      <c r="N9" s="2" t="s">
        <v>28</v>
      </c>
      <c r="O9" s="2" t="s">
        <v>112</v>
      </c>
      <c r="P9" s="2" t="s">
        <v>119</v>
      </c>
      <c r="Q9" s="6">
        <f t="shared" si="3"/>
        <v>12600</v>
      </c>
      <c r="R9" s="7">
        <f t="shared" si="4"/>
        <v>1.3554216867469879</v>
      </c>
      <c r="S9" s="2" t="str">
        <f t="shared" si="5"/>
        <v>Grün</v>
      </c>
      <c r="T9" s="1">
        <f t="shared" si="6"/>
        <v>46097</v>
      </c>
      <c r="U9" s="1">
        <f t="shared" si="7"/>
        <v>46248</v>
      </c>
      <c r="V9" s="1"/>
      <c r="W9" s="1"/>
      <c r="X9" s="1"/>
      <c r="Y9" s="1"/>
      <c r="Z9" s="1"/>
    </row>
    <row r="10" spans="1:26" ht="24" customHeight="1" x14ac:dyDescent="0.25">
      <c r="A10" s="2" t="s">
        <v>120</v>
      </c>
      <c r="B10" s="2" t="s">
        <v>121</v>
      </c>
      <c r="C10" s="2" t="s">
        <v>122</v>
      </c>
      <c r="D10" s="2" t="s">
        <v>123</v>
      </c>
      <c r="E10" s="16" t="s">
        <v>124</v>
      </c>
      <c r="F10" s="16" t="s">
        <v>125</v>
      </c>
      <c r="G10" s="2">
        <f t="shared" si="0"/>
        <v>103</v>
      </c>
      <c r="H10" s="4">
        <v>0.28000000000000003</v>
      </c>
      <c r="I10" s="6">
        <v>36000</v>
      </c>
      <c r="J10" s="6">
        <f>IF(A10="","",SUMIFS(Kosten!$H$2:$H$101,Kosten!$C$2:$C$101,A10))</f>
        <v>9960</v>
      </c>
      <c r="K10" s="6">
        <f t="shared" si="1"/>
        <v>36000</v>
      </c>
      <c r="L10" s="6">
        <f t="shared" si="2"/>
        <v>0</v>
      </c>
      <c r="M10" s="2">
        <f>IF(A10="","",IF(H10&gt;=1,0,MAX(0,DATE(VALUE(LEFT(Übersicht!$B$5,4)),VALUE(MID(Übersicht!$B$5,6,2)),VALUE(RIGHT(Übersicht!$B$5,2)))-U10)))</f>
        <v>0</v>
      </c>
      <c r="N10" s="2" t="s">
        <v>28</v>
      </c>
      <c r="O10" s="2" t="s">
        <v>76</v>
      </c>
      <c r="P10" s="2" t="s">
        <v>126</v>
      </c>
      <c r="Q10" s="6">
        <f t="shared" si="3"/>
        <v>10080.000000000002</v>
      </c>
      <c r="R10" s="7">
        <f t="shared" si="4"/>
        <v>1.0120481927710845</v>
      </c>
      <c r="S10" s="2" t="str">
        <f t="shared" si="5"/>
        <v>Gelb</v>
      </c>
      <c r="T10" s="1">
        <f t="shared" si="6"/>
        <v>46174</v>
      </c>
      <c r="U10" s="1">
        <f t="shared" si="7"/>
        <v>46276</v>
      </c>
      <c r="V10" s="1"/>
      <c r="W10" s="1"/>
      <c r="X10" s="1"/>
      <c r="Y10" s="1"/>
      <c r="Z10" s="1"/>
    </row>
    <row r="11" spans="1:26" ht="24" customHeight="1" x14ac:dyDescent="0.25">
      <c r="A11" s="2" t="s">
        <v>127</v>
      </c>
      <c r="B11" s="2" t="s">
        <v>121</v>
      </c>
      <c r="C11" s="2" t="s">
        <v>128</v>
      </c>
      <c r="D11" s="2" t="s">
        <v>80</v>
      </c>
      <c r="E11" s="16" t="s">
        <v>129</v>
      </c>
      <c r="F11" s="16" t="s">
        <v>130</v>
      </c>
      <c r="G11" s="2">
        <f t="shared" si="0"/>
        <v>54</v>
      </c>
      <c r="H11" s="4">
        <v>0.05</v>
      </c>
      <c r="I11" s="6">
        <v>22000</v>
      </c>
      <c r="J11" s="6">
        <f>IF(A11="","",SUMIFS(Kosten!$H$2:$H$101,Kosten!$C$2:$C$101,A11))</f>
        <v>1584</v>
      </c>
      <c r="K11" s="6">
        <f t="shared" si="1"/>
        <v>31680</v>
      </c>
      <c r="L11" s="6">
        <f t="shared" si="2"/>
        <v>9680</v>
      </c>
      <c r="M11" s="2">
        <f>IF(A11="","",IF(H11&gt;=1,0,MAX(0,DATE(VALUE(LEFT(Übersicht!$B$5,4)),VALUE(MID(Übersicht!$B$5,6,2)),VALUE(RIGHT(Übersicht!$B$5,2)))-U11)))</f>
        <v>0</v>
      </c>
      <c r="N11" s="2" t="s">
        <v>26</v>
      </c>
      <c r="O11" s="2" t="s">
        <v>112</v>
      </c>
      <c r="P11" s="2" t="s">
        <v>131</v>
      </c>
      <c r="Q11" s="6">
        <f t="shared" si="3"/>
        <v>1100</v>
      </c>
      <c r="R11" s="7">
        <f t="shared" si="4"/>
        <v>0.69444444444444442</v>
      </c>
      <c r="S11" s="2" t="str">
        <f t="shared" si="5"/>
        <v>Rot</v>
      </c>
      <c r="T11" s="1">
        <f t="shared" si="6"/>
        <v>46237</v>
      </c>
      <c r="U11" s="1">
        <f t="shared" si="7"/>
        <v>46290</v>
      </c>
      <c r="V11" s="1"/>
      <c r="W11" s="1"/>
      <c r="X11" s="1"/>
      <c r="Y11" s="1"/>
      <c r="Z11" s="1"/>
    </row>
    <row r="12" spans="1:26" ht="24" customHeight="1" x14ac:dyDescent="0.25">
      <c r="A12" s="2" t="s">
        <v>132</v>
      </c>
      <c r="B12" s="2" t="s">
        <v>121</v>
      </c>
      <c r="C12" s="2" t="s">
        <v>133</v>
      </c>
      <c r="D12" s="2" t="s">
        <v>9</v>
      </c>
      <c r="E12" s="16" t="s">
        <v>134</v>
      </c>
      <c r="F12" s="16" t="s">
        <v>135</v>
      </c>
      <c r="G12" s="2">
        <f t="shared" si="0"/>
        <v>26</v>
      </c>
      <c r="H12" s="4">
        <v>0</v>
      </c>
      <c r="I12" s="6">
        <v>14500</v>
      </c>
      <c r="J12" s="6">
        <f>IF(A12="","",SUMIFS(Kosten!$H$2:$H$101,Kosten!$C$2:$C$101,A12))</f>
        <v>0</v>
      </c>
      <c r="K12" s="6">
        <f t="shared" si="1"/>
        <v>14500</v>
      </c>
      <c r="L12" s="6">
        <f t="shared" si="2"/>
        <v>0</v>
      </c>
      <c r="M12" s="2">
        <f>IF(A12="","",IF(H12&gt;=1,0,MAX(0,DATE(VALUE(LEFT(Übersicht!$B$5,4)),VALUE(MID(Übersicht!$B$5,6,2)),VALUE(RIGHT(Übersicht!$B$5,2)))-U12)))</f>
        <v>0</v>
      </c>
      <c r="N12" s="2" t="s">
        <v>26</v>
      </c>
      <c r="O12" s="2" t="s">
        <v>76</v>
      </c>
      <c r="P12" s="2" t="s">
        <v>136</v>
      </c>
      <c r="Q12" s="6">
        <f t="shared" si="3"/>
        <v>0</v>
      </c>
      <c r="R12" s="7" t="str">
        <f t="shared" si="4"/>
        <v/>
      </c>
      <c r="S12" s="2" t="str">
        <f t="shared" si="5"/>
        <v>Gelb</v>
      </c>
      <c r="T12" s="1">
        <f t="shared" si="6"/>
        <v>46279</v>
      </c>
      <c r="U12" s="1">
        <f t="shared" si="7"/>
        <v>46304</v>
      </c>
      <c r="V12" s="1"/>
      <c r="W12" s="1"/>
      <c r="X12" s="1"/>
      <c r="Y12" s="1"/>
      <c r="Z12" s="1"/>
    </row>
    <row r="13" spans="1:26" ht="24" customHeight="1" x14ac:dyDescent="0.25">
      <c r="A13" s="2" t="s">
        <v>137</v>
      </c>
      <c r="B13" s="2" t="s">
        <v>138</v>
      </c>
      <c r="C13" s="2" t="s">
        <v>139</v>
      </c>
      <c r="D13" s="2" t="s">
        <v>9</v>
      </c>
      <c r="E13" s="16" t="s">
        <v>140</v>
      </c>
      <c r="F13" s="16" t="s">
        <v>16</v>
      </c>
      <c r="G13" s="2">
        <f t="shared" si="0"/>
        <v>40</v>
      </c>
      <c r="H13" s="4">
        <v>0</v>
      </c>
      <c r="I13" s="6">
        <v>26500</v>
      </c>
      <c r="J13" s="6">
        <f>IF(A13="","",SUMIFS(Kosten!$H$2:$H$101,Kosten!$C$2:$C$101,A13))</f>
        <v>0</v>
      </c>
      <c r="K13" s="6">
        <f t="shared" si="1"/>
        <v>26500</v>
      </c>
      <c r="L13" s="6">
        <f t="shared" si="2"/>
        <v>0</v>
      </c>
      <c r="M13" s="2">
        <f>IF(A13="","",IF(H13&gt;=1,0,MAX(0,DATE(VALUE(LEFT(Übersicht!$B$5,4)),VALUE(MID(Übersicht!$B$5,6,2)),VALUE(RIGHT(Übersicht!$B$5,2)))-U13)))</f>
        <v>0</v>
      </c>
      <c r="N13" s="2" t="s">
        <v>26</v>
      </c>
      <c r="O13" s="2" t="s">
        <v>76</v>
      </c>
      <c r="P13" s="2" t="s">
        <v>141</v>
      </c>
      <c r="Q13" s="6">
        <f t="shared" si="3"/>
        <v>0</v>
      </c>
      <c r="R13" s="7" t="str">
        <f t="shared" si="4"/>
        <v/>
      </c>
      <c r="S13" s="2" t="str">
        <f t="shared" si="5"/>
        <v>Gelb</v>
      </c>
      <c r="T13" s="1">
        <f t="shared" si="6"/>
        <v>46307</v>
      </c>
      <c r="U13" s="1">
        <f t="shared" si="7"/>
        <v>46346</v>
      </c>
      <c r="V13" s="1"/>
      <c r="W13" s="1"/>
      <c r="X13" s="1"/>
      <c r="Y13" s="1"/>
      <c r="Z13" s="1"/>
    </row>
    <row r="14" spans="1:26" ht="24" customHeight="1" x14ac:dyDescent="0.25">
      <c r="A14" s="2"/>
      <c r="B14" s="2"/>
      <c r="C14" s="2"/>
      <c r="D14" s="2"/>
      <c r="E14" s="16"/>
      <c r="F14" s="16"/>
      <c r="G14" s="2" t="str">
        <f t="shared" si="0"/>
        <v/>
      </c>
      <c r="H14" s="4"/>
      <c r="I14" s="6"/>
      <c r="J14" s="6" t="str">
        <f>IF(A14="","",SUMIFS(Kosten!$H$2:$H$101,Kosten!$C$2:$C$101,A14))</f>
        <v/>
      </c>
      <c r="K14" s="6" t="str">
        <f t="shared" si="1"/>
        <v/>
      </c>
      <c r="L14" s="6" t="str">
        <f t="shared" si="2"/>
        <v/>
      </c>
      <c r="M14" s="2" t="str">
        <f>IF(A14="","",IF(H14&gt;=1,0,MAX(0,DATE(VALUE(LEFT(Übersicht!$B$5,4)),VALUE(MID(Übersicht!$B$5,6,2)),VALUE(RIGHT(Übersicht!$B$5,2)))-U14)))</f>
        <v/>
      </c>
      <c r="N14" s="2"/>
      <c r="O14" s="2"/>
      <c r="P14" s="2"/>
      <c r="Q14" s="6" t="str">
        <f t="shared" si="3"/>
        <v/>
      </c>
      <c r="R14" s="7" t="str">
        <f t="shared" si="4"/>
        <v/>
      </c>
      <c r="S14" s="2" t="str">
        <f t="shared" si="5"/>
        <v/>
      </c>
      <c r="T14" s="1" t="str">
        <f t="shared" si="6"/>
        <v/>
      </c>
      <c r="U14" s="1" t="str">
        <f t="shared" si="7"/>
        <v/>
      </c>
      <c r="V14" s="1"/>
      <c r="W14" s="1"/>
      <c r="X14" s="1"/>
      <c r="Y14" s="1"/>
      <c r="Z14" s="1"/>
    </row>
    <row r="15" spans="1:26" ht="24" customHeight="1" x14ac:dyDescent="0.25">
      <c r="A15" s="2"/>
      <c r="B15" s="2"/>
      <c r="C15" s="2"/>
      <c r="D15" s="2"/>
      <c r="E15" s="16"/>
      <c r="F15" s="16"/>
      <c r="G15" s="2" t="str">
        <f t="shared" si="0"/>
        <v/>
      </c>
      <c r="H15" s="4"/>
      <c r="I15" s="6"/>
      <c r="J15" s="6" t="str">
        <f>IF(A15="","",SUMIFS(Kosten!$H$2:$H$101,Kosten!$C$2:$C$101,A15))</f>
        <v/>
      </c>
      <c r="K15" s="6" t="str">
        <f t="shared" si="1"/>
        <v/>
      </c>
      <c r="L15" s="6" t="str">
        <f t="shared" si="2"/>
        <v/>
      </c>
      <c r="M15" s="2" t="str">
        <f>IF(A15="","",IF(H15&gt;=1,0,MAX(0,DATE(VALUE(LEFT(Übersicht!$B$5,4)),VALUE(MID(Übersicht!$B$5,6,2)),VALUE(RIGHT(Übersicht!$B$5,2)))-U15)))</f>
        <v/>
      </c>
      <c r="N15" s="2"/>
      <c r="O15" s="2"/>
      <c r="P15" s="2"/>
      <c r="Q15" s="6" t="str">
        <f t="shared" si="3"/>
        <v/>
      </c>
      <c r="R15" s="7" t="str">
        <f t="shared" si="4"/>
        <v/>
      </c>
      <c r="S15" s="2" t="str">
        <f t="shared" si="5"/>
        <v/>
      </c>
      <c r="T15" s="1" t="str">
        <f t="shared" si="6"/>
        <v/>
      </c>
      <c r="U15" s="1" t="str">
        <f t="shared" si="7"/>
        <v/>
      </c>
      <c r="V15" s="1"/>
      <c r="W15" s="1"/>
      <c r="X15" s="1"/>
      <c r="Y15" s="1"/>
      <c r="Z15" s="1"/>
    </row>
    <row r="16" spans="1:26" ht="24" customHeight="1" x14ac:dyDescent="0.25">
      <c r="A16" s="2"/>
      <c r="B16" s="2"/>
      <c r="C16" s="2"/>
      <c r="D16" s="2"/>
      <c r="E16" s="16"/>
      <c r="F16" s="16"/>
      <c r="G16" s="2" t="str">
        <f t="shared" si="0"/>
        <v/>
      </c>
      <c r="H16" s="4"/>
      <c r="I16" s="6"/>
      <c r="J16" s="6" t="str">
        <f>IF(A16="","",SUMIFS(Kosten!$H$2:$H$101,Kosten!$C$2:$C$101,A16))</f>
        <v/>
      </c>
      <c r="K16" s="6" t="str">
        <f t="shared" si="1"/>
        <v/>
      </c>
      <c r="L16" s="6" t="str">
        <f t="shared" si="2"/>
        <v/>
      </c>
      <c r="M16" s="2" t="str">
        <f>IF(A16="","",IF(H16&gt;=1,0,MAX(0,DATE(VALUE(LEFT(Übersicht!$B$5,4)),VALUE(MID(Übersicht!$B$5,6,2)),VALUE(RIGHT(Übersicht!$B$5,2)))-U16)))</f>
        <v/>
      </c>
      <c r="N16" s="2"/>
      <c r="O16" s="2"/>
      <c r="P16" s="2"/>
      <c r="Q16" s="6" t="str">
        <f t="shared" si="3"/>
        <v/>
      </c>
      <c r="R16" s="7" t="str">
        <f t="shared" si="4"/>
        <v/>
      </c>
      <c r="S16" s="2" t="str">
        <f t="shared" si="5"/>
        <v/>
      </c>
      <c r="T16" s="1" t="str">
        <f t="shared" si="6"/>
        <v/>
      </c>
      <c r="U16" s="1" t="str">
        <f t="shared" si="7"/>
        <v/>
      </c>
      <c r="V16" s="1"/>
      <c r="W16" s="1"/>
      <c r="X16" s="1"/>
      <c r="Y16" s="1"/>
      <c r="Z16" s="1"/>
    </row>
    <row r="17" spans="1:26" ht="24" customHeight="1" x14ac:dyDescent="0.25">
      <c r="A17" s="2"/>
      <c r="B17" s="2"/>
      <c r="C17" s="2"/>
      <c r="D17" s="2"/>
      <c r="E17" s="16"/>
      <c r="F17" s="16"/>
      <c r="G17" s="2" t="str">
        <f t="shared" si="0"/>
        <v/>
      </c>
      <c r="H17" s="4"/>
      <c r="I17" s="6"/>
      <c r="J17" s="6" t="str">
        <f>IF(A17="","",SUMIFS(Kosten!$H$2:$H$101,Kosten!$C$2:$C$101,A17))</f>
        <v/>
      </c>
      <c r="K17" s="6" t="str">
        <f t="shared" si="1"/>
        <v/>
      </c>
      <c r="L17" s="6" t="str">
        <f t="shared" si="2"/>
        <v/>
      </c>
      <c r="M17" s="2" t="str">
        <f>IF(A17="","",IF(H17&gt;=1,0,MAX(0,DATE(VALUE(LEFT(Übersicht!$B$5,4)),VALUE(MID(Übersicht!$B$5,6,2)),VALUE(RIGHT(Übersicht!$B$5,2)))-U17)))</f>
        <v/>
      </c>
      <c r="N17" s="2"/>
      <c r="O17" s="2"/>
      <c r="P17" s="2"/>
      <c r="Q17" s="6" t="str">
        <f t="shared" si="3"/>
        <v/>
      </c>
      <c r="R17" s="7" t="str">
        <f t="shared" si="4"/>
        <v/>
      </c>
      <c r="S17" s="2" t="str">
        <f t="shared" si="5"/>
        <v/>
      </c>
      <c r="T17" s="1" t="str">
        <f t="shared" si="6"/>
        <v/>
      </c>
      <c r="U17" s="1" t="str">
        <f t="shared" si="7"/>
        <v/>
      </c>
      <c r="V17" s="1"/>
      <c r="W17" s="1"/>
      <c r="X17" s="1"/>
      <c r="Y17" s="1"/>
      <c r="Z17" s="1"/>
    </row>
    <row r="18" spans="1:26" ht="24" customHeight="1" x14ac:dyDescent="0.25">
      <c r="A18" s="2"/>
      <c r="B18" s="2"/>
      <c r="C18" s="2"/>
      <c r="D18" s="2"/>
      <c r="E18" s="16"/>
      <c r="F18" s="16"/>
      <c r="G18" s="2" t="str">
        <f t="shared" si="0"/>
        <v/>
      </c>
      <c r="H18" s="4"/>
      <c r="I18" s="6"/>
      <c r="J18" s="6" t="str">
        <f>IF(A18="","",SUMIFS(Kosten!$H$2:$H$101,Kosten!$C$2:$C$101,A18))</f>
        <v/>
      </c>
      <c r="K18" s="6" t="str">
        <f t="shared" si="1"/>
        <v/>
      </c>
      <c r="L18" s="6" t="str">
        <f t="shared" si="2"/>
        <v/>
      </c>
      <c r="M18" s="2" t="str">
        <f>IF(A18="","",IF(H18&gt;=1,0,MAX(0,DATE(VALUE(LEFT(Übersicht!$B$5,4)),VALUE(MID(Übersicht!$B$5,6,2)),VALUE(RIGHT(Übersicht!$B$5,2)))-U18)))</f>
        <v/>
      </c>
      <c r="N18" s="2"/>
      <c r="O18" s="2"/>
      <c r="P18" s="2"/>
      <c r="Q18" s="6" t="str">
        <f t="shared" si="3"/>
        <v/>
      </c>
      <c r="R18" s="7" t="str">
        <f t="shared" si="4"/>
        <v/>
      </c>
      <c r="S18" s="2" t="str">
        <f t="shared" si="5"/>
        <v/>
      </c>
      <c r="T18" s="1" t="str">
        <f t="shared" si="6"/>
        <v/>
      </c>
      <c r="U18" s="1" t="str">
        <f t="shared" si="7"/>
        <v/>
      </c>
      <c r="V18" s="1"/>
      <c r="W18" s="1"/>
      <c r="X18" s="1"/>
      <c r="Y18" s="1"/>
      <c r="Z18" s="1"/>
    </row>
    <row r="19" spans="1:26" ht="24" customHeight="1" x14ac:dyDescent="0.25">
      <c r="A19" s="2"/>
      <c r="B19" s="2"/>
      <c r="C19" s="2"/>
      <c r="D19" s="2"/>
      <c r="E19" s="16"/>
      <c r="F19" s="16"/>
      <c r="G19" s="2" t="str">
        <f t="shared" si="0"/>
        <v/>
      </c>
      <c r="H19" s="4"/>
      <c r="I19" s="6"/>
      <c r="J19" s="6" t="str">
        <f>IF(A19="","",SUMIFS(Kosten!$H$2:$H$101,Kosten!$C$2:$C$101,A19))</f>
        <v/>
      </c>
      <c r="K19" s="6" t="str">
        <f t="shared" si="1"/>
        <v/>
      </c>
      <c r="L19" s="6" t="str">
        <f t="shared" si="2"/>
        <v/>
      </c>
      <c r="M19" s="2" t="str">
        <f>IF(A19="","",IF(H19&gt;=1,0,MAX(0,DATE(VALUE(LEFT(Übersicht!$B$5,4)),VALUE(MID(Übersicht!$B$5,6,2)),VALUE(RIGHT(Übersicht!$B$5,2)))-U19)))</f>
        <v/>
      </c>
      <c r="N19" s="2"/>
      <c r="O19" s="2"/>
      <c r="P19" s="2"/>
      <c r="Q19" s="6" t="str">
        <f t="shared" si="3"/>
        <v/>
      </c>
      <c r="R19" s="7" t="str">
        <f t="shared" si="4"/>
        <v/>
      </c>
      <c r="S19" s="2" t="str">
        <f t="shared" si="5"/>
        <v/>
      </c>
      <c r="T19" s="1" t="str">
        <f t="shared" si="6"/>
        <v/>
      </c>
      <c r="U19" s="1" t="str">
        <f t="shared" si="7"/>
        <v/>
      </c>
      <c r="V19" s="1"/>
      <c r="W19" s="1"/>
      <c r="X19" s="1"/>
      <c r="Y19" s="1"/>
      <c r="Z19" s="1"/>
    </row>
    <row r="20" spans="1:26" ht="24" customHeight="1" x14ac:dyDescent="0.25">
      <c r="A20" s="2"/>
      <c r="B20" s="2"/>
      <c r="C20" s="2"/>
      <c r="D20" s="2"/>
      <c r="E20" s="16"/>
      <c r="F20" s="16"/>
      <c r="G20" s="2" t="str">
        <f t="shared" si="0"/>
        <v/>
      </c>
      <c r="H20" s="4"/>
      <c r="I20" s="6"/>
      <c r="J20" s="6" t="str">
        <f>IF(A20="","",SUMIFS(Kosten!$H$2:$H$101,Kosten!$C$2:$C$101,A20))</f>
        <v/>
      </c>
      <c r="K20" s="6" t="str">
        <f t="shared" si="1"/>
        <v/>
      </c>
      <c r="L20" s="6" t="str">
        <f t="shared" si="2"/>
        <v/>
      </c>
      <c r="M20" s="2" t="str">
        <f>IF(A20="","",IF(H20&gt;=1,0,MAX(0,DATE(VALUE(LEFT(Übersicht!$B$5,4)),VALUE(MID(Übersicht!$B$5,6,2)),VALUE(RIGHT(Übersicht!$B$5,2)))-U20)))</f>
        <v/>
      </c>
      <c r="N20" s="2"/>
      <c r="O20" s="2"/>
      <c r="P20" s="2"/>
      <c r="Q20" s="6" t="str">
        <f t="shared" si="3"/>
        <v/>
      </c>
      <c r="R20" s="7" t="str">
        <f t="shared" si="4"/>
        <v/>
      </c>
      <c r="S20" s="2" t="str">
        <f t="shared" si="5"/>
        <v/>
      </c>
      <c r="T20" s="1" t="str">
        <f t="shared" si="6"/>
        <v/>
      </c>
      <c r="U20" s="1" t="str">
        <f t="shared" si="7"/>
        <v/>
      </c>
      <c r="V20" s="1"/>
      <c r="W20" s="1"/>
      <c r="X20" s="1"/>
      <c r="Y20" s="1"/>
      <c r="Z20" s="1"/>
    </row>
    <row r="21" spans="1:26" ht="24" customHeight="1" x14ac:dyDescent="0.25">
      <c r="A21" s="2"/>
      <c r="B21" s="2"/>
      <c r="C21" s="2"/>
      <c r="D21" s="2"/>
      <c r="E21" s="16"/>
      <c r="F21" s="16"/>
      <c r="G21" s="2" t="str">
        <f t="shared" si="0"/>
        <v/>
      </c>
      <c r="H21" s="4"/>
      <c r="I21" s="6"/>
      <c r="J21" s="6" t="str">
        <f>IF(A21="","",SUMIFS(Kosten!$H$2:$H$101,Kosten!$C$2:$C$101,A21))</f>
        <v/>
      </c>
      <c r="K21" s="6" t="str">
        <f t="shared" si="1"/>
        <v/>
      </c>
      <c r="L21" s="6" t="str">
        <f t="shared" si="2"/>
        <v/>
      </c>
      <c r="M21" s="2" t="str">
        <f>IF(A21="","",IF(H21&gt;=1,0,MAX(0,DATE(VALUE(LEFT(Übersicht!$B$5,4)),VALUE(MID(Übersicht!$B$5,6,2)),VALUE(RIGHT(Übersicht!$B$5,2)))-U21)))</f>
        <v/>
      </c>
      <c r="N21" s="2"/>
      <c r="O21" s="2"/>
      <c r="P21" s="2"/>
      <c r="Q21" s="6" t="str">
        <f t="shared" si="3"/>
        <v/>
      </c>
      <c r="R21" s="7" t="str">
        <f t="shared" si="4"/>
        <v/>
      </c>
      <c r="S21" s="2" t="str">
        <f t="shared" si="5"/>
        <v/>
      </c>
      <c r="T21" s="1" t="str">
        <f t="shared" si="6"/>
        <v/>
      </c>
      <c r="U21" s="1" t="str">
        <f t="shared" si="7"/>
        <v/>
      </c>
      <c r="V21" s="1"/>
      <c r="W21" s="1"/>
      <c r="X21" s="1"/>
      <c r="Y21" s="1"/>
      <c r="Z21" s="1"/>
    </row>
    <row r="22" spans="1:26" ht="24" customHeight="1" x14ac:dyDescent="0.25">
      <c r="A22" s="2"/>
      <c r="B22" s="2"/>
      <c r="C22" s="2"/>
      <c r="D22" s="2"/>
      <c r="E22" s="16"/>
      <c r="F22" s="16"/>
      <c r="G22" s="2" t="str">
        <f t="shared" si="0"/>
        <v/>
      </c>
      <c r="H22" s="4"/>
      <c r="I22" s="6"/>
      <c r="J22" s="6" t="str">
        <f>IF(A22="","",SUMIFS(Kosten!$H$2:$H$101,Kosten!$C$2:$C$101,A22))</f>
        <v/>
      </c>
      <c r="K22" s="6" t="str">
        <f t="shared" si="1"/>
        <v/>
      </c>
      <c r="L22" s="6" t="str">
        <f t="shared" si="2"/>
        <v/>
      </c>
      <c r="M22" s="2" t="str">
        <f>IF(A22="","",IF(H22&gt;=1,0,MAX(0,DATE(VALUE(LEFT(Übersicht!$B$5,4)),VALUE(MID(Übersicht!$B$5,6,2)),VALUE(RIGHT(Übersicht!$B$5,2)))-U22)))</f>
        <v/>
      </c>
      <c r="N22" s="2"/>
      <c r="O22" s="2"/>
      <c r="P22" s="2"/>
      <c r="Q22" s="6" t="str">
        <f t="shared" si="3"/>
        <v/>
      </c>
      <c r="R22" s="7" t="str">
        <f t="shared" si="4"/>
        <v/>
      </c>
      <c r="S22" s="2" t="str">
        <f t="shared" si="5"/>
        <v/>
      </c>
      <c r="T22" s="1" t="str">
        <f t="shared" si="6"/>
        <v/>
      </c>
      <c r="U22" s="1" t="str">
        <f t="shared" si="7"/>
        <v/>
      </c>
      <c r="V22" s="1"/>
      <c r="W22" s="1"/>
      <c r="X22" s="1"/>
      <c r="Y22" s="1"/>
      <c r="Z22" s="1"/>
    </row>
    <row r="23" spans="1:26" ht="24" customHeight="1" x14ac:dyDescent="0.25">
      <c r="A23" s="2"/>
      <c r="B23" s="2"/>
      <c r="C23" s="2"/>
      <c r="D23" s="2"/>
      <c r="E23" s="16"/>
      <c r="F23" s="16"/>
      <c r="G23" s="2" t="str">
        <f t="shared" si="0"/>
        <v/>
      </c>
      <c r="H23" s="4"/>
      <c r="I23" s="6"/>
      <c r="J23" s="6" t="str">
        <f>IF(A23="","",SUMIFS(Kosten!$H$2:$H$101,Kosten!$C$2:$C$101,A23))</f>
        <v/>
      </c>
      <c r="K23" s="6" t="str">
        <f t="shared" si="1"/>
        <v/>
      </c>
      <c r="L23" s="6" t="str">
        <f t="shared" si="2"/>
        <v/>
      </c>
      <c r="M23" s="2" t="str">
        <f>IF(A23="","",IF(H23&gt;=1,0,MAX(0,DATE(VALUE(LEFT(Übersicht!$B$5,4)),VALUE(MID(Übersicht!$B$5,6,2)),VALUE(RIGHT(Übersicht!$B$5,2)))-U23)))</f>
        <v/>
      </c>
      <c r="N23" s="2"/>
      <c r="O23" s="2"/>
      <c r="P23" s="2"/>
      <c r="Q23" s="6" t="str">
        <f t="shared" si="3"/>
        <v/>
      </c>
      <c r="R23" s="7" t="str">
        <f t="shared" si="4"/>
        <v/>
      </c>
      <c r="S23" s="2" t="str">
        <f t="shared" si="5"/>
        <v/>
      </c>
      <c r="T23" s="1" t="str">
        <f t="shared" si="6"/>
        <v/>
      </c>
      <c r="U23" s="1" t="str">
        <f t="shared" si="7"/>
        <v/>
      </c>
      <c r="V23" s="1"/>
      <c r="W23" s="1"/>
      <c r="X23" s="1"/>
      <c r="Y23" s="1"/>
      <c r="Z23" s="1"/>
    </row>
    <row r="24" spans="1:26" ht="24" customHeight="1" x14ac:dyDescent="0.25">
      <c r="A24" s="2"/>
      <c r="B24" s="2"/>
      <c r="C24" s="2"/>
      <c r="D24" s="2"/>
      <c r="E24" s="16"/>
      <c r="F24" s="16"/>
      <c r="G24" s="2" t="str">
        <f t="shared" si="0"/>
        <v/>
      </c>
      <c r="H24" s="4"/>
      <c r="I24" s="6"/>
      <c r="J24" s="6" t="str">
        <f>IF(A24="","",SUMIFS(Kosten!$H$2:$H$101,Kosten!$C$2:$C$101,A24))</f>
        <v/>
      </c>
      <c r="K24" s="6" t="str">
        <f t="shared" si="1"/>
        <v/>
      </c>
      <c r="L24" s="6" t="str">
        <f t="shared" si="2"/>
        <v/>
      </c>
      <c r="M24" s="2" t="str">
        <f>IF(A24="","",IF(H24&gt;=1,0,MAX(0,DATE(VALUE(LEFT(Übersicht!$B$5,4)),VALUE(MID(Übersicht!$B$5,6,2)),VALUE(RIGHT(Übersicht!$B$5,2)))-U24)))</f>
        <v/>
      </c>
      <c r="N24" s="2"/>
      <c r="O24" s="2"/>
      <c r="P24" s="2"/>
      <c r="Q24" s="6" t="str">
        <f t="shared" si="3"/>
        <v/>
      </c>
      <c r="R24" s="7" t="str">
        <f t="shared" si="4"/>
        <v/>
      </c>
      <c r="S24" s="2" t="str">
        <f t="shared" si="5"/>
        <v/>
      </c>
      <c r="T24" s="1" t="str">
        <f t="shared" si="6"/>
        <v/>
      </c>
      <c r="U24" s="1" t="str">
        <f t="shared" si="7"/>
        <v/>
      </c>
      <c r="V24" s="1"/>
      <c r="W24" s="1"/>
      <c r="X24" s="1"/>
      <c r="Y24" s="1"/>
      <c r="Z24" s="1"/>
    </row>
    <row r="25" spans="1:26" ht="24" customHeight="1" x14ac:dyDescent="0.25">
      <c r="A25" s="2"/>
      <c r="B25" s="2"/>
      <c r="C25" s="2"/>
      <c r="D25" s="2"/>
      <c r="E25" s="16"/>
      <c r="F25" s="16"/>
      <c r="G25" s="2" t="str">
        <f t="shared" si="0"/>
        <v/>
      </c>
      <c r="H25" s="4"/>
      <c r="I25" s="6"/>
      <c r="J25" s="6" t="str">
        <f>IF(A25="","",SUMIFS(Kosten!$H$2:$H$101,Kosten!$C$2:$C$101,A25))</f>
        <v/>
      </c>
      <c r="K25" s="6" t="str">
        <f t="shared" si="1"/>
        <v/>
      </c>
      <c r="L25" s="6" t="str">
        <f t="shared" si="2"/>
        <v/>
      </c>
      <c r="M25" s="2" t="str">
        <f>IF(A25="","",IF(H25&gt;=1,0,MAX(0,DATE(VALUE(LEFT(Übersicht!$B$5,4)),VALUE(MID(Übersicht!$B$5,6,2)),VALUE(RIGHT(Übersicht!$B$5,2)))-U25)))</f>
        <v/>
      </c>
      <c r="N25" s="2"/>
      <c r="O25" s="2"/>
      <c r="P25" s="2"/>
      <c r="Q25" s="6" t="str">
        <f t="shared" si="3"/>
        <v/>
      </c>
      <c r="R25" s="7" t="str">
        <f t="shared" si="4"/>
        <v/>
      </c>
      <c r="S25" s="2" t="str">
        <f t="shared" si="5"/>
        <v/>
      </c>
      <c r="T25" s="1" t="str">
        <f t="shared" si="6"/>
        <v/>
      </c>
      <c r="U25" s="1" t="str">
        <f t="shared" si="7"/>
        <v/>
      </c>
      <c r="V25" s="1"/>
      <c r="W25" s="1"/>
      <c r="X25" s="1"/>
      <c r="Y25" s="1"/>
      <c r="Z25" s="1"/>
    </row>
    <row r="26" spans="1:26" ht="24" customHeight="1" x14ac:dyDescent="0.25">
      <c r="A26" s="2"/>
      <c r="B26" s="2"/>
      <c r="C26" s="2"/>
      <c r="D26" s="2"/>
      <c r="E26" s="16"/>
      <c r="F26" s="16"/>
      <c r="G26" s="2" t="str">
        <f t="shared" si="0"/>
        <v/>
      </c>
      <c r="H26" s="4"/>
      <c r="I26" s="6"/>
      <c r="J26" s="6" t="str">
        <f>IF(A26="","",SUMIFS(Kosten!$H$2:$H$101,Kosten!$C$2:$C$101,A26))</f>
        <v/>
      </c>
      <c r="K26" s="6" t="str">
        <f t="shared" si="1"/>
        <v/>
      </c>
      <c r="L26" s="6" t="str">
        <f t="shared" si="2"/>
        <v/>
      </c>
      <c r="M26" s="2" t="str">
        <f>IF(A26="","",IF(H26&gt;=1,0,MAX(0,DATE(VALUE(LEFT(Übersicht!$B$5,4)),VALUE(MID(Übersicht!$B$5,6,2)),VALUE(RIGHT(Übersicht!$B$5,2)))-U26)))</f>
        <v/>
      </c>
      <c r="N26" s="2"/>
      <c r="O26" s="2"/>
      <c r="P26" s="2"/>
      <c r="Q26" s="6" t="str">
        <f t="shared" si="3"/>
        <v/>
      </c>
      <c r="R26" s="7" t="str">
        <f t="shared" si="4"/>
        <v/>
      </c>
      <c r="S26" s="2" t="str">
        <f t="shared" si="5"/>
        <v/>
      </c>
      <c r="T26" s="1" t="str">
        <f t="shared" si="6"/>
        <v/>
      </c>
      <c r="U26" s="1" t="str">
        <f t="shared" si="7"/>
        <v/>
      </c>
      <c r="V26" s="1"/>
      <c r="W26" s="1"/>
      <c r="X26" s="1"/>
      <c r="Y26" s="1"/>
      <c r="Z26" s="1"/>
    </row>
    <row r="27" spans="1:26" ht="24" customHeight="1" x14ac:dyDescent="0.25">
      <c r="A27" s="2"/>
      <c r="B27" s="2"/>
      <c r="C27" s="2"/>
      <c r="D27" s="2"/>
      <c r="E27" s="16"/>
      <c r="F27" s="16"/>
      <c r="G27" s="2" t="str">
        <f t="shared" si="0"/>
        <v/>
      </c>
      <c r="H27" s="4"/>
      <c r="I27" s="6"/>
      <c r="J27" s="6" t="str">
        <f>IF(A27="","",SUMIFS(Kosten!$H$2:$H$101,Kosten!$C$2:$C$101,A27))</f>
        <v/>
      </c>
      <c r="K27" s="6" t="str">
        <f t="shared" si="1"/>
        <v/>
      </c>
      <c r="L27" s="6" t="str">
        <f t="shared" si="2"/>
        <v/>
      </c>
      <c r="M27" s="2" t="str">
        <f>IF(A27="","",IF(H27&gt;=1,0,MAX(0,DATE(VALUE(LEFT(Übersicht!$B$5,4)),VALUE(MID(Übersicht!$B$5,6,2)),VALUE(RIGHT(Übersicht!$B$5,2)))-U27)))</f>
        <v/>
      </c>
      <c r="N27" s="2"/>
      <c r="O27" s="2"/>
      <c r="P27" s="2"/>
      <c r="Q27" s="6" t="str">
        <f t="shared" si="3"/>
        <v/>
      </c>
      <c r="R27" s="7" t="str">
        <f t="shared" si="4"/>
        <v/>
      </c>
      <c r="S27" s="2" t="str">
        <f t="shared" si="5"/>
        <v/>
      </c>
      <c r="T27" s="1" t="str">
        <f t="shared" si="6"/>
        <v/>
      </c>
      <c r="U27" s="1" t="str">
        <f t="shared" si="7"/>
        <v/>
      </c>
      <c r="V27" s="1"/>
      <c r="W27" s="1"/>
      <c r="X27" s="1"/>
      <c r="Y27" s="1"/>
      <c r="Z27" s="1"/>
    </row>
    <row r="28" spans="1:26" ht="24" customHeight="1" x14ac:dyDescent="0.25">
      <c r="A28" s="2"/>
      <c r="B28" s="2"/>
      <c r="C28" s="2"/>
      <c r="D28" s="2"/>
      <c r="E28" s="16"/>
      <c r="F28" s="16"/>
      <c r="G28" s="2" t="str">
        <f t="shared" si="0"/>
        <v/>
      </c>
      <c r="H28" s="4"/>
      <c r="I28" s="6"/>
      <c r="J28" s="6" t="str">
        <f>IF(A28="","",SUMIFS(Kosten!$H$2:$H$101,Kosten!$C$2:$C$101,A28))</f>
        <v/>
      </c>
      <c r="K28" s="6" t="str">
        <f t="shared" si="1"/>
        <v/>
      </c>
      <c r="L28" s="6" t="str">
        <f t="shared" si="2"/>
        <v/>
      </c>
      <c r="M28" s="2" t="str">
        <f>IF(A28="","",IF(H28&gt;=1,0,MAX(0,DATE(VALUE(LEFT(Übersicht!$B$5,4)),VALUE(MID(Übersicht!$B$5,6,2)),VALUE(RIGHT(Übersicht!$B$5,2)))-U28)))</f>
        <v/>
      </c>
      <c r="N28" s="2"/>
      <c r="O28" s="2"/>
      <c r="P28" s="2"/>
      <c r="Q28" s="6" t="str">
        <f t="shared" si="3"/>
        <v/>
      </c>
      <c r="R28" s="7" t="str">
        <f t="shared" si="4"/>
        <v/>
      </c>
      <c r="S28" s="2" t="str">
        <f t="shared" si="5"/>
        <v/>
      </c>
      <c r="T28" s="1" t="str">
        <f t="shared" si="6"/>
        <v/>
      </c>
      <c r="U28" s="1" t="str">
        <f t="shared" si="7"/>
        <v/>
      </c>
      <c r="V28" s="1"/>
      <c r="W28" s="1"/>
      <c r="X28" s="1"/>
      <c r="Y28" s="1"/>
      <c r="Z28" s="1"/>
    </row>
    <row r="29" spans="1:26" ht="24" customHeight="1" x14ac:dyDescent="0.25">
      <c r="A29" s="2"/>
      <c r="B29" s="2"/>
      <c r="C29" s="2"/>
      <c r="D29" s="2"/>
      <c r="E29" s="16"/>
      <c r="F29" s="16"/>
      <c r="G29" s="2" t="str">
        <f t="shared" si="0"/>
        <v/>
      </c>
      <c r="H29" s="4"/>
      <c r="I29" s="6"/>
      <c r="J29" s="6" t="str">
        <f>IF(A29="","",SUMIFS(Kosten!$H$2:$H$101,Kosten!$C$2:$C$101,A29))</f>
        <v/>
      </c>
      <c r="K29" s="6" t="str">
        <f t="shared" si="1"/>
        <v/>
      </c>
      <c r="L29" s="6" t="str">
        <f t="shared" si="2"/>
        <v/>
      </c>
      <c r="M29" s="2" t="str">
        <f>IF(A29="","",IF(H29&gt;=1,0,MAX(0,DATE(VALUE(LEFT(Übersicht!$B$5,4)),VALUE(MID(Übersicht!$B$5,6,2)),VALUE(RIGHT(Übersicht!$B$5,2)))-U29)))</f>
        <v/>
      </c>
      <c r="N29" s="2"/>
      <c r="O29" s="2"/>
      <c r="P29" s="2"/>
      <c r="Q29" s="6" t="str">
        <f t="shared" si="3"/>
        <v/>
      </c>
      <c r="R29" s="7" t="str">
        <f t="shared" si="4"/>
        <v/>
      </c>
      <c r="S29" s="2" t="str">
        <f t="shared" si="5"/>
        <v/>
      </c>
      <c r="T29" s="1" t="str">
        <f t="shared" si="6"/>
        <v/>
      </c>
      <c r="U29" s="1" t="str">
        <f t="shared" si="7"/>
        <v/>
      </c>
      <c r="V29" s="1"/>
      <c r="W29" s="1"/>
      <c r="X29" s="1"/>
      <c r="Y29" s="1"/>
      <c r="Z29" s="1"/>
    </row>
    <row r="30" spans="1:26" ht="24" customHeight="1" x14ac:dyDescent="0.25">
      <c r="A30" s="2"/>
      <c r="B30" s="2"/>
      <c r="C30" s="2"/>
      <c r="D30" s="2"/>
      <c r="E30" s="16"/>
      <c r="F30" s="16"/>
      <c r="G30" s="2" t="str">
        <f t="shared" si="0"/>
        <v/>
      </c>
      <c r="H30" s="4"/>
      <c r="I30" s="6"/>
      <c r="J30" s="6" t="str">
        <f>IF(A30="","",SUMIFS(Kosten!$H$2:$H$101,Kosten!$C$2:$C$101,A30))</f>
        <v/>
      </c>
      <c r="K30" s="6" t="str">
        <f t="shared" si="1"/>
        <v/>
      </c>
      <c r="L30" s="6" t="str">
        <f t="shared" si="2"/>
        <v/>
      </c>
      <c r="M30" s="2" t="str">
        <f>IF(A30="","",IF(H30&gt;=1,0,MAX(0,DATE(VALUE(LEFT(Übersicht!$B$5,4)),VALUE(MID(Übersicht!$B$5,6,2)),VALUE(RIGHT(Übersicht!$B$5,2)))-U30)))</f>
        <v/>
      </c>
      <c r="N30" s="2"/>
      <c r="O30" s="2"/>
      <c r="P30" s="2"/>
      <c r="Q30" s="6" t="str">
        <f t="shared" si="3"/>
        <v/>
      </c>
      <c r="R30" s="7" t="str">
        <f t="shared" si="4"/>
        <v/>
      </c>
      <c r="S30" s="2" t="str">
        <f t="shared" si="5"/>
        <v/>
      </c>
      <c r="T30" s="1" t="str">
        <f t="shared" si="6"/>
        <v/>
      </c>
      <c r="U30" s="1" t="str">
        <f t="shared" si="7"/>
        <v/>
      </c>
      <c r="V30" s="1"/>
      <c r="W30" s="1"/>
      <c r="X30" s="1"/>
      <c r="Y30" s="1"/>
      <c r="Z30" s="1"/>
    </row>
    <row r="31" spans="1:26" ht="24" customHeight="1" x14ac:dyDescent="0.25">
      <c r="A31" s="2"/>
      <c r="B31" s="2"/>
      <c r="C31" s="2"/>
      <c r="D31" s="2"/>
      <c r="E31" s="16"/>
      <c r="F31" s="16"/>
      <c r="G31" s="2" t="str">
        <f t="shared" si="0"/>
        <v/>
      </c>
      <c r="H31" s="4"/>
      <c r="I31" s="6"/>
      <c r="J31" s="6" t="str">
        <f>IF(A31="","",SUMIFS(Kosten!$H$2:$H$101,Kosten!$C$2:$C$101,A31))</f>
        <v/>
      </c>
      <c r="K31" s="6" t="str">
        <f t="shared" si="1"/>
        <v/>
      </c>
      <c r="L31" s="6" t="str">
        <f t="shared" si="2"/>
        <v/>
      </c>
      <c r="M31" s="2" t="str">
        <f>IF(A31="","",IF(H31&gt;=1,0,MAX(0,DATE(VALUE(LEFT(Übersicht!$B$5,4)),VALUE(MID(Übersicht!$B$5,6,2)),VALUE(RIGHT(Übersicht!$B$5,2)))-U31)))</f>
        <v/>
      </c>
      <c r="N31" s="2"/>
      <c r="O31" s="2"/>
      <c r="P31" s="2"/>
      <c r="Q31" s="6" t="str">
        <f t="shared" si="3"/>
        <v/>
      </c>
      <c r="R31" s="7" t="str">
        <f t="shared" si="4"/>
        <v/>
      </c>
      <c r="S31" s="2" t="str">
        <f t="shared" si="5"/>
        <v/>
      </c>
      <c r="T31" s="1" t="str">
        <f t="shared" si="6"/>
        <v/>
      </c>
      <c r="U31" s="1" t="str">
        <f t="shared" si="7"/>
        <v/>
      </c>
      <c r="V31" s="1"/>
      <c r="W31" s="1"/>
      <c r="X31" s="1"/>
      <c r="Y31" s="1"/>
      <c r="Z31" s="1"/>
    </row>
    <row r="32" spans="1:26" ht="24" customHeight="1" x14ac:dyDescent="0.25">
      <c r="A32" s="2"/>
      <c r="B32" s="2"/>
      <c r="C32" s="2"/>
      <c r="D32" s="2"/>
      <c r="E32" s="16"/>
      <c r="F32" s="16"/>
      <c r="G32" s="2" t="str">
        <f t="shared" si="0"/>
        <v/>
      </c>
      <c r="H32" s="4"/>
      <c r="I32" s="6"/>
      <c r="J32" s="6" t="str">
        <f>IF(A32="","",SUMIFS(Kosten!$H$2:$H$101,Kosten!$C$2:$C$101,A32))</f>
        <v/>
      </c>
      <c r="K32" s="6" t="str">
        <f t="shared" si="1"/>
        <v/>
      </c>
      <c r="L32" s="6" t="str">
        <f t="shared" si="2"/>
        <v/>
      </c>
      <c r="M32" s="2" t="str">
        <f>IF(A32="","",IF(H32&gt;=1,0,MAX(0,DATE(VALUE(LEFT(Übersicht!$B$5,4)),VALUE(MID(Übersicht!$B$5,6,2)),VALUE(RIGHT(Übersicht!$B$5,2)))-U32)))</f>
        <v/>
      </c>
      <c r="N32" s="2"/>
      <c r="O32" s="2"/>
      <c r="P32" s="2"/>
      <c r="Q32" s="6" t="str">
        <f t="shared" si="3"/>
        <v/>
      </c>
      <c r="R32" s="7" t="str">
        <f t="shared" si="4"/>
        <v/>
      </c>
      <c r="S32" s="2" t="str">
        <f t="shared" si="5"/>
        <v/>
      </c>
      <c r="T32" s="1" t="str">
        <f t="shared" si="6"/>
        <v/>
      </c>
      <c r="U32" s="1" t="str">
        <f t="shared" si="7"/>
        <v/>
      </c>
      <c r="V32" s="1"/>
      <c r="W32" s="1"/>
      <c r="X32" s="1"/>
      <c r="Y32" s="1"/>
      <c r="Z32" s="1"/>
    </row>
    <row r="33" spans="1:26" ht="24" customHeight="1" x14ac:dyDescent="0.25">
      <c r="A33" s="2"/>
      <c r="B33" s="2"/>
      <c r="C33" s="2"/>
      <c r="D33" s="2"/>
      <c r="E33" s="16"/>
      <c r="F33" s="16"/>
      <c r="G33" s="2" t="str">
        <f t="shared" si="0"/>
        <v/>
      </c>
      <c r="H33" s="4"/>
      <c r="I33" s="6"/>
      <c r="J33" s="6" t="str">
        <f>IF(A33="","",SUMIFS(Kosten!$H$2:$H$101,Kosten!$C$2:$C$101,A33))</f>
        <v/>
      </c>
      <c r="K33" s="6" t="str">
        <f t="shared" si="1"/>
        <v/>
      </c>
      <c r="L33" s="6" t="str">
        <f t="shared" si="2"/>
        <v/>
      </c>
      <c r="M33" s="2" t="str">
        <f>IF(A33="","",IF(H33&gt;=1,0,MAX(0,DATE(VALUE(LEFT(Übersicht!$B$5,4)),VALUE(MID(Übersicht!$B$5,6,2)),VALUE(RIGHT(Übersicht!$B$5,2)))-U33)))</f>
        <v/>
      </c>
      <c r="N33" s="2"/>
      <c r="O33" s="2"/>
      <c r="P33" s="2"/>
      <c r="Q33" s="6" t="str">
        <f t="shared" si="3"/>
        <v/>
      </c>
      <c r="R33" s="7" t="str">
        <f t="shared" si="4"/>
        <v/>
      </c>
      <c r="S33" s="2" t="str">
        <f t="shared" si="5"/>
        <v/>
      </c>
      <c r="T33" s="1" t="str">
        <f t="shared" si="6"/>
        <v/>
      </c>
      <c r="U33" s="1" t="str">
        <f t="shared" si="7"/>
        <v/>
      </c>
      <c r="V33" s="1"/>
      <c r="W33" s="1"/>
      <c r="X33" s="1"/>
      <c r="Y33" s="1"/>
      <c r="Z33" s="1"/>
    </row>
    <row r="34" spans="1:26" ht="24" customHeight="1" x14ac:dyDescent="0.25">
      <c r="A34" s="2"/>
      <c r="B34" s="2"/>
      <c r="C34" s="2"/>
      <c r="D34" s="2"/>
      <c r="E34" s="16"/>
      <c r="F34" s="16"/>
      <c r="G34" s="2" t="str">
        <f t="shared" ref="G34:G51" si="8">IF(A34="","",U34-T34+1)</f>
        <v/>
      </c>
      <c r="H34" s="4"/>
      <c r="I34" s="6"/>
      <c r="J34" s="6" t="str">
        <f>IF(A34="","",SUMIFS(Kosten!$H$2:$H$101,Kosten!$C$2:$C$101,A34))</f>
        <v/>
      </c>
      <c r="K34" s="6" t="str">
        <f t="shared" ref="K34:K65" si="9">IF(A34="","",IF(H34=0,I34,MAX(I34,J34/H34)))</f>
        <v/>
      </c>
      <c r="L34" s="6" t="str">
        <f t="shared" ref="L34:L65" si="10">IF(A34="","",K34-I34)</f>
        <v/>
      </c>
      <c r="M34" s="2" t="str">
        <f>IF(A34="","",IF(H34&gt;=1,0,MAX(0,DATE(VALUE(LEFT(Übersicht!$B$5,4)),VALUE(MID(Übersicht!$B$5,6,2)),VALUE(RIGHT(Übersicht!$B$5,2)))-U34)))</f>
        <v/>
      </c>
      <c r="N34" s="2"/>
      <c r="O34" s="2"/>
      <c r="P34" s="2"/>
      <c r="Q34" s="6" t="str">
        <f t="shared" ref="Q34:Q51" si="11">IF(A34="","",I34*H34)</f>
        <v/>
      </c>
      <c r="R34" s="7" t="str">
        <f t="shared" ref="R34:R65" si="12">IF(A34="","",IF(J34=0,"",Q34/J34))</f>
        <v/>
      </c>
      <c r="S34" s="2" t="str">
        <f t="shared" ref="S34:S51" si="13">IF(A34="","",IF(OR(N34="Blockiert",L34/MAX(1,I34)&gt;0.12,M34&gt;14),"Rot",IF(OR(L34/MAX(1,I34)&gt;0.04,M34&gt;0,H34&lt;0.3),"Gelb","Grün")))</f>
        <v/>
      </c>
      <c r="T34" s="1" t="str">
        <f t="shared" ref="T34:T51" si="14">IF(E34="","",DATE(VALUE(LEFT(E34,4)),VALUE(MID(E34,6,2)),VALUE(RIGHT(E34,2))))</f>
        <v/>
      </c>
      <c r="U34" s="1" t="str">
        <f t="shared" ref="U34:U51" si="15">IF(F34="","",DATE(VALUE(LEFT(F34,4)),VALUE(MID(F34,6,2)),VALUE(RIGHT(F34,2))))</f>
        <v/>
      </c>
      <c r="V34" s="1"/>
      <c r="W34" s="1"/>
      <c r="X34" s="1"/>
      <c r="Y34" s="1"/>
      <c r="Z34" s="1"/>
    </row>
    <row r="35" spans="1:26" ht="24" customHeight="1" x14ac:dyDescent="0.25">
      <c r="A35" s="2"/>
      <c r="B35" s="2"/>
      <c r="C35" s="2"/>
      <c r="D35" s="2"/>
      <c r="E35" s="16"/>
      <c r="F35" s="16"/>
      <c r="G35" s="2" t="str">
        <f t="shared" si="8"/>
        <v/>
      </c>
      <c r="H35" s="4"/>
      <c r="I35" s="6"/>
      <c r="J35" s="6" t="str">
        <f>IF(A35="","",SUMIFS(Kosten!$H$2:$H$101,Kosten!$C$2:$C$101,A35))</f>
        <v/>
      </c>
      <c r="K35" s="6" t="str">
        <f t="shared" si="9"/>
        <v/>
      </c>
      <c r="L35" s="6" t="str">
        <f t="shared" si="10"/>
        <v/>
      </c>
      <c r="M35" s="2" t="str">
        <f>IF(A35="","",IF(H35&gt;=1,0,MAX(0,DATE(VALUE(LEFT(Übersicht!$B$5,4)),VALUE(MID(Übersicht!$B$5,6,2)),VALUE(RIGHT(Übersicht!$B$5,2)))-U35)))</f>
        <v/>
      </c>
      <c r="N35" s="2"/>
      <c r="O35" s="2"/>
      <c r="P35" s="2"/>
      <c r="Q35" s="6" t="str">
        <f t="shared" si="11"/>
        <v/>
      </c>
      <c r="R35" s="7" t="str">
        <f t="shared" si="12"/>
        <v/>
      </c>
      <c r="S35" s="2" t="str">
        <f t="shared" si="13"/>
        <v/>
      </c>
      <c r="T35" s="1" t="str">
        <f t="shared" si="14"/>
        <v/>
      </c>
      <c r="U35" s="1" t="str">
        <f t="shared" si="15"/>
        <v/>
      </c>
      <c r="V35" s="1"/>
      <c r="W35" s="1"/>
      <c r="X35" s="1"/>
      <c r="Y35" s="1"/>
      <c r="Z35" s="1"/>
    </row>
    <row r="36" spans="1:26" ht="24" customHeight="1" x14ac:dyDescent="0.25">
      <c r="A36" s="2"/>
      <c r="B36" s="2"/>
      <c r="C36" s="2"/>
      <c r="D36" s="2"/>
      <c r="E36" s="16"/>
      <c r="F36" s="16"/>
      <c r="G36" s="2" t="str">
        <f t="shared" si="8"/>
        <v/>
      </c>
      <c r="H36" s="4"/>
      <c r="I36" s="6"/>
      <c r="J36" s="6" t="str">
        <f>IF(A36="","",SUMIFS(Kosten!$H$2:$H$101,Kosten!$C$2:$C$101,A36))</f>
        <v/>
      </c>
      <c r="K36" s="6" t="str">
        <f t="shared" si="9"/>
        <v/>
      </c>
      <c r="L36" s="6" t="str">
        <f t="shared" si="10"/>
        <v/>
      </c>
      <c r="M36" s="2" t="str">
        <f>IF(A36="","",IF(H36&gt;=1,0,MAX(0,DATE(VALUE(LEFT(Übersicht!$B$5,4)),VALUE(MID(Übersicht!$B$5,6,2)),VALUE(RIGHT(Übersicht!$B$5,2)))-U36)))</f>
        <v/>
      </c>
      <c r="N36" s="2"/>
      <c r="O36" s="2"/>
      <c r="P36" s="2"/>
      <c r="Q36" s="6" t="str">
        <f t="shared" si="11"/>
        <v/>
      </c>
      <c r="R36" s="7" t="str">
        <f t="shared" si="12"/>
        <v/>
      </c>
      <c r="S36" s="2" t="str">
        <f t="shared" si="13"/>
        <v/>
      </c>
      <c r="T36" s="1" t="str">
        <f t="shared" si="14"/>
        <v/>
      </c>
      <c r="U36" s="1" t="str">
        <f t="shared" si="15"/>
        <v/>
      </c>
      <c r="V36" s="1"/>
      <c r="W36" s="1"/>
      <c r="X36" s="1"/>
      <c r="Y36" s="1"/>
      <c r="Z36" s="1"/>
    </row>
    <row r="37" spans="1:26" ht="24" customHeight="1" x14ac:dyDescent="0.25">
      <c r="A37" s="2"/>
      <c r="B37" s="2"/>
      <c r="C37" s="2"/>
      <c r="D37" s="2"/>
      <c r="E37" s="16"/>
      <c r="F37" s="16"/>
      <c r="G37" s="2" t="str">
        <f t="shared" si="8"/>
        <v/>
      </c>
      <c r="H37" s="4"/>
      <c r="I37" s="6"/>
      <c r="J37" s="6" t="str">
        <f>IF(A37="","",SUMIFS(Kosten!$H$2:$H$101,Kosten!$C$2:$C$101,A37))</f>
        <v/>
      </c>
      <c r="K37" s="6" t="str">
        <f t="shared" si="9"/>
        <v/>
      </c>
      <c r="L37" s="6" t="str">
        <f t="shared" si="10"/>
        <v/>
      </c>
      <c r="M37" s="2" t="str">
        <f>IF(A37="","",IF(H37&gt;=1,0,MAX(0,DATE(VALUE(LEFT(Übersicht!$B$5,4)),VALUE(MID(Übersicht!$B$5,6,2)),VALUE(RIGHT(Übersicht!$B$5,2)))-U37)))</f>
        <v/>
      </c>
      <c r="N37" s="2"/>
      <c r="O37" s="2"/>
      <c r="P37" s="2"/>
      <c r="Q37" s="6" t="str">
        <f t="shared" si="11"/>
        <v/>
      </c>
      <c r="R37" s="7" t="str">
        <f t="shared" si="12"/>
        <v/>
      </c>
      <c r="S37" s="2" t="str">
        <f t="shared" si="13"/>
        <v/>
      </c>
      <c r="T37" s="1" t="str">
        <f t="shared" si="14"/>
        <v/>
      </c>
      <c r="U37" s="1" t="str">
        <f t="shared" si="15"/>
        <v/>
      </c>
      <c r="V37" s="1"/>
      <c r="W37" s="1"/>
      <c r="X37" s="1"/>
      <c r="Y37" s="1"/>
      <c r="Z37" s="1"/>
    </row>
    <row r="38" spans="1:26" ht="24" customHeight="1" x14ac:dyDescent="0.25">
      <c r="A38" s="2"/>
      <c r="B38" s="2"/>
      <c r="C38" s="2"/>
      <c r="D38" s="2"/>
      <c r="E38" s="16"/>
      <c r="F38" s="16"/>
      <c r="G38" s="2" t="str">
        <f t="shared" si="8"/>
        <v/>
      </c>
      <c r="H38" s="4"/>
      <c r="I38" s="6"/>
      <c r="J38" s="6" t="str">
        <f>IF(A38="","",SUMIFS(Kosten!$H$2:$H$101,Kosten!$C$2:$C$101,A38))</f>
        <v/>
      </c>
      <c r="K38" s="6" t="str">
        <f t="shared" si="9"/>
        <v/>
      </c>
      <c r="L38" s="6" t="str">
        <f t="shared" si="10"/>
        <v/>
      </c>
      <c r="M38" s="2" t="str">
        <f>IF(A38="","",IF(H38&gt;=1,0,MAX(0,DATE(VALUE(LEFT(Übersicht!$B$5,4)),VALUE(MID(Übersicht!$B$5,6,2)),VALUE(RIGHT(Übersicht!$B$5,2)))-U38)))</f>
        <v/>
      </c>
      <c r="N38" s="2"/>
      <c r="O38" s="2"/>
      <c r="P38" s="2"/>
      <c r="Q38" s="6" t="str">
        <f t="shared" si="11"/>
        <v/>
      </c>
      <c r="R38" s="7" t="str">
        <f t="shared" si="12"/>
        <v/>
      </c>
      <c r="S38" s="2" t="str">
        <f t="shared" si="13"/>
        <v/>
      </c>
      <c r="T38" s="1" t="str">
        <f t="shared" si="14"/>
        <v/>
      </c>
      <c r="U38" s="1" t="str">
        <f t="shared" si="15"/>
        <v/>
      </c>
      <c r="V38" s="1"/>
      <c r="W38" s="1"/>
      <c r="X38" s="1"/>
      <c r="Y38" s="1"/>
      <c r="Z38" s="1"/>
    </row>
    <row r="39" spans="1:26" ht="24" customHeight="1" x14ac:dyDescent="0.25">
      <c r="A39" s="2"/>
      <c r="B39" s="2"/>
      <c r="C39" s="2"/>
      <c r="D39" s="2"/>
      <c r="E39" s="16"/>
      <c r="F39" s="16"/>
      <c r="G39" s="2" t="str">
        <f t="shared" si="8"/>
        <v/>
      </c>
      <c r="H39" s="4"/>
      <c r="I39" s="6"/>
      <c r="J39" s="6" t="str">
        <f>IF(A39="","",SUMIFS(Kosten!$H$2:$H$101,Kosten!$C$2:$C$101,A39))</f>
        <v/>
      </c>
      <c r="K39" s="6" t="str">
        <f t="shared" si="9"/>
        <v/>
      </c>
      <c r="L39" s="6" t="str">
        <f t="shared" si="10"/>
        <v/>
      </c>
      <c r="M39" s="2" t="str">
        <f>IF(A39="","",IF(H39&gt;=1,0,MAX(0,DATE(VALUE(LEFT(Übersicht!$B$5,4)),VALUE(MID(Übersicht!$B$5,6,2)),VALUE(RIGHT(Übersicht!$B$5,2)))-U39)))</f>
        <v/>
      </c>
      <c r="N39" s="2"/>
      <c r="O39" s="2"/>
      <c r="P39" s="2"/>
      <c r="Q39" s="6" t="str">
        <f t="shared" si="11"/>
        <v/>
      </c>
      <c r="R39" s="7" t="str">
        <f t="shared" si="12"/>
        <v/>
      </c>
      <c r="S39" s="2" t="str">
        <f t="shared" si="13"/>
        <v/>
      </c>
      <c r="T39" s="1" t="str">
        <f t="shared" si="14"/>
        <v/>
      </c>
      <c r="U39" s="1" t="str">
        <f t="shared" si="15"/>
        <v/>
      </c>
      <c r="V39" s="1"/>
      <c r="W39" s="1"/>
      <c r="X39" s="1"/>
      <c r="Y39" s="1"/>
      <c r="Z39" s="1"/>
    </row>
    <row r="40" spans="1:26" ht="24" customHeight="1" x14ac:dyDescent="0.25">
      <c r="A40" s="2"/>
      <c r="B40" s="2"/>
      <c r="C40" s="2"/>
      <c r="D40" s="2"/>
      <c r="E40" s="16"/>
      <c r="F40" s="16"/>
      <c r="G40" s="2" t="str">
        <f t="shared" si="8"/>
        <v/>
      </c>
      <c r="H40" s="4"/>
      <c r="I40" s="6"/>
      <c r="J40" s="6" t="str">
        <f>IF(A40="","",SUMIFS(Kosten!$H$2:$H$101,Kosten!$C$2:$C$101,A40))</f>
        <v/>
      </c>
      <c r="K40" s="6" t="str">
        <f t="shared" si="9"/>
        <v/>
      </c>
      <c r="L40" s="6" t="str">
        <f t="shared" si="10"/>
        <v/>
      </c>
      <c r="M40" s="2" t="str">
        <f>IF(A40="","",IF(H40&gt;=1,0,MAX(0,DATE(VALUE(LEFT(Übersicht!$B$5,4)),VALUE(MID(Übersicht!$B$5,6,2)),VALUE(RIGHT(Übersicht!$B$5,2)))-U40)))</f>
        <v/>
      </c>
      <c r="N40" s="2"/>
      <c r="O40" s="2"/>
      <c r="P40" s="2"/>
      <c r="Q40" s="6" t="str">
        <f t="shared" si="11"/>
        <v/>
      </c>
      <c r="R40" s="7" t="str">
        <f t="shared" si="12"/>
        <v/>
      </c>
      <c r="S40" s="2" t="str">
        <f t="shared" si="13"/>
        <v/>
      </c>
      <c r="T40" s="1" t="str">
        <f t="shared" si="14"/>
        <v/>
      </c>
      <c r="U40" s="1" t="str">
        <f t="shared" si="15"/>
        <v/>
      </c>
      <c r="V40" s="1"/>
      <c r="W40" s="1"/>
      <c r="X40" s="1"/>
      <c r="Y40" s="1"/>
      <c r="Z40" s="1"/>
    </row>
    <row r="41" spans="1:26" ht="24" customHeight="1" x14ac:dyDescent="0.25">
      <c r="A41" s="2"/>
      <c r="B41" s="2"/>
      <c r="C41" s="2"/>
      <c r="D41" s="2"/>
      <c r="E41" s="16"/>
      <c r="F41" s="16"/>
      <c r="G41" s="2" t="str">
        <f t="shared" si="8"/>
        <v/>
      </c>
      <c r="H41" s="4"/>
      <c r="I41" s="6"/>
      <c r="J41" s="6" t="str">
        <f>IF(A41="","",SUMIFS(Kosten!$H$2:$H$101,Kosten!$C$2:$C$101,A41))</f>
        <v/>
      </c>
      <c r="K41" s="6" t="str">
        <f t="shared" si="9"/>
        <v/>
      </c>
      <c r="L41" s="6" t="str">
        <f t="shared" si="10"/>
        <v/>
      </c>
      <c r="M41" s="2" t="str">
        <f>IF(A41="","",IF(H41&gt;=1,0,MAX(0,DATE(VALUE(LEFT(Übersicht!$B$5,4)),VALUE(MID(Übersicht!$B$5,6,2)),VALUE(RIGHT(Übersicht!$B$5,2)))-U41)))</f>
        <v/>
      </c>
      <c r="N41" s="2"/>
      <c r="O41" s="2"/>
      <c r="P41" s="2"/>
      <c r="Q41" s="6" t="str">
        <f t="shared" si="11"/>
        <v/>
      </c>
      <c r="R41" s="7" t="str">
        <f t="shared" si="12"/>
        <v/>
      </c>
      <c r="S41" s="2" t="str">
        <f t="shared" si="13"/>
        <v/>
      </c>
      <c r="T41" s="1" t="str">
        <f t="shared" si="14"/>
        <v/>
      </c>
      <c r="U41" s="1" t="str">
        <f t="shared" si="15"/>
        <v/>
      </c>
      <c r="V41" s="1"/>
      <c r="W41" s="1"/>
      <c r="X41" s="1"/>
      <c r="Y41" s="1"/>
      <c r="Z41" s="1"/>
    </row>
    <row r="42" spans="1:26" ht="24" customHeight="1" x14ac:dyDescent="0.25">
      <c r="A42" s="2"/>
      <c r="B42" s="2"/>
      <c r="C42" s="2"/>
      <c r="D42" s="2"/>
      <c r="E42" s="16"/>
      <c r="F42" s="16"/>
      <c r="G42" s="2" t="str">
        <f t="shared" si="8"/>
        <v/>
      </c>
      <c r="H42" s="4"/>
      <c r="I42" s="6"/>
      <c r="J42" s="6" t="str">
        <f>IF(A42="","",SUMIFS(Kosten!$H$2:$H$101,Kosten!$C$2:$C$101,A42))</f>
        <v/>
      </c>
      <c r="K42" s="6" t="str">
        <f t="shared" si="9"/>
        <v/>
      </c>
      <c r="L42" s="6" t="str">
        <f t="shared" si="10"/>
        <v/>
      </c>
      <c r="M42" s="2" t="str">
        <f>IF(A42="","",IF(H42&gt;=1,0,MAX(0,DATE(VALUE(LEFT(Übersicht!$B$5,4)),VALUE(MID(Übersicht!$B$5,6,2)),VALUE(RIGHT(Übersicht!$B$5,2)))-U42)))</f>
        <v/>
      </c>
      <c r="N42" s="2"/>
      <c r="O42" s="2"/>
      <c r="P42" s="2"/>
      <c r="Q42" s="6" t="str">
        <f t="shared" si="11"/>
        <v/>
      </c>
      <c r="R42" s="7" t="str">
        <f t="shared" si="12"/>
        <v/>
      </c>
      <c r="S42" s="2" t="str">
        <f t="shared" si="13"/>
        <v/>
      </c>
      <c r="T42" s="1" t="str">
        <f t="shared" si="14"/>
        <v/>
      </c>
      <c r="U42" s="1" t="str">
        <f t="shared" si="15"/>
        <v/>
      </c>
      <c r="V42" s="1"/>
      <c r="W42" s="1"/>
      <c r="X42" s="1"/>
      <c r="Y42" s="1"/>
      <c r="Z42" s="1"/>
    </row>
    <row r="43" spans="1:26" ht="24" customHeight="1" x14ac:dyDescent="0.25">
      <c r="A43" s="2"/>
      <c r="B43" s="2"/>
      <c r="C43" s="2"/>
      <c r="D43" s="2"/>
      <c r="E43" s="16"/>
      <c r="F43" s="16"/>
      <c r="G43" s="2" t="str">
        <f t="shared" si="8"/>
        <v/>
      </c>
      <c r="H43" s="4"/>
      <c r="I43" s="6"/>
      <c r="J43" s="6" t="str">
        <f>IF(A43="","",SUMIFS(Kosten!$H$2:$H$101,Kosten!$C$2:$C$101,A43))</f>
        <v/>
      </c>
      <c r="K43" s="6" t="str">
        <f t="shared" si="9"/>
        <v/>
      </c>
      <c r="L43" s="6" t="str">
        <f t="shared" si="10"/>
        <v/>
      </c>
      <c r="M43" s="2" t="str">
        <f>IF(A43="","",IF(H43&gt;=1,0,MAX(0,DATE(VALUE(LEFT(Übersicht!$B$5,4)),VALUE(MID(Übersicht!$B$5,6,2)),VALUE(RIGHT(Übersicht!$B$5,2)))-U43)))</f>
        <v/>
      </c>
      <c r="N43" s="2"/>
      <c r="O43" s="2"/>
      <c r="P43" s="2"/>
      <c r="Q43" s="6" t="str">
        <f t="shared" si="11"/>
        <v/>
      </c>
      <c r="R43" s="7" t="str">
        <f t="shared" si="12"/>
        <v/>
      </c>
      <c r="S43" s="2" t="str">
        <f t="shared" si="13"/>
        <v/>
      </c>
      <c r="T43" s="1" t="str">
        <f t="shared" si="14"/>
        <v/>
      </c>
      <c r="U43" s="1" t="str">
        <f t="shared" si="15"/>
        <v/>
      </c>
      <c r="V43" s="1"/>
      <c r="W43" s="1"/>
      <c r="X43" s="1"/>
      <c r="Y43" s="1"/>
      <c r="Z43" s="1"/>
    </row>
    <row r="44" spans="1:26" ht="24" customHeight="1" x14ac:dyDescent="0.25">
      <c r="A44" s="2"/>
      <c r="B44" s="2"/>
      <c r="C44" s="2"/>
      <c r="D44" s="2"/>
      <c r="E44" s="16"/>
      <c r="F44" s="16"/>
      <c r="G44" s="2" t="str">
        <f t="shared" si="8"/>
        <v/>
      </c>
      <c r="H44" s="4"/>
      <c r="I44" s="6"/>
      <c r="J44" s="6" t="str">
        <f>IF(A44="","",SUMIFS(Kosten!$H$2:$H$101,Kosten!$C$2:$C$101,A44))</f>
        <v/>
      </c>
      <c r="K44" s="6" t="str">
        <f t="shared" si="9"/>
        <v/>
      </c>
      <c r="L44" s="6" t="str">
        <f t="shared" si="10"/>
        <v/>
      </c>
      <c r="M44" s="2" t="str">
        <f>IF(A44="","",IF(H44&gt;=1,0,MAX(0,DATE(VALUE(LEFT(Übersicht!$B$5,4)),VALUE(MID(Übersicht!$B$5,6,2)),VALUE(RIGHT(Übersicht!$B$5,2)))-U44)))</f>
        <v/>
      </c>
      <c r="N44" s="2"/>
      <c r="O44" s="2"/>
      <c r="P44" s="2"/>
      <c r="Q44" s="6" t="str">
        <f t="shared" si="11"/>
        <v/>
      </c>
      <c r="R44" s="7" t="str">
        <f t="shared" si="12"/>
        <v/>
      </c>
      <c r="S44" s="2" t="str">
        <f t="shared" si="13"/>
        <v/>
      </c>
      <c r="T44" s="1" t="str">
        <f t="shared" si="14"/>
        <v/>
      </c>
      <c r="U44" s="1" t="str">
        <f t="shared" si="15"/>
        <v/>
      </c>
      <c r="V44" s="1"/>
      <c r="W44" s="1"/>
      <c r="X44" s="1"/>
      <c r="Y44" s="1"/>
      <c r="Z44" s="1"/>
    </row>
    <row r="45" spans="1:26" ht="24" customHeight="1" x14ac:dyDescent="0.25">
      <c r="A45" s="2"/>
      <c r="B45" s="2"/>
      <c r="C45" s="2"/>
      <c r="D45" s="2"/>
      <c r="E45" s="16"/>
      <c r="F45" s="16"/>
      <c r="G45" s="2" t="str">
        <f t="shared" si="8"/>
        <v/>
      </c>
      <c r="H45" s="4"/>
      <c r="I45" s="6"/>
      <c r="J45" s="6" t="str">
        <f>IF(A45="","",SUMIFS(Kosten!$H$2:$H$101,Kosten!$C$2:$C$101,A45))</f>
        <v/>
      </c>
      <c r="K45" s="6" t="str">
        <f t="shared" si="9"/>
        <v/>
      </c>
      <c r="L45" s="6" t="str">
        <f t="shared" si="10"/>
        <v/>
      </c>
      <c r="M45" s="2" t="str">
        <f>IF(A45="","",IF(H45&gt;=1,0,MAX(0,DATE(VALUE(LEFT(Übersicht!$B$5,4)),VALUE(MID(Übersicht!$B$5,6,2)),VALUE(RIGHT(Übersicht!$B$5,2)))-U45)))</f>
        <v/>
      </c>
      <c r="N45" s="2"/>
      <c r="O45" s="2"/>
      <c r="P45" s="2"/>
      <c r="Q45" s="6" t="str">
        <f t="shared" si="11"/>
        <v/>
      </c>
      <c r="R45" s="7" t="str">
        <f t="shared" si="12"/>
        <v/>
      </c>
      <c r="S45" s="2" t="str">
        <f t="shared" si="13"/>
        <v/>
      </c>
      <c r="T45" s="1" t="str">
        <f t="shared" si="14"/>
        <v/>
      </c>
      <c r="U45" s="1" t="str">
        <f t="shared" si="15"/>
        <v/>
      </c>
      <c r="V45" s="1"/>
      <c r="W45" s="1"/>
      <c r="X45" s="1"/>
      <c r="Y45" s="1"/>
      <c r="Z45" s="1"/>
    </row>
    <row r="46" spans="1:26" ht="24" customHeight="1" x14ac:dyDescent="0.25">
      <c r="A46" s="2"/>
      <c r="B46" s="2"/>
      <c r="C46" s="2"/>
      <c r="D46" s="2"/>
      <c r="E46" s="16"/>
      <c r="F46" s="16"/>
      <c r="G46" s="2" t="str">
        <f t="shared" si="8"/>
        <v/>
      </c>
      <c r="H46" s="4"/>
      <c r="I46" s="6"/>
      <c r="J46" s="6" t="str">
        <f>IF(A46="","",SUMIFS(Kosten!$H$2:$H$101,Kosten!$C$2:$C$101,A46))</f>
        <v/>
      </c>
      <c r="K46" s="6" t="str">
        <f t="shared" si="9"/>
        <v/>
      </c>
      <c r="L46" s="6" t="str">
        <f t="shared" si="10"/>
        <v/>
      </c>
      <c r="M46" s="2" t="str">
        <f>IF(A46="","",IF(H46&gt;=1,0,MAX(0,DATE(VALUE(LEFT(Übersicht!$B$5,4)),VALUE(MID(Übersicht!$B$5,6,2)),VALUE(RIGHT(Übersicht!$B$5,2)))-U46)))</f>
        <v/>
      </c>
      <c r="N46" s="2"/>
      <c r="O46" s="2"/>
      <c r="P46" s="2"/>
      <c r="Q46" s="6" t="str">
        <f t="shared" si="11"/>
        <v/>
      </c>
      <c r="R46" s="7" t="str">
        <f t="shared" si="12"/>
        <v/>
      </c>
      <c r="S46" s="2" t="str">
        <f t="shared" si="13"/>
        <v/>
      </c>
      <c r="T46" s="1" t="str">
        <f t="shared" si="14"/>
        <v/>
      </c>
      <c r="U46" s="1" t="str">
        <f t="shared" si="15"/>
        <v/>
      </c>
      <c r="V46" s="1"/>
      <c r="W46" s="1"/>
      <c r="X46" s="1"/>
      <c r="Y46" s="1"/>
      <c r="Z46" s="1"/>
    </row>
    <row r="47" spans="1:26" ht="24" customHeight="1" x14ac:dyDescent="0.25">
      <c r="A47" s="2"/>
      <c r="B47" s="2"/>
      <c r="C47" s="2"/>
      <c r="D47" s="2"/>
      <c r="E47" s="16"/>
      <c r="F47" s="16"/>
      <c r="G47" s="2" t="str">
        <f t="shared" si="8"/>
        <v/>
      </c>
      <c r="H47" s="4"/>
      <c r="I47" s="6"/>
      <c r="J47" s="6" t="str">
        <f>IF(A47="","",SUMIFS(Kosten!$H$2:$H$101,Kosten!$C$2:$C$101,A47))</f>
        <v/>
      </c>
      <c r="K47" s="6" t="str">
        <f t="shared" si="9"/>
        <v/>
      </c>
      <c r="L47" s="6" t="str">
        <f t="shared" si="10"/>
        <v/>
      </c>
      <c r="M47" s="2" t="str">
        <f>IF(A47="","",IF(H47&gt;=1,0,MAX(0,DATE(VALUE(LEFT(Übersicht!$B$5,4)),VALUE(MID(Übersicht!$B$5,6,2)),VALUE(RIGHT(Übersicht!$B$5,2)))-U47)))</f>
        <v/>
      </c>
      <c r="N47" s="2"/>
      <c r="O47" s="2"/>
      <c r="P47" s="2"/>
      <c r="Q47" s="6" t="str">
        <f t="shared" si="11"/>
        <v/>
      </c>
      <c r="R47" s="7" t="str">
        <f t="shared" si="12"/>
        <v/>
      </c>
      <c r="S47" s="2" t="str">
        <f t="shared" si="13"/>
        <v/>
      </c>
      <c r="T47" s="1" t="str">
        <f t="shared" si="14"/>
        <v/>
      </c>
      <c r="U47" s="1" t="str">
        <f t="shared" si="15"/>
        <v/>
      </c>
      <c r="V47" s="1"/>
      <c r="W47" s="1"/>
      <c r="X47" s="1"/>
      <c r="Y47" s="1"/>
      <c r="Z47" s="1"/>
    </row>
    <row r="48" spans="1:26" ht="24" customHeight="1" x14ac:dyDescent="0.25">
      <c r="A48" s="2"/>
      <c r="B48" s="2"/>
      <c r="C48" s="2"/>
      <c r="D48" s="2"/>
      <c r="E48" s="16"/>
      <c r="F48" s="16"/>
      <c r="G48" s="2" t="str">
        <f t="shared" si="8"/>
        <v/>
      </c>
      <c r="H48" s="4"/>
      <c r="I48" s="6"/>
      <c r="J48" s="6" t="str">
        <f>IF(A48="","",SUMIFS(Kosten!$H$2:$H$101,Kosten!$C$2:$C$101,A48))</f>
        <v/>
      </c>
      <c r="K48" s="6" t="str">
        <f t="shared" si="9"/>
        <v/>
      </c>
      <c r="L48" s="6" t="str">
        <f t="shared" si="10"/>
        <v/>
      </c>
      <c r="M48" s="2" t="str">
        <f>IF(A48="","",IF(H48&gt;=1,0,MAX(0,DATE(VALUE(LEFT(Übersicht!$B$5,4)),VALUE(MID(Übersicht!$B$5,6,2)),VALUE(RIGHT(Übersicht!$B$5,2)))-U48)))</f>
        <v/>
      </c>
      <c r="N48" s="2"/>
      <c r="O48" s="2"/>
      <c r="P48" s="2"/>
      <c r="Q48" s="6" t="str">
        <f t="shared" si="11"/>
        <v/>
      </c>
      <c r="R48" s="7" t="str">
        <f t="shared" si="12"/>
        <v/>
      </c>
      <c r="S48" s="2" t="str">
        <f t="shared" si="13"/>
        <v/>
      </c>
      <c r="T48" s="1" t="str">
        <f t="shared" si="14"/>
        <v/>
      </c>
      <c r="U48" s="1" t="str">
        <f t="shared" si="15"/>
        <v/>
      </c>
      <c r="V48" s="1"/>
      <c r="W48" s="1"/>
      <c r="X48" s="1"/>
      <c r="Y48" s="1"/>
      <c r="Z48" s="1"/>
    </row>
    <row r="49" spans="1:26" ht="24" customHeight="1" x14ac:dyDescent="0.25">
      <c r="A49" s="2"/>
      <c r="B49" s="2"/>
      <c r="C49" s="2"/>
      <c r="D49" s="2"/>
      <c r="E49" s="16"/>
      <c r="F49" s="16"/>
      <c r="G49" s="2" t="str">
        <f t="shared" si="8"/>
        <v/>
      </c>
      <c r="H49" s="4"/>
      <c r="I49" s="6"/>
      <c r="J49" s="6" t="str">
        <f>IF(A49="","",SUMIFS(Kosten!$H$2:$H$101,Kosten!$C$2:$C$101,A49))</f>
        <v/>
      </c>
      <c r="K49" s="6" t="str">
        <f t="shared" si="9"/>
        <v/>
      </c>
      <c r="L49" s="6" t="str">
        <f t="shared" si="10"/>
        <v/>
      </c>
      <c r="M49" s="2" t="str">
        <f>IF(A49="","",IF(H49&gt;=1,0,MAX(0,DATE(VALUE(LEFT(Übersicht!$B$5,4)),VALUE(MID(Übersicht!$B$5,6,2)),VALUE(RIGHT(Übersicht!$B$5,2)))-U49)))</f>
        <v/>
      </c>
      <c r="N49" s="2"/>
      <c r="O49" s="2"/>
      <c r="P49" s="2"/>
      <c r="Q49" s="6" t="str">
        <f t="shared" si="11"/>
        <v/>
      </c>
      <c r="R49" s="7" t="str">
        <f t="shared" si="12"/>
        <v/>
      </c>
      <c r="S49" s="2" t="str">
        <f t="shared" si="13"/>
        <v/>
      </c>
      <c r="T49" s="1" t="str">
        <f t="shared" si="14"/>
        <v/>
      </c>
      <c r="U49" s="1" t="str">
        <f t="shared" si="15"/>
        <v/>
      </c>
      <c r="V49" s="1"/>
      <c r="W49" s="1"/>
      <c r="X49" s="1"/>
      <c r="Y49" s="1"/>
      <c r="Z49" s="1"/>
    </row>
    <row r="50" spans="1:26" ht="24" customHeight="1" x14ac:dyDescent="0.25">
      <c r="A50" s="2"/>
      <c r="B50" s="2"/>
      <c r="C50" s="2"/>
      <c r="D50" s="2"/>
      <c r="E50" s="16"/>
      <c r="F50" s="16"/>
      <c r="G50" s="2" t="str">
        <f t="shared" si="8"/>
        <v/>
      </c>
      <c r="H50" s="4"/>
      <c r="I50" s="6"/>
      <c r="J50" s="6" t="str">
        <f>IF(A50="","",SUMIFS(Kosten!$H$2:$H$101,Kosten!$C$2:$C$101,A50))</f>
        <v/>
      </c>
      <c r="K50" s="6" t="str">
        <f t="shared" si="9"/>
        <v/>
      </c>
      <c r="L50" s="6" t="str">
        <f t="shared" si="10"/>
        <v/>
      </c>
      <c r="M50" s="2" t="str">
        <f>IF(A50="","",IF(H50&gt;=1,0,MAX(0,DATE(VALUE(LEFT(Übersicht!$B$5,4)),VALUE(MID(Übersicht!$B$5,6,2)),VALUE(RIGHT(Übersicht!$B$5,2)))-U50)))</f>
        <v/>
      </c>
      <c r="N50" s="2"/>
      <c r="O50" s="2"/>
      <c r="P50" s="2"/>
      <c r="Q50" s="6" t="str">
        <f t="shared" si="11"/>
        <v/>
      </c>
      <c r="R50" s="7" t="str">
        <f t="shared" si="12"/>
        <v/>
      </c>
      <c r="S50" s="2" t="str">
        <f t="shared" si="13"/>
        <v/>
      </c>
      <c r="T50" s="1" t="str">
        <f t="shared" si="14"/>
        <v/>
      </c>
      <c r="U50" s="1" t="str">
        <f t="shared" si="15"/>
        <v/>
      </c>
      <c r="V50" s="1"/>
      <c r="W50" s="1"/>
      <c r="X50" s="1"/>
      <c r="Y50" s="1"/>
      <c r="Z50" s="1"/>
    </row>
    <row r="51" spans="1:26" ht="24" customHeight="1" x14ac:dyDescent="0.25">
      <c r="A51" s="2"/>
      <c r="B51" s="2"/>
      <c r="C51" s="2"/>
      <c r="D51" s="2"/>
      <c r="E51" s="16"/>
      <c r="F51" s="16"/>
      <c r="G51" s="2" t="str">
        <f t="shared" si="8"/>
        <v/>
      </c>
      <c r="H51" s="4"/>
      <c r="I51" s="6"/>
      <c r="J51" s="6" t="str">
        <f>IF(A51="","",SUMIFS(Kosten!$H$2:$H$101,Kosten!$C$2:$C$101,A51))</f>
        <v/>
      </c>
      <c r="K51" s="6" t="str">
        <f t="shared" si="9"/>
        <v/>
      </c>
      <c r="L51" s="6" t="str">
        <f t="shared" si="10"/>
        <v/>
      </c>
      <c r="M51" s="2" t="str">
        <f>IF(A51="","",IF(H51&gt;=1,0,MAX(0,DATE(VALUE(LEFT(Übersicht!$B$5,4)),VALUE(MID(Übersicht!$B$5,6,2)),VALUE(RIGHT(Übersicht!$B$5,2)))-U51)))</f>
        <v/>
      </c>
      <c r="N51" s="2"/>
      <c r="O51" s="2"/>
      <c r="P51" s="2"/>
      <c r="Q51" s="6" t="str">
        <f t="shared" si="11"/>
        <v/>
      </c>
      <c r="R51" s="7" t="str">
        <f t="shared" si="12"/>
        <v/>
      </c>
      <c r="S51" s="2" t="str">
        <f t="shared" si="13"/>
        <v/>
      </c>
      <c r="T51" s="1" t="str">
        <f t="shared" si="14"/>
        <v/>
      </c>
      <c r="U51" s="1" t="str">
        <f t="shared" si="15"/>
        <v/>
      </c>
      <c r="V51" s="1"/>
      <c r="W51" s="1"/>
      <c r="X51" s="1"/>
      <c r="Y51" s="1"/>
      <c r="Z51" s="1"/>
    </row>
    <row r="52" spans="1:26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</sheetData>
  <conditionalFormatting sqref="H2:H51">
    <cfRule type="dataBar" priority="1">
      <dataBar>
        <cfvo type="min"/>
        <cfvo type="max"/>
        <color rgb="FF0F766E"/>
      </dataBar>
    </cfRule>
    <cfRule type="dataBar" priority="6">
      <dataBar>
        <cfvo type="min"/>
        <cfvo type="max"/>
        <color rgb="FF0F766E"/>
      </dataBar>
      <extLst>
        <ext xmlns:x14="http://schemas.microsoft.com/office/spreadsheetml/2009/9/main" uri="{B025F937-C7B1-47D3-B67F-A62EFF666E3E}">
          <x14:id>{C40F2AF0-1703-E8B5-F02F-6EB1697CE328}</x14:id>
        </ext>
      </extLst>
    </cfRule>
  </conditionalFormatting>
  <conditionalFormatting sqref="L2:L51">
    <cfRule type="expression" dxfId="3" priority="2">
      <formula>L2&gt;0</formula>
    </cfRule>
  </conditionalFormatting>
  <conditionalFormatting sqref="S2:S51">
    <cfRule type="expression" dxfId="2" priority="3">
      <formula>S2="Grün"</formula>
    </cfRule>
    <cfRule type="expression" dxfId="1" priority="4">
      <formula>S2="Gelb"</formula>
    </cfRule>
    <cfRule type="expression" dxfId="0" priority="5">
      <formula>S2="Rot"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40F2AF0-1703-E8B5-F02F-6EB1697CE328}">
            <x14:dataBar>
              <x14:cfvo type="min"/>
              <x14:cfvo type="max"/>
              <x14:negativeFillColor auto="1"/>
              <x14:axisColor auto="1"/>
            </x14:dataBar>
          </x14:cfRule>
          <xm:sqref>H2:H51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100-000000000000}">
          <x14:formula1>
            <xm:f>Listen!$C$2:$C$7</xm:f>
          </x14:formula1>
          <xm:sqref>B2:B51</xm:sqref>
        </x14:dataValidation>
        <x14:dataValidation type="list" xr:uid="{00000000-0002-0000-0100-000001000000}">
          <x14:formula1>
            <xm:f>Listen!$F$2:$F$7</xm:f>
          </x14:formula1>
          <xm:sqref>D2:D51</xm:sqref>
        </x14:dataValidation>
        <x14:dataValidation type="list" xr:uid="{00000000-0002-0000-0100-000002000000}">
          <x14:formula1>
            <xm:f>Listen!$A$2:$A$6</xm:f>
          </x14:formula1>
          <xm:sqref>N2:N51</xm:sqref>
        </x14:dataValidation>
        <x14:dataValidation type="list" xr:uid="{00000000-0002-0000-0100-000003000000}">
          <x14:formula1>
            <xm:f>Listen!$B$2:$B$4</xm:f>
          </x14:formula1>
          <xm:sqref>O2:O51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20"/>
  <sheetViews>
    <sheetView workbookViewId="0"/>
  </sheetViews>
  <sheetFormatPr baseColWidth="10" defaultColWidth="9" defaultRowHeight="15" x14ac:dyDescent="0.25"/>
  <cols>
    <col min="1" max="1" width="12" customWidth="1"/>
    <col min="2" max="2" width="14" customWidth="1"/>
    <col min="3" max="3" width="10" customWidth="1"/>
    <col min="4" max="4" width="34" customWidth="1"/>
    <col min="5" max="5" width="20" customWidth="1"/>
    <col min="6" max="7" width="12" customWidth="1"/>
    <col min="8" max="10" width="14" customWidth="1"/>
    <col min="11" max="11" width="0.125" customWidth="1"/>
  </cols>
  <sheetData>
    <row r="1" spans="1:26" ht="15" customHeight="1" x14ac:dyDescent="0.25">
      <c r="A1" s="14" t="s">
        <v>142</v>
      </c>
      <c r="B1" s="14" t="s">
        <v>143</v>
      </c>
      <c r="C1" s="14" t="s">
        <v>56</v>
      </c>
      <c r="D1" s="14" t="s">
        <v>144</v>
      </c>
      <c r="E1" s="14" t="s">
        <v>145</v>
      </c>
      <c r="F1" s="14" t="s">
        <v>146</v>
      </c>
      <c r="G1" s="14" t="s">
        <v>147</v>
      </c>
      <c r="H1" s="14" t="s">
        <v>148</v>
      </c>
      <c r="I1" s="14" t="s">
        <v>38</v>
      </c>
      <c r="J1" s="14" t="s">
        <v>149</v>
      </c>
      <c r="K1" s="1" t="s">
        <v>150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16" t="s">
        <v>151</v>
      </c>
      <c r="B2" s="2" t="s">
        <v>152</v>
      </c>
      <c r="C2" s="2" t="s">
        <v>72</v>
      </c>
      <c r="D2" s="2" t="s">
        <v>153</v>
      </c>
      <c r="E2" s="2" t="s">
        <v>9</v>
      </c>
      <c r="F2" s="8">
        <v>38</v>
      </c>
      <c r="G2" s="8">
        <v>95</v>
      </c>
      <c r="H2" s="6">
        <f t="shared" ref="H2:H33" si="0">IF(A2="","",F2*G2)</f>
        <v>3610</v>
      </c>
      <c r="I2" s="5">
        <f t="shared" ref="I2:I33" si="1">IF(A2="","",DATE(YEAR(K2),MONTH(K2),1))</f>
        <v>46023</v>
      </c>
      <c r="J2" s="2" t="s">
        <v>154</v>
      </c>
      <c r="K2" s="1">
        <f t="shared" ref="K2:K33" si="2">IF(A2="","",DATE(VALUE(LEFT(A2,4)),VALUE(MID(A2,6,2)),VALUE(RIGHT(A2,2))))</f>
        <v>46034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16" t="s">
        <v>155</v>
      </c>
      <c r="B3" s="2" t="s">
        <v>152</v>
      </c>
      <c r="C3" s="2" t="s">
        <v>78</v>
      </c>
      <c r="D3" s="2" t="s">
        <v>156</v>
      </c>
      <c r="E3" s="2" t="s">
        <v>80</v>
      </c>
      <c r="F3" s="8">
        <v>54</v>
      </c>
      <c r="G3" s="8">
        <v>90</v>
      </c>
      <c r="H3" s="6">
        <f t="shared" si="0"/>
        <v>4860</v>
      </c>
      <c r="I3" s="5">
        <f t="shared" si="1"/>
        <v>46023</v>
      </c>
      <c r="J3" s="2" t="s">
        <v>154</v>
      </c>
      <c r="K3" s="1">
        <f t="shared" si="2"/>
        <v>46042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16" t="s">
        <v>157</v>
      </c>
      <c r="B4" s="2" t="s">
        <v>158</v>
      </c>
      <c r="C4" s="2" t="s">
        <v>78</v>
      </c>
      <c r="D4" s="2" t="s">
        <v>159</v>
      </c>
      <c r="E4" s="2" t="s">
        <v>116</v>
      </c>
      <c r="F4" s="8">
        <v>1</v>
      </c>
      <c r="G4" s="8">
        <v>4200</v>
      </c>
      <c r="H4" s="6">
        <f t="shared" si="0"/>
        <v>4200</v>
      </c>
      <c r="I4" s="5">
        <f t="shared" si="1"/>
        <v>46023</v>
      </c>
      <c r="J4" s="2" t="s">
        <v>154</v>
      </c>
      <c r="K4" s="1">
        <f t="shared" si="2"/>
        <v>46052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16" t="s">
        <v>160</v>
      </c>
      <c r="B5" s="2" t="s">
        <v>152</v>
      </c>
      <c r="C5" s="2" t="s">
        <v>84</v>
      </c>
      <c r="D5" s="2" t="s">
        <v>161</v>
      </c>
      <c r="E5" s="2" t="s">
        <v>87</v>
      </c>
      <c r="F5" s="8">
        <v>72</v>
      </c>
      <c r="G5" s="8">
        <v>85</v>
      </c>
      <c r="H5" s="6">
        <f t="shared" si="0"/>
        <v>6120</v>
      </c>
      <c r="I5" s="5">
        <f t="shared" si="1"/>
        <v>46054</v>
      </c>
      <c r="J5" s="2" t="s">
        <v>154</v>
      </c>
      <c r="K5" s="1">
        <f t="shared" si="2"/>
        <v>46065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16" t="s">
        <v>162</v>
      </c>
      <c r="B6" s="2" t="s">
        <v>163</v>
      </c>
      <c r="C6" s="2" t="s">
        <v>84</v>
      </c>
      <c r="D6" s="2" t="s">
        <v>164</v>
      </c>
      <c r="E6" s="2" t="s">
        <v>116</v>
      </c>
      <c r="F6" s="8">
        <v>1</v>
      </c>
      <c r="G6" s="8">
        <v>2300</v>
      </c>
      <c r="H6" s="6">
        <f t="shared" si="0"/>
        <v>2300</v>
      </c>
      <c r="I6" s="5">
        <f t="shared" si="1"/>
        <v>46054</v>
      </c>
      <c r="J6" s="2" t="s">
        <v>154</v>
      </c>
      <c r="K6" s="1">
        <f t="shared" si="2"/>
        <v>46078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16" t="s">
        <v>165</v>
      </c>
      <c r="B7" s="2" t="s">
        <v>152</v>
      </c>
      <c r="C7" s="2" t="s">
        <v>91</v>
      </c>
      <c r="D7" s="2" t="s">
        <v>166</v>
      </c>
      <c r="E7" s="2" t="s">
        <v>80</v>
      </c>
      <c r="F7" s="8">
        <v>96</v>
      </c>
      <c r="G7" s="8">
        <v>88</v>
      </c>
      <c r="H7" s="6">
        <f t="shared" si="0"/>
        <v>8448</v>
      </c>
      <c r="I7" s="5">
        <f t="shared" si="1"/>
        <v>46082</v>
      </c>
      <c r="J7" s="2" t="s">
        <v>154</v>
      </c>
      <c r="K7" s="1">
        <f t="shared" si="2"/>
        <v>46087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16" t="s">
        <v>167</v>
      </c>
      <c r="B8" s="2" t="s">
        <v>158</v>
      </c>
      <c r="C8" s="2" t="s">
        <v>91</v>
      </c>
      <c r="D8" s="2" t="s">
        <v>168</v>
      </c>
      <c r="E8" s="2" t="s">
        <v>116</v>
      </c>
      <c r="F8" s="8">
        <v>1</v>
      </c>
      <c r="G8" s="8">
        <v>5600</v>
      </c>
      <c r="H8" s="6">
        <f t="shared" si="0"/>
        <v>5600</v>
      </c>
      <c r="I8" s="5">
        <f t="shared" si="1"/>
        <v>46082</v>
      </c>
      <c r="J8" s="2" t="s">
        <v>154</v>
      </c>
      <c r="K8" s="1">
        <f t="shared" si="2"/>
        <v>46101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16" t="s">
        <v>169</v>
      </c>
      <c r="B9" s="2" t="s">
        <v>152</v>
      </c>
      <c r="C9" s="2" t="s">
        <v>96</v>
      </c>
      <c r="D9" s="2" t="s">
        <v>170</v>
      </c>
      <c r="E9" s="2" t="s">
        <v>99</v>
      </c>
      <c r="F9" s="8">
        <v>160</v>
      </c>
      <c r="G9" s="8">
        <v>92</v>
      </c>
      <c r="H9" s="6">
        <f t="shared" si="0"/>
        <v>14720</v>
      </c>
      <c r="I9" s="5">
        <f t="shared" si="1"/>
        <v>46082</v>
      </c>
      <c r="J9" s="2" t="s">
        <v>154</v>
      </c>
      <c r="K9" s="1">
        <f t="shared" si="2"/>
        <v>46112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16" t="s">
        <v>171</v>
      </c>
      <c r="B10" s="2" t="s">
        <v>152</v>
      </c>
      <c r="C10" s="2" t="s">
        <v>96</v>
      </c>
      <c r="D10" s="2" t="s">
        <v>172</v>
      </c>
      <c r="E10" s="2" t="s">
        <v>99</v>
      </c>
      <c r="F10" s="8">
        <v>176</v>
      </c>
      <c r="G10" s="8">
        <v>92</v>
      </c>
      <c r="H10" s="6">
        <f t="shared" si="0"/>
        <v>16192</v>
      </c>
      <c r="I10" s="5">
        <f t="shared" si="1"/>
        <v>46113</v>
      </c>
      <c r="J10" s="2" t="s">
        <v>154</v>
      </c>
      <c r="K10" s="1">
        <f t="shared" si="2"/>
        <v>46129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16" t="s">
        <v>173</v>
      </c>
      <c r="B11" s="2" t="s">
        <v>152</v>
      </c>
      <c r="C11" s="2" t="s">
        <v>103</v>
      </c>
      <c r="D11" s="2" t="s">
        <v>174</v>
      </c>
      <c r="E11" s="2" t="s">
        <v>99</v>
      </c>
      <c r="F11" s="8">
        <v>92</v>
      </c>
      <c r="G11" s="8">
        <v>92</v>
      </c>
      <c r="H11" s="6">
        <f t="shared" si="0"/>
        <v>8464</v>
      </c>
      <c r="I11" s="5">
        <f t="shared" si="1"/>
        <v>46113</v>
      </c>
      <c r="J11" s="2" t="s">
        <v>154</v>
      </c>
      <c r="K11" s="1">
        <f t="shared" si="2"/>
        <v>46136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16" t="s">
        <v>175</v>
      </c>
      <c r="B12" s="2" t="s">
        <v>152</v>
      </c>
      <c r="C12" s="2" t="s">
        <v>108</v>
      </c>
      <c r="D12" s="2" t="s">
        <v>176</v>
      </c>
      <c r="E12" s="2" t="s">
        <v>87</v>
      </c>
      <c r="F12" s="8">
        <v>24</v>
      </c>
      <c r="G12" s="8">
        <v>85</v>
      </c>
      <c r="H12" s="6">
        <f t="shared" si="0"/>
        <v>2040</v>
      </c>
      <c r="I12" s="5">
        <f t="shared" si="1"/>
        <v>46113</v>
      </c>
      <c r="J12" s="2" t="s">
        <v>154</v>
      </c>
      <c r="K12" s="1">
        <f t="shared" si="2"/>
        <v>46142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16" t="s">
        <v>177</v>
      </c>
      <c r="B13" s="2" t="s">
        <v>158</v>
      </c>
      <c r="C13" s="2" t="s">
        <v>114</v>
      </c>
      <c r="D13" s="2" t="s">
        <v>178</v>
      </c>
      <c r="E13" s="2" t="s">
        <v>116</v>
      </c>
      <c r="F13" s="8">
        <v>1</v>
      </c>
      <c r="G13" s="8">
        <v>3900</v>
      </c>
      <c r="H13" s="6">
        <f t="shared" si="0"/>
        <v>3900</v>
      </c>
      <c r="I13" s="5">
        <f t="shared" si="1"/>
        <v>46143</v>
      </c>
      <c r="J13" s="2" t="s">
        <v>154</v>
      </c>
      <c r="K13" s="1">
        <f t="shared" si="2"/>
        <v>46150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16" t="s">
        <v>179</v>
      </c>
      <c r="B14" s="2" t="s">
        <v>152</v>
      </c>
      <c r="C14" s="2" t="s">
        <v>96</v>
      </c>
      <c r="D14" s="2" t="s">
        <v>180</v>
      </c>
      <c r="E14" s="2" t="s">
        <v>99</v>
      </c>
      <c r="F14" s="8">
        <v>128</v>
      </c>
      <c r="G14" s="8">
        <v>92</v>
      </c>
      <c r="H14" s="6">
        <f t="shared" si="0"/>
        <v>11776</v>
      </c>
      <c r="I14" s="5">
        <f t="shared" si="1"/>
        <v>46143</v>
      </c>
      <c r="J14" s="2" t="s">
        <v>154</v>
      </c>
      <c r="K14" s="1">
        <f t="shared" si="2"/>
        <v>46157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16" t="s">
        <v>181</v>
      </c>
      <c r="B15" s="2" t="s">
        <v>152</v>
      </c>
      <c r="C15" s="2" t="s">
        <v>103</v>
      </c>
      <c r="D15" s="2" t="s">
        <v>182</v>
      </c>
      <c r="E15" s="2" t="s">
        <v>99</v>
      </c>
      <c r="F15" s="8">
        <v>150</v>
      </c>
      <c r="G15" s="8">
        <v>92</v>
      </c>
      <c r="H15" s="6">
        <f t="shared" si="0"/>
        <v>13800</v>
      </c>
      <c r="I15" s="5">
        <f t="shared" si="1"/>
        <v>46143</v>
      </c>
      <c r="J15" s="2" t="s">
        <v>154</v>
      </c>
      <c r="K15" s="1">
        <f t="shared" si="2"/>
        <v>46170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16" t="s">
        <v>101</v>
      </c>
      <c r="B16" s="2" t="s">
        <v>183</v>
      </c>
      <c r="C16" s="2" t="s">
        <v>114</v>
      </c>
      <c r="D16" s="2" t="s">
        <v>184</v>
      </c>
      <c r="E16" s="2" t="s">
        <v>116</v>
      </c>
      <c r="F16" s="8">
        <v>1</v>
      </c>
      <c r="G16" s="8">
        <v>1280</v>
      </c>
      <c r="H16" s="6">
        <f t="shared" si="0"/>
        <v>1280</v>
      </c>
      <c r="I16" s="5">
        <f t="shared" si="1"/>
        <v>46143</v>
      </c>
      <c r="J16" s="2" t="s">
        <v>154</v>
      </c>
      <c r="K16" s="1">
        <f t="shared" si="2"/>
        <v>46171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16" t="s">
        <v>185</v>
      </c>
      <c r="B17" s="2" t="s">
        <v>152</v>
      </c>
      <c r="C17" s="2" t="s">
        <v>120</v>
      </c>
      <c r="D17" s="2" t="s">
        <v>186</v>
      </c>
      <c r="E17" s="2" t="s">
        <v>123</v>
      </c>
      <c r="F17" s="8">
        <v>82</v>
      </c>
      <c r="G17" s="8">
        <v>80</v>
      </c>
      <c r="H17" s="6">
        <f t="shared" si="0"/>
        <v>6560</v>
      </c>
      <c r="I17" s="5">
        <f t="shared" si="1"/>
        <v>46174</v>
      </c>
      <c r="J17" s="2" t="s">
        <v>187</v>
      </c>
      <c r="K17" s="1">
        <f t="shared" si="2"/>
        <v>46178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16" t="s">
        <v>188</v>
      </c>
      <c r="B18" s="2" t="s">
        <v>152</v>
      </c>
      <c r="C18" s="2" t="s">
        <v>103</v>
      </c>
      <c r="D18" s="2" t="s">
        <v>189</v>
      </c>
      <c r="E18" s="2" t="s">
        <v>99</v>
      </c>
      <c r="F18" s="8">
        <v>168</v>
      </c>
      <c r="G18" s="8">
        <v>92</v>
      </c>
      <c r="H18" s="6">
        <f t="shared" si="0"/>
        <v>15456</v>
      </c>
      <c r="I18" s="5">
        <f t="shared" si="1"/>
        <v>46174</v>
      </c>
      <c r="J18" s="2" t="s">
        <v>187</v>
      </c>
      <c r="K18" s="1">
        <f t="shared" si="2"/>
        <v>46185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16" t="s">
        <v>190</v>
      </c>
      <c r="B19" s="2" t="s">
        <v>191</v>
      </c>
      <c r="C19" s="2" t="s">
        <v>120</v>
      </c>
      <c r="D19" s="2" t="s">
        <v>192</v>
      </c>
      <c r="E19" s="2" t="s">
        <v>123</v>
      </c>
      <c r="F19" s="8">
        <v>1</v>
      </c>
      <c r="G19" s="8">
        <v>3400</v>
      </c>
      <c r="H19" s="6">
        <f t="shared" si="0"/>
        <v>3400</v>
      </c>
      <c r="I19" s="5">
        <f t="shared" si="1"/>
        <v>46174</v>
      </c>
      <c r="J19" s="2" t="s">
        <v>193</v>
      </c>
      <c r="K19" s="1">
        <f t="shared" si="2"/>
        <v>46192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16" t="s">
        <v>194</v>
      </c>
      <c r="B20" s="2" t="s">
        <v>152</v>
      </c>
      <c r="C20" s="2" t="s">
        <v>108</v>
      </c>
      <c r="D20" s="2" t="s">
        <v>195</v>
      </c>
      <c r="E20" s="2" t="s">
        <v>87</v>
      </c>
      <c r="F20" s="8">
        <v>30</v>
      </c>
      <c r="G20" s="8">
        <v>85</v>
      </c>
      <c r="H20" s="6">
        <f t="shared" si="0"/>
        <v>2550</v>
      </c>
      <c r="I20" s="5">
        <f t="shared" si="1"/>
        <v>46174</v>
      </c>
      <c r="J20" s="2" t="s">
        <v>187</v>
      </c>
      <c r="K20" s="1">
        <f t="shared" si="2"/>
        <v>46199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16" t="s">
        <v>106</v>
      </c>
      <c r="B21" s="2" t="s">
        <v>152</v>
      </c>
      <c r="C21" s="2" t="s">
        <v>114</v>
      </c>
      <c r="D21" s="2" t="s">
        <v>196</v>
      </c>
      <c r="E21" s="2" t="s">
        <v>116</v>
      </c>
      <c r="F21" s="8">
        <v>42</v>
      </c>
      <c r="G21" s="8">
        <v>98</v>
      </c>
      <c r="H21" s="6">
        <f t="shared" si="0"/>
        <v>4116</v>
      </c>
      <c r="I21" s="5">
        <f t="shared" si="1"/>
        <v>46204</v>
      </c>
      <c r="J21" s="2" t="s">
        <v>193</v>
      </c>
      <c r="K21" s="1">
        <f t="shared" si="2"/>
        <v>46206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6" t="s">
        <v>7</v>
      </c>
      <c r="B22" s="2" t="s">
        <v>152</v>
      </c>
      <c r="C22" s="2" t="s">
        <v>127</v>
      </c>
      <c r="D22" s="2" t="s">
        <v>197</v>
      </c>
      <c r="E22" s="2" t="s">
        <v>80</v>
      </c>
      <c r="F22" s="8">
        <v>18</v>
      </c>
      <c r="G22" s="8">
        <v>88</v>
      </c>
      <c r="H22" s="6">
        <f t="shared" si="0"/>
        <v>1584</v>
      </c>
      <c r="I22" s="5">
        <f t="shared" si="1"/>
        <v>46204</v>
      </c>
      <c r="J22" s="2" t="s">
        <v>193</v>
      </c>
      <c r="K22" s="1">
        <f t="shared" si="2"/>
        <v>46209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6"/>
      <c r="B23" s="2"/>
      <c r="C23" s="2"/>
      <c r="D23" s="2"/>
      <c r="E23" s="2"/>
      <c r="F23" s="8"/>
      <c r="G23" s="8"/>
      <c r="H23" s="6" t="str">
        <f t="shared" si="0"/>
        <v/>
      </c>
      <c r="I23" s="5" t="str">
        <f t="shared" si="1"/>
        <v/>
      </c>
      <c r="J23" s="2"/>
      <c r="K23" s="1" t="str">
        <f t="shared" si="2"/>
        <v/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6"/>
      <c r="B24" s="2"/>
      <c r="C24" s="2"/>
      <c r="D24" s="2"/>
      <c r="E24" s="2"/>
      <c r="F24" s="8"/>
      <c r="G24" s="8"/>
      <c r="H24" s="6" t="str">
        <f t="shared" si="0"/>
        <v/>
      </c>
      <c r="I24" s="5" t="str">
        <f t="shared" si="1"/>
        <v/>
      </c>
      <c r="J24" s="2"/>
      <c r="K24" s="1" t="str">
        <f t="shared" si="2"/>
        <v/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6"/>
      <c r="B25" s="2"/>
      <c r="C25" s="2"/>
      <c r="D25" s="2"/>
      <c r="E25" s="2"/>
      <c r="F25" s="8"/>
      <c r="G25" s="8"/>
      <c r="H25" s="6" t="str">
        <f t="shared" si="0"/>
        <v/>
      </c>
      <c r="I25" s="5" t="str">
        <f t="shared" si="1"/>
        <v/>
      </c>
      <c r="J25" s="2"/>
      <c r="K25" s="1" t="str">
        <f t="shared" si="2"/>
        <v/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16"/>
      <c r="B26" s="2"/>
      <c r="C26" s="2"/>
      <c r="D26" s="2"/>
      <c r="E26" s="2"/>
      <c r="F26" s="8"/>
      <c r="G26" s="8"/>
      <c r="H26" s="6" t="str">
        <f t="shared" si="0"/>
        <v/>
      </c>
      <c r="I26" s="5" t="str">
        <f t="shared" si="1"/>
        <v/>
      </c>
      <c r="J26" s="2"/>
      <c r="K26" s="1" t="str">
        <f t="shared" si="2"/>
        <v/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16"/>
      <c r="B27" s="2"/>
      <c r="C27" s="2"/>
      <c r="D27" s="2"/>
      <c r="E27" s="2"/>
      <c r="F27" s="8"/>
      <c r="G27" s="8"/>
      <c r="H27" s="6" t="str">
        <f t="shared" si="0"/>
        <v/>
      </c>
      <c r="I27" s="5" t="str">
        <f t="shared" si="1"/>
        <v/>
      </c>
      <c r="J27" s="2"/>
      <c r="K27" s="1" t="str">
        <f t="shared" si="2"/>
        <v/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16"/>
      <c r="B28" s="2"/>
      <c r="C28" s="2"/>
      <c r="D28" s="2"/>
      <c r="E28" s="2"/>
      <c r="F28" s="8"/>
      <c r="G28" s="8"/>
      <c r="H28" s="6" t="str">
        <f t="shared" si="0"/>
        <v/>
      </c>
      <c r="I28" s="5" t="str">
        <f t="shared" si="1"/>
        <v/>
      </c>
      <c r="J28" s="2"/>
      <c r="K28" s="1" t="str">
        <f t="shared" si="2"/>
        <v/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6"/>
      <c r="B29" s="2"/>
      <c r="C29" s="2"/>
      <c r="D29" s="2"/>
      <c r="E29" s="2"/>
      <c r="F29" s="8"/>
      <c r="G29" s="8"/>
      <c r="H29" s="6" t="str">
        <f t="shared" si="0"/>
        <v/>
      </c>
      <c r="I29" s="5" t="str">
        <f t="shared" si="1"/>
        <v/>
      </c>
      <c r="J29" s="2"/>
      <c r="K29" s="1" t="str">
        <f t="shared" si="2"/>
        <v/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16"/>
      <c r="B30" s="2"/>
      <c r="C30" s="2"/>
      <c r="D30" s="2"/>
      <c r="E30" s="2"/>
      <c r="F30" s="8"/>
      <c r="G30" s="8"/>
      <c r="H30" s="6" t="str">
        <f t="shared" si="0"/>
        <v/>
      </c>
      <c r="I30" s="5" t="str">
        <f t="shared" si="1"/>
        <v/>
      </c>
      <c r="J30" s="2"/>
      <c r="K30" s="1" t="str">
        <f t="shared" si="2"/>
        <v/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16"/>
      <c r="B31" s="2"/>
      <c r="C31" s="2"/>
      <c r="D31" s="2"/>
      <c r="E31" s="2"/>
      <c r="F31" s="8"/>
      <c r="G31" s="8"/>
      <c r="H31" s="6" t="str">
        <f t="shared" si="0"/>
        <v/>
      </c>
      <c r="I31" s="5" t="str">
        <f t="shared" si="1"/>
        <v/>
      </c>
      <c r="J31" s="2"/>
      <c r="K31" s="1" t="str">
        <f t="shared" si="2"/>
        <v/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16"/>
      <c r="B32" s="2"/>
      <c r="C32" s="2"/>
      <c r="D32" s="2"/>
      <c r="E32" s="2"/>
      <c r="F32" s="8"/>
      <c r="G32" s="8"/>
      <c r="H32" s="6" t="str">
        <f t="shared" si="0"/>
        <v/>
      </c>
      <c r="I32" s="5" t="str">
        <f t="shared" si="1"/>
        <v/>
      </c>
      <c r="J32" s="2"/>
      <c r="K32" s="1" t="str">
        <f t="shared" si="2"/>
        <v/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16"/>
      <c r="B33" s="2"/>
      <c r="C33" s="2"/>
      <c r="D33" s="2"/>
      <c r="E33" s="2"/>
      <c r="F33" s="8"/>
      <c r="G33" s="8"/>
      <c r="H33" s="6" t="str">
        <f t="shared" si="0"/>
        <v/>
      </c>
      <c r="I33" s="5" t="str">
        <f t="shared" si="1"/>
        <v/>
      </c>
      <c r="J33" s="2"/>
      <c r="K33" s="1" t="str">
        <f t="shared" si="2"/>
        <v/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16"/>
      <c r="B34" s="2"/>
      <c r="C34" s="2"/>
      <c r="D34" s="2"/>
      <c r="E34" s="2"/>
      <c r="F34" s="8"/>
      <c r="G34" s="8"/>
      <c r="H34" s="6" t="str">
        <f t="shared" ref="H34:H65" si="3">IF(A34="","",F34*G34)</f>
        <v/>
      </c>
      <c r="I34" s="5" t="str">
        <f t="shared" ref="I34:I65" si="4">IF(A34="","",DATE(YEAR(K34),MONTH(K34),1))</f>
        <v/>
      </c>
      <c r="J34" s="2"/>
      <c r="K34" s="1" t="str">
        <f t="shared" ref="K34:K65" si="5">IF(A34="","",DATE(VALUE(LEFT(A34,4)),VALUE(MID(A34,6,2)),VALUE(RIGHT(A34,2))))</f>
        <v/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16"/>
      <c r="B35" s="2"/>
      <c r="C35" s="2"/>
      <c r="D35" s="2"/>
      <c r="E35" s="2"/>
      <c r="F35" s="8"/>
      <c r="G35" s="8"/>
      <c r="H35" s="6" t="str">
        <f t="shared" si="3"/>
        <v/>
      </c>
      <c r="I35" s="5" t="str">
        <f t="shared" si="4"/>
        <v/>
      </c>
      <c r="J35" s="2"/>
      <c r="K35" s="1" t="str">
        <f t="shared" si="5"/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16"/>
      <c r="B36" s="2"/>
      <c r="C36" s="2"/>
      <c r="D36" s="2"/>
      <c r="E36" s="2"/>
      <c r="F36" s="8"/>
      <c r="G36" s="8"/>
      <c r="H36" s="6" t="str">
        <f t="shared" si="3"/>
        <v/>
      </c>
      <c r="I36" s="5" t="str">
        <f t="shared" si="4"/>
        <v/>
      </c>
      <c r="J36" s="2"/>
      <c r="K36" s="1" t="str">
        <f t="shared" si="5"/>
        <v/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16"/>
      <c r="B37" s="2"/>
      <c r="C37" s="2"/>
      <c r="D37" s="2"/>
      <c r="E37" s="2"/>
      <c r="F37" s="8"/>
      <c r="G37" s="8"/>
      <c r="H37" s="6" t="str">
        <f t="shared" si="3"/>
        <v/>
      </c>
      <c r="I37" s="5" t="str">
        <f t="shared" si="4"/>
        <v/>
      </c>
      <c r="J37" s="2"/>
      <c r="K37" s="1" t="str">
        <f t="shared" si="5"/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16"/>
      <c r="B38" s="2"/>
      <c r="C38" s="2"/>
      <c r="D38" s="2"/>
      <c r="E38" s="2"/>
      <c r="F38" s="8"/>
      <c r="G38" s="8"/>
      <c r="H38" s="6" t="str">
        <f t="shared" si="3"/>
        <v/>
      </c>
      <c r="I38" s="5" t="str">
        <f t="shared" si="4"/>
        <v/>
      </c>
      <c r="J38" s="2"/>
      <c r="K38" s="1" t="str">
        <f t="shared" si="5"/>
        <v/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16"/>
      <c r="B39" s="2"/>
      <c r="C39" s="2"/>
      <c r="D39" s="2"/>
      <c r="E39" s="2"/>
      <c r="F39" s="8"/>
      <c r="G39" s="8"/>
      <c r="H39" s="6" t="str">
        <f t="shared" si="3"/>
        <v/>
      </c>
      <c r="I39" s="5" t="str">
        <f t="shared" si="4"/>
        <v/>
      </c>
      <c r="J39" s="2"/>
      <c r="K39" s="1" t="str">
        <f t="shared" si="5"/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16"/>
      <c r="B40" s="2"/>
      <c r="C40" s="2"/>
      <c r="D40" s="2"/>
      <c r="E40" s="2"/>
      <c r="F40" s="8"/>
      <c r="G40" s="8"/>
      <c r="H40" s="6" t="str">
        <f t="shared" si="3"/>
        <v/>
      </c>
      <c r="I40" s="5" t="str">
        <f t="shared" si="4"/>
        <v/>
      </c>
      <c r="J40" s="2"/>
      <c r="K40" s="1" t="str">
        <f t="shared" si="5"/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16"/>
      <c r="B41" s="2"/>
      <c r="C41" s="2"/>
      <c r="D41" s="2"/>
      <c r="E41" s="2"/>
      <c r="F41" s="8"/>
      <c r="G41" s="8"/>
      <c r="H41" s="6" t="str">
        <f t="shared" si="3"/>
        <v/>
      </c>
      <c r="I41" s="5" t="str">
        <f t="shared" si="4"/>
        <v/>
      </c>
      <c r="J41" s="2"/>
      <c r="K41" s="1" t="str">
        <f t="shared" si="5"/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16"/>
      <c r="B42" s="2"/>
      <c r="C42" s="2"/>
      <c r="D42" s="2"/>
      <c r="E42" s="2"/>
      <c r="F42" s="8"/>
      <c r="G42" s="8"/>
      <c r="H42" s="6" t="str">
        <f t="shared" si="3"/>
        <v/>
      </c>
      <c r="I42" s="5" t="str">
        <f t="shared" si="4"/>
        <v/>
      </c>
      <c r="J42" s="2"/>
      <c r="K42" s="1" t="str">
        <f t="shared" si="5"/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16"/>
      <c r="B43" s="2"/>
      <c r="C43" s="2"/>
      <c r="D43" s="2"/>
      <c r="E43" s="2"/>
      <c r="F43" s="8"/>
      <c r="G43" s="8"/>
      <c r="H43" s="6" t="str">
        <f t="shared" si="3"/>
        <v/>
      </c>
      <c r="I43" s="5" t="str">
        <f t="shared" si="4"/>
        <v/>
      </c>
      <c r="J43" s="2"/>
      <c r="K43" s="1" t="str">
        <f t="shared" si="5"/>
        <v/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16"/>
      <c r="B44" s="2"/>
      <c r="C44" s="2"/>
      <c r="D44" s="2"/>
      <c r="E44" s="2"/>
      <c r="F44" s="8"/>
      <c r="G44" s="8"/>
      <c r="H44" s="6" t="str">
        <f t="shared" si="3"/>
        <v/>
      </c>
      <c r="I44" s="5" t="str">
        <f t="shared" si="4"/>
        <v/>
      </c>
      <c r="J44" s="2"/>
      <c r="K44" s="1" t="str">
        <f t="shared" si="5"/>
        <v/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16"/>
      <c r="B45" s="2"/>
      <c r="C45" s="2"/>
      <c r="D45" s="2"/>
      <c r="E45" s="2"/>
      <c r="F45" s="8"/>
      <c r="G45" s="8"/>
      <c r="H45" s="6" t="str">
        <f t="shared" si="3"/>
        <v/>
      </c>
      <c r="I45" s="5" t="str">
        <f t="shared" si="4"/>
        <v/>
      </c>
      <c r="J45" s="2"/>
      <c r="K45" s="1" t="str">
        <f t="shared" si="5"/>
        <v/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16"/>
      <c r="B46" s="2"/>
      <c r="C46" s="2"/>
      <c r="D46" s="2"/>
      <c r="E46" s="2"/>
      <c r="F46" s="8"/>
      <c r="G46" s="8"/>
      <c r="H46" s="6" t="str">
        <f t="shared" si="3"/>
        <v/>
      </c>
      <c r="I46" s="5" t="str">
        <f t="shared" si="4"/>
        <v/>
      </c>
      <c r="J46" s="2"/>
      <c r="K46" s="1" t="str">
        <f t="shared" si="5"/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16"/>
      <c r="B47" s="2"/>
      <c r="C47" s="2"/>
      <c r="D47" s="2"/>
      <c r="E47" s="2"/>
      <c r="F47" s="8"/>
      <c r="G47" s="8"/>
      <c r="H47" s="6" t="str">
        <f t="shared" si="3"/>
        <v/>
      </c>
      <c r="I47" s="5" t="str">
        <f t="shared" si="4"/>
        <v/>
      </c>
      <c r="J47" s="2"/>
      <c r="K47" s="1" t="str">
        <f t="shared" si="5"/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16"/>
      <c r="B48" s="2"/>
      <c r="C48" s="2"/>
      <c r="D48" s="2"/>
      <c r="E48" s="2"/>
      <c r="F48" s="8"/>
      <c r="G48" s="8"/>
      <c r="H48" s="6" t="str">
        <f t="shared" si="3"/>
        <v/>
      </c>
      <c r="I48" s="5" t="str">
        <f t="shared" si="4"/>
        <v/>
      </c>
      <c r="J48" s="2"/>
      <c r="K48" s="1" t="str">
        <f t="shared" si="5"/>
        <v/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16"/>
      <c r="B49" s="2"/>
      <c r="C49" s="2"/>
      <c r="D49" s="2"/>
      <c r="E49" s="2"/>
      <c r="F49" s="8"/>
      <c r="G49" s="8"/>
      <c r="H49" s="6" t="str">
        <f t="shared" si="3"/>
        <v/>
      </c>
      <c r="I49" s="5" t="str">
        <f t="shared" si="4"/>
        <v/>
      </c>
      <c r="J49" s="2"/>
      <c r="K49" s="1" t="str">
        <f t="shared" si="5"/>
        <v/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16"/>
      <c r="B50" s="2"/>
      <c r="C50" s="2"/>
      <c r="D50" s="2"/>
      <c r="E50" s="2"/>
      <c r="F50" s="8"/>
      <c r="G50" s="8"/>
      <c r="H50" s="6" t="str">
        <f t="shared" si="3"/>
        <v/>
      </c>
      <c r="I50" s="5" t="str">
        <f t="shared" si="4"/>
        <v/>
      </c>
      <c r="J50" s="2"/>
      <c r="K50" s="1" t="str">
        <f t="shared" si="5"/>
        <v/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16"/>
      <c r="B51" s="2"/>
      <c r="C51" s="2"/>
      <c r="D51" s="2"/>
      <c r="E51" s="2"/>
      <c r="F51" s="8"/>
      <c r="G51" s="8"/>
      <c r="H51" s="6" t="str">
        <f t="shared" si="3"/>
        <v/>
      </c>
      <c r="I51" s="5" t="str">
        <f t="shared" si="4"/>
        <v/>
      </c>
      <c r="J51" s="2"/>
      <c r="K51" s="1" t="str">
        <f t="shared" si="5"/>
        <v/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16"/>
      <c r="B52" s="2"/>
      <c r="C52" s="2"/>
      <c r="D52" s="2"/>
      <c r="E52" s="2"/>
      <c r="F52" s="8"/>
      <c r="G52" s="8"/>
      <c r="H52" s="6" t="str">
        <f t="shared" si="3"/>
        <v/>
      </c>
      <c r="I52" s="5" t="str">
        <f t="shared" si="4"/>
        <v/>
      </c>
      <c r="J52" s="2"/>
      <c r="K52" s="1" t="str">
        <f t="shared" si="5"/>
        <v/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16"/>
      <c r="B53" s="2"/>
      <c r="C53" s="2"/>
      <c r="D53" s="2"/>
      <c r="E53" s="2"/>
      <c r="F53" s="8"/>
      <c r="G53" s="8"/>
      <c r="H53" s="6" t="str">
        <f t="shared" si="3"/>
        <v/>
      </c>
      <c r="I53" s="5" t="str">
        <f t="shared" si="4"/>
        <v/>
      </c>
      <c r="J53" s="2"/>
      <c r="K53" s="1" t="str">
        <f t="shared" si="5"/>
        <v/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16"/>
      <c r="B54" s="2"/>
      <c r="C54" s="2"/>
      <c r="D54" s="2"/>
      <c r="E54" s="2"/>
      <c r="F54" s="8"/>
      <c r="G54" s="8"/>
      <c r="H54" s="6" t="str">
        <f t="shared" si="3"/>
        <v/>
      </c>
      <c r="I54" s="5" t="str">
        <f t="shared" si="4"/>
        <v/>
      </c>
      <c r="J54" s="2"/>
      <c r="K54" s="1" t="str">
        <f t="shared" si="5"/>
        <v/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16"/>
      <c r="B55" s="2"/>
      <c r="C55" s="2"/>
      <c r="D55" s="2"/>
      <c r="E55" s="2"/>
      <c r="F55" s="8"/>
      <c r="G55" s="8"/>
      <c r="H55" s="6" t="str">
        <f t="shared" si="3"/>
        <v/>
      </c>
      <c r="I55" s="5" t="str">
        <f t="shared" si="4"/>
        <v/>
      </c>
      <c r="J55" s="2"/>
      <c r="K55" s="1" t="str">
        <f t="shared" si="5"/>
        <v/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16"/>
      <c r="B56" s="2"/>
      <c r="C56" s="2"/>
      <c r="D56" s="2"/>
      <c r="E56" s="2"/>
      <c r="F56" s="8"/>
      <c r="G56" s="8"/>
      <c r="H56" s="6" t="str">
        <f t="shared" si="3"/>
        <v/>
      </c>
      <c r="I56" s="5" t="str">
        <f t="shared" si="4"/>
        <v/>
      </c>
      <c r="J56" s="2"/>
      <c r="K56" s="1" t="str">
        <f t="shared" si="5"/>
        <v/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16"/>
      <c r="B57" s="2"/>
      <c r="C57" s="2"/>
      <c r="D57" s="2"/>
      <c r="E57" s="2"/>
      <c r="F57" s="8"/>
      <c r="G57" s="8"/>
      <c r="H57" s="6" t="str">
        <f t="shared" si="3"/>
        <v/>
      </c>
      <c r="I57" s="5" t="str">
        <f t="shared" si="4"/>
        <v/>
      </c>
      <c r="J57" s="2"/>
      <c r="K57" s="1" t="str">
        <f t="shared" si="5"/>
        <v/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16"/>
      <c r="B58" s="2"/>
      <c r="C58" s="2"/>
      <c r="D58" s="2"/>
      <c r="E58" s="2"/>
      <c r="F58" s="8"/>
      <c r="G58" s="8"/>
      <c r="H58" s="6" t="str">
        <f t="shared" si="3"/>
        <v/>
      </c>
      <c r="I58" s="5" t="str">
        <f t="shared" si="4"/>
        <v/>
      </c>
      <c r="J58" s="2"/>
      <c r="K58" s="1" t="str">
        <f t="shared" si="5"/>
        <v/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16"/>
      <c r="B59" s="2"/>
      <c r="C59" s="2"/>
      <c r="D59" s="2"/>
      <c r="E59" s="2"/>
      <c r="F59" s="8"/>
      <c r="G59" s="8"/>
      <c r="H59" s="6" t="str">
        <f t="shared" si="3"/>
        <v/>
      </c>
      <c r="I59" s="5" t="str">
        <f t="shared" si="4"/>
        <v/>
      </c>
      <c r="J59" s="2"/>
      <c r="K59" s="1" t="str">
        <f t="shared" si="5"/>
        <v/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16"/>
      <c r="B60" s="2"/>
      <c r="C60" s="2"/>
      <c r="D60" s="2"/>
      <c r="E60" s="2"/>
      <c r="F60" s="8"/>
      <c r="G60" s="8"/>
      <c r="H60" s="6" t="str">
        <f t="shared" si="3"/>
        <v/>
      </c>
      <c r="I60" s="5" t="str">
        <f t="shared" si="4"/>
        <v/>
      </c>
      <c r="J60" s="2"/>
      <c r="K60" s="1" t="str">
        <f t="shared" si="5"/>
        <v/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16"/>
      <c r="B61" s="2"/>
      <c r="C61" s="2"/>
      <c r="D61" s="2"/>
      <c r="E61" s="2"/>
      <c r="F61" s="8"/>
      <c r="G61" s="8"/>
      <c r="H61" s="6" t="str">
        <f t="shared" si="3"/>
        <v/>
      </c>
      <c r="I61" s="5" t="str">
        <f t="shared" si="4"/>
        <v/>
      </c>
      <c r="J61" s="2"/>
      <c r="K61" s="1" t="str">
        <f t="shared" si="5"/>
        <v/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16"/>
      <c r="B62" s="2"/>
      <c r="C62" s="2"/>
      <c r="D62" s="2"/>
      <c r="E62" s="2"/>
      <c r="F62" s="8"/>
      <c r="G62" s="8"/>
      <c r="H62" s="6" t="str">
        <f t="shared" si="3"/>
        <v/>
      </c>
      <c r="I62" s="5" t="str">
        <f t="shared" si="4"/>
        <v/>
      </c>
      <c r="J62" s="2"/>
      <c r="K62" s="1" t="str">
        <f t="shared" si="5"/>
        <v/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16"/>
      <c r="B63" s="2"/>
      <c r="C63" s="2"/>
      <c r="D63" s="2"/>
      <c r="E63" s="2"/>
      <c r="F63" s="8"/>
      <c r="G63" s="8"/>
      <c r="H63" s="6" t="str">
        <f t="shared" si="3"/>
        <v/>
      </c>
      <c r="I63" s="5" t="str">
        <f t="shared" si="4"/>
        <v/>
      </c>
      <c r="J63" s="2"/>
      <c r="K63" s="1" t="str">
        <f t="shared" si="5"/>
        <v/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16"/>
      <c r="B64" s="2"/>
      <c r="C64" s="2"/>
      <c r="D64" s="2"/>
      <c r="E64" s="2"/>
      <c r="F64" s="8"/>
      <c r="G64" s="8"/>
      <c r="H64" s="6" t="str">
        <f t="shared" si="3"/>
        <v/>
      </c>
      <c r="I64" s="5" t="str">
        <f t="shared" si="4"/>
        <v/>
      </c>
      <c r="J64" s="2"/>
      <c r="K64" s="1" t="str">
        <f t="shared" si="5"/>
        <v/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16"/>
      <c r="B65" s="2"/>
      <c r="C65" s="2"/>
      <c r="D65" s="2"/>
      <c r="E65" s="2"/>
      <c r="F65" s="8"/>
      <c r="G65" s="8"/>
      <c r="H65" s="6" t="str">
        <f t="shared" si="3"/>
        <v/>
      </c>
      <c r="I65" s="5" t="str">
        <f t="shared" si="4"/>
        <v/>
      </c>
      <c r="J65" s="2"/>
      <c r="K65" s="1" t="str">
        <f t="shared" si="5"/>
        <v/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16"/>
      <c r="B66" s="2"/>
      <c r="C66" s="2"/>
      <c r="D66" s="2"/>
      <c r="E66" s="2"/>
      <c r="F66" s="8"/>
      <c r="G66" s="8"/>
      <c r="H66" s="6" t="str">
        <f t="shared" ref="H66:H97" si="6">IF(A66="","",F66*G66)</f>
        <v/>
      </c>
      <c r="I66" s="5" t="str">
        <f t="shared" ref="I66:I101" si="7">IF(A66="","",DATE(YEAR(K66),MONTH(K66),1))</f>
        <v/>
      </c>
      <c r="J66" s="2"/>
      <c r="K66" s="1" t="str">
        <f t="shared" ref="K66:K101" si="8">IF(A66="","",DATE(VALUE(LEFT(A66,4)),VALUE(MID(A66,6,2)),VALUE(RIGHT(A66,2))))</f>
        <v/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16"/>
      <c r="B67" s="2"/>
      <c r="C67" s="2"/>
      <c r="D67" s="2"/>
      <c r="E67" s="2"/>
      <c r="F67" s="8"/>
      <c r="G67" s="8"/>
      <c r="H67" s="6" t="str">
        <f t="shared" si="6"/>
        <v/>
      </c>
      <c r="I67" s="5" t="str">
        <f t="shared" si="7"/>
        <v/>
      </c>
      <c r="J67" s="2"/>
      <c r="K67" s="1" t="str">
        <f t="shared" si="8"/>
        <v/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16"/>
      <c r="B68" s="2"/>
      <c r="C68" s="2"/>
      <c r="D68" s="2"/>
      <c r="E68" s="2"/>
      <c r="F68" s="8"/>
      <c r="G68" s="8"/>
      <c r="H68" s="6" t="str">
        <f t="shared" si="6"/>
        <v/>
      </c>
      <c r="I68" s="5" t="str">
        <f t="shared" si="7"/>
        <v/>
      </c>
      <c r="J68" s="2"/>
      <c r="K68" s="1" t="str">
        <f t="shared" si="8"/>
        <v/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16"/>
      <c r="B69" s="2"/>
      <c r="C69" s="2"/>
      <c r="D69" s="2"/>
      <c r="E69" s="2"/>
      <c r="F69" s="8"/>
      <c r="G69" s="8"/>
      <c r="H69" s="6" t="str">
        <f t="shared" si="6"/>
        <v/>
      </c>
      <c r="I69" s="5" t="str">
        <f t="shared" si="7"/>
        <v/>
      </c>
      <c r="J69" s="2"/>
      <c r="K69" s="1" t="str">
        <f t="shared" si="8"/>
        <v/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16"/>
      <c r="B70" s="2"/>
      <c r="C70" s="2"/>
      <c r="D70" s="2"/>
      <c r="E70" s="2"/>
      <c r="F70" s="8"/>
      <c r="G70" s="8"/>
      <c r="H70" s="6" t="str">
        <f t="shared" si="6"/>
        <v/>
      </c>
      <c r="I70" s="5" t="str">
        <f t="shared" si="7"/>
        <v/>
      </c>
      <c r="J70" s="2"/>
      <c r="K70" s="1" t="str">
        <f t="shared" si="8"/>
        <v/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16"/>
      <c r="B71" s="2"/>
      <c r="C71" s="2"/>
      <c r="D71" s="2"/>
      <c r="E71" s="2"/>
      <c r="F71" s="8"/>
      <c r="G71" s="8"/>
      <c r="H71" s="6" t="str">
        <f t="shared" si="6"/>
        <v/>
      </c>
      <c r="I71" s="5" t="str">
        <f t="shared" si="7"/>
        <v/>
      </c>
      <c r="J71" s="2"/>
      <c r="K71" s="1" t="str">
        <f t="shared" si="8"/>
        <v/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16"/>
      <c r="B72" s="2"/>
      <c r="C72" s="2"/>
      <c r="D72" s="2"/>
      <c r="E72" s="2"/>
      <c r="F72" s="8"/>
      <c r="G72" s="8"/>
      <c r="H72" s="6" t="str">
        <f t="shared" si="6"/>
        <v/>
      </c>
      <c r="I72" s="5" t="str">
        <f t="shared" si="7"/>
        <v/>
      </c>
      <c r="J72" s="2"/>
      <c r="K72" s="1" t="str">
        <f t="shared" si="8"/>
        <v/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16"/>
      <c r="B73" s="2"/>
      <c r="C73" s="2"/>
      <c r="D73" s="2"/>
      <c r="E73" s="2"/>
      <c r="F73" s="8"/>
      <c r="G73" s="8"/>
      <c r="H73" s="6" t="str">
        <f t="shared" si="6"/>
        <v/>
      </c>
      <c r="I73" s="5" t="str">
        <f t="shared" si="7"/>
        <v/>
      </c>
      <c r="J73" s="2"/>
      <c r="K73" s="1" t="str">
        <f t="shared" si="8"/>
        <v/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16"/>
      <c r="B74" s="2"/>
      <c r="C74" s="2"/>
      <c r="D74" s="2"/>
      <c r="E74" s="2"/>
      <c r="F74" s="8"/>
      <c r="G74" s="8"/>
      <c r="H74" s="6" t="str">
        <f t="shared" si="6"/>
        <v/>
      </c>
      <c r="I74" s="5" t="str">
        <f t="shared" si="7"/>
        <v/>
      </c>
      <c r="J74" s="2"/>
      <c r="K74" s="1" t="str">
        <f t="shared" si="8"/>
        <v/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16"/>
      <c r="B75" s="2"/>
      <c r="C75" s="2"/>
      <c r="D75" s="2"/>
      <c r="E75" s="2"/>
      <c r="F75" s="8"/>
      <c r="G75" s="8"/>
      <c r="H75" s="6" t="str">
        <f t="shared" si="6"/>
        <v/>
      </c>
      <c r="I75" s="5" t="str">
        <f t="shared" si="7"/>
        <v/>
      </c>
      <c r="J75" s="2"/>
      <c r="K75" s="1" t="str">
        <f t="shared" si="8"/>
        <v/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16"/>
      <c r="B76" s="2"/>
      <c r="C76" s="2"/>
      <c r="D76" s="2"/>
      <c r="E76" s="2"/>
      <c r="F76" s="8"/>
      <c r="G76" s="8"/>
      <c r="H76" s="6" t="str">
        <f t="shared" si="6"/>
        <v/>
      </c>
      <c r="I76" s="5" t="str">
        <f t="shared" si="7"/>
        <v/>
      </c>
      <c r="J76" s="2"/>
      <c r="K76" s="1" t="str">
        <f t="shared" si="8"/>
        <v/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16"/>
      <c r="B77" s="2"/>
      <c r="C77" s="2"/>
      <c r="D77" s="2"/>
      <c r="E77" s="2"/>
      <c r="F77" s="8"/>
      <c r="G77" s="8"/>
      <c r="H77" s="6" t="str">
        <f t="shared" si="6"/>
        <v/>
      </c>
      <c r="I77" s="5" t="str">
        <f t="shared" si="7"/>
        <v/>
      </c>
      <c r="J77" s="2"/>
      <c r="K77" s="1" t="str">
        <f t="shared" si="8"/>
        <v/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16"/>
      <c r="B78" s="2"/>
      <c r="C78" s="2"/>
      <c r="D78" s="2"/>
      <c r="E78" s="2"/>
      <c r="F78" s="8"/>
      <c r="G78" s="8"/>
      <c r="H78" s="6" t="str">
        <f t="shared" si="6"/>
        <v/>
      </c>
      <c r="I78" s="5" t="str">
        <f t="shared" si="7"/>
        <v/>
      </c>
      <c r="J78" s="2"/>
      <c r="K78" s="1" t="str">
        <f t="shared" si="8"/>
        <v/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16"/>
      <c r="B79" s="2"/>
      <c r="C79" s="2"/>
      <c r="D79" s="2"/>
      <c r="E79" s="2"/>
      <c r="F79" s="8"/>
      <c r="G79" s="8"/>
      <c r="H79" s="6" t="str">
        <f t="shared" si="6"/>
        <v/>
      </c>
      <c r="I79" s="5" t="str">
        <f t="shared" si="7"/>
        <v/>
      </c>
      <c r="J79" s="2"/>
      <c r="K79" s="1" t="str">
        <f t="shared" si="8"/>
        <v/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16"/>
      <c r="B80" s="2"/>
      <c r="C80" s="2"/>
      <c r="D80" s="2"/>
      <c r="E80" s="2"/>
      <c r="F80" s="8"/>
      <c r="G80" s="8"/>
      <c r="H80" s="6" t="str">
        <f t="shared" si="6"/>
        <v/>
      </c>
      <c r="I80" s="5" t="str">
        <f t="shared" si="7"/>
        <v/>
      </c>
      <c r="J80" s="2"/>
      <c r="K80" s="1" t="str">
        <f t="shared" si="8"/>
        <v/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16"/>
      <c r="B81" s="2"/>
      <c r="C81" s="2"/>
      <c r="D81" s="2"/>
      <c r="E81" s="2"/>
      <c r="F81" s="8"/>
      <c r="G81" s="8"/>
      <c r="H81" s="6" t="str">
        <f t="shared" si="6"/>
        <v/>
      </c>
      <c r="I81" s="5" t="str">
        <f t="shared" si="7"/>
        <v/>
      </c>
      <c r="J81" s="2"/>
      <c r="K81" s="1" t="str">
        <f t="shared" si="8"/>
        <v/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16"/>
      <c r="B82" s="2"/>
      <c r="C82" s="2"/>
      <c r="D82" s="2"/>
      <c r="E82" s="2"/>
      <c r="F82" s="8"/>
      <c r="G82" s="8"/>
      <c r="H82" s="6" t="str">
        <f t="shared" si="6"/>
        <v/>
      </c>
      <c r="I82" s="5" t="str">
        <f t="shared" si="7"/>
        <v/>
      </c>
      <c r="J82" s="2"/>
      <c r="K82" s="1" t="str">
        <f t="shared" si="8"/>
        <v/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16"/>
      <c r="B83" s="2"/>
      <c r="C83" s="2"/>
      <c r="D83" s="2"/>
      <c r="E83" s="2"/>
      <c r="F83" s="8"/>
      <c r="G83" s="8"/>
      <c r="H83" s="6" t="str">
        <f t="shared" si="6"/>
        <v/>
      </c>
      <c r="I83" s="5" t="str">
        <f t="shared" si="7"/>
        <v/>
      </c>
      <c r="J83" s="2"/>
      <c r="K83" s="1" t="str">
        <f t="shared" si="8"/>
        <v/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16"/>
      <c r="B84" s="2"/>
      <c r="C84" s="2"/>
      <c r="D84" s="2"/>
      <c r="E84" s="2"/>
      <c r="F84" s="8"/>
      <c r="G84" s="8"/>
      <c r="H84" s="6" t="str">
        <f t="shared" si="6"/>
        <v/>
      </c>
      <c r="I84" s="5" t="str">
        <f t="shared" si="7"/>
        <v/>
      </c>
      <c r="J84" s="2"/>
      <c r="K84" s="1" t="str">
        <f t="shared" si="8"/>
        <v/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16"/>
      <c r="B85" s="2"/>
      <c r="C85" s="2"/>
      <c r="D85" s="2"/>
      <c r="E85" s="2"/>
      <c r="F85" s="8"/>
      <c r="G85" s="8"/>
      <c r="H85" s="6" t="str">
        <f t="shared" si="6"/>
        <v/>
      </c>
      <c r="I85" s="5" t="str">
        <f t="shared" si="7"/>
        <v/>
      </c>
      <c r="J85" s="2"/>
      <c r="K85" s="1" t="str">
        <f t="shared" si="8"/>
        <v/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16"/>
      <c r="B86" s="2"/>
      <c r="C86" s="2"/>
      <c r="D86" s="2"/>
      <c r="E86" s="2"/>
      <c r="F86" s="8"/>
      <c r="G86" s="8"/>
      <c r="H86" s="6" t="str">
        <f t="shared" si="6"/>
        <v/>
      </c>
      <c r="I86" s="5" t="str">
        <f t="shared" si="7"/>
        <v/>
      </c>
      <c r="J86" s="2"/>
      <c r="K86" s="1" t="str">
        <f t="shared" si="8"/>
        <v/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16"/>
      <c r="B87" s="2"/>
      <c r="C87" s="2"/>
      <c r="D87" s="2"/>
      <c r="E87" s="2"/>
      <c r="F87" s="8"/>
      <c r="G87" s="8"/>
      <c r="H87" s="6" t="str">
        <f t="shared" si="6"/>
        <v/>
      </c>
      <c r="I87" s="5" t="str">
        <f t="shared" si="7"/>
        <v/>
      </c>
      <c r="J87" s="2"/>
      <c r="K87" s="1" t="str">
        <f t="shared" si="8"/>
        <v/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16"/>
      <c r="B88" s="2"/>
      <c r="C88" s="2"/>
      <c r="D88" s="2"/>
      <c r="E88" s="2"/>
      <c r="F88" s="8"/>
      <c r="G88" s="8"/>
      <c r="H88" s="6" t="str">
        <f t="shared" si="6"/>
        <v/>
      </c>
      <c r="I88" s="5" t="str">
        <f t="shared" si="7"/>
        <v/>
      </c>
      <c r="J88" s="2"/>
      <c r="K88" s="1" t="str">
        <f t="shared" si="8"/>
        <v/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16"/>
      <c r="B89" s="2"/>
      <c r="C89" s="2"/>
      <c r="D89" s="2"/>
      <c r="E89" s="2"/>
      <c r="F89" s="8"/>
      <c r="G89" s="8"/>
      <c r="H89" s="6" t="str">
        <f t="shared" si="6"/>
        <v/>
      </c>
      <c r="I89" s="5" t="str">
        <f t="shared" si="7"/>
        <v/>
      </c>
      <c r="J89" s="2"/>
      <c r="K89" s="1" t="str">
        <f t="shared" si="8"/>
        <v/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16"/>
      <c r="B90" s="2"/>
      <c r="C90" s="2"/>
      <c r="D90" s="2"/>
      <c r="E90" s="2"/>
      <c r="F90" s="8"/>
      <c r="G90" s="8"/>
      <c r="H90" s="6" t="str">
        <f t="shared" si="6"/>
        <v/>
      </c>
      <c r="I90" s="5" t="str">
        <f t="shared" si="7"/>
        <v/>
      </c>
      <c r="J90" s="2"/>
      <c r="K90" s="1" t="str">
        <f t="shared" si="8"/>
        <v/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16"/>
      <c r="B91" s="2"/>
      <c r="C91" s="2"/>
      <c r="D91" s="2"/>
      <c r="E91" s="2"/>
      <c r="F91" s="8"/>
      <c r="G91" s="8"/>
      <c r="H91" s="6" t="str">
        <f t="shared" si="6"/>
        <v/>
      </c>
      <c r="I91" s="5" t="str">
        <f t="shared" si="7"/>
        <v/>
      </c>
      <c r="J91" s="2"/>
      <c r="K91" s="1" t="str">
        <f t="shared" si="8"/>
        <v/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16"/>
      <c r="B92" s="2"/>
      <c r="C92" s="2"/>
      <c r="D92" s="2"/>
      <c r="E92" s="2"/>
      <c r="F92" s="8"/>
      <c r="G92" s="8"/>
      <c r="H92" s="6" t="str">
        <f t="shared" si="6"/>
        <v/>
      </c>
      <c r="I92" s="5" t="str">
        <f t="shared" si="7"/>
        <v/>
      </c>
      <c r="J92" s="2"/>
      <c r="K92" s="1" t="str">
        <f t="shared" si="8"/>
        <v/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16"/>
      <c r="B93" s="2"/>
      <c r="C93" s="2"/>
      <c r="D93" s="2"/>
      <c r="E93" s="2"/>
      <c r="F93" s="8"/>
      <c r="G93" s="8"/>
      <c r="H93" s="6" t="str">
        <f t="shared" si="6"/>
        <v/>
      </c>
      <c r="I93" s="5" t="str">
        <f t="shared" si="7"/>
        <v/>
      </c>
      <c r="J93" s="2"/>
      <c r="K93" s="1" t="str">
        <f t="shared" si="8"/>
        <v/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16"/>
      <c r="B94" s="2"/>
      <c r="C94" s="2"/>
      <c r="D94" s="2"/>
      <c r="E94" s="2"/>
      <c r="F94" s="8"/>
      <c r="G94" s="8"/>
      <c r="H94" s="6" t="str">
        <f t="shared" si="6"/>
        <v/>
      </c>
      <c r="I94" s="5" t="str">
        <f t="shared" si="7"/>
        <v/>
      </c>
      <c r="J94" s="2"/>
      <c r="K94" s="1" t="str">
        <f t="shared" si="8"/>
        <v/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16"/>
      <c r="B95" s="2"/>
      <c r="C95" s="2"/>
      <c r="D95" s="2"/>
      <c r="E95" s="2"/>
      <c r="F95" s="8"/>
      <c r="G95" s="8"/>
      <c r="H95" s="6" t="str">
        <f t="shared" si="6"/>
        <v/>
      </c>
      <c r="I95" s="5" t="str">
        <f t="shared" si="7"/>
        <v/>
      </c>
      <c r="J95" s="2"/>
      <c r="K95" s="1" t="str">
        <f t="shared" si="8"/>
        <v/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16"/>
      <c r="B96" s="2"/>
      <c r="C96" s="2"/>
      <c r="D96" s="2"/>
      <c r="E96" s="2"/>
      <c r="F96" s="8"/>
      <c r="G96" s="8"/>
      <c r="H96" s="6" t="str">
        <f t="shared" si="6"/>
        <v/>
      </c>
      <c r="I96" s="5" t="str">
        <f t="shared" si="7"/>
        <v/>
      </c>
      <c r="J96" s="2"/>
      <c r="K96" s="1" t="str">
        <f t="shared" si="8"/>
        <v/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16"/>
      <c r="B97" s="2"/>
      <c r="C97" s="2"/>
      <c r="D97" s="2"/>
      <c r="E97" s="2"/>
      <c r="F97" s="8"/>
      <c r="G97" s="8"/>
      <c r="H97" s="6" t="str">
        <f t="shared" si="6"/>
        <v/>
      </c>
      <c r="I97" s="5" t="str">
        <f t="shared" si="7"/>
        <v/>
      </c>
      <c r="J97" s="2"/>
      <c r="K97" s="1" t="str">
        <f t="shared" si="8"/>
        <v/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16"/>
      <c r="B98" s="2"/>
      <c r="C98" s="2"/>
      <c r="D98" s="2"/>
      <c r="E98" s="2"/>
      <c r="F98" s="8"/>
      <c r="G98" s="8"/>
      <c r="H98" s="6" t="str">
        <f t="shared" ref="H98:H129" si="9">IF(A98="","",F98*G98)</f>
        <v/>
      </c>
      <c r="I98" s="5" t="str">
        <f t="shared" si="7"/>
        <v/>
      </c>
      <c r="J98" s="2"/>
      <c r="K98" s="1" t="str">
        <f t="shared" si="8"/>
        <v/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16"/>
      <c r="B99" s="2"/>
      <c r="C99" s="2"/>
      <c r="D99" s="2"/>
      <c r="E99" s="2"/>
      <c r="F99" s="8"/>
      <c r="G99" s="8"/>
      <c r="H99" s="6" t="str">
        <f t="shared" si="9"/>
        <v/>
      </c>
      <c r="I99" s="5" t="str">
        <f t="shared" si="7"/>
        <v/>
      </c>
      <c r="J99" s="2"/>
      <c r="K99" s="1" t="str">
        <f t="shared" si="8"/>
        <v/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16"/>
      <c r="B100" s="2"/>
      <c r="C100" s="2"/>
      <c r="D100" s="2"/>
      <c r="E100" s="2"/>
      <c r="F100" s="8"/>
      <c r="G100" s="8"/>
      <c r="H100" s="6" t="str">
        <f t="shared" si="9"/>
        <v/>
      </c>
      <c r="I100" s="5" t="str">
        <f t="shared" si="7"/>
        <v/>
      </c>
      <c r="J100" s="2"/>
      <c r="K100" s="1" t="str">
        <f t="shared" si="8"/>
        <v/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16"/>
      <c r="B101" s="2"/>
      <c r="C101" s="2"/>
      <c r="D101" s="2"/>
      <c r="E101" s="2"/>
      <c r="F101" s="8"/>
      <c r="G101" s="8"/>
      <c r="H101" s="6" t="str">
        <f t="shared" si="9"/>
        <v/>
      </c>
      <c r="I101" s="5" t="str">
        <f t="shared" si="7"/>
        <v/>
      </c>
      <c r="J101" s="2"/>
      <c r="K101" s="1" t="str">
        <f t="shared" si="8"/>
        <v/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200-000000000000}">
          <x14:formula1>
            <xm:f>Listen!$D$2:$D$7</xm:f>
          </x14:formula1>
          <xm:sqref>B2:B101</xm:sqref>
        </x14:dataValidation>
        <x14:dataValidation type="list" xr:uid="{00000000-0002-0000-0200-000001000000}">
          <x14:formula1>
            <xm:f>Arbeitspakete!$A$2:$A$51</xm:f>
          </x14:formula1>
          <xm:sqref>C2:C101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20"/>
  <sheetViews>
    <sheetView workbookViewId="0"/>
  </sheetViews>
  <sheetFormatPr baseColWidth="10" defaultColWidth="9" defaultRowHeight="15" x14ac:dyDescent="0.25"/>
  <cols>
    <col min="1" max="1" width="10" customWidth="1"/>
    <col min="2" max="2" width="14" customWidth="1"/>
    <col min="3" max="3" width="38" customWidth="1"/>
    <col min="4" max="5" width="16" customWidth="1"/>
    <col min="6" max="6" width="12" customWidth="1"/>
    <col min="7" max="8" width="18" customWidth="1"/>
    <col min="9" max="9" width="44" customWidth="1"/>
    <col min="10" max="10" width="12" customWidth="1"/>
    <col min="11" max="11" width="10" customWidth="1"/>
    <col min="12" max="12" width="28" customWidth="1"/>
  </cols>
  <sheetData>
    <row r="1" spans="1:26" ht="15" customHeight="1" x14ac:dyDescent="0.25">
      <c r="A1" s="14" t="s">
        <v>42</v>
      </c>
      <c r="B1" s="14" t="s">
        <v>43</v>
      </c>
      <c r="C1" s="14" t="s">
        <v>35</v>
      </c>
      <c r="D1" s="14" t="s">
        <v>198</v>
      </c>
      <c r="E1" s="14" t="s">
        <v>199</v>
      </c>
      <c r="F1" s="14" t="s">
        <v>44</v>
      </c>
      <c r="G1" s="14" t="s">
        <v>22</v>
      </c>
      <c r="H1" s="14" t="s">
        <v>59</v>
      </c>
      <c r="I1" s="14" t="s">
        <v>46</v>
      </c>
      <c r="J1" s="14" t="s">
        <v>45</v>
      </c>
      <c r="K1" s="14" t="s">
        <v>200</v>
      </c>
      <c r="L1" s="14" t="s">
        <v>201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45" customHeight="1" x14ac:dyDescent="0.25">
      <c r="A2" s="2" t="s">
        <v>202</v>
      </c>
      <c r="B2" s="2" t="s">
        <v>203</v>
      </c>
      <c r="C2" s="2" t="s">
        <v>204</v>
      </c>
      <c r="D2" s="2">
        <v>3</v>
      </c>
      <c r="E2" s="2">
        <v>4</v>
      </c>
      <c r="F2" s="2">
        <f t="shared" ref="F2:F33" si="0">IF(A2="","",D2*E2)</f>
        <v>12</v>
      </c>
      <c r="G2" s="2" t="s">
        <v>205</v>
      </c>
      <c r="H2" s="2" t="s">
        <v>9</v>
      </c>
      <c r="I2" s="2" t="s">
        <v>206</v>
      </c>
      <c r="J2" s="16" t="s">
        <v>47</v>
      </c>
      <c r="K2" s="2">
        <v>8</v>
      </c>
      <c r="L2" s="2" t="s">
        <v>207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25">
      <c r="A3" s="2" t="s">
        <v>208</v>
      </c>
      <c r="B3" s="2" t="s">
        <v>209</v>
      </c>
      <c r="C3" s="2" t="s">
        <v>210</v>
      </c>
      <c r="D3" s="2">
        <v>4</v>
      </c>
      <c r="E3" s="2">
        <v>4</v>
      </c>
      <c r="F3" s="2">
        <f t="shared" si="0"/>
        <v>16</v>
      </c>
      <c r="G3" s="2" t="s">
        <v>193</v>
      </c>
      <c r="H3" s="2" t="s">
        <v>99</v>
      </c>
      <c r="I3" s="2" t="s">
        <v>211</v>
      </c>
      <c r="J3" s="16" t="s">
        <v>48</v>
      </c>
      <c r="K3" s="2">
        <v>12</v>
      </c>
      <c r="L3" s="2" t="s">
        <v>212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2" t="s">
        <v>213</v>
      </c>
      <c r="B4" s="2" t="s">
        <v>158</v>
      </c>
      <c r="C4" s="2" t="s">
        <v>214</v>
      </c>
      <c r="D4" s="2">
        <v>3</v>
      </c>
      <c r="E4" s="2">
        <v>5</v>
      </c>
      <c r="F4" s="2">
        <f t="shared" si="0"/>
        <v>15</v>
      </c>
      <c r="G4" s="2" t="s">
        <v>215</v>
      </c>
      <c r="H4" s="2" t="s">
        <v>116</v>
      </c>
      <c r="I4" s="2" t="s">
        <v>216</v>
      </c>
      <c r="J4" s="16" t="s">
        <v>49</v>
      </c>
      <c r="K4" s="2">
        <v>10</v>
      </c>
      <c r="L4" s="2" t="s">
        <v>217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2" t="s">
        <v>218</v>
      </c>
      <c r="B5" s="2" t="s">
        <v>219</v>
      </c>
      <c r="C5" s="2" t="s">
        <v>220</v>
      </c>
      <c r="D5" s="2">
        <v>2</v>
      </c>
      <c r="E5" s="2">
        <v>4</v>
      </c>
      <c r="F5" s="2">
        <f t="shared" si="0"/>
        <v>8</v>
      </c>
      <c r="G5" s="2" t="s">
        <v>205</v>
      </c>
      <c r="H5" s="2" t="s">
        <v>123</v>
      </c>
      <c r="I5" s="2" t="s">
        <v>221</v>
      </c>
      <c r="J5" s="16" t="s">
        <v>50</v>
      </c>
      <c r="K5" s="2">
        <v>6</v>
      </c>
      <c r="L5" s="2" t="s">
        <v>222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6.45" customHeight="1" x14ac:dyDescent="0.25">
      <c r="A6" s="2" t="s">
        <v>223</v>
      </c>
      <c r="B6" s="2" t="s">
        <v>33</v>
      </c>
      <c r="C6" s="2" t="s">
        <v>224</v>
      </c>
      <c r="D6" s="2">
        <v>3</v>
      </c>
      <c r="E6" s="2">
        <v>3</v>
      </c>
      <c r="F6" s="2">
        <f t="shared" si="0"/>
        <v>9</v>
      </c>
      <c r="G6" s="2" t="s">
        <v>215</v>
      </c>
      <c r="H6" s="2" t="s">
        <v>87</v>
      </c>
      <c r="I6" s="2" t="s">
        <v>225</v>
      </c>
      <c r="J6" s="16" t="s">
        <v>51</v>
      </c>
      <c r="K6" s="2">
        <v>7</v>
      </c>
      <c r="L6" s="2" t="s">
        <v>226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45" customHeight="1" x14ac:dyDescent="0.25">
      <c r="A7" s="2" t="s">
        <v>227</v>
      </c>
      <c r="B7" s="2" t="s">
        <v>228</v>
      </c>
      <c r="C7" s="2" t="s">
        <v>229</v>
      </c>
      <c r="D7" s="2">
        <v>2</v>
      </c>
      <c r="E7" s="2">
        <v>3</v>
      </c>
      <c r="F7" s="2">
        <f t="shared" si="0"/>
        <v>6</v>
      </c>
      <c r="G7" s="2" t="s">
        <v>193</v>
      </c>
      <c r="H7" s="2" t="s">
        <v>80</v>
      </c>
      <c r="I7" s="2" t="s">
        <v>230</v>
      </c>
      <c r="J7" s="16" t="s">
        <v>52</v>
      </c>
      <c r="K7" s="2">
        <v>5</v>
      </c>
      <c r="L7" s="2" t="s">
        <v>231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2"/>
      <c r="B8" s="2"/>
      <c r="C8" s="2"/>
      <c r="D8" s="2"/>
      <c r="E8" s="2"/>
      <c r="F8" s="2" t="str">
        <f t="shared" si="0"/>
        <v/>
      </c>
      <c r="G8" s="2"/>
      <c r="H8" s="2"/>
      <c r="I8" s="2"/>
      <c r="J8" s="16"/>
      <c r="K8" s="2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2"/>
      <c r="B9" s="2"/>
      <c r="C9" s="2"/>
      <c r="D9" s="2"/>
      <c r="E9" s="2"/>
      <c r="F9" s="2" t="str">
        <f t="shared" si="0"/>
        <v/>
      </c>
      <c r="G9" s="2"/>
      <c r="H9" s="2"/>
      <c r="I9" s="2"/>
      <c r="J9" s="16"/>
      <c r="K9" s="2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2"/>
      <c r="B10" s="2"/>
      <c r="C10" s="2"/>
      <c r="D10" s="2"/>
      <c r="E10" s="2"/>
      <c r="F10" s="2" t="str">
        <f t="shared" si="0"/>
        <v/>
      </c>
      <c r="G10" s="2"/>
      <c r="H10" s="2"/>
      <c r="I10" s="2"/>
      <c r="J10" s="16"/>
      <c r="K10" s="2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2"/>
      <c r="B11" s="2"/>
      <c r="C11" s="2"/>
      <c r="D11" s="2"/>
      <c r="E11" s="2"/>
      <c r="F11" s="2" t="str">
        <f t="shared" si="0"/>
        <v/>
      </c>
      <c r="G11" s="2"/>
      <c r="H11" s="2"/>
      <c r="I11" s="2"/>
      <c r="J11" s="16"/>
      <c r="K11" s="2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2"/>
      <c r="B12" s="2"/>
      <c r="C12" s="2"/>
      <c r="D12" s="2"/>
      <c r="E12" s="2"/>
      <c r="F12" s="2" t="str">
        <f t="shared" si="0"/>
        <v/>
      </c>
      <c r="G12" s="2"/>
      <c r="H12" s="2"/>
      <c r="I12" s="2"/>
      <c r="J12" s="16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2"/>
      <c r="B13" s="2"/>
      <c r="C13" s="2"/>
      <c r="D13" s="2"/>
      <c r="E13" s="2"/>
      <c r="F13" s="2" t="str">
        <f t="shared" si="0"/>
        <v/>
      </c>
      <c r="G13" s="2"/>
      <c r="H13" s="2"/>
      <c r="I13" s="2"/>
      <c r="J13" s="16"/>
      <c r="K13" s="2"/>
      <c r="L13" s="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2"/>
      <c r="B14" s="2"/>
      <c r="C14" s="2"/>
      <c r="D14" s="2"/>
      <c r="E14" s="2"/>
      <c r="F14" s="2" t="str">
        <f t="shared" si="0"/>
        <v/>
      </c>
      <c r="G14" s="2"/>
      <c r="H14" s="2"/>
      <c r="I14" s="2"/>
      <c r="J14" s="16"/>
      <c r="K14" s="2"/>
      <c r="L14" s="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2"/>
      <c r="B15" s="2"/>
      <c r="C15" s="2"/>
      <c r="D15" s="2"/>
      <c r="E15" s="2"/>
      <c r="F15" s="2" t="str">
        <f t="shared" si="0"/>
        <v/>
      </c>
      <c r="G15" s="2"/>
      <c r="H15" s="2"/>
      <c r="I15" s="2"/>
      <c r="J15" s="16"/>
      <c r="K15" s="2"/>
      <c r="L15" s="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2"/>
      <c r="B16" s="2"/>
      <c r="C16" s="2"/>
      <c r="D16" s="2"/>
      <c r="E16" s="2"/>
      <c r="F16" s="2" t="str">
        <f t="shared" si="0"/>
        <v/>
      </c>
      <c r="G16" s="2"/>
      <c r="H16" s="2"/>
      <c r="I16" s="2"/>
      <c r="J16" s="16"/>
      <c r="K16" s="2"/>
      <c r="L16" s="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2"/>
      <c r="B17" s="2"/>
      <c r="C17" s="2"/>
      <c r="D17" s="2"/>
      <c r="E17" s="2"/>
      <c r="F17" s="2" t="str">
        <f t="shared" si="0"/>
        <v/>
      </c>
      <c r="G17" s="2"/>
      <c r="H17" s="2"/>
      <c r="I17" s="2"/>
      <c r="J17" s="16"/>
      <c r="K17" s="2"/>
      <c r="L17" s="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2"/>
      <c r="B18" s="2"/>
      <c r="C18" s="2"/>
      <c r="D18" s="2"/>
      <c r="E18" s="2"/>
      <c r="F18" s="2" t="str">
        <f t="shared" si="0"/>
        <v/>
      </c>
      <c r="G18" s="2"/>
      <c r="H18" s="2"/>
      <c r="I18" s="2"/>
      <c r="J18" s="16"/>
      <c r="K18" s="2"/>
      <c r="L18" s="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2"/>
      <c r="B19" s="2"/>
      <c r="C19" s="2"/>
      <c r="D19" s="2"/>
      <c r="E19" s="2"/>
      <c r="F19" s="2" t="str">
        <f t="shared" si="0"/>
        <v/>
      </c>
      <c r="G19" s="2"/>
      <c r="H19" s="2"/>
      <c r="I19" s="2"/>
      <c r="J19" s="16"/>
      <c r="K19" s="2"/>
      <c r="L19" s="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2"/>
      <c r="B20" s="2"/>
      <c r="C20" s="2"/>
      <c r="D20" s="2"/>
      <c r="E20" s="2"/>
      <c r="F20" s="2" t="str">
        <f t="shared" si="0"/>
        <v/>
      </c>
      <c r="G20" s="2"/>
      <c r="H20" s="2"/>
      <c r="I20" s="2"/>
      <c r="J20" s="16"/>
      <c r="K20" s="2"/>
      <c r="L20" s="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2"/>
      <c r="B21" s="2"/>
      <c r="C21" s="2"/>
      <c r="D21" s="2"/>
      <c r="E21" s="2"/>
      <c r="F21" s="2" t="str">
        <f t="shared" si="0"/>
        <v/>
      </c>
      <c r="G21" s="2"/>
      <c r="H21" s="2"/>
      <c r="I21" s="2"/>
      <c r="J21" s="16"/>
      <c r="K21" s="2"/>
      <c r="L21" s="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2"/>
      <c r="B22" s="2"/>
      <c r="C22" s="2"/>
      <c r="D22" s="2"/>
      <c r="E22" s="2"/>
      <c r="F22" s="2" t="str">
        <f t="shared" si="0"/>
        <v/>
      </c>
      <c r="G22" s="2"/>
      <c r="H22" s="2"/>
      <c r="I22" s="2"/>
      <c r="J22" s="16"/>
      <c r="K22" s="2"/>
      <c r="L22" s="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2"/>
      <c r="B23" s="2"/>
      <c r="C23" s="2"/>
      <c r="D23" s="2"/>
      <c r="E23" s="2"/>
      <c r="F23" s="2" t="str">
        <f t="shared" si="0"/>
        <v/>
      </c>
      <c r="G23" s="2"/>
      <c r="H23" s="2"/>
      <c r="I23" s="2"/>
      <c r="J23" s="16"/>
      <c r="K23" s="2"/>
      <c r="L23" s="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2"/>
      <c r="B24" s="2"/>
      <c r="C24" s="2"/>
      <c r="D24" s="2"/>
      <c r="E24" s="2"/>
      <c r="F24" s="2" t="str">
        <f t="shared" si="0"/>
        <v/>
      </c>
      <c r="G24" s="2"/>
      <c r="H24" s="2"/>
      <c r="I24" s="2"/>
      <c r="J24" s="16"/>
      <c r="K24" s="2"/>
      <c r="L24" s="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2"/>
      <c r="B25" s="2"/>
      <c r="C25" s="2"/>
      <c r="D25" s="2"/>
      <c r="E25" s="2"/>
      <c r="F25" s="2" t="str">
        <f t="shared" si="0"/>
        <v/>
      </c>
      <c r="G25" s="2"/>
      <c r="H25" s="2"/>
      <c r="I25" s="2"/>
      <c r="J25" s="16"/>
      <c r="K25" s="2"/>
      <c r="L25" s="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2"/>
      <c r="B26" s="2"/>
      <c r="C26" s="2"/>
      <c r="D26" s="2"/>
      <c r="E26" s="2"/>
      <c r="F26" s="2" t="str">
        <f t="shared" si="0"/>
        <v/>
      </c>
      <c r="G26" s="2"/>
      <c r="H26" s="2"/>
      <c r="I26" s="2"/>
      <c r="J26" s="16"/>
      <c r="K26" s="2"/>
      <c r="L26" s="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2"/>
      <c r="B27" s="2"/>
      <c r="C27" s="2"/>
      <c r="D27" s="2"/>
      <c r="E27" s="2"/>
      <c r="F27" s="2" t="str">
        <f t="shared" si="0"/>
        <v/>
      </c>
      <c r="G27" s="2"/>
      <c r="H27" s="2"/>
      <c r="I27" s="2"/>
      <c r="J27" s="16"/>
      <c r="K27" s="2"/>
      <c r="L27" s="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2"/>
      <c r="B28" s="2"/>
      <c r="C28" s="2"/>
      <c r="D28" s="2"/>
      <c r="E28" s="2"/>
      <c r="F28" s="2" t="str">
        <f t="shared" si="0"/>
        <v/>
      </c>
      <c r="G28" s="2"/>
      <c r="H28" s="2"/>
      <c r="I28" s="2"/>
      <c r="J28" s="16"/>
      <c r="K28" s="2"/>
      <c r="L28" s="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2"/>
      <c r="B29" s="2"/>
      <c r="C29" s="2"/>
      <c r="D29" s="2"/>
      <c r="E29" s="2"/>
      <c r="F29" s="2" t="str">
        <f t="shared" si="0"/>
        <v/>
      </c>
      <c r="G29" s="2"/>
      <c r="H29" s="2"/>
      <c r="I29" s="2"/>
      <c r="J29" s="16"/>
      <c r="K29" s="2"/>
      <c r="L29" s="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2"/>
      <c r="B30" s="2"/>
      <c r="C30" s="2"/>
      <c r="D30" s="2"/>
      <c r="E30" s="2"/>
      <c r="F30" s="2" t="str">
        <f t="shared" si="0"/>
        <v/>
      </c>
      <c r="G30" s="2"/>
      <c r="H30" s="2"/>
      <c r="I30" s="2"/>
      <c r="J30" s="16"/>
      <c r="K30" s="2"/>
      <c r="L30" s="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2"/>
      <c r="B31" s="2"/>
      <c r="C31" s="2"/>
      <c r="D31" s="2"/>
      <c r="E31" s="2"/>
      <c r="F31" s="2" t="str">
        <f t="shared" si="0"/>
        <v/>
      </c>
      <c r="G31" s="2"/>
      <c r="H31" s="2"/>
      <c r="I31" s="2"/>
      <c r="J31" s="16"/>
      <c r="K31" s="2"/>
      <c r="L31" s="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2"/>
      <c r="B32" s="2"/>
      <c r="C32" s="2"/>
      <c r="D32" s="2"/>
      <c r="E32" s="2"/>
      <c r="F32" s="2" t="str">
        <f t="shared" si="0"/>
        <v/>
      </c>
      <c r="G32" s="2"/>
      <c r="H32" s="2"/>
      <c r="I32" s="2"/>
      <c r="J32" s="16"/>
      <c r="K32" s="2"/>
      <c r="L32" s="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2"/>
      <c r="B33" s="2"/>
      <c r="C33" s="2"/>
      <c r="D33" s="2"/>
      <c r="E33" s="2"/>
      <c r="F33" s="2" t="str">
        <f t="shared" si="0"/>
        <v/>
      </c>
      <c r="G33" s="2"/>
      <c r="H33" s="2"/>
      <c r="I33" s="2"/>
      <c r="J33" s="16"/>
      <c r="K33" s="2"/>
      <c r="L33" s="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2"/>
      <c r="B34" s="2"/>
      <c r="C34" s="2"/>
      <c r="D34" s="2"/>
      <c r="E34" s="2"/>
      <c r="F34" s="2" t="str">
        <f t="shared" ref="F34:F65" si="1">IF(A34="","",D34*E34)</f>
        <v/>
      </c>
      <c r="G34" s="2"/>
      <c r="H34" s="2"/>
      <c r="I34" s="2"/>
      <c r="J34" s="16"/>
      <c r="K34" s="2"/>
      <c r="L34" s="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2"/>
      <c r="B35" s="2"/>
      <c r="C35" s="2"/>
      <c r="D35" s="2"/>
      <c r="E35" s="2"/>
      <c r="F35" s="2" t="str">
        <f t="shared" si="1"/>
        <v/>
      </c>
      <c r="G35" s="2"/>
      <c r="H35" s="2"/>
      <c r="I35" s="2"/>
      <c r="J35" s="16"/>
      <c r="K35" s="2"/>
      <c r="L35" s="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2"/>
      <c r="B36" s="2"/>
      <c r="C36" s="2"/>
      <c r="D36" s="2"/>
      <c r="E36" s="2"/>
      <c r="F36" s="2" t="str">
        <f t="shared" si="1"/>
        <v/>
      </c>
      <c r="G36" s="2"/>
      <c r="H36" s="2"/>
      <c r="I36" s="2"/>
      <c r="J36" s="16"/>
      <c r="K36" s="2"/>
      <c r="L36" s="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2"/>
      <c r="B37" s="2"/>
      <c r="C37" s="2"/>
      <c r="D37" s="2"/>
      <c r="E37" s="2"/>
      <c r="F37" s="2" t="str">
        <f t="shared" si="1"/>
        <v/>
      </c>
      <c r="G37" s="2"/>
      <c r="H37" s="2"/>
      <c r="I37" s="2"/>
      <c r="J37" s="16"/>
      <c r="K37" s="2"/>
      <c r="L37" s="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2"/>
      <c r="B38" s="2"/>
      <c r="C38" s="2"/>
      <c r="D38" s="2"/>
      <c r="E38" s="2"/>
      <c r="F38" s="2" t="str">
        <f t="shared" si="1"/>
        <v/>
      </c>
      <c r="G38" s="2"/>
      <c r="H38" s="2"/>
      <c r="I38" s="2"/>
      <c r="J38" s="16"/>
      <c r="K38" s="2"/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2"/>
      <c r="B39" s="2"/>
      <c r="C39" s="2"/>
      <c r="D39" s="2"/>
      <c r="E39" s="2"/>
      <c r="F39" s="2" t="str">
        <f t="shared" si="1"/>
        <v/>
      </c>
      <c r="G39" s="2"/>
      <c r="H39" s="2"/>
      <c r="I39" s="2"/>
      <c r="J39" s="16"/>
      <c r="K39" s="2"/>
      <c r="L39" s="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2"/>
      <c r="B40" s="2"/>
      <c r="C40" s="2"/>
      <c r="D40" s="2"/>
      <c r="E40" s="2"/>
      <c r="F40" s="2" t="str">
        <f t="shared" si="1"/>
        <v/>
      </c>
      <c r="G40" s="2"/>
      <c r="H40" s="2"/>
      <c r="I40" s="2"/>
      <c r="J40" s="16"/>
      <c r="K40" s="2"/>
      <c r="L40" s="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2"/>
      <c r="B41" s="2"/>
      <c r="C41" s="2"/>
      <c r="D41" s="2"/>
      <c r="E41" s="2"/>
      <c r="F41" s="2" t="str">
        <f t="shared" si="1"/>
        <v/>
      </c>
      <c r="G41" s="2"/>
      <c r="H41" s="2"/>
      <c r="I41" s="2"/>
      <c r="J41" s="16"/>
      <c r="K41" s="2"/>
      <c r="L41" s="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2"/>
      <c r="B42" s="2"/>
      <c r="C42" s="2"/>
      <c r="D42" s="2"/>
      <c r="E42" s="2"/>
      <c r="F42" s="2" t="str">
        <f t="shared" si="1"/>
        <v/>
      </c>
      <c r="G42" s="2"/>
      <c r="H42" s="2"/>
      <c r="I42" s="2"/>
      <c r="J42" s="16"/>
      <c r="K42" s="2"/>
      <c r="L42" s="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2"/>
      <c r="B43" s="2"/>
      <c r="C43" s="2"/>
      <c r="D43" s="2"/>
      <c r="E43" s="2"/>
      <c r="F43" s="2" t="str">
        <f t="shared" si="1"/>
        <v/>
      </c>
      <c r="G43" s="2"/>
      <c r="H43" s="2"/>
      <c r="I43" s="2"/>
      <c r="J43" s="16"/>
      <c r="K43" s="2"/>
      <c r="L43" s="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2"/>
      <c r="B44" s="2"/>
      <c r="C44" s="2"/>
      <c r="D44" s="2"/>
      <c r="E44" s="2"/>
      <c r="F44" s="2" t="str">
        <f t="shared" si="1"/>
        <v/>
      </c>
      <c r="G44" s="2"/>
      <c r="H44" s="2"/>
      <c r="I44" s="2"/>
      <c r="J44" s="16"/>
      <c r="K44" s="2"/>
      <c r="L44" s="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2"/>
      <c r="B45" s="2"/>
      <c r="C45" s="2"/>
      <c r="D45" s="2"/>
      <c r="E45" s="2"/>
      <c r="F45" s="2" t="str">
        <f t="shared" si="1"/>
        <v/>
      </c>
      <c r="G45" s="2"/>
      <c r="H45" s="2"/>
      <c r="I45" s="2"/>
      <c r="J45" s="16"/>
      <c r="K45" s="2"/>
      <c r="L45" s="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2"/>
      <c r="B46" s="2"/>
      <c r="C46" s="2"/>
      <c r="D46" s="2"/>
      <c r="E46" s="2"/>
      <c r="F46" s="2" t="str">
        <f t="shared" si="1"/>
        <v/>
      </c>
      <c r="G46" s="2"/>
      <c r="H46" s="2"/>
      <c r="I46" s="2"/>
      <c r="J46" s="16"/>
      <c r="K46" s="2"/>
      <c r="L46" s="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2"/>
      <c r="B47" s="2"/>
      <c r="C47" s="2"/>
      <c r="D47" s="2"/>
      <c r="E47" s="2"/>
      <c r="F47" s="2" t="str">
        <f t="shared" si="1"/>
        <v/>
      </c>
      <c r="G47" s="2"/>
      <c r="H47" s="2"/>
      <c r="I47" s="2"/>
      <c r="J47" s="16"/>
      <c r="K47" s="2"/>
      <c r="L47" s="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2"/>
      <c r="B48" s="2"/>
      <c r="C48" s="2"/>
      <c r="D48" s="2"/>
      <c r="E48" s="2"/>
      <c r="F48" s="2" t="str">
        <f t="shared" si="1"/>
        <v/>
      </c>
      <c r="G48" s="2"/>
      <c r="H48" s="2"/>
      <c r="I48" s="2"/>
      <c r="J48" s="16"/>
      <c r="K48" s="2"/>
      <c r="L48" s="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2"/>
      <c r="B49" s="2"/>
      <c r="C49" s="2"/>
      <c r="D49" s="2"/>
      <c r="E49" s="2"/>
      <c r="F49" s="2" t="str">
        <f t="shared" si="1"/>
        <v/>
      </c>
      <c r="G49" s="2"/>
      <c r="H49" s="2"/>
      <c r="I49" s="2"/>
      <c r="J49" s="16"/>
      <c r="K49" s="2"/>
      <c r="L49" s="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2"/>
      <c r="B50" s="2"/>
      <c r="C50" s="2"/>
      <c r="D50" s="2"/>
      <c r="E50" s="2"/>
      <c r="F50" s="2" t="str">
        <f t="shared" si="1"/>
        <v/>
      </c>
      <c r="G50" s="2"/>
      <c r="H50" s="2"/>
      <c r="I50" s="2"/>
      <c r="J50" s="16"/>
      <c r="K50" s="2"/>
      <c r="L50" s="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2"/>
      <c r="B51" s="2"/>
      <c r="C51" s="2"/>
      <c r="D51" s="2"/>
      <c r="E51" s="2"/>
      <c r="F51" s="2" t="str">
        <f t="shared" si="1"/>
        <v/>
      </c>
      <c r="G51" s="2"/>
      <c r="H51" s="2"/>
      <c r="I51" s="2"/>
      <c r="J51" s="16"/>
      <c r="K51" s="2"/>
      <c r="L51" s="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</sheetData>
  <conditionalFormatting sqref="F2:F51">
    <cfRule type="colorScale" priority="1">
      <colorScale>
        <cfvo type="min"/>
        <cfvo type="percentile" val="50"/>
        <cfvo type="max"/>
        <color rgb="FFDCFCE7"/>
        <color rgb="FFFEF3C7"/>
        <color rgb="FFFEE2E2"/>
      </colorScale>
    </cfRule>
  </conditionalFormatting>
  <dataValidations count="1">
    <dataValidation sqref="D2:E51" xr:uid="{00000000-0002-0000-0300-000000000000}">
      <formula1>1</formula1>
      <formula2>5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300-000001000000}">
          <x14:formula1>
            <xm:f>Listen!$E$2:$E$5</xm:f>
          </x14:formula1>
          <xm:sqref>G2:G51</xm:sqref>
        </x14:dataValidation>
        <x14:dataValidation type="list" xr:uid="{00000000-0002-0000-0300-000002000000}">
          <x14:formula1>
            <xm:f>Listen!$F$2:$F$7</xm:f>
          </x14:formula1>
          <xm:sqref>H2:H51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20"/>
  <sheetViews>
    <sheetView workbookViewId="0"/>
  </sheetViews>
  <sheetFormatPr baseColWidth="10" defaultColWidth="9" defaultRowHeight="15" x14ac:dyDescent="0.25"/>
  <cols>
    <col min="1" max="1" width="12.375" customWidth="1"/>
    <col min="2" max="2" width="6.875" customWidth="1"/>
    <col min="3" max="3" width="8.875" customWidth="1"/>
    <col min="4" max="4" width="9.375" customWidth="1"/>
    <col min="5" max="5" width="13" customWidth="1"/>
    <col min="6" max="6" width="16.625" customWidth="1"/>
    <col min="7" max="7" width="5.5" customWidth="1"/>
  </cols>
  <sheetData>
    <row r="1" spans="1:26" ht="15" customHeight="1" x14ac:dyDescent="0.25">
      <c r="A1" s="14" t="s">
        <v>22</v>
      </c>
      <c r="B1" s="14" t="s">
        <v>67</v>
      </c>
      <c r="C1" s="14" t="s">
        <v>57</v>
      </c>
      <c r="D1" s="14" t="s">
        <v>143</v>
      </c>
      <c r="E1" s="14" t="s">
        <v>232</v>
      </c>
      <c r="F1" s="14" t="s">
        <v>233</v>
      </c>
      <c r="G1" s="14" t="s">
        <v>69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2" t="s">
        <v>26</v>
      </c>
      <c r="B2" s="2" t="s">
        <v>76</v>
      </c>
      <c r="C2" s="2" t="s">
        <v>73</v>
      </c>
      <c r="D2" s="2" t="s">
        <v>152</v>
      </c>
      <c r="E2" s="2" t="s">
        <v>193</v>
      </c>
      <c r="F2" s="2" t="s">
        <v>9</v>
      </c>
      <c r="G2" s="2" t="s">
        <v>234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2" t="s">
        <v>28</v>
      </c>
      <c r="B3" s="2" t="s">
        <v>112</v>
      </c>
      <c r="C3" s="2" t="s">
        <v>85</v>
      </c>
      <c r="D3" s="2" t="s">
        <v>158</v>
      </c>
      <c r="E3" s="2" t="s">
        <v>215</v>
      </c>
      <c r="F3" s="2" t="s">
        <v>87</v>
      </c>
      <c r="G3" s="2" t="s">
        <v>235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2" t="s">
        <v>29</v>
      </c>
      <c r="B4" s="2" t="s">
        <v>236</v>
      </c>
      <c r="C4" s="2" t="s">
        <v>97</v>
      </c>
      <c r="D4" s="2" t="s">
        <v>191</v>
      </c>
      <c r="E4" s="2" t="s">
        <v>205</v>
      </c>
      <c r="F4" s="2" t="s">
        <v>80</v>
      </c>
      <c r="G4" s="2" t="s">
        <v>237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2" t="s">
        <v>30</v>
      </c>
      <c r="B5" s="2"/>
      <c r="C5" s="2" t="s">
        <v>109</v>
      </c>
      <c r="D5" s="2" t="s">
        <v>183</v>
      </c>
      <c r="E5" s="2" t="s">
        <v>238</v>
      </c>
      <c r="F5" s="2" t="s">
        <v>99</v>
      </c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2" t="s">
        <v>32</v>
      </c>
      <c r="B6" s="2"/>
      <c r="C6" s="2" t="s">
        <v>121</v>
      </c>
      <c r="D6" s="2" t="s">
        <v>163</v>
      </c>
      <c r="E6" s="2"/>
      <c r="F6" s="2" t="s">
        <v>116</v>
      </c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2"/>
      <c r="B7" s="2"/>
      <c r="C7" s="2" t="s">
        <v>138</v>
      </c>
      <c r="D7" s="2" t="s">
        <v>239</v>
      </c>
      <c r="E7" s="2"/>
      <c r="F7" s="2" t="s">
        <v>123</v>
      </c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</vt:lpstr>
      <vt:lpstr>Arbeitspakete</vt:lpstr>
      <vt:lpstr>Kosten</vt:lpstr>
      <vt:lpstr>Risiken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2026-07-06T14:20:50Z</dcterms:modified>
</cp:coreProperties>
</file>