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ckpit" sheetId="1" state="visible" r:id="rId3"/>
    <sheet name="Arbeitspakete" sheetId="2" state="visible" r:id="rId4"/>
    <sheet name="Meilensteine" sheetId="3" state="visible" r:id="rId5"/>
    <sheet name="Kostenverlauf" sheetId="4" state="visible" r:id="rId6"/>
  </sheets>
  <definedNames>
    <definedName function="false" hidden="false" localSheetId="1" name="_xlnm.Print_Area" vbProcedure="false">Arbeitspakete!$A$1:$R$17</definedName>
    <definedName function="false" hidden="false" localSheetId="0" name="_xlnm.Print_Area" vbProcedure="false">Cockpit!$B$1:$G$25</definedName>
    <definedName function="false" hidden="false" localSheetId="3" name="_xlnm.Print_Area" vbProcedure="false">Kostenverlauf!$A$1:$F$18</definedName>
    <definedName function="false" hidden="false" localSheetId="2" name="_xlnm.Print_Area" vbProcedure="false">Meilensteine!$A$1:$H$12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<sst xmlns="http://schemas.openxmlformats.org/spreadsheetml/2006/main" count="161" uniqueCount="135">
  <si>
    <t xml:space="preserve">PROJEKTCONTROLLING</t>
  </si>
  <si>
    <t xml:space="preserve">Cockpit · Management-Übersicht zum Berichtsstichtag</t>
  </si>
  <si>
    <t xml:space="preserve">PROJEKTÜBERSICHT</t>
  </si>
  <si>
    <t xml:space="preserve">Projekt</t>
  </si>
  <si>
    <t xml:space="preserve">Beispielprojekt „Muster 2026“</t>
  </si>
  <si>
    <t xml:space="preserve">Berichtsstichtag</t>
  </si>
  <si>
    <t xml:space="preserve">Projektnummer</t>
  </si>
  <si>
    <t xml:space="preserve">PRJ-2026-0042</t>
  </si>
  <si>
    <t xml:space="preserve">Projektstart</t>
  </si>
  <si>
    <t xml:space="preserve">Projektleitung</t>
  </si>
  <si>
    <t xml:space="preserve">K. Sommer</t>
  </si>
  <si>
    <t xml:space="preserve">Geplantes Ende</t>
  </si>
  <si>
    <t xml:space="preserve">Auftraggeber</t>
  </si>
  <si>
    <t xml:space="preserve">Geschäftsleitung (intern)</t>
  </si>
  <si>
    <t xml:space="preserve">Gesamtstatus</t>
  </si>
  <si>
    <t xml:space="preserve">KENNZAHLEN ZUM STICHTAG</t>
  </si>
  <si>
    <t xml:space="preserve">Gesamtbudget (Plan)</t>
  </si>
  <si>
    <t xml:space="preserve">Ist-Kosten (Stichtag)</t>
  </si>
  <si>
    <t xml:space="preserve">Prognose Gesamtkosten</t>
  </si>
  <si>
    <t xml:space="preserve">Erwartete Abweichung €</t>
  </si>
  <si>
    <t xml:space="preserve">Erwartete Abweichung %</t>
  </si>
  <si>
    <t xml:space="preserve">Budgetausschöpfung %</t>
  </si>
  <si>
    <t xml:space="preserve">Ø Projektfortschritt</t>
  </si>
  <si>
    <t xml:space="preserve">Kritische Arbeitspakete</t>
  </si>
  <si>
    <t xml:space="preserve">Meilensteine in Verzug</t>
  </si>
  <si>
    <t xml:space="preserve">STATUSVERTEILUNG ARBEITSPAKETE</t>
  </si>
  <si>
    <t xml:space="preserve">MEILENSTEINE</t>
  </si>
  <si>
    <t xml:space="preserve">Im Plan</t>
  </si>
  <si>
    <t xml:space="preserve">Meilensteine gesamt</t>
  </si>
  <si>
    <t xml:space="preserve">Beobachten</t>
  </si>
  <si>
    <t xml:space="preserve">Erreicht</t>
  </si>
  <si>
    <t xml:space="preserve">Kritisch</t>
  </si>
  <si>
    <t xml:space="preserve">In Verzug</t>
  </si>
  <si>
    <t xml:space="preserve">Abgeschlossen</t>
  </si>
  <si>
    <t xml:space="preserve">Kritisch (&gt; 7 Tage)</t>
  </si>
  <si>
    <t xml:space="preserve">Hinweis: Alle Werte aktualisieren sich automatisch, sobald Sie in den Blättern „Arbeitspakete“, „Meilensteine“ und „Kostenverlauf“ Eingaben vornehmen.</t>
  </si>
  <si>
    <t xml:space="preserve">ARBEITSPAKETE · KOSTENCONTROLLING</t>
  </si>
  <si>
    <t xml:space="preserve">Blau formatierte Felder sind Eingabefelder · schwarze Werte werden automatisch berechnet · Prognose = hochgerechnete Gesamtkosten (Ist ÷ Fortschritt)</t>
  </si>
  <si>
    <t xml:space="preserve">Arbeitspaket</t>
  </si>
  <si>
    <t xml:space="preserve">Termine &amp; Fortschritt</t>
  </si>
  <si>
    <t xml:space="preserve">Planung (Budget)</t>
  </si>
  <si>
    <t xml:space="preserve">Ist zum Stichtag</t>
  </si>
  <si>
    <t xml:space="preserve">Prognose &amp; Bewertung</t>
  </si>
  <si>
    <t xml:space="preserve">Nr.</t>
  </si>
  <si>
    <t xml:space="preserve">Phase</t>
  </si>
  <si>
    <t xml:space="preserve">Verantwortlich</t>
  </si>
  <si>
    <t xml:space="preserve">Start
(Plan)</t>
  </si>
  <si>
    <t xml:space="preserve">Ende
(Plan)</t>
  </si>
  <si>
    <t xml:space="preserve">Fort-
schritt</t>
  </si>
  <si>
    <t xml:space="preserve">Plan-
Std.</t>
  </si>
  <si>
    <t xml:space="preserve">Satz</t>
  </si>
  <si>
    <t xml:space="preserve">Plan-
Sachk.</t>
  </si>
  <si>
    <t xml:space="preserve">Plankosten</t>
  </si>
  <si>
    <t xml:space="preserve">Ist-
Std.</t>
  </si>
  <si>
    <t xml:space="preserve">Ist-
Sachk.</t>
  </si>
  <si>
    <t xml:space="preserve">Istkosten</t>
  </si>
  <si>
    <t xml:space="preserve">Prognose</t>
  </si>
  <si>
    <t xml:space="preserve">Abw. €</t>
  </si>
  <si>
    <t xml:space="preserve">Abw. %</t>
  </si>
  <si>
    <t xml:space="preserve">Status</t>
  </si>
  <si>
    <t xml:space="preserve">AP-01</t>
  </si>
  <si>
    <t xml:space="preserve">Projektinitialisierung &amp; Kick-off</t>
  </si>
  <si>
    <t xml:space="preserve">Initiierung</t>
  </si>
  <si>
    <t xml:space="preserve">AP-02</t>
  </si>
  <si>
    <t xml:space="preserve">Anforderungsanalyse</t>
  </si>
  <si>
    <t xml:space="preserve">Planung</t>
  </si>
  <si>
    <t xml:space="preserve">L. Bauer</t>
  </si>
  <si>
    <t xml:space="preserve">AP-03</t>
  </si>
  <si>
    <t xml:space="preserve">Konzeption &amp; Design</t>
  </si>
  <si>
    <t xml:space="preserve">AP-04</t>
  </si>
  <si>
    <t xml:space="preserve">Realisierung / Umsetzung</t>
  </si>
  <si>
    <t xml:space="preserve">Umsetzung</t>
  </si>
  <si>
    <t xml:space="preserve">T. Neumann</t>
  </si>
  <si>
    <t xml:space="preserve">AP-05</t>
  </si>
  <si>
    <t xml:space="preserve">Beschaffung &amp; Material</t>
  </si>
  <si>
    <t xml:space="preserve">S. Wagner</t>
  </si>
  <si>
    <t xml:space="preserve">AP-06</t>
  </si>
  <si>
    <t xml:space="preserve">Systemintegration</t>
  </si>
  <si>
    <t xml:space="preserve">AP-07</t>
  </si>
  <si>
    <t xml:space="preserve">Test &amp; Qualitätssicherung</t>
  </si>
  <si>
    <t xml:space="preserve">Test</t>
  </si>
  <si>
    <t xml:space="preserve">M. Fischer</t>
  </si>
  <si>
    <t xml:space="preserve">AP-08</t>
  </si>
  <si>
    <t xml:space="preserve">Schulung &amp; Dokumentation</t>
  </si>
  <si>
    <t xml:space="preserve">Abschluss</t>
  </si>
  <si>
    <t xml:space="preserve">AP-09</t>
  </si>
  <si>
    <t xml:space="preserve">Rollout &amp; Inbetriebnahme</t>
  </si>
  <si>
    <t xml:space="preserve">AP-10</t>
  </si>
  <si>
    <t xml:space="preserve">Projektmanagement &amp; Steuerung</t>
  </si>
  <si>
    <t xml:space="preserve">Übergreifend</t>
  </si>
  <si>
    <t xml:space="preserve">GESAMTPROJEKT</t>
  </si>
  <si>
    <t xml:space="preserve">MEILENSTEINE · TERMINCONTROLLING</t>
  </si>
  <si>
    <t xml:space="preserve">Blaue Felder = Eingabe · Verzug und Bewertung werden automatisch berechnet (Prognose-/Ist-Termin minus Plan-Termin)</t>
  </si>
  <si>
    <t xml:space="preserve">Meilenstein</t>
  </si>
  <si>
    <t xml:space="preserve">Plan-Termin</t>
  </si>
  <si>
    <t xml:space="preserve">Prognose-/Ist-Termin</t>
  </si>
  <si>
    <t xml:space="preserve">Verzug</t>
  </si>
  <si>
    <t xml:space="preserve">Bewertung</t>
  </si>
  <si>
    <t xml:space="preserve">MS-01</t>
  </si>
  <si>
    <t xml:space="preserve">Projektfreigabe erteilt</t>
  </si>
  <si>
    <t xml:space="preserve">MS-02</t>
  </si>
  <si>
    <t xml:space="preserve">Anforderungen abgenommen</t>
  </si>
  <si>
    <t xml:space="preserve">MS-03</t>
  </si>
  <si>
    <t xml:space="preserve">Konzept freigegeben</t>
  </si>
  <si>
    <t xml:space="preserve">MS-04</t>
  </si>
  <si>
    <t xml:space="preserve">Umsetzung abgeschlossen</t>
  </si>
  <si>
    <t xml:space="preserve">In Arbeit</t>
  </si>
  <si>
    <t xml:space="preserve">MS-05</t>
  </si>
  <si>
    <t xml:space="preserve">Systemintegration fertiggestellt</t>
  </si>
  <si>
    <t xml:space="preserve">Offen</t>
  </si>
  <si>
    <t xml:space="preserve">MS-06</t>
  </si>
  <si>
    <t xml:space="preserve">Abnahme &amp; Go-Live</t>
  </si>
  <si>
    <t xml:space="preserve">MS-07</t>
  </si>
  <si>
    <t xml:space="preserve">Projektabschluss</t>
  </si>
  <si>
    <t xml:space="preserve">KOSTENVERLAUF 2026 · PLAN / IST / PROGNOSE</t>
  </si>
  <si>
    <t xml:space="preserve">Monatliche Plan- und Ist-Kosten (blaue Felder). Kumulierte Werte und Prognosekurve werden automatisch berechnet.</t>
  </si>
  <si>
    <t xml:space="preserve">Monat</t>
  </si>
  <si>
    <t xml:space="preserve">Plan (Monat)</t>
  </si>
  <si>
    <t xml:space="preserve">Ist (Monat)</t>
  </si>
  <si>
    <t xml:space="preserve">Plan kumuliert</t>
  </si>
  <si>
    <t xml:space="preserve">Ist kumuliert</t>
  </si>
  <si>
    <t xml:space="preserve">Prognose kum.</t>
  </si>
  <si>
    <t xml:space="preserve">Jan 2026</t>
  </si>
  <si>
    <t xml:space="preserve">Feb 2026</t>
  </si>
  <si>
    <t xml:space="preserve">Mär 2026</t>
  </si>
  <si>
    <t xml:space="preserve">Apr 2026</t>
  </si>
  <si>
    <t xml:space="preserve">Mai 2026</t>
  </si>
  <si>
    <t xml:space="preserve">Jun 2026</t>
  </si>
  <si>
    <t xml:space="preserve">Jul 2026</t>
  </si>
  <si>
    <t xml:space="preserve">Aug 2026</t>
  </si>
  <si>
    <t xml:space="preserve">Sep 2026</t>
  </si>
  <si>
    <t xml:space="preserve">Okt 2026</t>
  </si>
  <si>
    <t xml:space="preserve">Nov 2026</t>
  </si>
  <si>
    <t xml:space="preserve">Dez 2026</t>
  </si>
  <si>
    <t xml:space="preserve">Summe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</si>
</sst>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dd\.mm\.yyyy"/>
    <numFmt numFmtId="166" formatCode="#,##0&quot; €&quot;;\-#,##0&quot; €&quot;"/>
    <numFmt numFmtId="167" formatCode="\+#,##0&quot; €&quot;;\-#,##0&quot; €&quot;;0&quot; €&quot;"/>
    <numFmt numFmtId="168" formatCode="0.0%"/>
    <numFmt numFmtId="169" formatCode="0%"/>
    <numFmt numFmtId="170" formatCode="0"/>
    <numFmt numFmtId="171" formatCode="#,##0&quot; h&quot;"/>
    <numFmt numFmtId="172" formatCode="#,##0&quot; €/h&quot;"/>
    <numFmt numFmtId="173" formatCode="0&quot; Tg&quot;"/>
    <numFmt numFmtId="174" formatCode="#,##0&quot; €&quot;"/>
  </numFmts>
  <fonts count="2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FFFFFF"/>
      <name val="Calibri"/>
      <family val="0"/>
      <charset val="1"/>
    </font>
    <font>
      <sz val="10"/>
      <color rgb="FF3A2A18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9"/>
      <color rgb="FF2B2225"/>
      <name val="Calibri"/>
      <family val="0"/>
      <charset val="1"/>
    </font>
    <font>
      <b val="true"/>
      <sz val="10"/>
      <color rgb="FF2B2225"/>
      <name val="Calibri"/>
      <family val="0"/>
      <charset val="1"/>
    </font>
    <font>
      <b val="true"/>
      <sz val="10"/>
      <color rgb="FF0000CC"/>
      <name val="Calibri"/>
      <family val="0"/>
      <charset val="1"/>
    </font>
    <font>
      <sz val="10"/>
      <color rgb="FF2B2225"/>
      <name val="Calibri"/>
      <family val="0"/>
      <charset val="1"/>
    </font>
    <font>
      <b val="true"/>
      <sz val="11"/>
      <color rgb="FF2B2225"/>
      <name val="Calibri"/>
      <family val="0"/>
      <charset val="1"/>
    </font>
    <font>
      <b val="true"/>
      <sz val="9"/>
      <color rgb="FF5C4A3A"/>
      <name val="Calibri"/>
      <family val="0"/>
      <charset val="1"/>
    </font>
    <font>
      <b val="true"/>
      <sz val="15"/>
      <color rgb="FF6B2F3C"/>
      <name val="Calibri"/>
      <family val="0"/>
      <charset val="1"/>
    </font>
    <font>
      <b val="true"/>
      <sz val="9"/>
      <color rgb="FFFFFFFF"/>
      <name val="Calibri"/>
      <family val="0"/>
      <charset val="1"/>
    </font>
    <font>
      <i val="true"/>
      <sz val="8"/>
      <color rgb="FF8A7F80"/>
      <name val="Calibri"/>
      <family val="0"/>
      <charset val="1"/>
    </font>
    <font>
      <b val="true"/>
      <sz val="15"/>
      <color rgb="FFFFFFFF"/>
      <name val="Calibri"/>
      <family val="0"/>
      <charset val="1"/>
    </font>
    <font>
      <sz val="9"/>
      <color rgb="FF3A2A18"/>
      <name val="Calibri"/>
      <family val="0"/>
      <charset val="1"/>
    </font>
    <font>
      <sz val="9"/>
      <color rgb="FF2B2225"/>
      <name val="Calibri"/>
      <family val="0"/>
      <charset val="1"/>
    </font>
    <font>
      <sz val="9"/>
      <color rgb="FF0000CC"/>
      <name val="Calibri"/>
      <family val="0"/>
      <charset val="1"/>
    </font>
    <font>
      <sz val="10"/>
      <color rgb="FF0000CC"/>
      <name val="Calibri"/>
      <family val="0"/>
      <charset val="1"/>
    </font>
    <font>
      <sz val="9"/>
      <color rgb="FFFFFFFF"/>
      <name val="Calibri"/>
      <family val="0"/>
      <charset val="1"/>
    </font>
    <font>
      <b val="true"/>
      <sz val="10"/>
      <color rgb="FF8A7F80"/>
      <name val="Calibri"/>
      <family val="0"/>
      <charset val="1"/>
    </font>
    <font>
      <sz val="10"/>
      <color rgb="FFFFFFFF"/>
      <name val="Calibri"/>
      <family val="0"/>
      <charset val="1"/>
    </font>
    <font>
      <b val="true"/>
      <sz val="18"/>
      <color rgb="FF000000"/>
      <name val="Calibri"/>
      <family val="2"/>
    </font>
    <font>
      <sz val="10"/>
      <color rgb="FF000000"/>
      <name val="Calibri"/>
      <family val="2"/>
    </font>
    <font>
      <b val="true"/>
      <sz val="10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6B2F3C"/>
        <bgColor rgb="FF5C4A3A"/>
      </patternFill>
    </fill>
    <fill>
      <patternFill patternType="solid">
        <fgColor rgb="FFB08D57"/>
        <bgColor rgb="FF8A7F80"/>
      </patternFill>
    </fill>
    <fill>
      <patternFill patternType="solid">
        <fgColor rgb="FF3D2A30"/>
        <bgColor rgb="FF3A2A18"/>
      </patternFill>
    </fill>
    <fill>
      <patternFill patternType="solid">
        <fgColor rgb="FFEDE6DC"/>
        <bgColor rgb="FFE6E1D6"/>
      </patternFill>
    </fill>
    <fill>
      <patternFill patternType="solid">
        <fgColor rgb="FFFFFFFF"/>
        <bgColor rgb="FFFBF7F0"/>
      </patternFill>
    </fill>
    <fill>
      <patternFill patternType="solid">
        <fgColor rgb="FFFBF7F0"/>
        <bgColor rgb="FFF5F1EC"/>
      </patternFill>
    </fill>
    <fill>
      <patternFill patternType="solid">
        <fgColor rgb="FFEAE0D2"/>
        <bgColor rgb="FFE6E1D6"/>
      </patternFill>
    </fill>
    <fill>
      <patternFill patternType="solid">
        <fgColor rgb="FFF5F1EC"/>
        <bgColor rgb="FFFBF7F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D8CEBE"/>
      </left>
      <right style="thin">
        <color rgb="FFD8CEBE"/>
      </right>
      <top style="thin">
        <color rgb="FFD8CEBE"/>
      </top>
      <bottom style="thin">
        <color rgb="FFD8CEBE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6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9" fillId="7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6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0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8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3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3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3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13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13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8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8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9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0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9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19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9" fillId="9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7" fillId="9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7" fillId="9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7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6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9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0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9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19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9" fillId="6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7" fillId="6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7" fillId="6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7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4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4" fillId="4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4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6" fillId="4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0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7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0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7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20" fillId="9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8" fillId="9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22" fillId="9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20" fillId="6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8" fillId="6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22" fillId="6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4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3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9">
    <dxf>
      <font>
        <name val="Calibri"/>
        <charset val="1"/>
        <family val="0"/>
        <b val="1"/>
        <color rgb="FF3F6B43"/>
        <sz val="9"/>
      </font>
      <fill>
        <patternFill>
          <bgColor rgb="FFE2EDE1"/>
        </patternFill>
      </fill>
    </dxf>
    <dxf>
      <font>
        <name val="Calibri"/>
        <charset val="1"/>
        <family val="0"/>
        <b val="1"/>
        <color rgb="FF9C6F1C"/>
        <sz val="9"/>
      </font>
      <fill>
        <patternFill>
          <bgColor rgb="FFF7ECD3"/>
        </patternFill>
      </fill>
    </dxf>
    <dxf>
      <font>
        <name val="Calibri"/>
        <charset val="1"/>
        <family val="0"/>
        <b val="1"/>
        <color rgb="FF9E3B38"/>
        <sz val="9"/>
      </font>
      <fill>
        <patternFill>
          <bgColor rgb="FFF3DDDA"/>
        </patternFill>
      </fill>
    </dxf>
    <dxf>
      <font>
        <name val="Calibri"/>
        <charset val="1"/>
        <family val="0"/>
        <b val="1"/>
        <color rgb="FF6B5E48"/>
        <sz val="9"/>
      </font>
      <fill>
        <patternFill>
          <bgColor rgb="FFE6E1D6"/>
        </patternFill>
      </fill>
    </dxf>
    <dxf>
      <font>
        <name val="Calibri"/>
        <charset val="1"/>
        <family val="0"/>
        <b val="1"/>
        <color rgb="FF9E3B38"/>
        <sz val="15"/>
      </font>
    </dxf>
    <dxf>
      <font>
        <name val="Calibri"/>
        <charset val="1"/>
        <family val="0"/>
        <b val="1"/>
        <color rgb="FF3F6B43"/>
        <sz val="15"/>
      </font>
    </dxf>
    <dxf>
      <font>
        <name val="Calibri"/>
        <charset val="1"/>
        <family val="0"/>
        <b val="1"/>
        <color rgb="FF9E3B38"/>
        <sz val="9"/>
      </font>
    </dxf>
    <dxf>
      <font>
        <name val="Calibri"/>
        <charset val="1"/>
        <family val="0"/>
        <b val="1"/>
        <color rgb="FF3F6B43"/>
        <sz val="9"/>
      </font>
    </dxf>
    <dxf>
      <font>
        <name val="Calibri"/>
        <charset val="1"/>
        <family val="0"/>
        <b val="1"/>
        <color rgb="FF9C6F1C"/>
        <sz val="9"/>
      </font>
    </dxf>
  </dxfs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9C6F1C"/>
      <rgbColor rgb="FF800080"/>
      <rgbColor rgb="FF008080"/>
      <rgbColor rgb="FFD8CEBE"/>
      <rgbColor rgb="FF8A7F80"/>
      <rgbColor rgb="FF9999FF"/>
      <rgbColor rgb="FF9E3B38"/>
      <rgbColor rgb="FFFBF7F0"/>
      <rgbColor rgb="FFF5F1EC"/>
      <rgbColor rgb="FF660066"/>
      <rgbColor rgb="FFB08D57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DE6DC"/>
      <rgbColor rgb="FFE2EDE1"/>
      <rgbColor rgb="FFF7ECD3"/>
      <rgbColor rgb="FFE6E1D6"/>
      <rgbColor rgb="FFEAE0D2"/>
      <rgbColor rgb="FFCC99FF"/>
      <rgbColor rgb="FFF3DDDA"/>
      <rgbColor rgb="FF3366FF"/>
      <rgbColor rgb="FF33CCCC"/>
      <rgbColor rgb="FF99CC00"/>
      <rgbColor rgb="FFFFCC00"/>
      <rgbColor rgb="FFFF9900"/>
      <rgbColor rgb="FFFF6600"/>
      <rgbColor rgb="FF6B5E48"/>
      <rgbColor rgb="FF878787"/>
      <rgbColor rgb="FF003366"/>
      <rgbColor rgb="FF3F6B43"/>
      <rgbColor rgb="FF2B2225"/>
      <rgbColor rgb="FF3A2A18"/>
      <rgbColor rgb="FF5C4A3A"/>
      <rgbColor rgb="FF6B2F3C"/>
      <rgbColor rgb="FF333399"/>
      <rgbColor rgb="FF3D2A3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800" spc="-1" strike="noStrike">
                <a:solidFill>
                  <a:srgbClr val="000000"/>
                </a:solidFill>
                <a:latin typeface="Calibri"/>
              </a:defRPr>
            </a:pPr>
            <a:r>
              <a:rPr b="1" sz="1800" spc="-1" strike="noStrike">
                <a:solidFill>
                  <a:srgbClr val="000000"/>
                </a:solidFill>
                <a:latin typeface="Calibri"/>
              </a:rPr>
              <a:t>Kumulierte Kosten 2026 – Plan vs. Ist vs. Prognose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"Plan kumuliert"</c:f>
              <c:strCache>
                <c:ptCount val="1"/>
                <c:pt idx="0">
                  <c:v>Plan kumuliert</c:v>
                </c:pt>
              </c:strCache>
            </c:strRef>
          </c:tx>
          <c:spPr>
            <a:solidFill>
              <a:srgbClr val="b08d57"/>
            </a:solidFill>
            <a:ln w="25920">
              <a:solidFill>
                <a:srgbClr val="b08d57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Kostenverlauf!$A$6:$A$17</c:f>
              <c:strCache>
                <c:ptCount val="12"/>
                <c:pt idx="0">
                  <c:v>Jan 2026</c:v>
                </c:pt>
                <c:pt idx="1">
                  <c:v>Feb 2026</c:v>
                </c:pt>
                <c:pt idx="2">
                  <c:v>Mär 2026</c:v>
                </c:pt>
                <c:pt idx="3">
                  <c:v>Apr 2026</c:v>
                </c:pt>
                <c:pt idx="4">
                  <c:v>Mai 2026</c:v>
                </c:pt>
                <c:pt idx="5">
                  <c:v>Jun 2026</c:v>
                </c:pt>
                <c:pt idx="6">
                  <c:v>Jul 2026</c:v>
                </c:pt>
                <c:pt idx="7">
                  <c:v>Aug 2026</c:v>
                </c:pt>
                <c:pt idx="8">
                  <c:v>Sep 2026</c:v>
                </c:pt>
                <c:pt idx="9">
                  <c:v>Okt 2026</c:v>
                </c:pt>
                <c:pt idx="10">
                  <c:v>Nov 2026</c:v>
                </c:pt>
                <c:pt idx="11">
                  <c:v>Dez 2026</c:v>
                </c:pt>
              </c:strCache>
            </c:strRef>
          </c:cat>
          <c:val>
            <c:numRef>
              <c:f>Kostenverlauf!$D$6:$D$17</c:f>
              <c:numCache>
                <c:formatCode>#,##0" €";\-#,##0" €"</c:formatCode>
                <c:ptCount val="12"/>
                <c:pt idx="0">
                  <c:v>6500</c:v>
                </c:pt>
                <c:pt idx="1">
                  <c:v>17500</c:v>
                </c:pt>
                <c:pt idx="2">
                  <c:v>33500</c:v>
                </c:pt>
                <c:pt idx="3">
                  <c:v>53500</c:v>
                </c:pt>
                <c:pt idx="4">
                  <c:v>76500</c:v>
                </c:pt>
                <c:pt idx="5">
                  <c:v>100000</c:v>
                </c:pt>
                <c:pt idx="6">
                  <c:v>122000</c:v>
                </c:pt>
                <c:pt idx="7">
                  <c:v>142000</c:v>
                </c:pt>
                <c:pt idx="8">
                  <c:v>158000</c:v>
                </c:pt>
                <c:pt idx="9">
                  <c:v>170000</c:v>
                </c:pt>
                <c:pt idx="10">
                  <c:v>180000</c:v>
                </c:pt>
                <c:pt idx="11">
                  <c:v>187100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"Ist kumuliert"</c:f>
              <c:strCache>
                <c:ptCount val="1"/>
                <c:pt idx="0">
                  <c:v>Ist kumuliert</c:v>
                </c:pt>
              </c:strCache>
            </c:strRef>
          </c:tx>
          <c:spPr>
            <a:solidFill>
              <a:srgbClr val="6b2f3c"/>
            </a:solidFill>
            <a:ln w="25920">
              <a:solidFill>
                <a:srgbClr val="6b2f3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Kostenverlauf!$A$6:$A$17</c:f>
              <c:strCache>
                <c:ptCount val="12"/>
                <c:pt idx="0">
                  <c:v>Jan 2026</c:v>
                </c:pt>
                <c:pt idx="1">
                  <c:v>Feb 2026</c:v>
                </c:pt>
                <c:pt idx="2">
                  <c:v>Mär 2026</c:v>
                </c:pt>
                <c:pt idx="3">
                  <c:v>Apr 2026</c:v>
                </c:pt>
                <c:pt idx="4">
                  <c:v>Mai 2026</c:v>
                </c:pt>
                <c:pt idx="5">
                  <c:v>Jun 2026</c:v>
                </c:pt>
                <c:pt idx="6">
                  <c:v>Jul 2026</c:v>
                </c:pt>
                <c:pt idx="7">
                  <c:v>Aug 2026</c:v>
                </c:pt>
                <c:pt idx="8">
                  <c:v>Sep 2026</c:v>
                </c:pt>
                <c:pt idx="9">
                  <c:v>Okt 2026</c:v>
                </c:pt>
                <c:pt idx="10">
                  <c:v>Nov 2026</c:v>
                </c:pt>
                <c:pt idx="11">
                  <c:v>Dez 2026</c:v>
                </c:pt>
              </c:strCache>
            </c:strRef>
          </c:cat>
          <c:val>
            <c:numRef>
              <c:f>Kostenverlauf!$E$6:$E$17</c:f>
              <c:numCache>
                <c:formatCode>#,##0" €";\-#,##0" €"</c:formatCode>
                <c:ptCount val="12"/>
                <c:pt idx="0">
                  <c:v>7200</c:v>
                </c:pt>
                <c:pt idx="1">
                  <c:v>22300</c:v>
                </c:pt>
                <c:pt idx="2">
                  <c:v>44100</c:v>
                </c:pt>
                <c:pt idx="3">
                  <c:v>66500</c:v>
                </c:pt>
                <c:pt idx="4">
                  <c:v>90400</c:v>
                </c:pt>
                <c:pt idx="5">
                  <c:v>108580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"Prognose kum."</c:f>
              <c:strCache>
                <c:ptCount val="1"/>
                <c:pt idx="0">
                  <c:v>Prognose kum.</c:v>
                </c:pt>
              </c:strCache>
            </c:strRef>
          </c:tx>
          <c:spPr>
            <a:solidFill>
              <a:srgbClr val="8a7f80"/>
            </a:solidFill>
            <a:ln w="25920">
              <a:solidFill>
                <a:srgbClr val="8a7f80"/>
              </a:solidFill>
              <a:prstDash val="dash"/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Kostenverlauf!$A$6:$A$17</c:f>
              <c:strCache>
                <c:ptCount val="12"/>
                <c:pt idx="0">
                  <c:v>Jan 2026</c:v>
                </c:pt>
                <c:pt idx="1">
                  <c:v>Feb 2026</c:v>
                </c:pt>
                <c:pt idx="2">
                  <c:v>Mär 2026</c:v>
                </c:pt>
                <c:pt idx="3">
                  <c:v>Apr 2026</c:v>
                </c:pt>
                <c:pt idx="4">
                  <c:v>Mai 2026</c:v>
                </c:pt>
                <c:pt idx="5">
                  <c:v>Jun 2026</c:v>
                </c:pt>
                <c:pt idx="6">
                  <c:v>Jul 2026</c:v>
                </c:pt>
                <c:pt idx="7">
                  <c:v>Aug 2026</c:v>
                </c:pt>
                <c:pt idx="8">
                  <c:v>Sep 2026</c:v>
                </c:pt>
                <c:pt idx="9">
                  <c:v>Okt 2026</c:v>
                </c:pt>
                <c:pt idx="10">
                  <c:v>Nov 2026</c:v>
                </c:pt>
                <c:pt idx="11">
                  <c:v>Dez 2026</c:v>
                </c:pt>
              </c:strCache>
            </c:strRef>
          </c:cat>
          <c:val>
            <c:numRef>
              <c:f>Kostenverlauf!$F$6:$F$17</c:f>
              <c:numCache>
                <c:formatCode>#,##0" €";\-#,##0" €"</c:formatCode>
                <c:ptCount val="12"/>
                <c:pt idx="0">
                  <c:v>7200</c:v>
                </c:pt>
                <c:pt idx="1">
                  <c:v>22300</c:v>
                </c:pt>
                <c:pt idx="2">
                  <c:v>44100</c:v>
                </c:pt>
                <c:pt idx="3">
                  <c:v>66500</c:v>
                </c:pt>
                <c:pt idx="4">
                  <c:v>90400</c:v>
                </c:pt>
                <c:pt idx="5">
                  <c:v>108580</c:v>
                </c:pt>
                <c:pt idx="6">
                  <c:v>130580</c:v>
                </c:pt>
                <c:pt idx="7">
                  <c:v>150580</c:v>
                </c:pt>
                <c:pt idx="8">
                  <c:v>166580</c:v>
                </c:pt>
                <c:pt idx="9">
                  <c:v>178580</c:v>
                </c:pt>
                <c:pt idx="10">
                  <c:v>188580</c:v>
                </c:pt>
                <c:pt idx="11">
                  <c:v>195680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2529554"/>
        <c:axId val="22227773"/>
      </c:lineChart>
      <c:catAx>
        <c:axId val="1252955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22227773"/>
        <c:crosses val="autoZero"/>
        <c:auto val="1"/>
        <c:lblAlgn val="ctr"/>
        <c:lblOffset val="100"/>
        <c:noMultiLvlLbl val="0"/>
      </c:catAx>
      <c:valAx>
        <c:axId val="22227773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</a:defRPr>
                </a:pPr>
                <a:r>
                  <a:rPr b="1" sz="1000" spc="-1" strike="noStrike">
                    <a:solidFill>
                      <a:srgbClr val="000000"/>
                    </a:solidFill>
                    <a:latin typeface="Calibri"/>
                  </a:rPr>
                  <a:t>€ kumuliert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&quot; €&quot;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12529554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Calibri"/>
            </a:defRPr>
          </a:pPr>
        </a:p>
      </c:txPr>
    </c:legend>
    <c:plotVisOnly val="1"/>
    <c:dispBlanksAs val="zero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0</xdr:colOff>
      <xdr:row>4</xdr:row>
      <xdr:rowOff>0</xdr:rowOff>
    </xdr:from>
    <xdr:to>
      <xdr:col>18</xdr:col>
      <xdr:colOff>473040</xdr:colOff>
      <xdr:row>21</xdr:row>
      <xdr:rowOff>181080</xdr:rowOff>
    </xdr:to>
    <xdr:graphicFrame>
      <xdr:nvGraphicFramePr>
        <xdr:cNvPr id="0" name="Chart 1"/>
        <xdr:cNvGraphicFramePr/>
      </xdr:nvGraphicFramePr>
      <xdr:xfrm>
        <a:off x="6766560" y="876240"/>
        <a:ext cx="7199640" cy="341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G25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2" min="2" style="0" width="22"/>
    <col collapsed="false" customWidth="true" hidden="false" outlineLevel="0" max="3" min="3" style="0" width="16"/>
    <col collapsed="false" customWidth="true" hidden="false" outlineLevel="0" max="4" min="4" style="0" width="22"/>
    <col collapsed="false" customWidth="true" hidden="false" outlineLevel="0" max="5" min="5" style="0" width="16"/>
    <col collapsed="false" customWidth="true" hidden="false" outlineLevel="0" max="6" min="6" style="0" width="18"/>
    <col collapsed="false" customWidth="true" hidden="false" outlineLevel="0" max="7" min="7" style="0" width="14"/>
    <col collapsed="false" customWidth="true" hidden="false" outlineLevel="0" max="8" min="8" style="0" width="2"/>
  </cols>
  <sheetData>
    <row r="1" customFormat="false" ht="30" hidden="false" customHeight="true" outlineLevel="0" collapsed="false">
      <c r="B1" s="1" t="s">
        <v>0</v>
      </c>
      <c r="C1" s="1"/>
      <c r="D1" s="1"/>
      <c r="E1" s="1"/>
      <c r="F1" s="1"/>
      <c r="G1" s="1"/>
    </row>
    <row r="2" customFormat="false" ht="6" hidden="false" customHeight="true" outlineLevel="0" collapsed="false">
      <c r="B2" s="1"/>
      <c r="C2" s="1"/>
      <c r="D2" s="1"/>
      <c r="E2" s="1"/>
      <c r="F2" s="1"/>
      <c r="G2" s="1"/>
    </row>
    <row r="3" customFormat="false" ht="15" hidden="false" customHeight="false" outlineLevel="0" collapsed="false">
      <c r="B3" s="2" t="s">
        <v>1</v>
      </c>
      <c r="C3" s="2"/>
      <c r="D3" s="2"/>
      <c r="E3" s="2"/>
      <c r="F3" s="2"/>
      <c r="G3" s="2"/>
    </row>
    <row r="4" customFormat="false" ht="6" hidden="false" customHeight="true" outlineLevel="0" collapsed="false"/>
    <row r="5" customFormat="false" ht="15" hidden="false" customHeight="false" outlineLevel="0" collapsed="false">
      <c r="B5" s="3" t="s">
        <v>2</v>
      </c>
      <c r="C5" s="3"/>
      <c r="D5" s="3"/>
      <c r="E5" s="3"/>
      <c r="F5" s="3"/>
      <c r="G5" s="3"/>
    </row>
    <row r="6" customFormat="false" ht="15" hidden="false" customHeight="false" outlineLevel="0" collapsed="false">
      <c r="B6" s="4" t="s">
        <v>3</v>
      </c>
      <c r="C6" s="5" t="s">
        <v>4</v>
      </c>
      <c r="D6" s="5"/>
      <c r="E6" s="4" t="s">
        <v>5</v>
      </c>
      <c r="F6" s="6" t="n">
        <v>46203</v>
      </c>
      <c r="G6" s="6"/>
    </row>
    <row r="7" customFormat="false" ht="15" hidden="false" customHeight="false" outlineLevel="0" collapsed="false">
      <c r="B7" s="4" t="s">
        <v>6</v>
      </c>
      <c r="C7" s="7" t="s">
        <v>7</v>
      </c>
      <c r="D7" s="7"/>
      <c r="E7" s="4" t="s">
        <v>8</v>
      </c>
      <c r="F7" s="8" t="n">
        <f aca="false">MIN(Arbeitspakete!E7:E16)</f>
        <v>46029</v>
      </c>
      <c r="G7" s="8"/>
    </row>
    <row r="8" customFormat="false" ht="15" hidden="false" customHeight="false" outlineLevel="0" collapsed="false">
      <c r="B8" s="4" t="s">
        <v>9</v>
      </c>
      <c r="C8" s="7" t="s">
        <v>10</v>
      </c>
      <c r="D8" s="7"/>
      <c r="E8" s="4" t="s">
        <v>11</v>
      </c>
      <c r="F8" s="8" t="n">
        <f aca="false">MAX(Arbeitspakete!F7:F16)</f>
        <v>46371</v>
      </c>
      <c r="G8" s="8"/>
    </row>
    <row r="9" customFormat="false" ht="15" hidden="false" customHeight="false" outlineLevel="0" collapsed="false">
      <c r="B9" s="4" t="s">
        <v>12</v>
      </c>
      <c r="C9" s="7" t="s">
        <v>13</v>
      </c>
      <c r="D9" s="7"/>
      <c r="E9" s="4" t="s">
        <v>14</v>
      </c>
      <c r="F9" s="9" t="str">
        <f aca="false">IF(OR(D15&gt;0.1,D17&gt;0),"Kritisch",IF(OR(D15&gt;0.03,F17&gt;0),"Beobachten","Im Plan"))</f>
        <v>Kritisch</v>
      </c>
      <c r="G9" s="9"/>
    </row>
    <row r="11" customFormat="false" ht="15" hidden="false" customHeight="false" outlineLevel="0" collapsed="false">
      <c r="B11" s="3" t="s">
        <v>15</v>
      </c>
      <c r="C11" s="3"/>
      <c r="D11" s="3"/>
      <c r="E11" s="3"/>
      <c r="F11" s="3"/>
      <c r="G11" s="3"/>
    </row>
    <row r="12" customFormat="false" ht="15.75" hidden="false" customHeight="true" outlineLevel="0" collapsed="false">
      <c r="B12" s="10" t="s">
        <v>16</v>
      </c>
      <c r="C12" s="10"/>
      <c r="D12" s="10" t="s">
        <v>17</v>
      </c>
      <c r="E12" s="10"/>
      <c r="F12" s="10" t="s">
        <v>18</v>
      </c>
      <c r="G12" s="10"/>
    </row>
    <row r="13" customFormat="false" ht="25.5" hidden="false" customHeight="true" outlineLevel="0" collapsed="false">
      <c r="B13" s="11" t="n">
        <f aca="false">SUM(Arbeitspakete!K7:K16)</f>
        <v>187100</v>
      </c>
      <c r="C13" s="11"/>
      <c r="D13" s="11" t="n">
        <f aca="false">SUM(Arbeitspakete!N7:N16)</f>
        <v>108580</v>
      </c>
      <c r="E13" s="11"/>
      <c r="F13" s="11" t="n">
        <f aca="false">SUM(Arbeitspakete!O7:O16)</f>
        <v>196681.666666667</v>
      </c>
      <c r="G13" s="11"/>
    </row>
    <row r="14" customFormat="false" ht="15.75" hidden="false" customHeight="true" outlineLevel="0" collapsed="false">
      <c r="B14" s="10" t="s">
        <v>19</v>
      </c>
      <c r="C14" s="10"/>
      <c r="D14" s="10" t="s">
        <v>20</v>
      </c>
      <c r="E14" s="10"/>
      <c r="F14" s="10" t="s">
        <v>21</v>
      </c>
      <c r="G14" s="10"/>
    </row>
    <row r="15" customFormat="false" ht="25.5" hidden="false" customHeight="true" outlineLevel="0" collapsed="false">
      <c r="B15" s="12" t="n">
        <f aca="false">SUM(Arbeitspakete!O7:O16)-SUM(Arbeitspakete!K7:K16)</f>
        <v>9581.66666666669</v>
      </c>
      <c r="C15" s="12"/>
      <c r="D15" s="13" t="n">
        <f aca="false">IF(SUM(Arbeitspakete!K7:K16)=0,0,(SUM(Arbeitspakete!O7:O16)-SUM(Arbeitspakete!K7:K16))/SUM(Arbeitspakete!K7:K16))</f>
        <v>0.0512114733654019</v>
      </c>
      <c r="E15" s="13"/>
      <c r="F15" s="13" t="n">
        <f aca="false">IF(SUM(Arbeitspakete!K7:K16)=0,0,SUM(Arbeitspakete!N7:N16)/SUM(Arbeitspakete!K7:K16))</f>
        <v>0.580331373597007</v>
      </c>
      <c r="G15" s="13"/>
    </row>
    <row r="16" customFormat="false" ht="15.75" hidden="false" customHeight="true" outlineLevel="0" collapsed="false">
      <c r="B16" s="10" t="s">
        <v>22</v>
      </c>
      <c r="C16" s="10"/>
      <c r="D16" s="10" t="s">
        <v>23</v>
      </c>
      <c r="E16" s="10"/>
      <c r="F16" s="10" t="s">
        <v>24</v>
      </c>
      <c r="G16" s="10"/>
    </row>
    <row r="17" customFormat="false" ht="25.5" hidden="false" customHeight="true" outlineLevel="0" collapsed="false">
      <c r="B17" s="14" t="n">
        <f aca="false">IF(SUM(Arbeitspakete!K7:K16)=0,0,SUMPRODUCT(Arbeitspakete!G7:G16,Arbeitspakete!K7:K16)/SUM(Arbeitspakete!K7:K16))</f>
        <v>0.549759486905398</v>
      </c>
      <c r="C17" s="14"/>
      <c r="D17" s="15" t="n">
        <f aca="false">COUNTIF(Arbeitspakete!R7:R16,"Kritisch")</f>
        <v>1</v>
      </c>
      <c r="E17" s="15"/>
      <c r="F17" s="15" t="n">
        <f aca="false">COUNTIF(Meilensteine!G6:G12,"&gt;0")</f>
        <v>4</v>
      </c>
      <c r="G17" s="15"/>
    </row>
    <row r="19" customFormat="false" ht="15" hidden="false" customHeight="false" outlineLevel="0" collapsed="false">
      <c r="B19" s="16" t="s">
        <v>25</v>
      </c>
      <c r="C19" s="16"/>
      <c r="D19" s="16"/>
      <c r="E19" s="16" t="s">
        <v>26</v>
      </c>
      <c r="F19" s="16"/>
      <c r="G19" s="16"/>
    </row>
    <row r="20" customFormat="false" ht="15" hidden="false" customHeight="false" outlineLevel="0" collapsed="false">
      <c r="B20" s="17" t="s">
        <v>27</v>
      </c>
      <c r="C20" s="17"/>
      <c r="D20" s="18" t="n">
        <f aca="false">COUNTIF(Arbeitspakete!R7:R16,"Im Plan")</f>
        <v>3</v>
      </c>
      <c r="E20" s="17" t="s">
        <v>28</v>
      </c>
      <c r="F20" s="17"/>
      <c r="G20" s="18" t="n">
        <f aca="false">COUNTA(Meilensteine!B6:B12)</f>
        <v>7</v>
      </c>
    </row>
    <row r="21" customFormat="false" ht="15" hidden="false" customHeight="false" outlineLevel="0" collapsed="false">
      <c r="B21" s="19" t="s">
        <v>29</v>
      </c>
      <c r="C21" s="19"/>
      <c r="D21" s="20" t="n">
        <f aca="false">COUNTIF(Arbeitspakete!R7:R16,"Beobachten")</f>
        <v>3</v>
      </c>
      <c r="E21" s="19" t="s">
        <v>30</v>
      </c>
      <c r="F21" s="19"/>
      <c r="G21" s="20" t="n">
        <f aca="false">COUNTIF(Meilensteine!F6:F12,"Erreicht")</f>
        <v>3</v>
      </c>
    </row>
    <row r="22" customFormat="false" ht="15" hidden="false" customHeight="false" outlineLevel="0" collapsed="false">
      <c r="B22" s="17" t="s">
        <v>31</v>
      </c>
      <c r="C22" s="17"/>
      <c r="D22" s="18" t="n">
        <f aca="false">COUNTIF(Arbeitspakete!R7:R16,"Kritisch")</f>
        <v>1</v>
      </c>
      <c r="E22" s="17" t="s">
        <v>32</v>
      </c>
      <c r="F22" s="17"/>
      <c r="G22" s="18" t="n">
        <f aca="false">COUNTIF(Meilensteine!G6:G12,"&gt;0")</f>
        <v>4</v>
      </c>
    </row>
    <row r="23" customFormat="false" ht="15" hidden="false" customHeight="false" outlineLevel="0" collapsed="false">
      <c r="B23" s="19" t="s">
        <v>33</v>
      </c>
      <c r="C23" s="19"/>
      <c r="D23" s="20" t="n">
        <f aca="false">COUNTIF(Arbeitspakete!R7:R16,"Abgeschlossen")</f>
        <v>3</v>
      </c>
      <c r="E23" s="19" t="s">
        <v>34</v>
      </c>
      <c r="F23" s="19"/>
      <c r="G23" s="20" t="n">
        <f aca="false">COUNTIF(Meilensteine!H6:H12,"Kritisch")</f>
        <v>1</v>
      </c>
    </row>
    <row r="25" customFormat="false" ht="15" hidden="false" customHeight="false" outlineLevel="0" collapsed="false">
      <c r="B25" s="21" t="s">
        <v>35</v>
      </c>
      <c r="C25" s="21"/>
      <c r="D25" s="21"/>
      <c r="E25" s="21"/>
      <c r="F25" s="21"/>
      <c r="G25" s="21"/>
    </row>
  </sheetData>
  <mergeCells count="41">
    <mergeCell ref="B1:G2"/>
    <mergeCell ref="B3:G3"/>
    <mergeCell ref="B5:G5"/>
    <mergeCell ref="C6:D6"/>
    <mergeCell ref="F6:G6"/>
    <mergeCell ref="C7:D7"/>
    <mergeCell ref="F7:G7"/>
    <mergeCell ref="C8:D8"/>
    <mergeCell ref="F8:G8"/>
    <mergeCell ref="C9:D9"/>
    <mergeCell ref="F9:G9"/>
    <mergeCell ref="B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9:D19"/>
    <mergeCell ref="E19:G19"/>
    <mergeCell ref="B20:C20"/>
    <mergeCell ref="E20:F20"/>
    <mergeCell ref="B21:C21"/>
    <mergeCell ref="E21:F21"/>
    <mergeCell ref="B22:C22"/>
    <mergeCell ref="E22:F22"/>
    <mergeCell ref="B23:C23"/>
    <mergeCell ref="E23:F23"/>
    <mergeCell ref="B25:G25"/>
  </mergeCells>
  <conditionalFormatting sqref="F9">
    <cfRule type="cellIs" priority="2" operator="equal" aboveAverage="0" equalAverage="0" bottom="0" percent="0" rank="0" text="" dxfId="0">
      <formula>"Im Plan"</formula>
    </cfRule>
    <cfRule type="cellIs" priority="3" operator="equal" aboveAverage="0" equalAverage="0" bottom="0" percent="0" rank="0" text="" dxfId="1">
      <formula>"Beobachten"</formula>
    </cfRule>
    <cfRule type="cellIs" priority="4" operator="equal" aboveAverage="0" equalAverage="0" bottom="0" percent="0" rank="0" text="" dxfId="2">
      <formula>"Kritisch"</formula>
    </cfRule>
    <cfRule type="cellIs" priority="5" operator="equal" aboveAverage="0" equalAverage="0" bottom="0" percent="0" rank="0" text="" dxfId="3">
      <formula>"Abgeschlossen"</formula>
    </cfRule>
  </conditionalFormatting>
  <conditionalFormatting sqref="B15:C15">
    <cfRule type="cellIs" priority="6" operator="greaterThan" aboveAverage="0" equalAverage="0" bottom="0" percent="0" rank="0" text="" dxfId="4">
      <formula>0</formula>
    </cfRule>
    <cfRule type="cellIs" priority="7" operator="lessThan" aboveAverage="0" equalAverage="0" bottom="0" percent="0" rank="0" text="" dxfId="5">
      <formula>0</formula>
    </cfRule>
  </conditionalFormatting>
  <conditionalFormatting sqref="D15:E15">
    <cfRule type="cellIs" priority="8" operator="greaterThan" aboveAverage="0" equalAverage="0" bottom="0" percent="0" rank="0" text="" dxfId="4">
      <formula>0</formula>
    </cfRule>
    <cfRule type="cellIs" priority="9" operator="lessThan" aboveAverage="0" equalAverage="0" bottom="0" percent="0" rank="0" text="" dxfId="5">
      <formula>0</formula>
    </cfRule>
  </conditionalFormatting>
  <printOptions headings="false" gridLines="false" gridLinesSet="true" horizontalCentered="false" verticalCentered="false"/>
  <pageMargins left="0.3" right="0.3" top="0.4" bottom="0.4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8"/>
    <col collapsed="false" customWidth="true" hidden="false" outlineLevel="0" max="2" min="2" style="0" width="30"/>
    <col collapsed="false" customWidth="true" hidden="false" outlineLevel="0" max="3" min="3" style="0" width="15"/>
    <col collapsed="false" customWidth="true" hidden="false" outlineLevel="0" max="4" min="4" style="0" width="16"/>
    <col collapsed="false" customWidth="true" hidden="false" outlineLevel="0" max="6" min="5" style="0" width="13"/>
    <col collapsed="false" customWidth="true" hidden="false" outlineLevel="0" max="7" min="7" style="0" width="11"/>
    <col collapsed="false" customWidth="true" hidden="false" outlineLevel="0" max="8" min="8" style="0" width="10"/>
    <col collapsed="false" customWidth="true" hidden="false" outlineLevel="0" max="9" min="9" style="0" width="11"/>
    <col collapsed="false" customWidth="true" hidden="false" outlineLevel="0" max="10" min="10" style="0" width="14"/>
    <col collapsed="false" customWidth="true" hidden="false" outlineLevel="0" max="11" min="11" style="0" width="15"/>
    <col collapsed="false" customWidth="true" hidden="false" outlineLevel="0" max="12" min="12" style="0" width="10"/>
    <col collapsed="false" customWidth="true" hidden="false" outlineLevel="0" max="13" min="13" style="0" width="14"/>
    <col collapsed="false" customWidth="true" hidden="false" outlineLevel="0" max="15" min="14" style="0" width="15"/>
    <col collapsed="false" customWidth="true" hidden="false" outlineLevel="0" max="16" min="16" style="0" width="14"/>
    <col collapsed="false" customWidth="true" hidden="false" outlineLevel="0" max="17" min="17" style="0" width="10"/>
    <col collapsed="false" customWidth="true" hidden="false" outlineLevel="0" max="18" min="18" style="0" width="15"/>
  </cols>
  <sheetData>
    <row r="1" customFormat="false" ht="24" hidden="false" customHeight="true" outlineLevel="0" collapsed="false">
      <c r="A1" s="22" t="s">
        <v>36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</row>
    <row r="2" customFormat="false" ht="15" hidden="false" customHeight="false" outlineLevel="0" collapsed="false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customFormat="false" ht="18" hidden="false" customHeight="true" outlineLevel="0" collapsed="false">
      <c r="A3" s="23" t="s">
        <v>37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5" customFormat="false" ht="15" hidden="false" customHeight="false" outlineLevel="0" collapsed="false">
      <c r="A5" s="24" t="s">
        <v>38</v>
      </c>
      <c r="B5" s="24"/>
      <c r="C5" s="24"/>
      <c r="D5" s="24"/>
      <c r="E5" s="24" t="s">
        <v>39</v>
      </c>
      <c r="F5" s="24"/>
      <c r="G5" s="24"/>
      <c r="H5" s="24" t="s">
        <v>40</v>
      </c>
      <c r="I5" s="24"/>
      <c r="J5" s="24"/>
      <c r="K5" s="24"/>
      <c r="L5" s="24" t="s">
        <v>41</v>
      </c>
      <c r="M5" s="24"/>
      <c r="N5" s="24"/>
      <c r="O5" s="24" t="s">
        <v>42</v>
      </c>
      <c r="P5" s="24"/>
      <c r="Q5" s="24"/>
      <c r="R5" s="24"/>
    </row>
    <row r="6" customFormat="false" ht="30" hidden="false" customHeight="true" outlineLevel="0" collapsed="false">
      <c r="A6" s="25" t="s">
        <v>43</v>
      </c>
      <c r="B6" s="25" t="s">
        <v>38</v>
      </c>
      <c r="C6" s="25" t="s">
        <v>44</v>
      </c>
      <c r="D6" s="25" t="s">
        <v>45</v>
      </c>
      <c r="E6" s="25" t="s">
        <v>46</v>
      </c>
      <c r="F6" s="25" t="s">
        <v>47</v>
      </c>
      <c r="G6" s="25" t="s">
        <v>48</v>
      </c>
      <c r="H6" s="25" t="s">
        <v>49</v>
      </c>
      <c r="I6" s="25" t="s">
        <v>50</v>
      </c>
      <c r="J6" s="25" t="s">
        <v>51</v>
      </c>
      <c r="K6" s="25" t="s">
        <v>52</v>
      </c>
      <c r="L6" s="25" t="s">
        <v>53</v>
      </c>
      <c r="M6" s="25" t="s">
        <v>54</v>
      </c>
      <c r="N6" s="25" t="s">
        <v>55</v>
      </c>
      <c r="O6" s="25" t="s">
        <v>56</v>
      </c>
      <c r="P6" s="25" t="s">
        <v>57</v>
      </c>
      <c r="Q6" s="25" t="s">
        <v>58</v>
      </c>
      <c r="R6" s="25" t="s">
        <v>59</v>
      </c>
    </row>
    <row r="7" customFormat="false" ht="15" hidden="false" customHeight="false" outlineLevel="0" collapsed="false">
      <c r="A7" s="26" t="s">
        <v>60</v>
      </c>
      <c r="B7" s="27" t="s">
        <v>61</v>
      </c>
      <c r="C7" s="28" t="s">
        <v>62</v>
      </c>
      <c r="D7" s="29" t="s">
        <v>10</v>
      </c>
      <c r="E7" s="30" t="n">
        <v>46029</v>
      </c>
      <c r="F7" s="30" t="n">
        <v>46038</v>
      </c>
      <c r="G7" s="31" t="n">
        <v>1</v>
      </c>
      <c r="H7" s="32" t="n">
        <v>40</v>
      </c>
      <c r="I7" s="33" t="n">
        <v>85</v>
      </c>
      <c r="J7" s="34" t="n">
        <v>0</v>
      </c>
      <c r="K7" s="35" t="n">
        <f aca="false">IF($B7="","",H7*I7+J7)</f>
        <v>3400</v>
      </c>
      <c r="L7" s="32" t="n">
        <v>44</v>
      </c>
      <c r="M7" s="34" t="n">
        <v>0</v>
      </c>
      <c r="N7" s="35" t="n">
        <f aca="false">IF($B7="","",L7*I7+M7)</f>
        <v>3740</v>
      </c>
      <c r="O7" s="35" t="n">
        <f aca="false">IF($B7="","",IF(G7=0,K7,N7/G7))</f>
        <v>3740</v>
      </c>
      <c r="P7" s="36" t="n">
        <f aca="false">IF($B7="","",O7-K7)</f>
        <v>340</v>
      </c>
      <c r="Q7" s="37" t="n">
        <f aca="false">IF(OR($B7="",K7=0),"",P7/K7)</f>
        <v>0.1</v>
      </c>
      <c r="R7" s="26" t="str">
        <f aca="false">IF($B7="","",IF(G7&gt;=1,"Abgeschlossen",IF(Q7&gt;0.1,"Kritisch",IF(Q7&gt;0.03,"Beobachten","Im Plan"))))</f>
        <v>Abgeschlossen</v>
      </c>
    </row>
    <row r="8" customFormat="false" ht="15" hidden="false" customHeight="false" outlineLevel="0" collapsed="false">
      <c r="A8" s="38" t="s">
        <v>63</v>
      </c>
      <c r="B8" s="7" t="s">
        <v>64</v>
      </c>
      <c r="C8" s="39" t="s">
        <v>65</v>
      </c>
      <c r="D8" s="40" t="s">
        <v>66</v>
      </c>
      <c r="E8" s="41" t="n">
        <v>46041</v>
      </c>
      <c r="F8" s="41" t="n">
        <v>46080</v>
      </c>
      <c r="G8" s="42" t="n">
        <v>1</v>
      </c>
      <c r="H8" s="43" t="n">
        <v>120</v>
      </c>
      <c r="I8" s="44" t="n">
        <v>95</v>
      </c>
      <c r="J8" s="45" t="n">
        <v>1500</v>
      </c>
      <c r="K8" s="46" t="n">
        <f aca="false">IF($B8="","",H8*I8+J8)</f>
        <v>12900</v>
      </c>
      <c r="L8" s="43" t="n">
        <v>115</v>
      </c>
      <c r="M8" s="45" t="n">
        <v>1400</v>
      </c>
      <c r="N8" s="46" t="n">
        <f aca="false">IF($B8="","",L8*I8+M8)</f>
        <v>12325</v>
      </c>
      <c r="O8" s="46" t="n">
        <f aca="false">IF($B8="","",IF(G8=0,K8,N8/G8))</f>
        <v>12325</v>
      </c>
      <c r="P8" s="47" t="n">
        <f aca="false">IF($B8="","",O8-K8)</f>
        <v>-575</v>
      </c>
      <c r="Q8" s="48" t="n">
        <f aca="false">IF(OR($B8="",K8=0),"",P8/K8)</f>
        <v>-0.0445736434108527</v>
      </c>
      <c r="R8" s="38" t="str">
        <f aca="false">IF($B8="","",IF(G8&gt;=1,"Abgeschlossen",IF(Q8&gt;0.1,"Kritisch",IF(Q8&gt;0.03,"Beobachten","Im Plan"))))</f>
        <v>Abgeschlossen</v>
      </c>
    </row>
    <row r="9" customFormat="false" ht="15" hidden="false" customHeight="false" outlineLevel="0" collapsed="false">
      <c r="A9" s="26" t="s">
        <v>67</v>
      </c>
      <c r="B9" s="27" t="s">
        <v>68</v>
      </c>
      <c r="C9" s="28" t="s">
        <v>65</v>
      </c>
      <c r="D9" s="29" t="s">
        <v>66</v>
      </c>
      <c r="E9" s="30" t="n">
        <v>46083</v>
      </c>
      <c r="F9" s="30" t="n">
        <v>46112</v>
      </c>
      <c r="G9" s="31" t="n">
        <v>1</v>
      </c>
      <c r="H9" s="32" t="n">
        <v>160</v>
      </c>
      <c r="I9" s="33" t="n">
        <v>95</v>
      </c>
      <c r="J9" s="34" t="n">
        <v>2000</v>
      </c>
      <c r="K9" s="35" t="n">
        <f aca="false">IF($B9="","",H9*I9+J9)</f>
        <v>17200</v>
      </c>
      <c r="L9" s="32" t="n">
        <v>175</v>
      </c>
      <c r="M9" s="34" t="n">
        <v>2300</v>
      </c>
      <c r="N9" s="35" t="n">
        <f aca="false">IF($B9="","",L9*I9+M9)</f>
        <v>18925</v>
      </c>
      <c r="O9" s="35" t="n">
        <f aca="false">IF($B9="","",IF(G9=0,K9,N9/G9))</f>
        <v>18925</v>
      </c>
      <c r="P9" s="36" t="n">
        <f aca="false">IF($B9="","",O9-K9)</f>
        <v>1725</v>
      </c>
      <c r="Q9" s="37" t="n">
        <f aca="false">IF(OR($B9="",K9=0),"",P9/K9)</f>
        <v>0.100290697674419</v>
      </c>
      <c r="R9" s="26" t="str">
        <f aca="false">IF($B9="","",IF(G9&gt;=1,"Abgeschlossen",IF(Q9&gt;0.1,"Kritisch",IF(Q9&gt;0.03,"Beobachten","Im Plan"))))</f>
        <v>Abgeschlossen</v>
      </c>
    </row>
    <row r="10" customFormat="false" ht="15" hidden="false" customHeight="false" outlineLevel="0" collapsed="false">
      <c r="A10" s="38" t="s">
        <v>69</v>
      </c>
      <c r="B10" s="7" t="s">
        <v>70</v>
      </c>
      <c r="C10" s="39" t="s">
        <v>71</v>
      </c>
      <c r="D10" s="40" t="s">
        <v>72</v>
      </c>
      <c r="E10" s="41" t="n">
        <v>46113</v>
      </c>
      <c r="F10" s="41" t="n">
        <v>46234</v>
      </c>
      <c r="G10" s="42" t="n">
        <v>0.6</v>
      </c>
      <c r="H10" s="43" t="n">
        <v>480</v>
      </c>
      <c r="I10" s="44" t="n">
        <v>90</v>
      </c>
      <c r="J10" s="45" t="n">
        <v>5000</v>
      </c>
      <c r="K10" s="46" t="n">
        <f aca="false">IF($B10="","",H10*I10+J10)</f>
        <v>48200</v>
      </c>
      <c r="L10" s="43" t="n">
        <v>300</v>
      </c>
      <c r="M10" s="45" t="n">
        <v>3400</v>
      </c>
      <c r="N10" s="46" t="n">
        <f aca="false">IF($B10="","",L10*I10+M10)</f>
        <v>30400</v>
      </c>
      <c r="O10" s="46" t="n">
        <f aca="false">IF($B10="","",IF(G10=0,K10,N10/G10))</f>
        <v>50666.6666666667</v>
      </c>
      <c r="P10" s="47" t="n">
        <f aca="false">IF($B10="","",O10-K10)</f>
        <v>2466.66666666667</v>
      </c>
      <c r="Q10" s="48" t="n">
        <f aca="false">IF(OR($B10="",K10=0),"",P10/K10)</f>
        <v>0.0511756569847857</v>
      </c>
      <c r="R10" s="38" t="str">
        <f aca="false">IF($B10="","",IF(G10&gt;=1,"Abgeschlossen",IF(Q10&gt;0.1,"Kritisch",IF(Q10&gt;0.03,"Beobachten","Im Plan"))))</f>
        <v>Beobachten</v>
      </c>
    </row>
    <row r="11" customFormat="false" ht="15" hidden="false" customHeight="false" outlineLevel="0" collapsed="false">
      <c r="A11" s="26" t="s">
        <v>73</v>
      </c>
      <c r="B11" s="27" t="s">
        <v>74</v>
      </c>
      <c r="C11" s="28" t="s">
        <v>71</v>
      </c>
      <c r="D11" s="29" t="s">
        <v>75</v>
      </c>
      <c r="E11" s="30" t="n">
        <v>46113</v>
      </c>
      <c r="F11" s="30" t="n">
        <v>46203</v>
      </c>
      <c r="G11" s="31" t="n">
        <v>0.8</v>
      </c>
      <c r="H11" s="32" t="n">
        <v>40</v>
      </c>
      <c r="I11" s="33" t="n">
        <v>80</v>
      </c>
      <c r="J11" s="34" t="n">
        <v>22000</v>
      </c>
      <c r="K11" s="35" t="n">
        <f aca="false">IF($B11="","",H11*I11+J11)</f>
        <v>25200</v>
      </c>
      <c r="L11" s="32" t="n">
        <v>32</v>
      </c>
      <c r="M11" s="34" t="n">
        <v>18500</v>
      </c>
      <c r="N11" s="35" t="n">
        <f aca="false">IF($B11="","",L11*I11+M11)</f>
        <v>21060</v>
      </c>
      <c r="O11" s="35" t="n">
        <f aca="false">IF($B11="","",IF(G11=0,K11,N11/G11))</f>
        <v>26325</v>
      </c>
      <c r="P11" s="36" t="n">
        <f aca="false">IF($B11="","",O11-K11)</f>
        <v>1125</v>
      </c>
      <c r="Q11" s="37" t="n">
        <f aca="false">IF(OR($B11="",K11=0),"",P11/K11)</f>
        <v>0.0446428571428571</v>
      </c>
      <c r="R11" s="26" t="str">
        <f aca="false">IF($B11="","",IF(G11&gt;=1,"Abgeschlossen",IF(Q11&gt;0.1,"Kritisch",IF(Q11&gt;0.03,"Beobachten","Im Plan"))))</f>
        <v>Beobachten</v>
      </c>
    </row>
    <row r="12" customFormat="false" ht="15" hidden="false" customHeight="false" outlineLevel="0" collapsed="false">
      <c r="A12" s="38" t="s">
        <v>76</v>
      </c>
      <c r="B12" s="7" t="s">
        <v>77</v>
      </c>
      <c r="C12" s="39" t="s">
        <v>71</v>
      </c>
      <c r="D12" s="40" t="s">
        <v>72</v>
      </c>
      <c r="E12" s="41" t="n">
        <v>46188</v>
      </c>
      <c r="F12" s="41" t="n">
        <v>46265</v>
      </c>
      <c r="G12" s="42" t="n">
        <v>0.3</v>
      </c>
      <c r="H12" s="43" t="n">
        <v>200</v>
      </c>
      <c r="I12" s="44" t="n">
        <v>90</v>
      </c>
      <c r="J12" s="45" t="n">
        <v>1000</v>
      </c>
      <c r="K12" s="46" t="n">
        <f aca="false">IF($B12="","",H12*I12+J12)</f>
        <v>19000</v>
      </c>
      <c r="L12" s="43" t="n">
        <v>70</v>
      </c>
      <c r="M12" s="45" t="n">
        <v>300</v>
      </c>
      <c r="N12" s="46" t="n">
        <f aca="false">IF($B12="","",L12*I12+M12)</f>
        <v>6600</v>
      </c>
      <c r="O12" s="46" t="n">
        <f aca="false">IF($B12="","",IF(G12=0,K12,N12/G12))</f>
        <v>22000</v>
      </c>
      <c r="P12" s="47" t="n">
        <f aca="false">IF($B12="","",O12-K12)</f>
        <v>3000</v>
      </c>
      <c r="Q12" s="48" t="n">
        <f aca="false">IF(OR($B12="",K12=0),"",P12/K12)</f>
        <v>0.157894736842105</v>
      </c>
      <c r="R12" s="38" t="str">
        <f aca="false">IF($B12="","",IF(G12&gt;=1,"Abgeschlossen",IF(Q12&gt;0.1,"Kritisch",IF(Q12&gt;0.03,"Beobachten","Im Plan"))))</f>
        <v>Kritisch</v>
      </c>
    </row>
    <row r="13" customFormat="false" ht="15" hidden="false" customHeight="false" outlineLevel="0" collapsed="false">
      <c r="A13" s="26" t="s">
        <v>78</v>
      </c>
      <c r="B13" s="27" t="s">
        <v>79</v>
      </c>
      <c r="C13" s="28" t="s">
        <v>80</v>
      </c>
      <c r="D13" s="29" t="s">
        <v>81</v>
      </c>
      <c r="E13" s="30" t="n">
        <v>46235</v>
      </c>
      <c r="F13" s="30" t="n">
        <v>46295</v>
      </c>
      <c r="G13" s="31" t="n">
        <v>0.1</v>
      </c>
      <c r="H13" s="32" t="n">
        <v>180</v>
      </c>
      <c r="I13" s="33" t="n">
        <v>85</v>
      </c>
      <c r="J13" s="34" t="n">
        <v>500</v>
      </c>
      <c r="K13" s="35" t="n">
        <f aca="false">IF($B13="","",H13*I13+J13)</f>
        <v>15800</v>
      </c>
      <c r="L13" s="32" t="n">
        <v>18</v>
      </c>
      <c r="M13" s="34" t="n">
        <v>0</v>
      </c>
      <c r="N13" s="35" t="n">
        <f aca="false">IF($B13="","",L13*I13+M13)</f>
        <v>1530</v>
      </c>
      <c r="O13" s="35" t="n">
        <f aca="false">IF($B13="","",IF(G13=0,K13,N13/G13))</f>
        <v>15300</v>
      </c>
      <c r="P13" s="36" t="n">
        <f aca="false">IF($B13="","",O13-K13)</f>
        <v>-500</v>
      </c>
      <c r="Q13" s="37" t="n">
        <f aca="false">IF(OR($B13="",K13=0),"",P13/K13)</f>
        <v>-0.0316455696202532</v>
      </c>
      <c r="R13" s="26" t="str">
        <f aca="false">IF($B13="","",IF(G13&gt;=1,"Abgeschlossen",IF(Q13&gt;0.1,"Kritisch",IF(Q13&gt;0.03,"Beobachten","Im Plan"))))</f>
        <v>Im Plan</v>
      </c>
    </row>
    <row r="14" customFormat="false" ht="15" hidden="false" customHeight="false" outlineLevel="0" collapsed="false">
      <c r="A14" s="38" t="s">
        <v>82</v>
      </c>
      <c r="B14" s="7" t="s">
        <v>83</v>
      </c>
      <c r="C14" s="39" t="s">
        <v>84</v>
      </c>
      <c r="D14" s="40" t="s">
        <v>66</v>
      </c>
      <c r="E14" s="41" t="n">
        <v>46266</v>
      </c>
      <c r="F14" s="41" t="n">
        <v>46310</v>
      </c>
      <c r="G14" s="42" t="n">
        <v>0</v>
      </c>
      <c r="H14" s="43" t="n">
        <v>90</v>
      </c>
      <c r="I14" s="44" t="n">
        <v>80</v>
      </c>
      <c r="J14" s="45" t="n">
        <v>800</v>
      </c>
      <c r="K14" s="46" t="n">
        <f aca="false">IF($B14="","",H14*I14+J14)</f>
        <v>8000</v>
      </c>
      <c r="L14" s="43" t="n">
        <v>0</v>
      </c>
      <c r="M14" s="45" t="n">
        <v>0</v>
      </c>
      <c r="N14" s="46" t="n">
        <f aca="false">IF($B14="","",L14*I14+M14)</f>
        <v>0</v>
      </c>
      <c r="O14" s="46" t="n">
        <f aca="false">IF($B14="","",IF(G14=0,K14,N14/G14))</f>
        <v>8000</v>
      </c>
      <c r="P14" s="47" t="n">
        <f aca="false">IF($B14="","",O14-K14)</f>
        <v>0</v>
      </c>
      <c r="Q14" s="48" t="n">
        <f aca="false">IF(OR($B14="",K14=0),"",P14/K14)</f>
        <v>0</v>
      </c>
      <c r="R14" s="38" t="str">
        <f aca="false">IF($B14="","",IF(G14&gt;=1,"Abgeschlossen",IF(Q14&gt;0.1,"Kritisch",IF(Q14&gt;0.03,"Beobachten","Im Plan"))))</f>
        <v>Im Plan</v>
      </c>
    </row>
    <row r="15" customFormat="false" ht="15" hidden="false" customHeight="false" outlineLevel="0" collapsed="false">
      <c r="A15" s="26" t="s">
        <v>85</v>
      </c>
      <c r="B15" s="27" t="s">
        <v>86</v>
      </c>
      <c r="C15" s="28" t="s">
        <v>84</v>
      </c>
      <c r="D15" s="29" t="s">
        <v>75</v>
      </c>
      <c r="E15" s="30" t="n">
        <v>46311</v>
      </c>
      <c r="F15" s="30" t="n">
        <v>46326</v>
      </c>
      <c r="G15" s="31" t="n">
        <v>0</v>
      </c>
      <c r="H15" s="32" t="n">
        <v>120</v>
      </c>
      <c r="I15" s="33" t="n">
        <v>85</v>
      </c>
      <c r="J15" s="34" t="n">
        <v>1200</v>
      </c>
      <c r="K15" s="35" t="n">
        <f aca="false">IF($B15="","",H15*I15+J15)</f>
        <v>11400</v>
      </c>
      <c r="L15" s="32" t="n">
        <v>0</v>
      </c>
      <c r="M15" s="34" t="n">
        <v>0</v>
      </c>
      <c r="N15" s="35" t="n">
        <f aca="false">IF($B15="","",L15*I15+M15)</f>
        <v>0</v>
      </c>
      <c r="O15" s="35" t="n">
        <f aca="false">IF($B15="","",IF(G15=0,K15,N15/G15))</f>
        <v>11400</v>
      </c>
      <c r="P15" s="36" t="n">
        <f aca="false">IF($B15="","",O15-K15)</f>
        <v>0</v>
      </c>
      <c r="Q15" s="37" t="n">
        <f aca="false">IF(OR($B15="",K15=0),"",P15/K15)</f>
        <v>0</v>
      </c>
      <c r="R15" s="26" t="str">
        <f aca="false">IF($B15="","",IF(G15&gt;=1,"Abgeschlossen",IF(Q15&gt;0.1,"Kritisch",IF(Q15&gt;0.03,"Beobachten","Im Plan"))))</f>
        <v>Im Plan</v>
      </c>
    </row>
    <row r="16" customFormat="false" ht="15" hidden="false" customHeight="false" outlineLevel="0" collapsed="false">
      <c r="A16" s="38" t="s">
        <v>87</v>
      </c>
      <c r="B16" s="7" t="s">
        <v>88</v>
      </c>
      <c r="C16" s="39" t="s">
        <v>89</v>
      </c>
      <c r="D16" s="40" t="s">
        <v>10</v>
      </c>
      <c r="E16" s="41" t="n">
        <v>46029</v>
      </c>
      <c r="F16" s="41" t="n">
        <v>46371</v>
      </c>
      <c r="G16" s="42" t="n">
        <v>0.5</v>
      </c>
      <c r="H16" s="43" t="n">
        <v>260</v>
      </c>
      <c r="I16" s="44" t="n">
        <v>100</v>
      </c>
      <c r="J16" s="45" t="n">
        <v>0</v>
      </c>
      <c r="K16" s="46" t="n">
        <f aca="false">IF($B16="","",H16*I16+J16)</f>
        <v>26000</v>
      </c>
      <c r="L16" s="43" t="n">
        <v>140</v>
      </c>
      <c r="M16" s="45" t="n">
        <v>0</v>
      </c>
      <c r="N16" s="46" t="n">
        <f aca="false">IF($B16="","",L16*I16+M16)</f>
        <v>14000</v>
      </c>
      <c r="O16" s="46" t="n">
        <f aca="false">IF($B16="","",IF(G16=0,K16,N16/G16))</f>
        <v>28000</v>
      </c>
      <c r="P16" s="47" t="n">
        <f aca="false">IF($B16="","",O16-K16)</f>
        <v>2000</v>
      </c>
      <c r="Q16" s="48" t="n">
        <f aca="false">IF(OR($B16="",K16=0),"",P16/K16)</f>
        <v>0.0769230769230769</v>
      </c>
      <c r="R16" s="38" t="str">
        <f aca="false">IF($B16="","",IF(G16&gt;=1,"Abgeschlossen",IF(Q16&gt;0.1,"Kritisch",IF(Q16&gt;0.03,"Beobachten","Im Plan"))))</f>
        <v>Beobachten</v>
      </c>
    </row>
    <row r="17" customFormat="false" ht="19.5" hidden="false" customHeight="true" outlineLevel="0" collapsed="false">
      <c r="A17" s="3" t="s">
        <v>90</v>
      </c>
      <c r="B17" s="3"/>
      <c r="C17" s="3"/>
      <c r="D17" s="3"/>
      <c r="E17" s="49"/>
      <c r="F17" s="49"/>
      <c r="G17" s="50" t="n">
        <f aca="false">IF(SUM(K7:K16)=0,0,SUMPRODUCT(G7:G16,K7:K16)/SUM(K7:K16))</f>
        <v>0.549759486905398</v>
      </c>
      <c r="H17" s="51" t="n">
        <f aca="false">SUM(H7:H16)</f>
        <v>1690</v>
      </c>
      <c r="I17" s="49"/>
      <c r="J17" s="52" t="n">
        <f aca="false">SUM(J7:J16)</f>
        <v>34000</v>
      </c>
      <c r="K17" s="53" t="n">
        <f aca="false">SUM(K7:K16)</f>
        <v>187100</v>
      </c>
      <c r="L17" s="51" t="n">
        <f aca="false">SUM(L7:L16)</f>
        <v>894</v>
      </c>
      <c r="M17" s="52" t="n">
        <f aca="false">SUM(M7:M16)</f>
        <v>25900</v>
      </c>
      <c r="N17" s="53" t="n">
        <f aca="false">SUM(N7:N16)</f>
        <v>108580</v>
      </c>
      <c r="O17" s="53" t="n">
        <f aca="false">SUM(O7:O16)</f>
        <v>196681.666666667</v>
      </c>
      <c r="P17" s="54" t="n">
        <f aca="false">O17-K17</f>
        <v>9581.66666666669</v>
      </c>
      <c r="Q17" s="55" t="n">
        <f aca="false">IF(K17=0,0,P17/K17)</f>
        <v>0.0512114733654019</v>
      </c>
      <c r="R17" s="56" t="str">
        <f aca="false">IF(OR(Q17&gt;0.1,COUNTIF(R7:R16,"Kritisch")&gt;0),"Kritisch",IF(Q17&gt;0.03,"Beobachten","Im Plan"))</f>
        <v>Kritisch</v>
      </c>
    </row>
  </sheetData>
  <mergeCells count="8">
    <mergeCell ref="A1:R2"/>
    <mergeCell ref="A3:R3"/>
    <mergeCell ref="A5:D5"/>
    <mergeCell ref="E5:G5"/>
    <mergeCell ref="H5:K5"/>
    <mergeCell ref="L5:N5"/>
    <mergeCell ref="O5:R5"/>
    <mergeCell ref="A17:D17"/>
  </mergeCells>
  <conditionalFormatting sqref="R7:R17">
    <cfRule type="cellIs" priority="2" operator="equal" aboveAverage="0" equalAverage="0" bottom="0" percent="0" rank="0" text="" dxfId="0">
      <formula>"Im Plan"</formula>
    </cfRule>
    <cfRule type="cellIs" priority="3" operator="equal" aboveAverage="0" equalAverage="0" bottom="0" percent="0" rank="0" text="" dxfId="1">
      <formula>"Beobachten"</formula>
    </cfRule>
    <cfRule type="cellIs" priority="4" operator="equal" aboveAverage="0" equalAverage="0" bottom="0" percent="0" rank="0" text="" dxfId="2">
      <formula>"Kritisch"</formula>
    </cfRule>
    <cfRule type="cellIs" priority="5" operator="equal" aboveAverage="0" equalAverage="0" bottom="0" percent="0" rank="0" text="" dxfId="3">
      <formula>"Abgeschlossen"</formula>
    </cfRule>
  </conditionalFormatting>
  <conditionalFormatting sqref="P7:P16">
    <cfRule type="cellIs" priority="6" operator="greaterThan" aboveAverage="0" equalAverage="0" bottom="0" percent="0" rank="0" text="" dxfId="6">
      <formula>0</formula>
    </cfRule>
    <cfRule type="cellIs" priority="7" operator="lessThan" aboveAverage="0" equalAverage="0" bottom="0" percent="0" rank="0" text="" dxfId="7">
      <formula>0</formula>
    </cfRule>
  </conditionalFormatting>
  <dataValidations count="1">
    <dataValidation allowBlank="true" errorStyle="stop" operator="between" showDropDown="false" showErrorMessage="false" showInputMessage="false" sqref="C7:C16" type="list">
      <formula1>"Initiierung,Planung,Umsetzung,Test,Abschluss,Übergreifend"</formula1>
      <formula2>0</formula2>
    </dataValidation>
  </dataValidations>
  <printOptions headings="false" gridLines="false" gridLinesSet="true" horizontalCentered="false" verticalCentered="false"/>
  <pageMargins left="0.3" right="0.3" top="0.4" bottom="0.4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1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C6" activePane="bottomRight" state="frozen"/>
      <selection pane="topLeft" activeCell="A1" activeCellId="0" sqref="A1"/>
      <selection pane="topRight" activeCell="C1" activeCellId="0" sqref="C1"/>
      <selection pane="bottomLeft" activeCell="A6" activeCellId="0" sqref="A6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8"/>
    <col collapsed="false" customWidth="true" hidden="false" outlineLevel="0" max="2" min="2" style="0" width="34"/>
    <col collapsed="false" customWidth="true" hidden="false" outlineLevel="0" max="3" min="3" style="0" width="16"/>
    <col collapsed="false" customWidth="true" hidden="false" outlineLevel="0" max="4" min="4" style="0" width="15"/>
    <col collapsed="false" customWidth="true" hidden="false" outlineLevel="0" max="5" min="5" style="0" width="17"/>
    <col collapsed="false" customWidth="true" hidden="false" outlineLevel="0" max="6" min="6" style="0" width="14"/>
    <col collapsed="false" customWidth="true" hidden="false" outlineLevel="0" max="7" min="7" style="0" width="12"/>
    <col collapsed="false" customWidth="true" hidden="false" outlineLevel="0" max="8" min="8" style="0" width="15"/>
  </cols>
  <sheetData>
    <row r="1" customFormat="false" ht="24" hidden="false" customHeight="true" outlineLevel="0" collapsed="false">
      <c r="A1" s="22" t="s">
        <v>91</v>
      </c>
      <c r="B1" s="22"/>
      <c r="C1" s="22"/>
      <c r="D1" s="22"/>
      <c r="E1" s="22"/>
      <c r="F1" s="22"/>
      <c r="G1" s="22"/>
      <c r="H1" s="22"/>
    </row>
    <row r="2" customFormat="false" ht="15" hidden="false" customHeight="false" outlineLevel="0" collapsed="false">
      <c r="A2" s="22"/>
      <c r="B2" s="22"/>
      <c r="C2" s="22"/>
      <c r="D2" s="22"/>
      <c r="E2" s="22"/>
      <c r="F2" s="22"/>
      <c r="G2" s="22"/>
      <c r="H2" s="22"/>
    </row>
    <row r="3" customFormat="false" ht="15" hidden="false" customHeight="false" outlineLevel="0" collapsed="false">
      <c r="A3" s="23" t="s">
        <v>92</v>
      </c>
      <c r="B3" s="23"/>
      <c r="C3" s="23"/>
      <c r="D3" s="23"/>
      <c r="E3" s="23"/>
      <c r="F3" s="23"/>
      <c r="G3" s="23"/>
      <c r="H3" s="23"/>
    </row>
    <row r="5" customFormat="false" ht="24" hidden="false" customHeight="true" outlineLevel="0" collapsed="false">
      <c r="A5" s="57" t="s">
        <v>43</v>
      </c>
      <c r="B5" s="57" t="s">
        <v>93</v>
      </c>
      <c r="C5" s="57" t="s">
        <v>45</v>
      </c>
      <c r="D5" s="57" t="s">
        <v>94</v>
      </c>
      <c r="E5" s="57" t="s">
        <v>95</v>
      </c>
      <c r="F5" s="57" t="s">
        <v>59</v>
      </c>
      <c r="G5" s="57" t="s">
        <v>96</v>
      </c>
      <c r="H5" s="57" t="s">
        <v>97</v>
      </c>
    </row>
    <row r="6" customFormat="false" ht="15" hidden="false" customHeight="false" outlineLevel="0" collapsed="false">
      <c r="A6" s="26" t="s">
        <v>98</v>
      </c>
      <c r="B6" s="27" t="s">
        <v>99</v>
      </c>
      <c r="C6" s="29" t="s">
        <v>10</v>
      </c>
      <c r="D6" s="58" t="n">
        <v>46037</v>
      </c>
      <c r="E6" s="58" t="n">
        <v>46037</v>
      </c>
      <c r="F6" s="59" t="s">
        <v>30</v>
      </c>
      <c r="G6" s="60" t="n">
        <f aca="false">IF(OR(D6="",E6=""),"",E6-D6)</f>
        <v>0</v>
      </c>
      <c r="H6" s="26" t="str">
        <f aca="false">IF(B6="","",IF(F6="Erreicht","Erreicht",IF(G6&gt;7,"Kritisch",IF(G6&gt;0,"In Verzug","Im Plan"))))</f>
        <v>Erreicht</v>
      </c>
    </row>
    <row r="7" customFormat="false" ht="15" hidden="false" customHeight="false" outlineLevel="0" collapsed="false">
      <c r="A7" s="38" t="s">
        <v>100</v>
      </c>
      <c r="B7" s="7" t="s">
        <v>101</v>
      </c>
      <c r="C7" s="40" t="s">
        <v>66</v>
      </c>
      <c r="D7" s="61" t="n">
        <v>46080</v>
      </c>
      <c r="E7" s="61" t="n">
        <v>46083</v>
      </c>
      <c r="F7" s="62" t="s">
        <v>30</v>
      </c>
      <c r="G7" s="63" t="n">
        <f aca="false">IF(OR(D7="",E7=""),"",E7-D7)</f>
        <v>3</v>
      </c>
      <c r="H7" s="38" t="str">
        <f aca="false">IF(B7="","",IF(F7="Erreicht","Erreicht",IF(G7&gt;7,"Kritisch",IF(G7&gt;0,"In Verzug","Im Plan"))))</f>
        <v>Erreicht</v>
      </c>
    </row>
    <row r="8" customFormat="false" ht="15" hidden="false" customHeight="false" outlineLevel="0" collapsed="false">
      <c r="A8" s="26" t="s">
        <v>102</v>
      </c>
      <c r="B8" s="27" t="s">
        <v>103</v>
      </c>
      <c r="C8" s="29" t="s">
        <v>66</v>
      </c>
      <c r="D8" s="58" t="n">
        <v>46112</v>
      </c>
      <c r="E8" s="58" t="n">
        <v>46109</v>
      </c>
      <c r="F8" s="59" t="s">
        <v>30</v>
      </c>
      <c r="G8" s="60" t="n">
        <f aca="false">IF(OR(D8="",E8=""),"",E8-D8)</f>
        <v>-3</v>
      </c>
      <c r="H8" s="26" t="str">
        <f aca="false">IF(B8="","",IF(F8="Erreicht","Erreicht",IF(G8&gt;7,"Kritisch",IF(G8&gt;0,"In Verzug","Im Plan"))))</f>
        <v>Erreicht</v>
      </c>
    </row>
    <row r="9" customFormat="false" ht="15" hidden="false" customHeight="false" outlineLevel="0" collapsed="false">
      <c r="A9" s="38" t="s">
        <v>104</v>
      </c>
      <c r="B9" s="7" t="s">
        <v>105</v>
      </c>
      <c r="C9" s="40" t="s">
        <v>72</v>
      </c>
      <c r="D9" s="61" t="n">
        <v>46234</v>
      </c>
      <c r="E9" s="61" t="n">
        <v>46248</v>
      </c>
      <c r="F9" s="62" t="s">
        <v>106</v>
      </c>
      <c r="G9" s="63" t="n">
        <f aca="false">IF(OR(D9="",E9=""),"",E9-D9)</f>
        <v>14</v>
      </c>
      <c r="H9" s="38" t="str">
        <f aca="false">IF(B9="","",IF(F9="Erreicht","Erreicht",IF(G9&gt;7,"Kritisch",IF(G9&gt;0,"In Verzug","Im Plan"))))</f>
        <v>Kritisch</v>
      </c>
    </row>
    <row r="10" customFormat="false" ht="15" hidden="false" customHeight="false" outlineLevel="0" collapsed="false">
      <c r="A10" s="26" t="s">
        <v>107</v>
      </c>
      <c r="B10" s="27" t="s">
        <v>108</v>
      </c>
      <c r="C10" s="29" t="s">
        <v>72</v>
      </c>
      <c r="D10" s="58" t="n">
        <v>46265</v>
      </c>
      <c r="E10" s="58" t="n">
        <v>46270</v>
      </c>
      <c r="F10" s="59" t="s">
        <v>109</v>
      </c>
      <c r="G10" s="60" t="n">
        <f aca="false">IF(OR(D10="",E10=""),"",E10-D10)</f>
        <v>5</v>
      </c>
      <c r="H10" s="26" t="str">
        <f aca="false">IF(B10="","",IF(F10="Erreicht","Erreicht",IF(G10&gt;7,"Kritisch",IF(G10&gt;0,"In Verzug","Im Plan"))))</f>
        <v>In Verzug</v>
      </c>
    </row>
    <row r="11" customFormat="false" ht="15" hidden="false" customHeight="false" outlineLevel="0" collapsed="false">
      <c r="A11" s="38" t="s">
        <v>110</v>
      </c>
      <c r="B11" s="7" t="s">
        <v>111</v>
      </c>
      <c r="C11" s="40" t="s">
        <v>75</v>
      </c>
      <c r="D11" s="61" t="n">
        <v>46326</v>
      </c>
      <c r="E11" s="61" t="n">
        <v>46332</v>
      </c>
      <c r="F11" s="62" t="s">
        <v>109</v>
      </c>
      <c r="G11" s="63" t="n">
        <f aca="false">IF(OR(D11="",E11=""),"",E11-D11)</f>
        <v>6</v>
      </c>
      <c r="H11" s="38" t="str">
        <f aca="false">IF(B11="","",IF(F11="Erreicht","Erreicht",IF(G11&gt;7,"Kritisch",IF(G11&gt;0,"In Verzug","Im Plan"))))</f>
        <v>In Verzug</v>
      </c>
    </row>
    <row r="12" customFormat="false" ht="15" hidden="false" customHeight="false" outlineLevel="0" collapsed="false">
      <c r="A12" s="26" t="s">
        <v>112</v>
      </c>
      <c r="B12" s="27" t="s">
        <v>113</v>
      </c>
      <c r="C12" s="29" t="s">
        <v>10</v>
      </c>
      <c r="D12" s="58" t="n">
        <v>46371</v>
      </c>
      <c r="E12" s="58" t="n">
        <v>46371</v>
      </c>
      <c r="F12" s="59" t="s">
        <v>109</v>
      </c>
      <c r="G12" s="60" t="n">
        <f aca="false">IF(OR(D12="",E12=""),"",E12-D12)</f>
        <v>0</v>
      </c>
      <c r="H12" s="26" t="str">
        <f aca="false">IF(B12="","",IF(F12="Erreicht","Erreicht",IF(G12&gt;7,"Kritisch",IF(G12&gt;0,"In Verzug","Im Plan"))))</f>
        <v>Im Plan</v>
      </c>
    </row>
  </sheetData>
  <mergeCells count="2">
    <mergeCell ref="A1:H2"/>
    <mergeCell ref="A3:H3"/>
  </mergeCells>
  <conditionalFormatting sqref="H6:H12">
    <cfRule type="cellIs" priority="2" operator="equal" aboveAverage="0" equalAverage="0" bottom="0" percent="0" rank="0" text="" dxfId="0">
      <formula>"Im Plan"</formula>
    </cfRule>
    <cfRule type="cellIs" priority="3" operator="equal" aboveAverage="0" equalAverage="0" bottom="0" percent="0" rank="0" text="" dxfId="0">
      <formula>"Erreicht"</formula>
    </cfRule>
    <cfRule type="cellIs" priority="4" operator="equal" aboveAverage="0" equalAverage="0" bottom="0" percent="0" rank="0" text="" dxfId="1">
      <formula>"In Verzug"</formula>
    </cfRule>
    <cfRule type="cellIs" priority="5" operator="equal" aboveAverage="0" equalAverage="0" bottom="0" percent="0" rank="0" text="" dxfId="2">
      <formula>"Kritisch"</formula>
    </cfRule>
  </conditionalFormatting>
  <conditionalFormatting sqref="G6:G12">
    <cfRule type="cellIs" priority="6" operator="greaterThan" aboveAverage="0" equalAverage="0" bottom="0" percent="0" rank="0" text="" dxfId="6">
      <formula>7</formula>
    </cfRule>
    <cfRule type="cellIs" priority="7" operator="between" aboveAverage="0" equalAverage="0" bottom="0" percent="0" rank="0" text="" dxfId="8">
      <formula>1</formula>
      <formula>7</formula>
    </cfRule>
    <cfRule type="cellIs" priority="8" operator="lessThanOrEqual" aboveAverage="0" equalAverage="0" bottom="0" percent="0" rank="0" text="" dxfId="7">
      <formula>0</formula>
    </cfRule>
  </conditionalFormatting>
  <dataValidations count="1">
    <dataValidation allowBlank="true" errorStyle="stop" operator="between" showDropDown="false" showErrorMessage="false" showInputMessage="false" sqref="F6:F12" type="list">
      <formula1>"Offen,In Arbeit,Erreicht"</formula1>
      <formula2>0</formula2>
    </dataValidation>
  </dataValidations>
  <printOptions headings="false" gridLines="false" gridLinesSet="true" horizontalCentered="false" verticalCentered="false"/>
  <pageMargins left="0.3" right="0.3" top="0.4" bottom="0.4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1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5" topLeftCell="B6" activePane="bottomRight" state="frozen"/>
      <selection pane="topLeft" activeCell="A1" activeCellId="0" sqref="A1"/>
      <selection pane="topRight" activeCell="B1" activeCellId="0" sqref="B1"/>
      <selection pane="bottomLeft" activeCell="A6" activeCellId="0" sqref="A6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3"/>
    <col collapsed="false" customWidth="true" hidden="false" outlineLevel="0" max="6" min="2" style="0" width="16"/>
    <col collapsed="false" customWidth="true" hidden="false" outlineLevel="0" max="7" min="7" style="0" width="3"/>
  </cols>
  <sheetData>
    <row r="1" customFormat="false" ht="24" hidden="false" customHeight="true" outlineLevel="0" collapsed="false">
      <c r="A1" s="22" t="s">
        <v>114</v>
      </c>
      <c r="B1" s="22"/>
      <c r="C1" s="22"/>
      <c r="D1" s="22"/>
      <c r="E1" s="22"/>
      <c r="F1" s="22"/>
    </row>
    <row r="2" customFormat="false" ht="15" hidden="false" customHeight="false" outlineLevel="0" collapsed="false">
      <c r="A2" s="22"/>
      <c r="B2" s="22"/>
      <c r="C2" s="22"/>
      <c r="D2" s="22"/>
      <c r="E2" s="22"/>
      <c r="F2" s="22"/>
    </row>
    <row r="3" customFormat="false" ht="15" hidden="false" customHeight="false" outlineLevel="0" collapsed="false">
      <c r="A3" s="23" t="s">
        <v>115</v>
      </c>
      <c r="B3" s="23"/>
      <c r="C3" s="23"/>
      <c r="D3" s="23"/>
      <c r="E3" s="23"/>
      <c r="F3" s="23"/>
    </row>
    <row r="5" customFormat="false" ht="15" hidden="false" customHeight="false" outlineLevel="0" collapsed="false">
      <c r="A5" s="57" t="s">
        <v>116</v>
      </c>
      <c r="B5" s="57" t="s">
        <v>117</v>
      </c>
      <c r="C5" s="57" t="s">
        <v>118</v>
      </c>
      <c r="D5" s="57" t="s">
        <v>119</v>
      </c>
      <c r="E5" s="57" t="s">
        <v>120</v>
      </c>
      <c r="F5" s="57" t="s">
        <v>121</v>
      </c>
    </row>
    <row r="6" customFormat="false" ht="15" hidden="false" customHeight="false" outlineLevel="0" collapsed="false">
      <c r="A6" s="64" t="s">
        <v>122</v>
      </c>
      <c r="B6" s="65" t="n">
        <v>6500</v>
      </c>
      <c r="C6" s="65" t="n">
        <v>7200</v>
      </c>
      <c r="D6" s="66" t="n">
        <f aca="false">B6</f>
        <v>6500</v>
      </c>
      <c r="E6" s="66" t="n">
        <f aca="false">IF(C6="","",C6)</f>
        <v>7200</v>
      </c>
      <c r="F6" s="67" t="n">
        <f aca="false">IF(C6&lt;&gt;"",E6,D6)</f>
        <v>7200</v>
      </c>
    </row>
    <row r="7" customFormat="false" ht="15" hidden="false" customHeight="false" outlineLevel="0" collapsed="false">
      <c r="A7" s="5" t="s">
        <v>123</v>
      </c>
      <c r="B7" s="68" t="n">
        <v>11000</v>
      </c>
      <c r="C7" s="68" t="n">
        <v>15100</v>
      </c>
      <c r="D7" s="69" t="n">
        <f aca="false">D6+B7</f>
        <v>17500</v>
      </c>
      <c r="E7" s="69" t="n">
        <f aca="false">IF(C7="","",N(E6)+C7)</f>
        <v>22300</v>
      </c>
      <c r="F7" s="70" t="n">
        <f aca="false">IF(C7&lt;&gt;"",E7,N(F6)+B7)</f>
        <v>22300</v>
      </c>
    </row>
    <row r="8" customFormat="false" ht="15" hidden="false" customHeight="false" outlineLevel="0" collapsed="false">
      <c r="A8" s="64" t="s">
        <v>124</v>
      </c>
      <c r="B8" s="65" t="n">
        <v>16000</v>
      </c>
      <c r="C8" s="65" t="n">
        <v>21800</v>
      </c>
      <c r="D8" s="66" t="n">
        <f aca="false">D7+B8</f>
        <v>33500</v>
      </c>
      <c r="E8" s="66" t="n">
        <f aca="false">IF(C8="","",N(E7)+C8)</f>
        <v>44100</v>
      </c>
      <c r="F8" s="67" t="n">
        <f aca="false">IF(C8&lt;&gt;"",E8,N(F7)+B8)</f>
        <v>44100</v>
      </c>
    </row>
    <row r="9" customFormat="false" ht="15" hidden="false" customHeight="false" outlineLevel="0" collapsed="false">
      <c r="A9" s="5" t="s">
        <v>125</v>
      </c>
      <c r="B9" s="68" t="n">
        <v>20000</v>
      </c>
      <c r="C9" s="68" t="n">
        <v>22400</v>
      </c>
      <c r="D9" s="69" t="n">
        <f aca="false">D8+B9</f>
        <v>53500</v>
      </c>
      <c r="E9" s="69" t="n">
        <f aca="false">IF(C9="","",N(E8)+C9)</f>
        <v>66500</v>
      </c>
      <c r="F9" s="70" t="n">
        <f aca="false">IF(C9&lt;&gt;"",E9,N(F8)+B9)</f>
        <v>66500</v>
      </c>
    </row>
    <row r="10" customFormat="false" ht="15" hidden="false" customHeight="false" outlineLevel="0" collapsed="false">
      <c r="A10" s="64" t="s">
        <v>126</v>
      </c>
      <c r="B10" s="65" t="n">
        <v>23000</v>
      </c>
      <c r="C10" s="65" t="n">
        <v>23900</v>
      </c>
      <c r="D10" s="66" t="n">
        <f aca="false">D9+B10</f>
        <v>76500</v>
      </c>
      <c r="E10" s="66" t="n">
        <f aca="false">IF(C10="","",N(E9)+C10)</f>
        <v>90400</v>
      </c>
      <c r="F10" s="67" t="n">
        <f aca="false">IF(C10&lt;&gt;"",E10,N(F9)+B10)</f>
        <v>90400</v>
      </c>
    </row>
    <row r="11" customFormat="false" ht="15" hidden="false" customHeight="false" outlineLevel="0" collapsed="false">
      <c r="A11" s="5" t="s">
        <v>127</v>
      </c>
      <c r="B11" s="68" t="n">
        <v>23500</v>
      </c>
      <c r="C11" s="68" t="n">
        <v>18180</v>
      </c>
      <c r="D11" s="69" t="n">
        <f aca="false">D10+B11</f>
        <v>100000</v>
      </c>
      <c r="E11" s="69" t="n">
        <f aca="false">IF(C11="","",N(E10)+C11)</f>
        <v>108580</v>
      </c>
      <c r="F11" s="70" t="n">
        <f aca="false">IF(C11&lt;&gt;"",E11,N(F10)+B11)</f>
        <v>108580</v>
      </c>
    </row>
    <row r="12" customFormat="false" ht="15" hidden="false" customHeight="false" outlineLevel="0" collapsed="false">
      <c r="A12" s="64" t="s">
        <v>128</v>
      </c>
      <c r="B12" s="65" t="n">
        <v>22000</v>
      </c>
      <c r="C12" s="65"/>
      <c r="D12" s="66" t="n">
        <f aca="false">D11+B12</f>
        <v>122000</v>
      </c>
      <c r="E12" s="66" t="str">
        <f aca="false">IF(C12="","",N(E11)+C12)</f>
        <v/>
      </c>
      <c r="F12" s="67" t="n">
        <f aca="false">IF(C12&lt;&gt;"",E12,N(F11)+B12)</f>
        <v>130580</v>
      </c>
    </row>
    <row r="13" customFormat="false" ht="15" hidden="false" customHeight="false" outlineLevel="0" collapsed="false">
      <c r="A13" s="5" t="s">
        <v>129</v>
      </c>
      <c r="B13" s="68" t="n">
        <v>20000</v>
      </c>
      <c r="C13" s="68"/>
      <c r="D13" s="69" t="n">
        <f aca="false">D12+B13</f>
        <v>142000</v>
      </c>
      <c r="E13" s="69" t="str">
        <f aca="false">IF(C13="","",N(E12)+C13)</f>
        <v/>
      </c>
      <c r="F13" s="70" t="n">
        <f aca="false">IF(C13&lt;&gt;"",E13,N(F12)+B13)</f>
        <v>150580</v>
      </c>
    </row>
    <row r="14" customFormat="false" ht="15" hidden="false" customHeight="false" outlineLevel="0" collapsed="false">
      <c r="A14" s="64" t="s">
        <v>130</v>
      </c>
      <c r="B14" s="65" t="n">
        <v>16000</v>
      </c>
      <c r="C14" s="65"/>
      <c r="D14" s="66" t="n">
        <f aca="false">D13+B14</f>
        <v>158000</v>
      </c>
      <c r="E14" s="66" t="str">
        <f aca="false">IF(C14="","",N(E13)+C14)</f>
        <v/>
      </c>
      <c r="F14" s="67" t="n">
        <f aca="false">IF(C14&lt;&gt;"",E14,N(F13)+B14)</f>
        <v>166580</v>
      </c>
    </row>
    <row r="15" customFormat="false" ht="15" hidden="false" customHeight="false" outlineLevel="0" collapsed="false">
      <c r="A15" s="5" t="s">
        <v>131</v>
      </c>
      <c r="B15" s="68" t="n">
        <v>12000</v>
      </c>
      <c r="C15" s="68"/>
      <c r="D15" s="69" t="n">
        <f aca="false">D14+B15</f>
        <v>170000</v>
      </c>
      <c r="E15" s="69" t="str">
        <f aca="false">IF(C15="","",N(E14)+C15)</f>
        <v/>
      </c>
      <c r="F15" s="70" t="n">
        <f aca="false">IF(C15&lt;&gt;"",E15,N(F14)+B15)</f>
        <v>178580</v>
      </c>
    </row>
    <row r="16" customFormat="false" ht="15" hidden="false" customHeight="false" outlineLevel="0" collapsed="false">
      <c r="A16" s="64" t="s">
        <v>132</v>
      </c>
      <c r="B16" s="65" t="n">
        <v>10000</v>
      </c>
      <c r="C16" s="65"/>
      <c r="D16" s="66" t="n">
        <f aca="false">D15+B16</f>
        <v>180000</v>
      </c>
      <c r="E16" s="66" t="str">
        <f aca="false">IF(C16="","",N(E15)+C16)</f>
        <v/>
      </c>
      <c r="F16" s="67" t="n">
        <f aca="false">IF(C16&lt;&gt;"",E16,N(F15)+B16)</f>
        <v>188580</v>
      </c>
    </row>
    <row r="17" customFormat="false" ht="15" hidden="false" customHeight="false" outlineLevel="0" collapsed="false">
      <c r="A17" s="5" t="s">
        <v>133</v>
      </c>
      <c r="B17" s="68" t="n">
        <v>7100</v>
      </c>
      <c r="C17" s="68"/>
      <c r="D17" s="69" t="n">
        <f aca="false">D16+B17</f>
        <v>187100</v>
      </c>
      <c r="E17" s="69" t="str">
        <f aca="false">IF(C17="","",N(E16)+C17)</f>
        <v/>
      </c>
      <c r="F17" s="70" t="n">
        <f aca="false">IF(C17&lt;&gt;"",E17,N(F16)+B17)</f>
        <v>195680</v>
      </c>
    </row>
    <row r="18" customFormat="false" ht="15" hidden="false" customHeight="false" outlineLevel="0" collapsed="false">
      <c r="A18" s="71" t="s">
        <v>134</v>
      </c>
      <c r="B18" s="53" t="n">
        <f aca="false">SUM(B6:B17)</f>
        <v>187100</v>
      </c>
      <c r="C18" s="53" t="n">
        <f aca="false">SUM(C6:C17)</f>
        <v>108580</v>
      </c>
      <c r="D18" s="72"/>
      <c r="E18" s="72"/>
      <c r="F18" s="72"/>
    </row>
  </sheetData>
  <mergeCells count="2">
    <mergeCell ref="A1:F2"/>
    <mergeCell ref="A3:F3"/>
  </mergeCells>
  <printOptions headings="false" gridLines="false" gridLinesSet="true" horizontalCentered="false" verticalCentered="false"/>
  <pageMargins left="0.3" right="0.3" top="0.4" bottom="0.4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2026-07-06T11:00:41Z</dcterms:created>
  <dc:creator>openpyxl</dc:creator>
  <dc:description/>
  <dc:language>en-US</dc:language>
  <cp:lastModifiedBy/>
  <dcterms:modified xsi:type="dcterms:W3CDTF">2026-07-06T11:00:43Z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