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3.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_rels/drawing2.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TM-Analyse" sheetId="1" state="visible" r:id="rId3"/>
    <sheet name="Bausteinkatalog" sheetId="2" state="visible" r:id="rId4"/>
    <sheet name="Auswertung" sheetId="3" state="visible" r:id="rId5"/>
  </sheets>
  <definedNames>
    <definedName function="false" hidden="false" localSheetId="2" name="_xlnm.Print_Area" vbProcedure="false">Auswertung!$B$1:$M$63</definedName>
    <definedName function="false" hidden="false" localSheetId="1" name="_xlnm.Print_Area" vbProcedure="false">Bausteinkatalog!$B$1:$G$51</definedName>
    <definedName function="false" hidden="false" localSheetId="0" name="_xlnm.Print_Area" vbProcedure="false">'MTM-Analyse'!$B$1:$M$55</definedName>
    <definedName function="false" hidden="true" localSheetId="0" name="_xlnm._FilterDatabase" vbProcedure="false">'MTM-Analyse'!$B$19:$M$41</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<sst xmlns="http://schemas.openxmlformats.org/spreadsheetml/2006/main" count="364" uniqueCount="268">
  <si>
    <t xml:space="preserve">MTM-ANALYSE  ·  METHODEN-ZEITMESSUNG</t>
  </si>
  <si>
    <t xml:space="preserve">GESCHÄFTSJAHR 2026</t>
  </si>
  <si>
    <t xml:space="preserve">Ablaufanalyse mit Prozessbausteinen · Vorgabezeit · Ausbringung · Kosten je Einheit</t>
  </si>
  <si>
    <t xml:space="preserve">Blatt 1 von 3  ·  Analyseformular</t>
  </si>
  <si>
    <t xml:space="preserve">■   01   ARBEITSSYSTEM UND KOPFDATEN</t>
  </si>
  <si>
    <t xml:space="preserve">gelb hinterlegte Felder ausfüllen</t>
  </si>
  <si>
    <t xml:space="preserve">UNTERNEHMEN</t>
  </si>
  <si>
    <t xml:space="preserve">WERK / BEREICH</t>
  </si>
  <si>
    <t xml:space="preserve">ARBEITSPLATZ</t>
  </si>
  <si>
    <t xml:space="preserve">ERZEUGNIS / BAUGRUPPE</t>
  </si>
  <si>
    <t xml:space="preserve">ANALYSE-NR.</t>
  </si>
  <si>
    <t xml:space="preserve">ERSTELLT AM</t>
  </si>
  <si>
    <t xml:space="preserve">Nordtech Industrie GmbH</t>
  </si>
  <si>
    <t xml:space="preserve">Werk Süd · Vormontage</t>
  </si>
  <si>
    <t xml:space="preserve">Montageplatz M-12</t>
  </si>
  <si>
    <t xml:space="preserve">Baugruppe Muster A</t>
  </si>
  <si>
    <t xml:space="preserve">MTM-2026-037</t>
  </si>
  <si>
    <t xml:space="preserve">12.05.2026</t>
  </si>
  <si>
    <t xml:space="preserve">ANALYST / ZEITWIRTSCHAFT</t>
  </si>
  <si>
    <t xml:space="preserve">VERFAHREN</t>
  </si>
  <si>
    <t xml:space="preserve">KOSTENSTELLE</t>
  </si>
  <si>
    <t xml:space="preserve">AUFTRAG / VARIANTE</t>
  </si>
  <si>
    <t xml:space="preserve">VERSION</t>
  </si>
  <si>
    <t xml:space="preserve">STATUS</t>
  </si>
  <si>
    <t xml:space="preserve">K. Steinberg</t>
  </si>
  <si>
    <t xml:space="preserve">Prozessbausteine (Beispielwerte)</t>
  </si>
  <si>
    <t xml:space="preserve">4720</t>
  </si>
  <si>
    <t xml:space="preserve">Variante 01</t>
  </si>
  <si>
    <t xml:space="preserve">1.0</t>
  </si>
  <si>
    <t xml:space="preserve">in Abstimmung</t>
  </si>
  <si>
    <t xml:space="preserve">■   02   BERECHNUNGSPARAMETER</t>
  </si>
  <si>
    <t xml:space="preserve">graue Felder werden berechnet</t>
  </si>
  <si>
    <t xml:space="preserve">SEKUNDEN JE TMU</t>
  </si>
  <si>
    <t xml:space="preserve">LEISTUNGSGRAD LG</t>
  </si>
  <si>
    <t xml:space="preserve">VERTEILZEITZUSCHLAG ZV</t>
  </si>
  <si>
    <t xml:space="preserve">ERHOLZEITZUSCHLAG ZER</t>
  </si>
  <si>
    <t xml:space="preserve">RÜSTGRUNDZEIT TR</t>
  </si>
  <si>
    <t xml:space="preserve">LOSGRÖSSE M</t>
  </si>
  <si>
    <t xml:space="preserve">KOSTENSATZ ARBEITSPLATZ</t>
  </si>
  <si>
    <t xml:space="preserve">ZIEL- / TAKTZEIT</t>
  </si>
  <si>
    <t xml:space="preserve">SCHICHTZEIT NETTO</t>
  </si>
  <si>
    <t xml:space="preserve">VERFÜGBARKEITSGRAD</t>
  </si>
  <si>
    <t xml:space="preserve">TMU JE STUNDE</t>
  </si>
  <si>
    <t xml:space="preserve">TMU JE SEKUNDE</t>
  </si>
  <si>
    <t xml:space="preserve">■   03   ABLAUFANALYSE · PROZESSBAUSTEINE</t>
  </si>
  <si>
    <t xml:space="preserve">Code wählen – Bezeichnung, Kategorie und TMU werden automatisch übernommen</t>
  </si>
  <si>
    <t xml:space="preserve">Nr.</t>
  </si>
  <si>
    <t xml:space="preserve">Ablaufabschnitt / Vorgang</t>
  </si>
  <si>
    <t xml:space="preserve">Code</t>
  </si>
  <si>
    <t xml:space="preserve">Prozessbaustein</t>
  </si>
  <si>
    <t xml:space="preserve">Kategorie</t>
  </si>
  <si>
    <t xml:space="preserve">Wert-
schöpfung</t>
  </si>
  <si>
    <t xml:space="preserve">Einflussgröße /
Bemerkung</t>
  </si>
  <si>
    <t xml:space="preserve">TMU je
Anwendung</t>
  </si>
  <si>
    <t xml:space="preserve">Häufig-
keit</t>
  </si>
  <si>
    <t xml:space="preserve">Gesamt-
TMU</t>
  </si>
  <si>
    <t xml:space="preserve">Zeit
[s]</t>
  </si>
  <si>
    <t xml:space="preserve">Anteil
[%]</t>
  </si>
  <si>
    <t xml:space="preserve">Behälter mit Grundkörper heranziehen</t>
  </si>
  <si>
    <t xml:space="preserve">TRA-1</t>
  </si>
  <si>
    <t xml:space="preserve">je 25 Teile</t>
  </si>
  <si>
    <t xml:space="preserve">Grundkörper aus Behälter aufnehmen</t>
  </si>
  <si>
    <t xml:space="preserve">AUF-2</t>
  </si>
  <si>
    <t xml:space="preserve">vermischt</t>
  </si>
  <si>
    <t xml:space="preserve">Grundkörper zur Vorrichtung bringen</t>
  </si>
  <si>
    <t xml:space="preserve">BRI-2</t>
  </si>
  <si>
    <t xml:space="preserve">ca. 450 mm</t>
  </si>
  <si>
    <t xml:space="preserve">Grundkörper in Vorrichtung fügen</t>
  </si>
  <si>
    <t xml:space="preserve">FUG-2</t>
  </si>
  <si>
    <t xml:space="preserve">Zentrierung</t>
  </si>
  <si>
    <t xml:space="preserve">Vorrichtung schließen und spannen</t>
  </si>
  <si>
    <t xml:space="preserve">BET-2</t>
  </si>
  <si>
    <t xml:space="preserve">Kniehebel</t>
  </si>
  <si>
    <t xml:space="preserve">Anbauteil aufnehmen</t>
  </si>
  <si>
    <t xml:space="preserve">AUF-1</t>
  </si>
  <si>
    <t xml:space="preserve">Griffschale</t>
  </si>
  <si>
    <t xml:space="preserve">Anbauteil ausrichten und fügen</t>
  </si>
  <si>
    <t xml:space="preserve">FUG-3</t>
  </si>
  <si>
    <t xml:space="preserve">enge Passung</t>
  </si>
  <si>
    <t xml:space="preserve">Schraube aufnehmen und ansetzen</t>
  </si>
  <si>
    <t xml:space="preserve">WKZ-1</t>
  </si>
  <si>
    <t xml:space="preserve">M5 x 16</t>
  </si>
  <si>
    <t xml:space="preserve">Schraubverbindung herstellen</t>
  </si>
  <si>
    <t xml:space="preserve">WKZ-2</t>
  </si>
  <si>
    <t xml:space="preserve">8 Nm</t>
  </si>
  <si>
    <t xml:space="preserve">Elektrowerkzeug ablegen</t>
  </si>
  <si>
    <t xml:space="preserve">WKZ-3</t>
  </si>
  <si>
    <t xml:space="preserve">Balancer</t>
  </si>
  <si>
    <t xml:space="preserve">Vorrichtung entriegeln</t>
  </si>
  <si>
    <t xml:space="preserve">BET-1</t>
  </si>
  <si>
    <t xml:space="preserve">Taster</t>
  </si>
  <si>
    <t xml:space="preserve">Baugruppe entnehmen und ablegen</t>
  </si>
  <si>
    <t xml:space="preserve">AUF-4</t>
  </si>
  <si>
    <t xml:space="preserve">Werkstückträger</t>
  </si>
  <si>
    <t xml:space="preserve">Sichtprüfung Endkontrolle</t>
  </si>
  <si>
    <t xml:space="preserve">PRF-1</t>
  </si>
  <si>
    <t xml:space="preserve">1 Merkmal</t>
  </si>
  <si>
    <t xml:space="preserve">Körperdrehung zum Abgabeplatz</t>
  </si>
  <si>
    <t xml:space="preserve">KOE-1</t>
  </si>
  <si>
    <t xml:space="preserve">ca. 90 Grad</t>
  </si>
  <si>
    <t xml:space="preserve">Σ</t>
  </si>
  <si>
    <t xml:space="preserve">■   04   ZEITAUFBAU · MENGE · KOSTEN</t>
  </si>
  <si>
    <t xml:space="preserve">te = Grundzeit + Erholzeit + Verteilzeit      T = tr + m × te</t>
  </si>
  <si>
    <t xml:space="preserve">SUMME TMU</t>
  </si>
  <si>
    <t xml:space="preserve">GRUNDZEIT TG</t>
  </si>
  <si>
    <t xml:space="preserve">ERHOLZEIT TER</t>
  </si>
  <si>
    <t xml:space="preserve">VERTEILZEIT TV</t>
  </si>
  <si>
    <t xml:space="preserve">ZEIT JE EINHEIT TE</t>
  </si>
  <si>
    <t xml:space="preserve">ZEIT JE EINHEIT IN MIN</t>
  </si>
  <si>
    <t xml:space="preserve">RÜSTZEIT TR</t>
  </si>
  <si>
    <t xml:space="preserve">AUFTRAGSZEIT T</t>
  </si>
  <si>
    <t xml:space="preserve">AUSBRINGUNG</t>
  </si>
  <si>
    <t xml:space="preserve">SCHICHTMENGE</t>
  </si>
  <si>
    <t xml:space="preserve">KOSTEN JE EINHEIT</t>
  </si>
  <si>
    <t xml:space="preserve">KOSTEN JE LOS</t>
  </si>
  <si>
    <t xml:space="preserve">PUFFER ZUR TAKTZEIT</t>
  </si>
  <si>
    <t xml:space="preserve">AUSLASTUNG TAKTZEIT</t>
  </si>
  <si>
    <t xml:space="preserve">WERTSCHÖPFUNGSGRAD</t>
  </si>
  <si>
    <t xml:space="preserve">ANTEIL NEBENNUTZUNG</t>
  </si>
  <si>
    <t xml:space="preserve">ANTEIL VERSCHWENDUNG</t>
  </si>
  <si>
    <t xml:space="preserve">Hinweis: Die Zeitwerte im Bausteinkatalog sind frei editierbare Beispielwerte zur Veranschaulichung der Rechenlogik und ersetzen keine lizenzierten Normzeitwerte. Vor der betrieblichen Anwendung sind die Zeitwerte durch geschulte Anwender zu verifizieren und die Mitbestimmungsrechte zu beachten.</t>
  </si>
  <si>
    <t xml:space="preserve">BAUSTEINKATALOG</t>
  </si>
  <si>
    <t xml:space="preserve">STAMMDATEN 2026</t>
  </si>
  <si>
    <t xml:space="preserve">Prozessbausteine · Kategorie · Wertschöpfungsart · Zeitwert in TMU</t>
  </si>
  <si>
    <t xml:space="preserve">Blatt 2 von 3  ·  Grundlage der Analyse</t>
  </si>
  <si>
    <t xml:space="preserve">■   01   PROZESSBAUSTEINE</t>
  </si>
  <si>
    <t xml:space="preserve">alle Felder editierbar – neue Bausteine innerhalb der Tabelle einfügen</t>
  </si>
  <si>
    <t xml:space="preserve">Bezeichnung des Prozessbausteins</t>
  </si>
  <si>
    <t xml:space="preserve">Wertschöpfung</t>
  </si>
  <si>
    <t xml:space="preserve">Anwendungshinweis</t>
  </si>
  <si>
    <t xml:space="preserve">Teil aufnehmen, griffbereit vorliegend</t>
  </si>
  <si>
    <t xml:space="preserve">Aufnehmen &amp; Ablegen</t>
  </si>
  <si>
    <t xml:space="preserve">Nebennutzung</t>
  </si>
  <si>
    <t xml:space="preserve">Greifweg bis ca. 300 mm, ohne Vereinzeln</t>
  </si>
  <si>
    <t xml:space="preserve">Teil aufnehmen, vermischt im Behälter</t>
  </si>
  <si>
    <t xml:space="preserve">Suchen und Vereinzeln erforderlich</t>
  </si>
  <si>
    <t xml:space="preserve">AUF-3</t>
  </si>
  <si>
    <t xml:space="preserve">Teil ablegen, ungenau</t>
  </si>
  <si>
    <t xml:space="preserve">Ablage ohne Positionsanforderung</t>
  </si>
  <si>
    <t xml:space="preserve">Teil ablegen, genau positioniert</t>
  </si>
  <si>
    <t xml:space="preserve">Ablage in Nest, Vorrichtung oder Werkstückträger</t>
  </si>
  <si>
    <t xml:space="preserve">BRI-1</t>
  </si>
  <si>
    <t xml:space="preserve">Bringen bis 300 mm</t>
  </si>
  <si>
    <t xml:space="preserve">Bewegen &amp; Bringen</t>
  </si>
  <si>
    <t xml:space="preserve">Bewegung im unmittelbaren Greifraum</t>
  </si>
  <si>
    <t xml:space="preserve">Bringen 300 bis 600 mm</t>
  </si>
  <si>
    <t xml:space="preserve">Bewegung im erweiterten Greifraum</t>
  </si>
  <si>
    <t xml:space="preserve">BRI-3</t>
  </si>
  <si>
    <t xml:space="preserve">Bringen über 600 mm</t>
  </si>
  <si>
    <t xml:space="preserve">Außerhalb des Greifraums, ggf. mit Körperunterstützung</t>
  </si>
  <si>
    <t xml:space="preserve">FUG-1</t>
  </si>
  <si>
    <t xml:space="preserve">Fügen, lose, ohne Widerstand</t>
  </si>
  <si>
    <t xml:space="preserve">Fügen &amp; Montieren</t>
  </si>
  <si>
    <t xml:space="preserve">Hauptnutzung</t>
  </si>
  <si>
    <t xml:space="preserve">Große Fügetoleranz, kein Ausrichten</t>
  </si>
  <si>
    <t xml:space="preserve">Fügen, leichter Widerstand</t>
  </si>
  <si>
    <t xml:space="preserve">Leichtes Ausrichten oder Führen erforderlich</t>
  </si>
  <si>
    <t xml:space="preserve">Fügen, enge Passung mit Ausrichten</t>
  </si>
  <si>
    <t xml:space="preserve">Geringe Toleranz, Sicht- oder Tastkontrolle beim Fügen</t>
  </si>
  <si>
    <t xml:space="preserve">FUG-4</t>
  </si>
  <si>
    <t xml:space="preserve">Clip- oder Rastverbindung schließen</t>
  </si>
  <si>
    <t xml:space="preserve">Einrasten mit deutlichem Anschlag</t>
  </si>
  <si>
    <t xml:space="preserve">Schalter oder Taster betätigen</t>
  </si>
  <si>
    <t xml:space="preserve">Betätigen &amp; Bedienen</t>
  </si>
  <si>
    <t xml:space="preserve">Einfache Bedienhandlung mit einer Hand</t>
  </si>
  <si>
    <t xml:space="preserve">Vorrichtung oder Hebel schließen</t>
  </si>
  <si>
    <t xml:space="preserve">Spannen, Schwenken oder Verriegeln</t>
  </si>
  <si>
    <t xml:space="preserve">BET-3</t>
  </si>
  <si>
    <t xml:space="preserve">Drehen oder Kurbeln, mehrfach</t>
  </si>
  <si>
    <t xml:space="preserve">Mehrere Umdrehungen von Hand</t>
  </si>
  <si>
    <t xml:space="preserve">Werkzeug aufnehmen und ansetzen</t>
  </si>
  <si>
    <t xml:space="preserve">Werkzeug &amp; Hilfsmittel</t>
  </si>
  <si>
    <t xml:space="preserve">Handwerkzeug greifen, positionieren, ausrichten</t>
  </si>
  <si>
    <t xml:space="preserve">Verschrauben mit Elektrowerkzeug</t>
  </si>
  <si>
    <t xml:space="preserve">Werkzeuglaufzeit je Verschraubung enthalten</t>
  </si>
  <si>
    <t xml:space="preserve">Werkzeug ablegen</t>
  </si>
  <si>
    <t xml:space="preserve">Ablage in Halterung oder auf Arbeitsfläche</t>
  </si>
  <si>
    <t xml:space="preserve">Sichtprüfung, ein Prüfmerkmal</t>
  </si>
  <si>
    <t xml:space="preserve">Prüfen &amp; Messen</t>
  </si>
  <si>
    <t xml:space="preserve">Ohne Hilfsmittel, Bewertung im Blickfeld</t>
  </si>
  <si>
    <t xml:space="preserve">PRF-2</t>
  </si>
  <si>
    <t xml:space="preserve">Prüfen mit Lehre oder Messmittel</t>
  </si>
  <si>
    <t xml:space="preserve">Messmittel ansetzen, ablesen, ablegen</t>
  </si>
  <si>
    <t xml:space="preserve">PRF-3</t>
  </si>
  <si>
    <t xml:space="preserve">Kennzeichnen und dokumentieren</t>
  </si>
  <si>
    <t xml:space="preserve">Etikett anbringen oder Messwert erfassen</t>
  </si>
  <si>
    <t xml:space="preserve">Körperdrehung im Stand</t>
  </si>
  <si>
    <t xml:space="preserve">Körperbewegung &amp; Wege</t>
  </si>
  <si>
    <t xml:space="preserve">Verschwendung</t>
  </si>
  <si>
    <t xml:space="preserve">Drehung um ca. 90 Grad ohne Schritt</t>
  </si>
  <si>
    <t xml:space="preserve">KOE-2</t>
  </si>
  <si>
    <t xml:space="preserve">Bücken und Aufrichten</t>
  </si>
  <si>
    <t xml:space="preserve">Aufnahme unterhalb Kniehöhe</t>
  </si>
  <si>
    <t xml:space="preserve">KOE-3</t>
  </si>
  <si>
    <t xml:space="preserve">Gehen, je Schritt</t>
  </si>
  <si>
    <t xml:space="preserve">Schrittlänge ca. 750 mm</t>
  </si>
  <si>
    <t xml:space="preserve">Behälter heranziehen oder wechseln</t>
  </si>
  <si>
    <t xml:space="preserve">Transport &amp; Behälter</t>
  </si>
  <si>
    <t xml:space="preserve">Anteilig über die Häufigkeit je Teil umlegen</t>
  </si>
  <si>
    <t xml:space="preserve">TRA-2</t>
  </si>
  <si>
    <t xml:space="preserve">Ladungsträger bereitstellen</t>
  </si>
  <si>
    <t xml:space="preserve">WAR-1</t>
  </si>
  <si>
    <t xml:space="preserve">Prozessbedingtes Warten, je Sekunde</t>
  </si>
  <si>
    <t xml:space="preserve">Warten &amp; Störung</t>
  </si>
  <si>
    <t xml:space="preserve">Häufigkeit entspricht der Wartezeit in Sekunden</t>
  </si>
  <si>
    <t xml:space="preserve">WAR-2</t>
  </si>
  <si>
    <t xml:space="preserve">Störungsbedingtes Unterbrechen, anteilig</t>
  </si>
  <si>
    <t xml:space="preserve">Erfahrungswert je Einheit, regelmäßig überprüfen</t>
  </si>
  <si>
    <t xml:space="preserve">Summe aller Zeitwerte</t>
  </si>
  <si>
    <t xml:space="preserve">■   02   UMRECHNUNG UND KONSTANTEN</t>
  </si>
  <si>
    <t xml:space="preserve">Basiswert wird vom Blatt MTM-Analyse übernommen</t>
  </si>
  <si>
    <t xml:space="preserve">Umrechnung</t>
  </si>
  <si>
    <t xml:space="preserve">Wert</t>
  </si>
  <si>
    <t xml:space="preserve">Erläuterung</t>
  </si>
  <si>
    <t xml:space="preserve">1 TMU entspricht</t>
  </si>
  <si>
    <t xml:space="preserve">Basiswert der Methoden-Zeitmessung</t>
  </si>
  <si>
    <t xml:space="preserve">1 Sekunde entspricht</t>
  </si>
  <si>
    <t xml:space="preserve">Kehrwert des Basiswertes</t>
  </si>
  <si>
    <t xml:space="preserve">1 Minute entspricht</t>
  </si>
  <si>
    <t xml:space="preserve">60 Sekunden je Minute</t>
  </si>
  <si>
    <t xml:space="preserve">1 Stunde entspricht</t>
  </si>
  <si>
    <t xml:space="preserve">3.600 Sekunden je Stunde</t>
  </si>
  <si>
    <t xml:space="preserve">■   03   WERTSCHÖPFUNGSARTEN</t>
  </si>
  <si>
    <t xml:space="preserve">Wertschöpfende Anteile: der Arbeitsgegenstand wird gefügt, bearbeitet oder verändert.</t>
  </si>
  <si>
    <t xml:space="preserve">Notwendige, aber nicht wertschöpfende Anteile: Aufnehmen, Bringen, Bedienen, Prüfen.</t>
  </si>
  <si>
    <t xml:space="preserve">Vermeidbare Anteile: Wege, Suchen, Warten, Umlagern – vorrangiges Ziel der Optimierung.</t>
  </si>
  <si>
    <t xml:space="preserve">Rechtlicher Hinweis: Die Systeme der Methoden-Zeitmessung und die zugehörigen Normzeitwertkarten sind geschützte Verfahren ihrer jeweiligen Herausgeber. Die hier hinterlegten Zeitwerte sind generische Beispielwerte zur Demonstration der Berechnungslogik. Für betriebliche Vorgabezeiten sind ausschließlich lizenzierte Zeitwerte und geschulte Anwender maßgeblich.</t>
  </si>
  <si>
    <t xml:space="preserve">AUSWERTUNG</t>
  </si>
  <si>
    <t xml:space="preserve">AUSWERTUNG 2026</t>
  </si>
  <si>
    <t xml:space="preserve">Zeitstruktur · Kategorien · Wertschöpfung · Zeittreiber</t>
  </si>
  <si>
    <t xml:space="preserve">Blatt 3 von 3  ·  Dashboard</t>
  </si>
  <si>
    <t xml:space="preserve">■   01   KENNZAHLEN DER ANALYSE</t>
  </si>
  <si>
    <t xml:space="preserve">alle Werte aus Blatt MTM-Analyse</t>
  </si>
  <si>
    <t xml:space="preserve">■   02   ZEITANTEILE NACH KATEGORIE</t>
  </si>
  <si>
    <t xml:space="preserve">Auswertung über SUMMEWENNS</t>
  </si>
  <si>
    <t xml:space="preserve">Schritte</t>
  </si>
  <si>
    <t xml:space="preserve">Gesamt-TMU</t>
  </si>
  <si>
    <t xml:space="preserve">Zeit [s]</t>
  </si>
  <si>
    <t xml:space="preserve">Anteil</t>
  </si>
  <si>
    <t xml:space="preserve">GESAMT</t>
  </si>
  <si>
    <t xml:space="preserve">■   03   WERTSCHÖPFUNGSANALYSE</t>
  </si>
  <si>
    <t xml:space="preserve">Wertschöpfungsart</t>
  </si>
  <si>
    <t xml:space="preserve">■   04   TOP 5 ZEITTREIBER</t>
  </si>
  <si>
    <t xml:space="preserve">Rang · Ablaufabschnitt</t>
  </si>
  <si>
    <t xml:space="preserve">Die fünf zeitintensivsten Ablaufabschnitte sind der Ansatzpunkt für die Methodenverbesserung.</t>
  </si>
  <si>
    <t xml:space="preserve">■   05   PRÜFHINWEISE</t>
  </si>
  <si>
    <t xml:space="preserve">Prüfpunkt</t>
  </si>
  <si>
    <t xml:space="preserve">Status</t>
  </si>
  <si>
    <t xml:space="preserve">Alle Ablaufabschnitte mit Prozessbaustein hinterlegt</t>
  </si>
  <si>
    <t xml:space="preserve">Keine unbekannten Codes in der Analyse</t>
  </si>
  <si>
    <t xml:space="preserve">Häufigkeit je Ablaufabschnitt größer als null</t>
  </si>
  <si>
    <t xml:space="preserve">Zeit je Einheit innerhalb der Ziel- / Taktzeit</t>
  </si>
  <si>
    <t xml:space="preserve">Leistungsgrad im plausiblen Bereich 80 bis 130 Prozent</t>
  </si>
  <si>
    <t xml:space="preserve">Wertschöpfungsgrad mindestens 40 Prozent</t>
  </si>
  <si>
    <t xml:space="preserve">Anteil Verschwendung höchstens 10 Prozent</t>
  </si>
  <si>
    <t xml:space="preserve">■   06   ANWENDUNG DER VORLAGE</t>
  </si>
  <si>
    <t xml:space="preserve">Kopfdaten und Berechnungsparameter auf Blatt 1 ausfüllen – alle gelb hinterlegten Felder sind Eingabefelder.</t>
  </si>
  <si>
    <t xml:space="preserve">Bausteinkatalog auf Blatt 2 an die eigenen Zeitwerte, Bezeichnungen und Kategorien anpassen.</t>
  </si>
  <si>
    <t xml:space="preserve">Arbeitsablauf in Ablaufabschnitte gliedern und je Abschnitt einen Code aus der Auswahlliste wählen.</t>
  </si>
  <si>
    <t xml:space="preserve">Häufigkeit je Abschnitt eintragen; anteilige Vorgänge als Dezimalwert erfassen, zum Beispiel 0,04 für jedes 25. Teil.</t>
  </si>
  <si>
    <t xml:space="preserve">Zuschläge für Verteil- und Erholzeit sowie den Leistungsgrad betrieblich abstimmen und dokumentieren.</t>
  </si>
  <si>
    <t xml:space="preserve">Ergebnisblock auf Blatt 1 und diese Auswertung prüfen; die Prüfhinweise zeigen offene Punkte an.</t>
  </si>
  <si>
    <t xml:space="preserve">Optimierung an den Top-Zeittreibern und am Anteil Verschwendung ansetzen und die Analyse anschließend neu bewerten.</t>
  </si>
  <si>
    <t xml:space="preserve">FARBLEGENDE</t>
  </si>
  <si>
    <t xml:space="preserve">Eingabefeld</t>
  </si>
  <si>
    <t xml:space="preserve">Berechnetes Feld</t>
  </si>
  <si>
    <t xml:space="preserve">Kennzahl hervorgehoben</t>
  </si>
  <si>
    <t xml:space="preserve">Diese Vorlage dient der Strukturierung und Berechnung von Vorgabezeiten auf Basis vorbestimmter Zeitwerte. Die hinterlegten Werte sind generische Beispielwerte und ersetzen weder lizenzierte Zeitwertkarten noch die Anwendung durch geschultes Personal. Mitbestimmungsrechte nach dem Betriebsverfassungsgesetz sind zu beachten.</t>
  </si>
</sst>
</file>

<file path=xl/styles.xml><?xml version="1.0" encoding="utf-8"?>
<styleSheet xmlns="http://schemas.openxmlformats.org/spreadsheetml/2006/main">
  <numFmts count="19">
    <numFmt numFmtId="164" formatCode="General"/>
    <numFmt numFmtId="165" formatCode="0.000&quot; s&quot;"/>
    <numFmt numFmtId="166" formatCode="0.0%"/>
    <numFmt numFmtId="167" formatCode="#,##0.0&quot; min&quot;"/>
    <numFmt numFmtId="168" formatCode="#,##0&quot; Stk&quot;"/>
    <numFmt numFmtId="169" formatCode="#,##0.00&quot; €/h&quot;"/>
    <numFmt numFmtId="170" formatCode="#,##0.00&quot; s&quot;"/>
    <numFmt numFmtId="171" formatCode="#,##0.00&quot; h&quot;"/>
    <numFmt numFmtId="172" formatCode="#,##0&quot; TMU&quot;"/>
    <numFmt numFmtId="173" formatCode="#,##0.00&quot; TMU&quot;"/>
    <numFmt numFmtId="174" formatCode="General"/>
    <numFmt numFmtId="175" formatCode="#,##0.0"/>
    <numFmt numFmtId="176" formatCode="#,##0.00"/>
    <numFmt numFmtId="177" formatCode="#,##0.000&quot; min&quot;"/>
    <numFmt numFmtId="178" formatCode="#,##0&quot; Stk/h&quot;"/>
    <numFmt numFmtId="179" formatCode="#,##0.000&quot; €&quot;"/>
    <numFmt numFmtId="180" formatCode="#,##0.00&quot; €&quot;"/>
    <numFmt numFmtId="181" formatCode="#,##0.0&quot; TMU&quot;"/>
    <numFmt numFmtId="182" formatCode="#,##0"/>
  </numFmts>
  <fonts count="45">
    <font>
      <sz val="11"/>
      <color theme="1"/>
      <name val="Calibri"/>
      <family val="2"/>
      <charset val="1"/>
    </font>
    <font>
      <sz val="10"/>
      <name val="Arial"/>
      <family val="0"/>
    </font>
    <font>
      <sz val="10"/>
      <name val="Arial"/>
      <family val="0"/>
    </font>
    <font>
      <sz val="10"/>
      <name val="Arial"/>
      <family val="0"/>
    </font>
    <font>
      <b val="true"/>
      <sz val="21"/>
      <color rgb="FFFFFFFF"/>
      <name val="Calibri"/>
      <family val="0"/>
      <charset val="1"/>
    </font>
    <font>
      <b val="true"/>
      <sz val="12"/>
      <color rgb="FFEDB230"/>
      <name val="Calibri"/>
      <family val="0"/>
      <charset val="1"/>
    </font>
    <font>
      <i val="true"/>
      <sz val="10.5"/>
      <color rgb="FFFCEFC6"/>
      <name val="Calibri"/>
      <family val="0"/>
      <charset val="1"/>
    </font>
    <font>
      <sz val="9.5"/>
      <color rgb="FFE4EDF5"/>
      <name val="Calibri"/>
      <family val="0"/>
      <charset val="1"/>
    </font>
    <font>
      <b val="true"/>
      <sz val="11.5"/>
      <color rgb="FF142F4C"/>
      <name val="Calibri"/>
      <family val="0"/>
      <charset val="1"/>
    </font>
    <font>
      <i val="true"/>
      <sz val="8.5"/>
      <color rgb="FF6B7A88"/>
      <name val="Calibri"/>
      <family val="0"/>
      <charset val="1"/>
    </font>
    <font>
      <b val="true"/>
      <sz val="7.5"/>
      <color rgb="FF6B7A88"/>
      <name val="Calibri"/>
      <family val="0"/>
      <charset val="1"/>
    </font>
    <font>
      <sz val="10.5"/>
      <color rgb="FF1B2733"/>
      <name val="Calibri"/>
      <family val="0"/>
      <charset val="1"/>
    </font>
    <font>
      <sz val="10.5"/>
      <color rgb="FF2A5A87"/>
      <name val="Calibri"/>
      <family val="0"/>
      <charset val="1"/>
    </font>
    <font>
      <b val="true"/>
      <sz val="9"/>
      <color rgb="FFFFFFFF"/>
      <name val="Calibri"/>
      <family val="0"/>
      <charset val="1"/>
    </font>
    <font>
      <sz val="9"/>
      <color rgb="FF6B7A88"/>
      <name val="Calibri"/>
      <family val="0"/>
      <charset val="1"/>
    </font>
    <font>
      <sz val="10"/>
      <color rgb="FF1B2733"/>
      <name val="Calibri"/>
      <family val="0"/>
      <charset val="1"/>
    </font>
    <font>
      <b val="true"/>
      <sz val="10"/>
      <color rgb="FF2A5A87"/>
      <name val="Calibri"/>
      <family val="0"/>
      <charset val="1"/>
    </font>
    <font>
      <sz val="9.5"/>
      <color rgb="FF1B2733"/>
      <name val="Calibri"/>
      <family val="0"/>
      <charset val="1"/>
    </font>
    <font>
      <sz val="9.5"/>
      <color rgb="FF6B7A88"/>
      <name val="Calibri"/>
      <family val="0"/>
      <charset val="1"/>
    </font>
    <font>
      <b val="true"/>
      <sz val="9"/>
      <color rgb="FF1B2733"/>
      <name val="Calibri"/>
      <family val="0"/>
      <charset val="1"/>
    </font>
    <font>
      <i val="true"/>
      <sz val="9"/>
      <color rgb="FF6B7A88"/>
      <name val="Calibri"/>
      <family val="0"/>
      <charset val="1"/>
    </font>
    <font>
      <b val="true"/>
      <sz val="10"/>
      <color rgb="FF1B2733"/>
      <name val="Calibri"/>
      <family val="0"/>
      <charset val="1"/>
    </font>
    <font>
      <sz val="10"/>
      <color rgb="FF2A5A87"/>
      <name val="Calibri"/>
      <family val="0"/>
      <charset val="1"/>
    </font>
    <font>
      <sz val="8"/>
      <color rgb="FF6B7A88"/>
      <name val="Calibri"/>
      <family val="0"/>
      <charset val="1"/>
    </font>
    <font>
      <b val="true"/>
      <sz val="10"/>
      <color rgb="FFFFFFFF"/>
      <name val="Calibri"/>
      <family val="0"/>
      <charset val="1"/>
    </font>
    <font>
      <b val="true"/>
      <sz val="11"/>
      <color rgb="FFEDB230"/>
      <name val="Calibri"/>
      <family val="0"/>
      <charset val="1"/>
    </font>
    <font>
      <b val="true"/>
      <sz val="11"/>
      <color rgb="FFFFFFFF"/>
      <name val="Calibri"/>
      <family val="0"/>
      <charset val="1"/>
    </font>
    <font>
      <b val="true"/>
      <sz val="13"/>
      <color rgb="FF2A5A87"/>
      <name val="Calibri"/>
      <family val="0"/>
      <charset val="1"/>
    </font>
    <font>
      <b val="true"/>
      <sz val="14"/>
      <color rgb="FF142F4C"/>
      <name val="Calibri"/>
      <family val="0"/>
      <charset val="1"/>
    </font>
    <font>
      <b val="true"/>
      <sz val="13"/>
      <color rgb="FF2E7D57"/>
      <name val="Calibri"/>
      <family val="0"/>
      <charset val="1"/>
    </font>
    <font>
      <b val="true"/>
      <sz val="13"/>
      <color rgb="FF5C7E9E"/>
      <name val="Calibri"/>
      <family val="0"/>
      <charset val="1"/>
    </font>
    <font>
      <b val="true"/>
      <sz val="13"/>
      <color rgb="FFB23A2E"/>
      <name val="Calibri"/>
      <family val="0"/>
      <charset val="1"/>
    </font>
    <font>
      <b val="true"/>
      <sz val="11"/>
      <color rgb="FF2E7D57"/>
      <name val="Calibri"/>
      <family val="0"/>
      <charset val="1"/>
    </font>
    <font>
      <b val="true"/>
      <sz val="10"/>
      <color rgb="FFEDB230"/>
      <name val="Calibri"/>
      <family val="0"/>
      <charset val="1"/>
    </font>
    <font>
      <i val="true"/>
      <sz val="8.5"/>
      <color rgb="FFE4EDF5"/>
      <name val="Calibri"/>
      <family val="0"/>
      <charset val="1"/>
    </font>
    <font>
      <b val="true"/>
      <sz val="10"/>
      <color rgb="FF2E7D57"/>
      <name val="Calibri"/>
      <family val="0"/>
      <charset val="1"/>
    </font>
    <font>
      <b val="true"/>
      <sz val="10"/>
      <color rgb="FFB23A2E"/>
      <name val="Calibri"/>
      <family val="0"/>
      <charset val="1"/>
    </font>
    <font>
      <b val="true"/>
      <sz val="9.5"/>
      <color rgb="FF2A5A87"/>
      <name val="Calibri"/>
      <family val="0"/>
      <charset val="1"/>
    </font>
    <font>
      <b val="true"/>
      <sz val="8.5"/>
      <color rgb="FF6B7A88"/>
      <name val="Calibri"/>
      <family val="0"/>
      <charset val="1"/>
    </font>
    <font>
      <b val="true"/>
      <sz val="9"/>
      <color rgb="FF2A5A87"/>
      <name val="Calibri"/>
      <family val="0"/>
      <charset val="1"/>
    </font>
    <font>
      <b val="true"/>
      <sz val="9"/>
      <color rgb="FF2E7D57"/>
      <name val="Calibri"/>
      <family val="0"/>
      <charset val="1"/>
    </font>
    <font>
      <b val="true"/>
      <sz val="9"/>
      <color rgb="FFB23A2E"/>
      <name val="Calibri"/>
      <family val="0"/>
      <charset val="1"/>
    </font>
    <font>
      <b val="true"/>
      <sz val="9"/>
      <color rgb="FF142F4C"/>
      <name val="Calibri"/>
      <family val="0"/>
      <charset val="1"/>
    </font>
    <font>
      <b val="true"/>
      <sz val="18"/>
      <color rgb="FF000000"/>
      <name val="Calibri"/>
      <family val="2"/>
    </font>
    <font>
      <sz val="10"/>
      <color rgb="FF000000"/>
      <name val="Calibri"/>
      <family val="2"/>
    </font>
  </fonts>
  <fills count="11">
    <fill>
      <patternFill patternType="none"/>
    </fill>
    <fill>
      <patternFill patternType="gray125"/>
    </fill>
    <fill>
      <patternFill patternType="solid">
        <fgColor rgb="FF142F4C"/>
        <bgColor rgb="FF1B2733"/>
      </patternFill>
    </fill>
    <fill>
      <patternFill patternType="solid">
        <fgColor rgb="FFEDB230"/>
        <bgColor rgb="FFFFCC00"/>
      </patternFill>
    </fill>
    <fill>
      <patternFill patternType="solid">
        <fgColor rgb="FFFFF8E1"/>
        <bgColor rgb="FFF1F5F8"/>
      </patternFill>
    </fill>
    <fill>
      <patternFill patternType="solid">
        <fgColor rgb="FFF1F5F8"/>
        <bgColor rgb="FFE4EDF5"/>
      </patternFill>
    </fill>
    <fill>
      <patternFill patternType="solid">
        <fgColor rgb="FFFFFFFF"/>
        <bgColor rgb="FFF1F5F8"/>
      </patternFill>
    </fill>
    <fill>
      <patternFill patternType="solid">
        <fgColor rgb="FFFCEFC6"/>
        <bgColor rgb="FFFFF8E1"/>
      </patternFill>
    </fill>
    <fill>
      <patternFill patternType="solid">
        <fgColor rgb="FFDDEEE4"/>
        <bgColor rgb="FFE4EDF5"/>
      </patternFill>
    </fill>
    <fill>
      <patternFill patternType="solid">
        <fgColor rgb="FFE4EDF5"/>
        <bgColor rgb="FFDDEEE4"/>
      </patternFill>
    </fill>
    <fill>
      <patternFill patternType="solid">
        <fgColor rgb="FFF6DDD8"/>
        <bgColor rgb="FFFCEFC6"/>
      </patternFill>
    </fill>
  </fills>
  <borders count="11">
    <border diagonalUp="false" diagonalDown="false">
      <left/>
      <right/>
      <top/>
      <bottom/>
      <diagonal/>
    </border>
    <border diagonalUp="false" diagonalDown="false">
      <left/>
      <right/>
      <top/>
      <bottom style="medium">
        <color rgb="FF142F4C"/>
      </bottom>
      <diagonal/>
    </border>
    <border diagonalUp="false" diagonalDown="false">
      <left style="thin">
        <color rgb="FFC7D2DC"/>
      </left>
      <right style="thin">
        <color rgb="FFC7D2DC"/>
      </right>
      <top style="thin">
        <color rgb="FFC7D2DC"/>
      </top>
      <bottom style="thin">
        <color rgb="FFC7D2DC"/>
      </bottom>
      <diagonal/>
    </border>
    <border diagonalUp="false" diagonalDown="false">
      <left/>
      <right/>
      <top/>
      <bottom style="medium">
        <color rgb="FFEDB230"/>
      </bottom>
      <diagonal/>
    </border>
    <border diagonalUp="false" diagonalDown="false">
      <left/>
      <right/>
      <top style="medium">
        <color rgb="FFEDB230"/>
      </top>
      <bottom/>
      <diagonal/>
    </border>
    <border diagonalUp="false" diagonalDown="false">
      <left style="thin">
        <color rgb="FFC7D2DC"/>
      </left>
      <right style="thin">
        <color rgb="FFC7D2DC"/>
      </right>
      <top style="medium">
        <color rgb="FF2A5A87"/>
      </top>
      <bottom/>
      <diagonal/>
    </border>
    <border diagonalUp="false" diagonalDown="false">
      <left style="thin">
        <color rgb="FFC7D2DC"/>
      </left>
      <right style="thin">
        <color rgb="FFC7D2DC"/>
      </right>
      <top style="medium">
        <color rgb="FFEDB230"/>
      </top>
      <bottom/>
      <diagonal/>
    </border>
    <border diagonalUp="false" diagonalDown="false">
      <left style="thin">
        <color rgb="FFC7D2DC"/>
      </left>
      <right style="thin">
        <color rgb="FFC7D2DC"/>
      </right>
      <top/>
      <bottom style="thin">
        <color rgb="FFC7D2DC"/>
      </bottom>
      <diagonal/>
    </border>
    <border diagonalUp="false" diagonalDown="false">
      <left style="thin">
        <color rgb="FFC7D2DC"/>
      </left>
      <right style="thin">
        <color rgb="FFC7D2DC"/>
      </right>
      <top style="medium">
        <color rgb="FF2E7D57"/>
      </top>
      <bottom/>
      <diagonal/>
    </border>
    <border diagonalUp="false" diagonalDown="false">
      <left style="thin">
        <color rgb="FFC7D2DC"/>
      </left>
      <right style="thin">
        <color rgb="FFC7D2DC"/>
      </right>
      <top style="medium">
        <color rgb="FF5C7E9E"/>
      </top>
      <bottom/>
      <diagonal/>
    </border>
    <border diagonalUp="false" diagonalDown="false">
      <left style="thin">
        <color rgb="FFC7D2DC"/>
      </left>
      <right style="thin">
        <color rgb="FFC7D2DC"/>
      </right>
      <top style="medium">
        <color rgb="FFB23A2E"/>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2" borderId="0" xfId="0" applyFont="true" applyBorder="true" applyAlignment="true" applyProtection="false">
      <alignment horizontal="right" vertical="center" textRotation="0" wrapText="false" indent="1" shrinkToFit="false"/>
      <protection locked="true" hidden="false"/>
    </xf>
    <xf numFmtId="164" fontId="6" fillId="2" borderId="0" xfId="0" applyFont="true" applyBorder="true" applyAlignment="true" applyProtection="false">
      <alignment horizontal="left" vertical="center" textRotation="0" wrapText="false" indent="1" shrinkToFit="false"/>
      <protection locked="true" hidden="false"/>
    </xf>
    <xf numFmtId="164" fontId="7" fillId="2" borderId="0" xfId="0" applyFont="true" applyBorder="true" applyAlignment="true" applyProtection="false">
      <alignment horizontal="right" vertical="center" textRotation="0" wrapText="false" indent="1"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left" vertical="bottom" textRotation="0" wrapText="false" indent="0" shrinkToFit="false"/>
      <protection locked="true" hidden="false"/>
    </xf>
    <xf numFmtId="164" fontId="9" fillId="0" borderId="1" xfId="0" applyFont="true" applyBorder="true" applyAlignment="true" applyProtection="false">
      <alignment horizontal="right" vertical="bottom" textRotation="0" wrapText="false" indent="0" shrinkToFit="false"/>
      <protection locked="true" hidden="false"/>
    </xf>
    <xf numFmtId="164" fontId="10" fillId="0" borderId="0" xfId="0" applyFont="true" applyBorder="true" applyAlignment="true" applyProtection="false">
      <alignment horizontal="left" vertical="bottom" textRotation="0" wrapText="false" indent="1" shrinkToFit="false"/>
      <protection locked="true" hidden="false"/>
    </xf>
    <xf numFmtId="164" fontId="11" fillId="4" borderId="2" xfId="0" applyFont="true" applyBorder="true" applyAlignment="true" applyProtection="false">
      <alignment horizontal="left" vertical="center" textRotation="0" wrapText="false" indent="1" shrinkToFit="false"/>
      <protection locked="true" hidden="false"/>
    </xf>
    <xf numFmtId="165" fontId="11" fillId="4" borderId="2" xfId="0" applyFont="true" applyBorder="true" applyAlignment="true" applyProtection="false">
      <alignment horizontal="left" vertical="center" textRotation="0" wrapText="false" indent="1" shrinkToFit="false"/>
      <protection locked="true" hidden="false"/>
    </xf>
    <xf numFmtId="166" fontId="11" fillId="4" borderId="2" xfId="0" applyFont="true" applyBorder="true" applyAlignment="true" applyProtection="false">
      <alignment horizontal="left" vertical="center" textRotation="0" wrapText="false" indent="1" shrinkToFit="false"/>
      <protection locked="true" hidden="false"/>
    </xf>
    <xf numFmtId="167" fontId="11" fillId="4" borderId="2" xfId="0" applyFont="true" applyBorder="true" applyAlignment="true" applyProtection="false">
      <alignment horizontal="left" vertical="center" textRotation="0" wrapText="false" indent="1" shrinkToFit="false"/>
      <protection locked="true" hidden="false"/>
    </xf>
    <xf numFmtId="168" fontId="11" fillId="4" borderId="2" xfId="0" applyFont="true" applyBorder="true" applyAlignment="true" applyProtection="false">
      <alignment horizontal="left" vertical="center" textRotation="0" wrapText="false" indent="1" shrinkToFit="false"/>
      <protection locked="true" hidden="false"/>
    </xf>
    <xf numFmtId="169" fontId="11" fillId="4" borderId="2" xfId="0" applyFont="true" applyBorder="true" applyAlignment="true" applyProtection="false">
      <alignment horizontal="left" vertical="center" textRotation="0" wrapText="false" indent="1" shrinkToFit="false"/>
      <protection locked="true" hidden="false"/>
    </xf>
    <xf numFmtId="170" fontId="11" fillId="4" borderId="2" xfId="0" applyFont="true" applyBorder="true" applyAlignment="true" applyProtection="false">
      <alignment horizontal="left" vertical="center" textRotation="0" wrapText="false" indent="1" shrinkToFit="false"/>
      <protection locked="true" hidden="false"/>
    </xf>
    <xf numFmtId="171" fontId="11" fillId="4" borderId="2" xfId="0" applyFont="true" applyBorder="true" applyAlignment="true" applyProtection="false">
      <alignment horizontal="left" vertical="center" textRotation="0" wrapText="false" indent="1" shrinkToFit="false"/>
      <protection locked="true" hidden="false"/>
    </xf>
    <xf numFmtId="172" fontId="12" fillId="5" borderId="2" xfId="0" applyFont="true" applyBorder="true" applyAlignment="true" applyProtection="false">
      <alignment horizontal="left" vertical="center" textRotation="0" wrapText="false" indent="1" shrinkToFit="false"/>
      <protection locked="true" hidden="false"/>
    </xf>
    <xf numFmtId="173" fontId="12" fillId="5" borderId="2" xfId="0" applyFont="true" applyBorder="true" applyAlignment="true" applyProtection="false">
      <alignment horizontal="left" vertical="center" textRotation="0" wrapText="false" indent="1" shrinkToFit="false"/>
      <protection locked="true" hidden="false"/>
    </xf>
    <xf numFmtId="164" fontId="13" fillId="2" borderId="3" xfId="0" applyFont="true" applyBorder="true" applyAlignment="true" applyProtection="false">
      <alignment horizontal="center" vertical="center" textRotation="0" wrapText="true" indent="0" shrinkToFit="false"/>
      <protection locked="true" hidden="false"/>
    </xf>
    <xf numFmtId="164" fontId="13" fillId="2" borderId="3" xfId="0" applyFont="true" applyBorder="true" applyAlignment="true" applyProtection="false">
      <alignment horizontal="left" vertical="center" textRotation="0" wrapText="true" indent="1" shrinkToFit="false"/>
      <protection locked="true" hidden="false"/>
    </xf>
    <xf numFmtId="174" fontId="14" fillId="0" borderId="2" xfId="0" applyFont="true" applyBorder="true" applyAlignment="true" applyProtection="false">
      <alignment horizontal="center" vertical="center" textRotation="0" wrapText="false" indent="0" shrinkToFit="false"/>
      <protection locked="true" hidden="false"/>
    </xf>
    <xf numFmtId="164" fontId="15" fillId="4" borderId="2" xfId="0" applyFont="true" applyBorder="true" applyAlignment="true" applyProtection="false">
      <alignment horizontal="left" vertical="center" textRotation="0" wrapText="false" indent="1" shrinkToFit="false"/>
      <protection locked="true" hidden="false"/>
    </xf>
    <xf numFmtId="164" fontId="16" fillId="4" borderId="2" xfId="0" applyFont="true" applyBorder="true" applyAlignment="true" applyProtection="false">
      <alignment horizontal="center" vertical="center" textRotation="0" wrapText="false" indent="0" shrinkToFit="false"/>
      <protection locked="true" hidden="false"/>
    </xf>
    <xf numFmtId="164" fontId="17" fillId="0" borderId="2" xfId="0" applyFont="true" applyBorder="true" applyAlignment="true" applyProtection="false">
      <alignment horizontal="left" vertical="center" textRotation="0" wrapText="false" indent="1" shrinkToFit="false"/>
      <protection locked="true" hidden="false"/>
    </xf>
    <xf numFmtId="164" fontId="18" fillId="0" borderId="2" xfId="0" applyFont="true" applyBorder="true" applyAlignment="true" applyProtection="false">
      <alignment horizontal="left" vertical="center" textRotation="0" wrapText="false" indent="1" shrinkToFit="false"/>
      <protection locked="true" hidden="false"/>
    </xf>
    <xf numFmtId="164" fontId="19" fillId="0" borderId="2" xfId="0" applyFont="true" applyBorder="true" applyAlignment="true" applyProtection="false">
      <alignment horizontal="center" vertical="center" textRotation="0" wrapText="false" indent="0" shrinkToFit="false"/>
      <protection locked="true" hidden="false"/>
    </xf>
    <xf numFmtId="164" fontId="20" fillId="4" borderId="2" xfId="0" applyFont="true" applyBorder="true" applyAlignment="true" applyProtection="false">
      <alignment horizontal="left" vertical="center" textRotation="0" wrapText="false" indent="1" shrinkToFit="false"/>
      <protection locked="true" hidden="false"/>
    </xf>
    <xf numFmtId="175" fontId="15" fillId="0" borderId="2" xfId="0" applyFont="true" applyBorder="true" applyAlignment="true" applyProtection="false">
      <alignment horizontal="center" vertical="center" textRotation="0" wrapText="false" indent="0" shrinkToFit="false"/>
      <protection locked="true" hidden="false"/>
    </xf>
    <xf numFmtId="176" fontId="15" fillId="4" borderId="2" xfId="0" applyFont="true" applyBorder="true" applyAlignment="true" applyProtection="false">
      <alignment horizontal="center" vertical="center" textRotation="0" wrapText="false" indent="0" shrinkToFit="false"/>
      <protection locked="true" hidden="false"/>
    </xf>
    <xf numFmtId="175" fontId="21" fillId="5" borderId="2" xfId="0" applyFont="true" applyBorder="true" applyAlignment="true" applyProtection="false">
      <alignment horizontal="right" vertical="center" textRotation="0" wrapText="false" indent="0" shrinkToFit="false"/>
      <protection locked="true" hidden="false"/>
    </xf>
    <xf numFmtId="176" fontId="15" fillId="5" borderId="2" xfId="0" applyFont="true" applyBorder="true" applyAlignment="true" applyProtection="false">
      <alignment horizontal="right" vertical="center" textRotation="0" wrapText="false" indent="0" shrinkToFit="false"/>
      <protection locked="true" hidden="false"/>
    </xf>
    <xf numFmtId="166" fontId="22" fillId="5" borderId="2" xfId="0" applyFont="true" applyBorder="true" applyAlignment="true" applyProtection="false">
      <alignment horizontal="right" vertical="center" textRotation="0" wrapText="false" indent="0" shrinkToFit="false"/>
      <protection locked="true" hidden="false"/>
    </xf>
    <xf numFmtId="174" fontId="23" fillId="0" borderId="0" xfId="0" applyFont="true" applyBorder="false" applyAlignment="false" applyProtection="false">
      <alignment horizontal="general" vertical="bottom" textRotation="0" wrapText="false" indent="0" shrinkToFit="false"/>
      <protection locked="true" hidden="false"/>
    </xf>
    <xf numFmtId="164" fontId="24" fillId="2" borderId="4" xfId="0" applyFont="true" applyBorder="true" applyAlignment="true" applyProtection="false">
      <alignment horizontal="left" vertical="center" textRotation="0" wrapText="false" indent="1" shrinkToFit="false"/>
      <protection locked="true" hidden="false"/>
    </xf>
    <xf numFmtId="164" fontId="25" fillId="2" borderId="4" xfId="0" applyFont="true" applyBorder="true" applyAlignment="true" applyProtection="false">
      <alignment horizontal="center" vertical="center" textRotation="0" wrapText="false" indent="0" shrinkToFit="false"/>
      <protection locked="true" hidden="false"/>
    </xf>
    <xf numFmtId="164" fontId="0" fillId="2" borderId="4" xfId="0" applyFont="false" applyBorder="true" applyAlignment="false" applyProtection="false">
      <alignment horizontal="general" vertical="bottom" textRotation="0" wrapText="false" indent="0" shrinkToFit="false"/>
      <protection locked="true" hidden="false"/>
    </xf>
    <xf numFmtId="175" fontId="25" fillId="2" borderId="4" xfId="0" applyFont="true" applyBorder="true" applyAlignment="true" applyProtection="false">
      <alignment horizontal="right" vertical="center" textRotation="0" wrapText="false" indent="0" shrinkToFit="false"/>
      <protection locked="true" hidden="false"/>
    </xf>
    <xf numFmtId="176" fontId="26" fillId="2" borderId="4" xfId="0" applyFont="true" applyBorder="true" applyAlignment="true" applyProtection="false">
      <alignment horizontal="right" vertical="center" textRotation="0" wrapText="false" indent="0" shrinkToFit="false"/>
      <protection locked="true" hidden="false"/>
    </xf>
    <xf numFmtId="166" fontId="26" fillId="2" borderId="4" xfId="0" applyFont="true" applyBorder="true" applyAlignment="true" applyProtection="false">
      <alignment horizontal="right" vertical="center" textRotation="0" wrapText="false" indent="0" shrinkToFit="false"/>
      <protection locked="true" hidden="false"/>
    </xf>
    <xf numFmtId="164" fontId="10" fillId="6" borderId="5" xfId="0" applyFont="true" applyBorder="true" applyAlignment="true" applyProtection="false">
      <alignment horizontal="left" vertical="center" textRotation="0" wrapText="false" indent="1" shrinkToFit="false"/>
      <protection locked="true" hidden="false"/>
    </xf>
    <xf numFmtId="164" fontId="10" fillId="7" borderId="6" xfId="0" applyFont="true" applyBorder="true" applyAlignment="true" applyProtection="false">
      <alignment horizontal="left" vertical="center" textRotation="0" wrapText="false" indent="1" shrinkToFit="false"/>
      <protection locked="true" hidden="false"/>
    </xf>
    <xf numFmtId="175" fontId="27" fillId="6" borderId="7" xfId="0" applyFont="true" applyBorder="true" applyAlignment="true" applyProtection="false">
      <alignment horizontal="left" vertical="center" textRotation="0" wrapText="false" indent="1" shrinkToFit="false"/>
      <protection locked="true" hidden="false"/>
    </xf>
    <xf numFmtId="170" fontId="27" fillId="6" borderId="7" xfId="0" applyFont="true" applyBorder="true" applyAlignment="true" applyProtection="false">
      <alignment horizontal="left" vertical="center" textRotation="0" wrapText="false" indent="1" shrinkToFit="false"/>
      <protection locked="true" hidden="false"/>
    </xf>
    <xf numFmtId="170" fontId="28" fillId="7" borderId="7" xfId="0" applyFont="true" applyBorder="true" applyAlignment="true" applyProtection="false">
      <alignment horizontal="left" vertical="center" textRotation="0" wrapText="false" indent="1" shrinkToFit="false"/>
      <protection locked="true" hidden="false"/>
    </xf>
    <xf numFmtId="177" fontId="27" fillId="6" borderId="7" xfId="0" applyFont="true" applyBorder="true" applyAlignment="true" applyProtection="false">
      <alignment horizontal="left" vertical="center" textRotation="0" wrapText="false" indent="1" shrinkToFit="false"/>
      <protection locked="true" hidden="false"/>
    </xf>
    <xf numFmtId="167" fontId="27" fillId="6" borderId="7" xfId="0" applyFont="true" applyBorder="true" applyAlignment="true" applyProtection="false">
      <alignment horizontal="left" vertical="center" textRotation="0" wrapText="false" indent="1" shrinkToFit="false"/>
      <protection locked="true" hidden="false"/>
    </xf>
    <xf numFmtId="178" fontId="27" fillId="6" borderId="7" xfId="0" applyFont="true" applyBorder="true" applyAlignment="true" applyProtection="false">
      <alignment horizontal="left" vertical="center" textRotation="0" wrapText="false" indent="1" shrinkToFit="false"/>
      <protection locked="true" hidden="false"/>
    </xf>
    <xf numFmtId="168" fontId="27" fillId="6" borderId="7" xfId="0" applyFont="true" applyBorder="true" applyAlignment="true" applyProtection="false">
      <alignment horizontal="left" vertical="center" textRotation="0" wrapText="false" indent="1" shrinkToFit="false"/>
      <protection locked="true" hidden="false"/>
    </xf>
    <xf numFmtId="179" fontId="28" fillId="7" borderId="7" xfId="0" applyFont="true" applyBorder="true" applyAlignment="true" applyProtection="false">
      <alignment horizontal="left" vertical="center" textRotation="0" wrapText="false" indent="1" shrinkToFit="false"/>
      <protection locked="true" hidden="false"/>
    </xf>
    <xf numFmtId="180" fontId="27" fillId="6" borderId="7" xfId="0" applyFont="true" applyBorder="true" applyAlignment="true" applyProtection="false">
      <alignment horizontal="left" vertical="center" textRotation="0" wrapText="false" indent="1" shrinkToFit="false"/>
      <protection locked="true" hidden="false"/>
    </xf>
    <xf numFmtId="164" fontId="10" fillId="6" borderId="8" xfId="0" applyFont="true" applyBorder="true" applyAlignment="true" applyProtection="false">
      <alignment horizontal="left" vertical="center" textRotation="0" wrapText="false" indent="1" shrinkToFit="false"/>
      <protection locked="true" hidden="false"/>
    </xf>
    <xf numFmtId="164" fontId="10" fillId="6" borderId="9" xfId="0" applyFont="true" applyBorder="true" applyAlignment="true" applyProtection="false">
      <alignment horizontal="left" vertical="center" textRotation="0" wrapText="false" indent="1" shrinkToFit="false"/>
      <protection locked="true" hidden="false"/>
    </xf>
    <xf numFmtId="164" fontId="10" fillId="6" borderId="10" xfId="0" applyFont="true" applyBorder="true" applyAlignment="true" applyProtection="false">
      <alignment horizontal="left" vertical="center" textRotation="0" wrapText="false" indent="1" shrinkToFit="false"/>
      <protection locked="true" hidden="false"/>
    </xf>
    <xf numFmtId="170" fontId="29" fillId="6" borderId="7" xfId="0" applyFont="true" applyBorder="true" applyAlignment="true" applyProtection="false">
      <alignment horizontal="left" vertical="center" textRotation="0" wrapText="false" indent="1" shrinkToFit="false"/>
      <protection locked="true" hidden="false"/>
    </xf>
    <xf numFmtId="166" fontId="29" fillId="6" borderId="7" xfId="0" applyFont="true" applyBorder="true" applyAlignment="true" applyProtection="false">
      <alignment horizontal="left" vertical="center" textRotation="0" wrapText="false" indent="1" shrinkToFit="false"/>
      <protection locked="true" hidden="false"/>
    </xf>
    <xf numFmtId="166" fontId="30" fillId="6" borderId="7" xfId="0" applyFont="true" applyBorder="true" applyAlignment="true" applyProtection="false">
      <alignment horizontal="left" vertical="center" textRotation="0" wrapText="false" indent="1" shrinkToFit="false"/>
      <protection locked="true" hidden="false"/>
    </xf>
    <xf numFmtId="166" fontId="31" fillId="6" borderId="7" xfId="0" applyFont="true" applyBorder="true" applyAlignment="true" applyProtection="false">
      <alignment horizontal="left" vertical="center" textRotation="0" wrapText="false" indent="1" shrinkToFit="false"/>
      <protection locked="true" hidden="false"/>
    </xf>
    <xf numFmtId="164" fontId="32" fillId="8" borderId="2" xfId="0" applyFont="true" applyBorder="true" applyAlignment="true" applyProtection="false">
      <alignment horizontal="left" vertical="center" textRotation="0" wrapText="false" indent="1" shrinkToFit="false"/>
      <protection locked="true" hidden="false"/>
    </xf>
    <xf numFmtId="164" fontId="9" fillId="0" borderId="0" xfId="0" applyFont="true" applyBorder="true" applyAlignment="true" applyProtection="false">
      <alignment horizontal="left" vertical="center" textRotation="0" wrapText="true" indent="0" shrinkToFit="false"/>
      <protection locked="true" hidden="false"/>
    </xf>
    <xf numFmtId="164" fontId="13" fillId="2" borderId="3" xfId="0" applyFont="true" applyBorder="true" applyAlignment="true" applyProtection="false">
      <alignment horizontal="center" vertical="center" textRotation="0" wrapText="false" indent="0" shrinkToFit="false"/>
      <protection locked="true" hidden="false"/>
    </xf>
    <xf numFmtId="164" fontId="13" fillId="2" borderId="3" xfId="0" applyFont="true" applyBorder="true" applyAlignment="true" applyProtection="false">
      <alignment horizontal="left" vertical="center" textRotation="0" wrapText="false" indent="1" shrinkToFit="false"/>
      <protection locked="true" hidden="false"/>
    </xf>
    <xf numFmtId="164" fontId="15" fillId="0" borderId="2" xfId="0" applyFont="true" applyBorder="true" applyAlignment="true" applyProtection="false">
      <alignment horizontal="left" vertical="center" textRotation="0" wrapText="false" indent="1" shrinkToFit="false"/>
      <protection locked="true" hidden="false"/>
    </xf>
    <xf numFmtId="175" fontId="21" fillId="4" borderId="2" xfId="0" applyFont="true" applyBorder="true" applyAlignment="true" applyProtection="false">
      <alignment horizontal="center" vertical="center" textRotation="0" wrapText="false" indent="0" shrinkToFit="false"/>
      <protection locked="true" hidden="false"/>
    </xf>
    <xf numFmtId="164" fontId="9" fillId="0" borderId="2" xfId="0" applyFont="true" applyBorder="true" applyAlignment="true" applyProtection="false">
      <alignment horizontal="left" vertical="center" textRotation="0" wrapText="false" indent="1" shrinkToFit="false"/>
      <protection locked="true" hidden="false"/>
    </xf>
    <xf numFmtId="175" fontId="33" fillId="2" borderId="4" xfId="0" applyFont="true" applyBorder="true" applyAlignment="true" applyProtection="false">
      <alignment horizontal="center" vertical="center" textRotation="0" wrapText="false" indent="0" shrinkToFit="false"/>
      <protection locked="true" hidden="false"/>
    </xf>
    <xf numFmtId="164" fontId="34" fillId="2" borderId="4" xfId="0" applyFont="true" applyBorder="true" applyAlignment="true" applyProtection="false">
      <alignment horizontal="left" vertical="center" textRotation="0" wrapText="false" indent="1" shrinkToFit="false"/>
      <protection locked="true" hidden="false"/>
    </xf>
    <xf numFmtId="165" fontId="16" fillId="5" borderId="2" xfId="0" applyFont="true" applyBorder="true" applyAlignment="true" applyProtection="false">
      <alignment horizontal="center" vertical="center" textRotation="0" wrapText="false" indent="0" shrinkToFit="false"/>
      <protection locked="true" hidden="false"/>
    </xf>
    <xf numFmtId="164" fontId="20" fillId="0" borderId="2" xfId="0" applyFont="true" applyBorder="true" applyAlignment="true" applyProtection="false">
      <alignment horizontal="left" vertical="center" textRotation="0" wrapText="false" indent="1" shrinkToFit="false"/>
      <protection locked="true" hidden="false"/>
    </xf>
    <xf numFmtId="173" fontId="16" fillId="5" borderId="2" xfId="0" applyFont="true" applyBorder="true" applyAlignment="true" applyProtection="false">
      <alignment horizontal="center" vertical="center" textRotation="0" wrapText="false" indent="0" shrinkToFit="false"/>
      <protection locked="true" hidden="false"/>
    </xf>
    <xf numFmtId="181" fontId="16" fillId="5" borderId="2" xfId="0" applyFont="true" applyBorder="true" applyAlignment="true" applyProtection="false">
      <alignment horizontal="center" vertical="center" textRotation="0" wrapText="false" indent="0" shrinkToFit="false"/>
      <protection locked="true" hidden="false"/>
    </xf>
    <xf numFmtId="172" fontId="16" fillId="5" borderId="2" xfId="0" applyFont="true" applyBorder="true" applyAlignment="true" applyProtection="false">
      <alignment horizontal="center" vertical="center" textRotation="0" wrapText="false" indent="0" shrinkToFit="false"/>
      <protection locked="true" hidden="false"/>
    </xf>
    <xf numFmtId="164" fontId="35" fillId="8" borderId="2" xfId="0" applyFont="true" applyBorder="true" applyAlignment="true" applyProtection="false">
      <alignment horizontal="center" vertical="center" textRotation="0" wrapText="false" indent="0" shrinkToFit="false"/>
      <protection locked="true" hidden="false"/>
    </xf>
    <xf numFmtId="164" fontId="16" fillId="9" borderId="2" xfId="0" applyFont="true" applyBorder="true" applyAlignment="true" applyProtection="false">
      <alignment horizontal="center" vertical="center" textRotation="0" wrapText="false" indent="0" shrinkToFit="false"/>
      <protection locked="true" hidden="false"/>
    </xf>
    <xf numFmtId="164" fontId="36" fillId="10" borderId="2" xfId="0" applyFont="true" applyBorder="true" applyAlignment="true" applyProtection="false">
      <alignment horizontal="center" vertical="center" textRotation="0" wrapText="false" indent="0" shrinkToFit="false"/>
      <protection locked="true" hidden="false"/>
    </xf>
    <xf numFmtId="182" fontId="15" fillId="0" borderId="2" xfId="0" applyFont="true" applyBorder="true" applyAlignment="true" applyProtection="false">
      <alignment horizontal="center" vertical="center" textRotation="0" wrapText="false" indent="0" shrinkToFit="false"/>
      <protection locked="true" hidden="false"/>
    </xf>
    <xf numFmtId="182" fontId="24" fillId="2" borderId="4" xfId="0" applyFont="true" applyBorder="true" applyAlignment="true" applyProtection="false">
      <alignment horizontal="center" vertical="center" textRotation="0" wrapText="false" indent="0" shrinkToFit="false"/>
      <protection locked="true" hidden="false"/>
    </xf>
    <xf numFmtId="175" fontId="33" fillId="2" borderId="4" xfId="0" applyFont="true" applyBorder="true" applyAlignment="true" applyProtection="false">
      <alignment horizontal="right" vertical="center" textRotation="0" wrapText="false" indent="0" shrinkToFit="false"/>
      <protection locked="true" hidden="false"/>
    </xf>
    <xf numFmtId="176" fontId="24" fillId="2" borderId="4" xfId="0" applyFont="true" applyBorder="true" applyAlignment="true" applyProtection="false">
      <alignment horizontal="right" vertical="center" textRotation="0" wrapText="false" indent="0" shrinkToFit="false"/>
      <protection locked="true" hidden="false"/>
    </xf>
    <xf numFmtId="166" fontId="24" fillId="2" borderId="4" xfId="0" applyFont="true" applyBorder="true" applyAlignment="true" applyProtection="false">
      <alignment horizontal="right" vertical="center" textRotation="0" wrapText="false" indent="0" shrinkToFit="false"/>
      <protection locked="true" hidden="false"/>
    </xf>
    <xf numFmtId="164" fontId="35" fillId="8" borderId="2" xfId="0" applyFont="true" applyBorder="true" applyAlignment="true" applyProtection="false">
      <alignment horizontal="left" vertical="center" textRotation="0" wrapText="false" indent="1" shrinkToFit="false"/>
      <protection locked="true" hidden="false"/>
    </xf>
    <xf numFmtId="166" fontId="35" fillId="5" borderId="2" xfId="0" applyFont="true" applyBorder="true" applyAlignment="true" applyProtection="false">
      <alignment horizontal="right" vertical="center" textRotation="0" wrapText="false" indent="0" shrinkToFit="false"/>
      <protection locked="true" hidden="false"/>
    </xf>
    <xf numFmtId="164" fontId="16" fillId="9" borderId="2" xfId="0" applyFont="true" applyBorder="true" applyAlignment="true" applyProtection="false">
      <alignment horizontal="left" vertical="center" textRotation="0" wrapText="false" indent="1" shrinkToFit="false"/>
      <protection locked="true" hidden="false"/>
    </xf>
    <xf numFmtId="166" fontId="16" fillId="5" borderId="2" xfId="0" applyFont="true" applyBorder="true" applyAlignment="true" applyProtection="false">
      <alignment horizontal="right" vertical="center" textRotation="0" wrapText="false" indent="0" shrinkToFit="false"/>
      <protection locked="true" hidden="false"/>
    </xf>
    <xf numFmtId="164" fontId="36" fillId="10" borderId="2" xfId="0" applyFont="true" applyBorder="true" applyAlignment="true" applyProtection="false">
      <alignment horizontal="left" vertical="center" textRotation="0" wrapText="false" indent="1" shrinkToFit="false"/>
      <protection locked="true" hidden="false"/>
    </xf>
    <xf numFmtId="166" fontId="36" fillId="5" borderId="2" xfId="0" applyFont="true" applyBorder="true" applyAlignment="true" applyProtection="false">
      <alignment horizontal="right" vertical="center" textRotation="0" wrapText="false" indent="0" shrinkToFit="false"/>
      <protection locked="true" hidden="false"/>
    </xf>
    <xf numFmtId="164" fontId="37" fillId="0" borderId="2"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left" vertical="center" textRotation="0" wrapText="false" indent="0" shrinkToFit="false"/>
      <protection locked="true" hidden="false"/>
    </xf>
    <xf numFmtId="164" fontId="33" fillId="2" borderId="0" xfId="0" applyFont="true" applyBorder="false" applyAlignment="true" applyProtection="false">
      <alignment horizontal="center" vertical="center" textRotation="0" wrapText="false" indent="0" shrinkToFit="false"/>
      <protection locked="true" hidden="false"/>
    </xf>
    <xf numFmtId="164" fontId="17" fillId="0" borderId="0" xfId="0" applyFont="true" applyBorder="true" applyAlignment="true" applyProtection="false">
      <alignment horizontal="left" vertical="center" textRotation="0" wrapText="false" indent="1" shrinkToFit="false"/>
      <protection locked="true" hidden="false"/>
    </xf>
    <xf numFmtId="164" fontId="38" fillId="0" borderId="0" xfId="0" applyFont="true" applyBorder="false" applyAlignment="true" applyProtection="false">
      <alignment horizontal="left" vertical="center" textRotation="0" wrapText="false" indent="0" shrinkToFit="false"/>
      <protection locked="true" hidden="false"/>
    </xf>
    <xf numFmtId="164" fontId="19" fillId="4" borderId="2" xfId="0" applyFont="true" applyBorder="true" applyAlignment="true" applyProtection="false">
      <alignment horizontal="center" vertical="center" textRotation="0" wrapText="false" indent="0" shrinkToFit="false"/>
      <protection locked="true" hidden="false"/>
    </xf>
    <xf numFmtId="164" fontId="39" fillId="5" borderId="2" xfId="0" applyFont="true" applyBorder="true" applyAlignment="true" applyProtection="false">
      <alignment horizontal="center" vertical="center" textRotation="0" wrapText="false" indent="0" shrinkToFit="false"/>
      <protection locked="true" hidden="false"/>
    </xf>
    <xf numFmtId="164" fontId="40" fillId="8" borderId="2" xfId="0" applyFont="true" applyBorder="true" applyAlignment="true" applyProtection="false">
      <alignment horizontal="center" vertical="center" textRotation="0" wrapText="false" indent="0" shrinkToFit="false"/>
      <protection locked="true" hidden="false"/>
    </xf>
    <xf numFmtId="164" fontId="39" fillId="9" borderId="2" xfId="0" applyFont="true" applyBorder="true" applyAlignment="true" applyProtection="false">
      <alignment horizontal="center" vertical="center" textRotation="0" wrapText="false" indent="0" shrinkToFit="false"/>
      <protection locked="true" hidden="false"/>
    </xf>
    <xf numFmtId="164" fontId="41" fillId="10" borderId="2" xfId="0" applyFont="true" applyBorder="true" applyAlignment="true" applyProtection="false">
      <alignment horizontal="center" vertical="center" textRotation="0" wrapText="false" indent="0" shrinkToFit="false"/>
      <protection locked="true" hidden="false"/>
    </xf>
    <xf numFmtId="164" fontId="42" fillId="7" borderId="2"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9">
    <dxf>
      <fill>
        <patternFill patternType="solid">
          <fgColor rgb="FF142F4C"/>
          <bgColor rgb="FF000000"/>
        </patternFill>
      </fill>
    </dxf>
    <dxf>
      <fill>
        <patternFill patternType="solid">
          <bgColor rgb="FF000000"/>
        </patternFill>
      </fill>
    </dxf>
    <dxf>
      <fill>
        <patternFill patternType="solid">
          <fgColor rgb="FF6B7A88"/>
          <bgColor rgb="FF000000"/>
        </patternFill>
      </fill>
    </dxf>
    <dxf>
      <fill>
        <patternFill patternType="solid">
          <fgColor rgb="FFFFFFFF"/>
          <bgColor rgb="FF000000"/>
        </patternFill>
      </fill>
    </dxf>
    <dxf>
      <fill>
        <patternFill patternType="solid">
          <fgColor rgb="FFFFF8E1"/>
          <bgColor rgb="FF000000"/>
        </patternFill>
      </fill>
    </dxf>
    <dxf>
      <fill>
        <patternFill patternType="solid">
          <fgColor rgb="FF1B2733"/>
          <bgColor rgb="FF000000"/>
        </patternFill>
      </fill>
    </dxf>
    <dxf>
      <fill>
        <patternFill patternType="solid">
          <fgColor rgb="FF2A5A87"/>
          <bgColor rgb="FF000000"/>
        </patternFill>
      </fill>
    </dxf>
    <dxf>
      <fill>
        <patternFill patternType="solid">
          <fgColor rgb="FFDDEEE4"/>
          <bgColor rgb="FF000000"/>
        </patternFill>
      </fill>
    </dxf>
    <dxf>
      <fill>
        <patternFill patternType="solid">
          <fgColor rgb="FFE4EDF5"/>
          <bgColor rgb="FF000000"/>
        </patternFill>
      </fill>
    </dxf>
    <dxf>
      <fill>
        <patternFill patternType="solid">
          <fgColor rgb="FFF6DDD8"/>
          <bgColor rgb="FF000000"/>
        </patternFill>
      </fill>
    </dxf>
    <dxf>
      <fill>
        <patternFill patternType="solid">
          <fgColor rgb="FF2E7D57"/>
          <bgColor rgb="FF000000"/>
        </patternFill>
      </fill>
    </dxf>
    <dxf>
      <fill>
        <patternFill patternType="solid">
          <fgColor rgb="FFB23A2E"/>
          <bgColor rgb="FF000000"/>
        </patternFill>
      </fill>
    </dxf>
    <dxf>
      <fill>
        <patternFill patternType="solid">
          <fgColor rgb="FFF1F5F8"/>
          <bgColor rgb="FF000000"/>
        </patternFill>
      </fill>
    </dxf>
    <dxf>
      <font>
        <name val="Calibri"/>
        <charset val="1"/>
        <family val="0"/>
        <b val="1"/>
        <color rgb="FFB23A2E"/>
        <sz val="11"/>
      </font>
      <fill>
        <patternFill>
          <bgColor rgb="FFF6DDD8"/>
        </patternFill>
      </fill>
    </dxf>
    <dxf>
      <font>
        <name val="Calibri"/>
        <charset val="1"/>
        <family val="0"/>
        <b val="1"/>
        <color rgb="FF2E7D57"/>
        <sz val="9"/>
      </font>
      <fill>
        <patternFill>
          <bgColor rgb="FFDDEEE4"/>
        </patternFill>
      </fill>
    </dxf>
    <dxf>
      <font>
        <name val="Calibri"/>
        <charset val="1"/>
        <family val="0"/>
        <b val="1"/>
        <color rgb="FF2A5A87"/>
        <sz val="9"/>
      </font>
      <fill>
        <patternFill>
          <bgColor rgb="FFE4EDF5"/>
        </patternFill>
      </fill>
    </dxf>
    <dxf>
      <font>
        <name val="Calibri"/>
        <charset val="1"/>
        <family val="0"/>
        <b val="1"/>
        <color rgb="FFB23A2E"/>
        <sz val="9"/>
      </font>
      <fill>
        <patternFill>
          <bgColor rgb="FFF6DDD8"/>
        </patternFill>
      </fill>
    </dxf>
    <dxf>
      <font>
        <name val="Calibri"/>
        <charset val="1"/>
        <family val="0"/>
        <b val="1"/>
        <color rgb="FFB23A2E"/>
        <sz val="10"/>
      </font>
      <fill>
        <patternFill>
          <bgColor rgb="FFF6DDD8"/>
        </patternFill>
      </fill>
    </dxf>
    <dxf>
      <font>
        <name val="Calibri"/>
        <charset val="1"/>
        <family val="0"/>
        <b val="1"/>
        <color rgb="FF8A6D1F"/>
        <sz val="9"/>
      </font>
      <fill>
        <patternFill>
          <bgColor rgb="FFFCEFC6"/>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A6D1F"/>
      <rgbColor rgb="FF800080"/>
      <rgbColor rgb="FF008080"/>
      <rgbColor rgb="FFD9D9D9"/>
      <rgbColor rgb="FF878787"/>
      <rgbColor rgb="FF9999FF"/>
      <rgbColor rgb="FF993366"/>
      <rgbColor rgb="FFFFF8E1"/>
      <rgbColor rgb="FFE4EDF5"/>
      <rgbColor rgb="FF660066"/>
      <rgbColor rgb="FFFF8080"/>
      <rgbColor rgb="FF0066CC"/>
      <rgbColor rgb="FFC7D2DC"/>
      <rgbColor rgb="FF000080"/>
      <rgbColor rgb="FFFF00FF"/>
      <rgbColor rgb="FFFFFF00"/>
      <rgbColor rgb="FF00FFFF"/>
      <rgbColor rgb="FF800080"/>
      <rgbColor rgb="FF800000"/>
      <rgbColor rgb="FF008080"/>
      <rgbColor rgb="FF0000FF"/>
      <rgbColor rgb="FF00CCFF"/>
      <rgbColor rgb="FFF1F5F8"/>
      <rgbColor rgb="FFDDEEE4"/>
      <rgbColor rgb="FFFCEFC6"/>
      <rgbColor rgb="FF99CCFF"/>
      <rgbColor rgb="FFFF99CC"/>
      <rgbColor rgb="FFCC99FF"/>
      <rgbColor rgb="FFF6DDD8"/>
      <rgbColor rgb="FF4F81BD"/>
      <rgbColor rgb="FF33CCCC"/>
      <rgbColor rgb="FF99CC00"/>
      <rgbColor rgb="FFFFCC00"/>
      <rgbColor rgb="FFEDB230"/>
      <rgbColor rgb="FFFF6600"/>
      <rgbColor rgb="FF6B7A88"/>
      <rgbColor rgb="FF5C7E9E"/>
      <rgbColor rgb="FF142F4C"/>
      <rgbColor rgb="FF2E7D57"/>
      <rgbColor rgb="FF003300"/>
      <rgbColor rgb="FF333300"/>
      <rgbColor rgb="FFB23A2E"/>
      <rgbColor rgb="FF993366"/>
      <rgbColor rgb="FF2A5A87"/>
      <rgbColor rgb="FF1B27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TMU-Anteil nach Kategorie</a:t>
            </a:r>
          </a:p>
        </c:rich>
      </c:tx>
      <c:overlay val="0"/>
      <c:spPr>
        <a:noFill/>
        <a:ln w="0">
          <a:noFill/>
        </a:ln>
      </c:spPr>
    </c:title>
    <c:autoTitleDeleted val="0"/>
    <c:plotArea>
      <c:barChart>
        <c:barDir val="bar"/>
        <c:grouping val="clustered"/>
        <c:varyColors val="0"/>
        <c:ser>
          <c:idx val="0"/>
          <c:order val="0"/>
          <c:tx>
            <c:strRef>
              <c:f>Auswertung!E11</c:f>
              <c:strCache>
                <c:ptCount val="1"/>
                <c:pt idx="0">
                  <c:v>Gesamt-TMU</c:v>
                </c:pt>
              </c:strCache>
            </c:strRef>
          </c:tx>
          <c:spPr>
            <a:solidFill>
              <a:srgbClr val="2a5a87"/>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Auswertung!$B$12:$B$20</c:f>
              <c:strCache>
                <c:ptCount val="9"/>
                <c:pt idx="0">
                  <c:v>Aufnehmen &amp; Ablegen</c:v>
                </c:pt>
                <c:pt idx="1">
                  <c:v>Bewegen &amp; Bringen</c:v>
                </c:pt>
                <c:pt idx="2">
                  <c:v>Fügen &amp; Montieren</c:v>
                </c:pt>
                <c:pt idx="3">
                  <c:v>Betätigen &amp; Bedienen</c:v>
                </c:pt>
                <c:pt idx="4">
                  <c:v>Werkzeug &amp; Hilfsmittel</c:v>
                </c:pt>
                <c:pt idx="5">
                  <c:v>Prüfen &amp; Messen</c:v>
                </c:pt>
                <c:pt idx="6">
                  <c:v>Körperbewegung &amp; Wege</c:v>
                </c:pt>
                <c:pt idx="7">
                  <c:v>Transport &amp; Behälter</c:v>
                </c:pt>
                <c:pt idx="8">
                  <c:v>Warten &amp; Störung</c:v>
                </c:pt>
              </c:strCache>
            </c:strRef>
          </c:cat>
          <c:val>
            <c:numRef>
              <c:f>Auswertung!$E$12:$E$20</c:f>
              <c:numCache>
                <c:formatCode>#,##0.0</c:formatCode>
                <c:ptCount val="9"/>
                <c:pt idx="0">
                  <c:v>64</c:v>
                </c:pt>
                <c:pt idx="1">
                  <c:v>16</c:v>
                </c:pt>
                <c:pt idx="2">
                  <c:v>120</c:v>
                </c:pt>
                <c:pt idx="3">
                  <c:v>30</c:v>
                </c:pt>
                <c:pt idx="4">
                  <c:v>275</c:v>
                </c:pt>
                <c:pt idx="5">
                  <c:v>15</c:v>
                </c:pt>
                <c:pt idx="6">
                  <c:v>20</c:v>
                </c:pt>
                <c:pt idx="7">
                  <c:v>4.8</c:v>
                </c:pt>
                <c:pt idx="8">
                  <c:v>0</c:v>
                </c:pt>
              </c:numCache>
            </c:numRef>
          </c:val>
        </c:ser>
        <c:gapWidth val="150"/>
        <c:overlap val="0"/>
        <c:axId val="80169038"/>
        <c:axId val="97869267"/>
      </c:barChart>
      <c:catAx>
        <c:axId val="80169038"/>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97869267"/>
        <c:crosses val="autoZero"/>
        <c:auto val="1"/>
        <c:lblAlgn val="ctr"/>
        <c:lblOffset val="100"/>
        <c:noMultiLvlLbl val="0"/>
      </c:catAx>
      <c:valAx>
        <c:axId val="97869267"/>
        <c:scaling>
          <c:orientation val="minMax"/>
        </c:scaling>
        <c:delete val="0"/>
        <c:axPos val="l"/>
        <c:majorGridlines>
          <c:spPr>
            <a:ln w="9360">
              <a:solidFill>
                <a:srgbClr val="878787"/>
              </a:solidFill>
              <a:round/>
            </a:ln>
          </c:spPr>
        </c:majorGridlines>
        <c:numFmt formatCode="#,##0.0"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0169038"/>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Wertschöpfungsstruktur</a:t>
            </a:r>
          </a:p>
        </c:rich>
      </c:tx>
      <c:overlay val="0"/>
      <c:spPr>
        <a:noFill/>
        <a:ln w="0">
          <a:noFill/>
        </a:ln>
      </c:spPr>
    </c:title>
    <c:autoTitleDeleted val="0"/>
    <c:plotArea>
      <c:pieChart>
        <c:varyColors val="1"/>
        <c:ser>
          <c:idx val="0"/>
          <c:order val="0"/>
          <c:tx>
            <c:strRef>
              <c:f>Auswertung!E24</c:f>
              <c:strCache>
                <c:ptCount val="1"/>
                <c:pt idx="0">
                  <c:v>Gesamt-TMU</c:v>
                </c:pt>
              </c:strCache>
            </c:strRef>
          </c:tx>
          <c:spPr>
            <a:solidFill>
              <a:srgbClr val="4f81bd"/>
            </a:solidFill>
            <a:ln w="0">
              <a:noFill/>
            </a:ln>
          </c:spPr>
          <c:explosion val="0"/>
          <c:dPt>
            <c:idx val="0"/>
            <c:spPr>
              <a:solidFill>
                <a:srgbClr val="2e7d57"/>
              </a:solidFill>
              <a:ln w="0">
                <a:noFill/>
              </a:ln>
            </c:spPr>
          </c:dPt>
          <c:dPt>
            <c:idx val="1"/>
            <c:spPr>
              <a:solidFill>
                <a:srgbClr val="2a5a87"/>
              </a:solidFill>
              <a:ln w="0">
                <a:noFill/>
              </a:ln>
            </c:spPr>
          </c:dPt>
          <c:dPt>
            <c:idx val="2"/>
            <c:spPr>
              <a:solidFill>
                <a:srgbClr val="b23a2e"/>
              </a:solidFill>
              <a:ln w="0">
                <a:noFill/>
              </a:ln>
            </c:spPr>
          </c:dPt>
          <c:dLbls>
            <c:dLbl>
              <c:idx val="0"/>
              <c:txPr>
                <a:bodyPr wrap="none"/>
                <a:lstStyle/>
                <a:p>
                  <a:pPr>
                    <a:defRPr b="0" sz="1000" spc="-1" strike="noStrike">
                      <a:latin typeface="Arial"/>
                    </a:defRPr>
                  </a:pPr>
                </a:p>
              </c:txPr>
              <c:showLegendKey val="0"/>
              <c:showVal val="0"/>
              <c:showCatName val="0"/>
              <c:showSerName val="0"/>
              <c:showPercent val="0"/>
              <c:separator> </c:separator>
            </c:dLbl>
            <c:dLbl>
              <c:idx val="1"/>
              <c:txPr>
                <a:bodyPr wrap="none"/>
                <a:lstStyle/>
                <a:p>
                  <a:pPr>
                    <a:defRPr b="0" sz="1000" spc="-1" strike="noStrike">
                      <a:latin typeface="Arial"/>
                    </a:defRPr>
                  </a:pPr>
                </a:p>
              </c:txPr>
              <c:showLegendKey val="0"/>
              <c:showVal val="0"/>
              <c:showCatName val="0"/>
              <c:showSerName val="0"/>
              <c:showPercent val="0"/>
              <c:separator> </c:separator>
            </c:dLbl>
            <c:dLbl>
              <c:idx val="2"/>
              <c:txPr>
                <a:bodyPr wrap="none"/>
                <a:lstStyle/>
                <a:p>
                  <a:pPr>
                    <a:defRPr b="0" sz="1000" spc="-1" strike="noStrike">
                      <a:latin typeface="Arial"/>
                    </a:defRPr>
                  </a:pPr>
                </a:p>
              </c:txPr>
              <c:showLegendKey val="0"/>
              <c:showVal val="0"/>
              <c:showCatName val="0"/>
              <c:showSerName val="0"/>
              <c:showPercent val="0"/>
              <c:separator> </c:separator>
            </c:dLbl>
            <c:txPr>
              <a:bodyPr wrap="none"/>
              <a:lstStyle/>
              <a:p>
                <a:pPr>
                  <a:defRPr b="0" sz="1000" spc="-1" strike="noStrike">
                    <a:latin typeface="Arial"/>
                  </a:defRPr>
                </a:pPr>
              </a:p>
            </c:txPr>
            <c:showLegendKey val="0"/>
            <c:showVal val="0"/>
            <c:showCatName val="0"/>
            <c:showSerName val="0"/>
            <c:showPercent val="0"/>
            <c:separator> </c:separator>
            <c:showLeaderLines val="1"/>
          </c:dLbls>
          <c:cat>
            <c:strRef>
              <c:f>Auswertung!$B$25:$B$27</c:f>
              <c:strCache>
                <c:ptCount val="3"/>
                <c:pt idx="0">
                  <c:v>Hauptnutzung</c:v>
                </c:pt>
                <c:pt idx="1">
                  <c:v>Nebennutzung</c:v>
                </c:pt>
                <c:pt idx="2">
                  <c:v>Verschwendung</c:v>
                </c:pt>
              </c:strCache>
            </c:strRef>
          </c:cat>
          <c:val>
            <c:numRef>
              <c:f>Auswertung!$E$25:$E$27</c:f>
              <c:numCache>
                <c:formatCode>#,##0.0</c:formatCode>
                <c:ptCount val="3"/>
                <c:pt idx="0">
                  <c:v>280</c:v>
                </c:pt>
                <c:pt idx="1">
                  <c:v>240</c:v>
                </c:pt>
                <c:pt idx="2">
                  <c:v>24.8</c:v>
                </c:pt>
              </c:numCache>
            </c:numRef>
          </c:val>
        </c:ser>
        <c:firstSliceAng val="0"/>
      </c:pieChart>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drawings/_rels/drawing2.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0</xdr:colOff>
      <xdr:row>10</xdr:row>
      <xdr:rowOff>0</xdr:rowOff>
    </xdr:from>
    <xdr:to>
      <xdr:col>12</xdr:col>
      <xdr:colOff>691920</xdr:colOff>
      <xdr:row>26</xdr:row>
      <xdr:rowOff>28800</xdr:rowOff>
    </xdr:to>
    <xdr:graphicFrame>
      <xdr:nvGraphicFramePr>
        <xdr:cNvPr id="0" name="Chart 1"/>
        <xdr:cNvGraphicFramePr/>
      </xdr:nvGraphicFramePr>
      <xdr:xfrm>
        <a:off x="7346160" y="2076480"/>
        <a:ext cx="4499640" cy="341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0</xdr:colOff>
      <xdr:row>31</xdr:row>
      <xdr:rowOff>0</xdr:rowOff>
    </xdr:from>
    <xdr:to>
      <xdr:col>12</xdr:col>
      <xdr:colOff>691920</xdr:colOff>
      <xdr:row>45</xdr:row>
      <xdr:rowOff>183240</xdr:rowOff>
    </xdr:to>
    <xdr:graphicFrame>
      <xdr:nvGraphicFramePr>
        <xdr:cNvPr id="1" name="Chart 2"/>
        <xdr:cNvGraphicFramePr/>
      </xdr:nvGraphicFramePr>
      <xdr:xfrm>
        <a:off x="7346160" y="6600960"/>
        <a:ext cx="4499640" cy="305964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O5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1" ySplit="19" topLeftCell="B20" activePane="bottomRight" state="frozen"/>
      <selection pane="topLeft" activeCell="A1" activeCellId="0" sqref="A1"/>
      <selection pane="topRight" activeCell="B1" activeCellId="0" sqref="B1"/>
      <selection pane="bottomLeft" activeCell="A20" activeCellId="0" sqref="A20"/>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6"/>
    <col collapsed="false" customWidth="true" hidden="false" outlineLevel="0" max="3" min="3" style="0" width="32"/>
    <col collapsed="false" customWidth="true" hidden="false" outlineLevel="0" max="4" min="4" style="0" width="11"/>
    <col collapsed="false" customWidth="true" hidden="false" outlineLevel="0" max="5" min="5" style="0" width="27"/>
    <col collapsed="false" customWidth="true" hidden="false" outlineLevel="0" max="6" min="6" style="0" width="19"/>
    <col collapsed="false" customWidth="true" hidden="false" outlineLevel="0" max="7" min="7" style="0" width="14"/>
    <col collapsed="false" customWidth="true" hidden="false" outlineLevel="0" max="8" min="8" style="0" width="15"/>
    <col collapsed="false" customWidth="true" hidden="false" outlineLevel="0" max="9" min="9" style="0" width="11"/>
    <col collapsed="false" customWidth="true" hidden="false" outlineLevel="0" max="10" min="10" style="0" width="10"/>
    <col collapsed="false" customWidth="true" hidden="false" outlineLevel="0" max="11" min="11" style="0" width="12"/>
    <col collapsed="false" customWidth="true" hidden="false" outlineLevel="0" max="13" min="12" style="0" width="10"/>
    <col collapsed="false" customWidth="true" hidden="false" outlineLevel="0" max="14" min="14" style="0" width="2.2"/>
    <col collapsed="false" customWidth="true" hidden="true" outlineLevel="0" max="15" min="15" style="0" width="9"/>
  </cols>
  <sheetData>
    <row r="2" customFormat="false" ht="30" hidden="false" customHeight="true" outlineLevel="0" collapsed="false">
      <c r="B2" s="1" t="s">
        <v>0</v>
      </c>
      <c r="C2" s="1"/>
      <c r="D2" s="1"/>
      <c r="E2" s="1"/>
      <c r="F2" s="1"/>
      <c r="G2" s="1"/>
      <c r="H2" s="1"/>
      <c r="I2" s="2" t="s">
        <v>1</v>
      </c>
      <c r="J2" s="2"/>
      <c r="K2" s="2"/>
      <c r="L2" s="2"/>
      <c r="M2" s="2"/>
    </row>
    <row r="3" customFormat="false" ht="18.75" hidden="false" customHeight="true" outlineLevel="0" collapsed="false">
      <c r="B3" s="3" t="s">
        <v>2</v>
      </c>
      <c r="C3" s="3"/>
      <c r="D3" s="3"/>
      <c r="E3" s="3"/>
      <c r="F3" s="3"/>
      <c r="G3" s="3"/>
      <c r="H3" s="3"/>
      <c r="I3" s="4" t="s">
        <v>3</v>
      </c>
      <c r="J3" s="4"/>
      <c r="K3" s="4"/>
      <c r="L3" s="4"/>
      <c r="M3" s="4"/>
    </row>
    <row r="4" customFormat="false" ht="4.5" hidden="false" customHeight="true" outlineLevel="0" collapsed="false">
      <c r="B4" s="5"/>
      <c r="C4" s="5"/>
      <c r="D4" s="5"/>
      <c r="E4" s="5"/>
      <c r="F4" s="5"/>
      <c r="G4" s="5"/>
      <c r="H4" s="5"/>
      <c r="I4" s="5"/>
      <c r="J4" s="5"/>
      <c r="K4" s="5"/>
      <c r="L4" s="5"/>
      <c r="M4" s="5"/>
    </row>
    <row r="6" customFormat="false" ht="19.5" hidden="false" customHeight="true" outlineLevel="0" collapsed="false">
      <c r="B6" s="6" t="s">
        <v>4</v>
      </c>
      <c r="C6" s="6"/>
      <c r="D6" s="6"/>
      <c r="E6" s="6"/>
      <c r="F6" s="6"/>
      <c r="G6" s="6"/>
      <c r="H6" s="6"/>
      <c r="I6" s="7" t="s">
        <v>5</v>
      </c>
      <c r="J6" s="7"/>
      <c r="K6" s="7"/>
      <c r="L6" s="7"/>
      <c r="M6" s="7"/>
    </row>
    <row r="7" customFormat="false" ht="12.75" hidden="false" customHeight="true" outlineLevel="0" collapsed="false">
      <c r="B7" s="8" t="s">
        <v>6</v>
      </c>
      <c r="C7" s="8"/>
      <c r="D7" s="8" t="s">
        <v>7</v>
      </c>
      <c r="E7" s="8"/>
      <c r="F7" s="8" t="s">
        <v>8</v>
      </c>
      <c r="G7" s="8"/>
      <c r="H7" s="8" t="s">
        <v>9</v>
      </c>
      <c r="I7" s="8"/>
      <c r="J7" s="8" t="s">
        <v>10</v>
      </c>
      <c r="K7" s="8"/>
      <c r="L7" s="8" t="s">
        <v>11</v>
      </c>
      <c r="M7" s="8"/>
    </row>
    <row r="8" customFormat="false" ht="18.75" hidden="false" customHeight="true" outlineLevel="0" collapsed="false">
      <c r="B8" s="9" t="s">
        <v>12</v>
      </c>
      <c r="C8" s="9"/>
      <c r="D8" s="9" t="s">
        <v>13</v>
      </c>
      <c r="E8" s="9"/>
      <c r="F8" s="9" t="s">
        <v>14</v>
      </c>
      <c r="G8" s="9"/>
      <c r="H8" s="9" t="s">
        <v>15</v>
      </c>
      <c r="I8" s="9"/>
      <c r="J8" s="9" t="s">
        <v>16</v>
      </c>
      <c r="K8" s="9"/>
      <c r="L8" s="9" t="s">
        <v>17</v>
      </c>
      <c r="M8" s="9"/>
    </row>
    <row r="9" customFormat="false" ht="12.75" hidden="false" customHeight="true" outlineLevel="0" collapsed="false">
      <c r="B9" s="8" t="s">
        <v>18</v>
      </c>
      <c r="C9" s="8"/>
      <c r="D9" s="8" t="s">
        <v>19</v>
      </c>
      <c r="E9" s="8"/>
      <c r="F9" s="8" t="s">
        <v>20</v>
      </c>
      <c r="G9" s="8"/>
      <c r="H9" s="8" t="s">
        <v>21</v>
      </c>
      <c r="I9" s="8"/>
      <c r="J9" s="8" t="s">
        <v>22</v>
      </c>
      <c r="K9" s="8"/>
      <c r="L9" s="8" t="s">
        <v>23</v>
      </c>
      <c r="M9" s="8"/>
    </row>
    <row r="10" customFormat="false" ht="18.75" hidden="false" customHeight="true" outlineLevel="0" collapsed="false">
      <c r="B10" s="9" t="s">
        <v>24</v>
      </c>
      <c r="C10" s="9"/>
      <c r="D10" s="9" t="s">
        <v>25</v>
      </c>
      <c r="E10" s="9"/>
      <c r="F10" s="9" t="s">
        <v>26</v>
      </c>
      <c r="G10" s="9"/>
      <c r="H10" s="9" t="s">
        <v>27</v>
      </c>
      <c r="I10" s="9"/>
      <c r="J10" s="9" t="s">
        <v>28</v>
      </c>
      <c r="K10" s="9"/>
      <c r="L10" s="9" t="s">
        <v>29</v>
      </c>
      <c r="M10" s="9"/>
    </row>
    <row r="11" customFormat="false" ht="6" hidden="false" customHeight="true" outlineLevel="0" collapsed="false"/>
    <row r="12" customFormat="false" ht="19.5" hidden="false" customHeight="true" outlineLevel="0" collapsed="false">
      <c r="B12" s="6" t="s">
        <v>30</v>
      </c>
      <c r="C12" s="6"/>
      <c r="D12" s="6"/>
      <c r="E12" s="6"/>
      <c r="F12" s="6"/>
      <c r="G12" s="6"/>
      <c r="H12" s="6"/>
      <c r="I12" s="7" t="s">
        <v>31</v>
      </c>
      <c r="J12" s="7"/>
      <c r="K12" s="7"/>
      <c r="L12" s="7"/>
      <c r="M12" s="7"/>
    </row>
    <row r="13" customFormat="false" ht="12.75" hidden="false" customHeight="true" outlineLevel="0" collapsed="false">
      <c r="B13" s="8" t="s">
        <v>32</v>
      </c>
      <c r="C13" s="8"/>
      <c r="D13" s="8" t="s">
        <v>33</v>
      </c>
      <c r="E13" s="8"/>
      <c r="F13" s="8" t="s">
        <v>34</v>
      </c>
      <c r="G13" s="8"/>
      <c r="H13" s="8" t="s">
        <v>35</v>
      </c>
      <c r="I13" s="8"/>
      <c r="J13" s="8" t="s">
        <v>36</v>
      </c>
      <c r="K13" s="8"/>
      <c r="L13" s="8" t="s">
        <v>37</v>
      </c>
      <c r="M13" s="8"/>
    </row>
    <row r="14" customFormat="false" ht="18.75" hidden="false" customHeight="true" outlineLevel="0" collapsed="false">
      <c r="B14" s="10" t="n">
        <v>0.036</v>
      </c>
      <c r="C14" s="10"/>
      <c r="D14" s="11" t="n">
        <v>1</v>
      </c>
      <c r="E14" s="11"/>
      <c r="F14" s="11" t="n">
        <v>0.08</v>
      </c>
      <c r="G14" s="11"/>
      <c r="H14" s="11" t="n">
        <v>0.05</v>
      </c>
      <c r="I14" s="11"/>
      <c r="J14" s="12" t="n">
        <v>12</v>
      </c>
      <c r="K14" s="12"/>
      <c r="L14" s="13" t="n">
        <v>250</v>
      </c>
      <c r="M14" s="13"/>
    </row>
    <row r="15" customFormat="false" ht="12.75" hidden="false" customHeight="true" outlineLevel="0" collapsed="false">
      <c r="B15" s="8" t="s">
        <v>38</v>
      </c>
      <c r="C15" s="8"/>
      <c r="D15" s="8" t="s">
        <v>39</v>
      </c>
      <c r="E15" s="8"/>
      <c r="F15" s="8" t="s">
        <v>40</v>
      </c>
      <c r="G15" s="8"/>
      <c r="H15" s="8" t="s">
        <v>41</v>
      </c>
      <c r="I15" s="8"/>
      <c r="J15" s="8" t="s">
        <v>42</v>
      </c>
      <c r="K15" s="8"/>
      <c r="L15" s="8" t="s">
        <v>43</v>
      </c>
      <c r="M15" s="8"/>
    </row>
    <row r="16" customFormat="false" ht="18.75" hidden="false" customHeight="true" outlineLevel="0" collapsed="false">
      <c r="B16" s="14" t="n">
        <v>52</v>
      </c>
      <c r="C16" s="14"/>
      <c r="D16" s="15" t="n">
        <v>24</v>
      </c>
      <c r="E16" s="15"/>
      <c r="F16" s="16" t="n">
        <v>7.5</v>
      </c>
      <c r="G16" s="16"/>
      <c r="H16" s="11" t="n">
        <v>0.92</v>
      </c>
      <c r="I16" s="11"/>
      <c r="J16" s="17" t="n">
        <f aca="false">ROUND(3600/$B$14,0)</f>
        <v>100000</v>
      </c>
      <c r="K16" s="17"/>
      <c r="L16" s="18" t="n">
        <f aca="false">ROUND(1/$B$14,2)</f>
        <v>27.78</v>
      </c>
      <c r="M16" s="18"/>
    </row>
    <row r="17" customFormat="false" ht="6" hidden="false" customHeight="true" outlineLevel="0" collapsed="false"/>
    <row r="18" customFormat="false" ht="19.5" hidden="false" customHeight="true" outlineLevel="0" collapsed="false">
      <c r="B18" s="6" t="s">
        <v>44</v>
      </c>
      <c r="C18" s="6"/>
      <c r="D18" s="6"/>
      <c r="E18" s="6"/>
      <c r="F18" s="6"/>
      <c r="G18" s="6"/>
      <c r="H18" s="6"/>
      <c r="I18" s="7" t="s">
        <v>45</v>
      </c>
      <c r="J18" s="7"/>
      <c r="K18" s="7"/>
      <c r="L18" s="7"/>
      <c r="M18" s="7"/>
    </row>
    <row r="19" customFormat="false" ht="30" hidden="false" customHeight="true" outlineLevel="0" collapsed="false">
      <c r="B19" s="19" t="s">
        <v>46</v>
      </c>
      <c r="C19" s="20" t="s">
        <v>47</v>
      </c>
      <c r="D19" s="19" t="s">
        <v>48</v>
      </c>
      <c r="E19" s="20" t="s">
        <v>49</v>
      </c>
      <c r="F19" s="20" t="s">
        <v>50</v>
      </c>
      <c r="G19" s="19" t="s">
        <v>51</v>
      </c>
      <c r="H19" s="19" t="s">
        <v>52</v>
      </c>
      <c r="I19" s="19" t="s">
        <v>53</v>
      </c>
      <c r="J19" s="19" t="s">
        <v>54</v>
      </c>
      <c r="K19" s="19" t="s">
        <v>55</v>
      </c>
      <c r="L19" s="19" t="s">
        <v>56</v>
      </c>
      <c r="M19" s="19" t="s">
        <v>57</v>
      </c>
    </row>
    <row r="20" customFormat="false" ht="15.75" hidden="false" customHeight="true" outlineLevel="0" collapsed="false">
      <c r="B20" s="21" t="n">
        <f aca="false">IF($C20="","",COUNTA($C$20:$C20))</f>
        <v>1</v>
      </c>
      <c r="C20" s="22" t="s">
        <v>58</v>
      </c>
      <c r="D20" s="23" t="s">
        <v>59</v>
      </c>
      <c r="E20" s="24" t="str">
        <f aca="false">IF($D20="","",IFERROR(INDEX(Bausteinkatalog!$C$8:$C$34,MATCH($D20,Bausteinkatalog!$B$8:$B$34,0)),"unbekannter Code"))</f>
        <v>Behälter heranziehen oder wechseln</v>
      </c>
      <c r="F20" s="25" t="str">
        <f aca="false">IF($D20="","",IFERROR(INDEX(Bausteinkatalog!$D$8:$D$34,MATCH($D20,Bausteinkatalog!$B$8:$B$34,0)),"unbekannter Code"))</f>
        <v>Transport &amp; Behälter</v>
      </c>
      <c r="G20" s="26" t="str">
        <f aca="false">IF($D20="","",IFERROR(INDEX(Bausteinkatalog!$E$8:$E$34,MATCH($D20,Bausteinkatalog!$B$8:$B$34,0)),"unbekannter Code"))</f>
        <v>Verschwendung</v>
      </c>
      <c r="H20" s="27" t="s">
        <v>60</v>
      </c>
      <c r="I20" s="28" t="n">
        <f aca="false">IF($D20="","",IFERROR(INDEX(Bausteinkatalog!$F$8:$F$34,MATCH($D20,Bausteinkatalog!$B$8:$B$34,0)),0))</f>
        <v>120</v>
      </c>
      <c r="J20" s="29" t="n">
        <v>0.04</v>
      </c>
      <c r="K20" s="30" t="n">
        <f aca="false">IF($D20="","",ROUND($I20*$J20,1))</f>
        <v>4.8</v>
      </c>
      <c r="L20" s="31" t="n">
        <f aca="false">IF($D20="","",ROUND($K20*$B$14,2))</f>
        <v>0.17</v>
      </c>
      <c r="M20" s="32" t="n">
        <f aca="false">IF($D20="","",IFERROR($K20/$K$42,0))</f>
        <v>0.00881057268722467</v>
      </c>
      <c r="O20" s="33" t="n">
        <f aca="false">IF($K20="","",$K20*1000-ROW())</f>
        <v>4780</v>
      </c>
    </row>
    <row r="21" customFormat="false" ht="15.75" hidden="false" customHeight="true" outlineLevel="0" collapsed="false">
      <c r="B21" s="21" t="n">
        <f aca="false">IF($C21="","",COUNTA($C$20:$C21))</f>
        <v>2</v>
      </c>
      <c r="C21" s="22" t="s">
        <v>61</v>
      </c>
      <c r="D21" s="23" t="s">
        <v>62</v>
      </c>
      <c r="E21" s="24" t="str">
        <f aca="false">IF($D21="","",IFERROR(INDEX(Bausteinkatalog!$C$8:$C$34,MATCH($D21,Bausteinkatalog!$B$8:$B$34,0)),"unbekannter Code"))</f>
        <v>Teil aufnehmen, vermischt im Behälter</v>
      </c>
      <c r="F21" s="25" t="str">
        <f aca="false">IF($D21="","",IFERROR(INDEX(Bausteinkatalog!$D$8:$D$34,MATCH($D21,Bausteinkatalog!$B$8:$B$34,0)),"unbekannter Code"))</f>
        <v>Aufnehmen &amp; Ablegen</v>
      </c>
      <c r="G21" s="26" t="str">
        <f aca="false">IF($D21="","",IFERROR(INDEX(Bausteinkatalog!$E$8:$E$34,MATCH($D21,Bausteinkatalog!$B$8:$B$34,0)),"unbekannter Code"))</f>
        <v>Nebennutzung</v>
      </c>
      <c r="H21" s="27" t="s">
        <v>63</v>
      </c>
      <c r="I21" s="28" t="n">
        <f aca="false">IF($D21="","",IFERROR(INDEX(Bausteinkatalog!$F$8:$F$34,MATCH($D21,Bausteinkatalog!$B$8:$B$34,0)),0))</f>
        <v>22</v>
      </c>
      <c r="J21" s="29" t="n">
        <v>1</v>
      </c>
      <c r="K21" s="30" t="n">
        <f aca="false">IF($D21="","",ROUND($I21*$J21,1))</f>
        <v>22</v>
      </c>
      <c r="L21" s="31" t="n">
        <f aca="false">IF($D21="","",ROUND($K21*$B$14,2))</f>
        <v>0.79</v>
      </c>
      <c r="M21" s="32" t="n">
        <f aca="false">IF($D21="","",IFERROR($K21/$K$42,0))</f>
        <v>0.0403817914831131</v>
      </c>
      <c r="O21" s="33" t="n">
        <f aca="false">IF($K21="","",$K21*1000-ROW())</f>
        <v>21979</v>
      </c>
    </row>
    <row r="22" customFormat="false" ht="15.75" hidden="false" customHeight="true" outlineLevel="0" collapsed="false">
      <c r="B22" s="21" t="n">
        <f aca="false">IF($C22="","",COUNTA($C$20:$C22))</f>
        <v>3</v>
      </c>
      <c r="C22" s="22" t="s">
        <v>64</v>
      </c>
      <c r="D22" s="23" t="s">
        <v>65</v>
      </c>
      <c r="E22" s="24" t="str">
        <f aca="false">IF($D22="","",IFERROR(INDEX(Bausteinkatalog!$C$8:$C$34,MATCH($D22,Bausteinkatalog!$B$8:$B$34,0)),"unbekannter Code"))</f>
        <v>Bringen 300 bis 600 mm</v>
      </c>
      <c r="F22" s="25" t="str">
        <f aca="false">IF($D22="","",IFERROR(INDEX(Bausteinkatalog!$D$8:$D$34,MATCH($D22,Bausteinkatalog!$B$8:$B$34,0)),"unbekannter Code"))</f>
        <v>Bewegen &amp; Bringen</v>
      </c>
      <c r="G22" s="26" t="str">
        <f aca="false">IF($D22="","",IFERROR(INDEX(Bausteinkatalog!$E$8:$E$34,MATCH($D22,Bausteinkatalog!$B$8:$B$34,0)),"unbekannter Code"))</f>
        <v>Nebennutzung</v>
      </c>
      <c r="H22" s="27" t="s">
        <v>66</v>
      </c>
      <c r="I22" s="28" t="n">
        <f aca="false">IF($D22="","",IFERROR(INDEX(Bausteinkatalog!$F$8:$F$34,MATCH($D22,Bausteinkatalog!$B$8:$B$34,0)),0))</f>
        <v>16</v>
      </c>
      <c r="J22" s="29" t="n">
        <v>1</v>
      </c>
      <c r="K22" s="30" t="n">
        <f aca="false">IF($D22="","",ROUND($I22*$J22,1))</f>
        <v>16</v>
      </c>
      <c r="L22" s="31" t="n">
        <f aca="false">IF($D22="","",ROUND($K22*$B$14,2))</f>
        <v>0.58</v>
      </c>
      <c r="M22" s="32" t="n">
        <f aca="false">IF($D22="","",IFERROR($K22/$K$42,0))</f>
        <v>0.0293685756240822</v>
      </c>
      <c r="O22" s="33" t="n">
        <f aca="false">IF($K22="","",$K22*1000-ROW())</f>
        <v>15978</v>
      </c>
    </row>
    <row r="23" customFormat="false" ht="15.75" hidden="false" customHeight="true" outlineLevel="0" collapsed="false">
      <c r="B23" s="21" t="n">
        <f aca="false">IF($C23="","",COUNTA($C$20:$C23))</f>
        <v>4</v>
      </c>
      <c r="C23" s="22" t="s">
        <v>67</v>
      </c>
      <c r="D23" s="23" t="s">
        <v>68</v>
      </c>
      <c r="E23" s="24" t="str">
        <f aca="false">IF($D23="","",IFERROR(INDEX(Bausteinkatalog!$C$8:$C$34,MATCH($D23,Bausteinkatalog!$B$8:$B$34,0)),"unbekannter Code"))</f>
        <v>Fügen, leichter Widerstand</v>
      </c>
      <c r="F23" s="25" t="str">
        <f aca="false">IF($D23="","",IFERROR(INDEX(Bausteinkatalog!$D$8:$D$34,MATCH($D23,Bausteinkatalog!$B$8:$B$34,0)),"unbekannter Code"))</f>
        <v>Fügen &amp; Montieren</v>
      </c>
      <c r="G23" s="26" t="str">
        <f aca="false">IF($D23="","",IFERROR(INDEX(Bausteinkatalog!$E$8:$E$34,MATCH($D23,Bausteinkatalog!$B$8:$B$34,0)),"unbekannter Code"))</f>
        <v>Hauptnutzung</v>
      </c>
      <c r="H23" s="27" t="s">
        <v>69</v>
      </c>
      <c r="I23" s="28" t="n">
        <f aca="false">IF($D23="","",IFERROR(INDEX(Bausteinkatalog!$F$8:$F$34,MATCH($D23,Bausteinkatalog!$B$8:$B$34,0)),0))</f>
        <v>28</v>
      </c>
      <c r="J23" s="29" t="n">
        <v>1</v>
      </c>
      <c r="K23" s="30" t="n">
        <f aca="false">IF($D23="","",ROUND($I23*$J23,1))</f>
        <v>28</v>
      </c>
      <c r="L23" s="31" t="n">
        <f aca="false">IF($D23="","",ROUND($K23*$B$14,2))</f>
        <v>1.01</v>
      </c>
      <c r="M23" s="32" t="n">
        <f aca="false">IF($D23="","",IFERROR($K23/$K$42,0))</f>
        <v>0.0513950073421439</v>
      </c>
      <c r="O23" s="33" t="n">
        <f aca="false">IF($K23="","",$K23*1000-ROW())</f>
        <v>27977</v>
      </c>
    </row>
    <row r="24" customFormat="false" ht="15.75" hidden="false" customHeight="true" outlineLevel="0" collapsed="false">
      <c r="B24" s="21" t="n">
        <f aca="false">IF($C24="","",COUNTA($C$20:$C24))</f>
        <v>5</v>
      </c>
      <c r="C24" s="22" t="s">
        <v>70</v>
      </c>
      <c r="D24" s="23" t="s">
        <v>71</v>
      </c>
      <c r="E24" s="24" t="str">
        <f aca="false">IF($D24="","",IFERROR(INDEX(Bausteinkatalog!$C$8:$C$34,MATCH($D24,Bausteinkatalog!$B$8:$B$34,0)),"unbekannter Code"))</f>
        <v>Vorrichtung oder Hebel schließen</v>
      </c>
      <c r="F24" s="25" t="str">
        <f aca="false">IF($D24="","",IFERROR(INDEX(Bausteinkatalog!$D$8:$D$34,MATCH($D24,Bausteinkatalog!$B$8:$B$34,0)),"unbekannter Code"))</f>
        <v>Betätigen &amp; Bedienen</v>
      </c>
      <c r="G24" s="26" t="str">
        <f aca="false">IF($D24="","",IFERROR(INDEX(Bausteinkatalog!$E$8:$E$34,MATCH($D24,Bausteinkatalog!$B$8:$B$34,0)),"unbekannter Code"))</f>
        <v>Nebennutzung</v>
      </c>
      <c r="H24" s="27" t="s">
        <v>72</v>
      </c>
      <c r="I24" s="28" t="n">
        <f aca="false">IF($D24="","",IFERROR(INDEX(Bausteinkatalog!$F$8:$F$34,MATCH($D24,Bausteinkatalog!$B$8:$B$34,0)),0))</f>
        <v>19</v>
      </c>
      <c r="J24" s="29" t="n">
        <v>1</v>
      </c>
      <c r="K24" s="30" t="n">
        <f aca="false">IF($D24="","",ROUND($I24*$J24,1))</f>
        <v>19</v>
      </c>
      <c r="L24" s="31" t="n">
        <f aca="false">IF($D24="","",ROUND($K24*$B$14,2))</f>
        <v>0.68</v>
      </c>
      <c r="M24" s="32" t="n">
        <f aca="false">IF($D24="","",IFERROR($K24/$K$42,0))</f>
        <v>0.0348751835535977</v>
      </c>
      <c r="O24" s="33" t="n">
        <f aca="false">IF($K24="","",$K24*1000-ROW())</f>
        <v>18976</v>
      </c>
    </row>
    <row r="25" customFormat="false" ht="15.75" hidden="false" customHeight="true" outlineLevel="0" collapsed="false">
      <c r="B25" s="21" t="n">
        <f aca="false">IF($C25="","",COUNTA($C$20:$C25))</f>
        <v>6</v>
      </c>
      <c r="C25" s="22" t="s">
        <v>73</v>
      </c>
      <c r="D25" s="23" t="s">
        <v>74</v>
      </c>
      <c r="E25" s="24" t="str">
        <f aca="false">IF($D25="","",IFERROR(INDEX(Bausteinkatalog!$C$8:$C$34,MATCH($D25,Bausteinkatalog!$B$8:$B$34,0)),"unbekannter Code"))</f>
        <v>Teil aufnehmen, griffbereit vorliegend</v>
      </c>
      <c r="F25" s="25" t="str">
        <f aca="false">IF($D25="","",IFERROR(INDEX(Bausteinkatalog!$D$8:$D$34,MATCH($D25,Bausteinkatalog!$B$8:$B$34,0)),"unbekannter Code"))</f>
        <v>Aufnehmen &amp; Ablegen</v>
      </c>
      <c r="G25" s="26" t="str">
        <f aca="false">IF($D25="","",IFERROR(INDEX(Bausteinkatalog!$E$8:$E$34,MATCH($D25,Bausteinkatalog!$B$8:$B$34,0)),"unbekannter Code"))</f>
        <v>Nebennutzung</v>
      </c>
      <c r="H25" s="27" t="s">
        <v>75</v>
      </c>
      <c r="I25" s="28" t="n">
        <f aca="false">IF($D25="","",IFERROR(INDEX(Bausteinkatalog!$F$8:$F$34,MATCH($D25,Bausteinkatalog!$B$8:$B$34,0)),0))</f>
        <v>12</v>
      </c>
      <c r="J25" s="29" t="n">
        <v>2</v>
      </c>
      <c r="K25" s="30" t="n">
        <f aca="false">IF($D25="","",ROUND($I25*$J25,1))</f>
        <v>24</v>
      </c>
      <c r="L25" s="31" t="n">
        <f aca="false">IF($D25="","",ROUND($K25*$B$14,2))</f>
        <v>0.86</v>
      </c>
      <c r="M25" s="32" t="n">
        <f aca="false">IF($D25="","",IFERROR($K25/$K$42,0))</f>
        <v>0.0440528634361234</v>
      </c>
      <c r="O25" s="33" t="n">
        <f aca="false">IF($K25="","",$K25*1000-ROW())</f>
        <v>23975</v>
      </c>
    </row>
    <row r="26" customFormat="false" ht="15.75" hidden="false" customHeight="true" outlineLevel="0" collapsed="false">
      <c r="B26" s="21" t="n">
        <f aca="false">IF($C26="","",COUNTA($C$20:$C26))</f>
        <v>7</v>
      </c>
      <c r="C26" s="22" t="s">
        <v>76</v>
      </c>
      <c r="D26" s="23" t="s">
        <v>77</v>
      </c>
      <c r="E26" s="24" t="str">
        <f aca="false">IF($D26="","",IFERROR(INDEX(Bausteinkatalog!$C$8:$C$34,MATCH($D26,Bausteinkatalog!$B$8:$B$34,0)),"unbekannter Code"))</f>
        <v>Fügen, enge Passung mit Ausrichten</v>
      </c>
      <c r="F26" s="25" t="str">
        <f aca="false">IF($D26="","",IFERROR(INDEX(Bausteinkatalog!$D$8:$D$34,MATCH($D26,Bausteinkatalog!$B$8:$B$34,0)),"unbekannter Code"))</f>
        <v>Fügen &amp; Montieren</v>
      </c>
      <c r="G26" s="26" t="str">
        <f aca="false">IF($D26="","",IFERROR(INDEX(Bausteinkatalog!$E$8:$E$34,MATCH($D26,Bausteinkatalog!$B$8:$B$34,0)),"unbekannter Code"))</f>
        <v>Hauptnutzung</v>
      </c>
      <c r="H26" s="27" t="s">
        <v>78</v>
      </c>
      <c r="I26" s="28" t="n">
        <f aca="false">IF($D26="","",IFERROR(INDEX(Bausteinkatalog!$F$8:$F$34,MATCH($D26,Bausteinkatalog!$B$8:$B$34,0)),0))</f>
        <v>46</v>
      </c>
      <c r="J26" s="29" t="n">
        <v>2</v>
      </c>
      <c r="K26" s="30" t="n">
        <f aca="false">IF($D26="","",ROUND($I26*$J26,1))</f>
        <v>92</v>
      </c>
      <c r="L26" s="31" t="n">
        <f aca="false">IF($D26="","",ROUND($K26*$B$14,2))</f>
        <v>3.31</v>
      </c>
      <c r="M26" s="32" t="n">
        <f aca="false">IF($D26="","",IFERROR($K26/$K$42,0))</f>
        <v>0.168869309838473</v>
      </c>
      <c r="O26" s="33" t="n">
        <f aca="false">IF($K26="","",$K26*1000-ROW())</f>
        <v>91974</v>
      </c>
    </row>
    <row r="27" customFormat="false" ht="15.75" hidden="false" customHeight="true" outlineLevel="0" collapsed="false">
      <c r="B27" s="21" t="n">
        <f aca="false">IF($C27="","",COUNTA($C$20:$C27))</f>
        <v>8</v>
      </c>
      <c r="C27" s="22" t="s">
        <v>79</v>
      </c>
      <c r="D27" s="23" t="s">
        <v>80</v>
      </c>
      <c r="E27" s="24" t="str">
        <f aca="false">IF($D27="","",IFERROR(INDEX(Bausteinkatalog!$C$8:$C$34,MATCH($D27,Bausteinkatalog!$B$8:$B$34,0)),"unbekannter Code"))</f>
        <v>Werkzeug aufnehmen und ansetzen</v>
      </c>
      <c r="F27" s="25" t="str">
        <f aca="false">IF($D27="","",IFERROR(INDEX(Bausteinkatalog!$D$8:$D$34,MATCH($D27,Bausteinkatalog!$B$8:$B$34,0)),"unbekannter Code"))</f>
        <v>Werkzeug &amp; Hilfsmittel</v>
      </c>
      <c r="G27" s="26" t="str">
        <f aca="false">IF($D27="","",IFERROR(INDEX(Bausteinkatalog!$E$8:$E$34,MATCH($D27,Bausteinkatalog!$B$8:$B$34,0)),"unbekannter Code"))</f>
        <v>Nebennutzung</v>
      </c>
      <c r="H27" s="27" t="s">
        <v>81</v>
      </c>
      <c r="I27" s="28" t="n">
        <f aca="false">IF($D27="","",IFERROR(INDEX(Bausteinkatalog!$F$8:$F$34,MATCH($D27,Bausteinkatalog!$B$8:$B$34,0)),0))</f>
        <v>25</v>
      </c>
      <c r="J27" s="29" t="n">
        <v>4</v>
      </c>
      <c r="K27" s="30" t="n">
        <f aca="false">IF($D27="","",ROUND($I27*$J27,1))</f>
        <v>100</v>
      </c>
      <c r="L27" s="31" t="n">
        <f aca="false">IF($D27="","",ROUND($K27*$B$14,2))</f>
        <v>3.6</v>
      </c>
      <c r="M27" s="32" t="n">
        <f aca="false">IF($D27="","",IFERROR($K27/$K$42,0))</f>
        <v>0.183553597650514</v>
      </c>
      <c r="O27" s="33" t="n">
        <f aca="false">IF($K27="","",$K27*1000-ROW())</f>
        <v>99973</v>
      </c>
    </row>
    <row r="28" customFormat="false" ht="15.75" hidden="false" customHeight="true" outlineLevel="0" collapsed="false">
      <c r="B28" s="21" t="n">
        <f aca="false">IF($C28="","",COUNTA($C$20:$C28))</f>
        <v>9</v>
      </c>
      <c r="C28" s="22" t="s">
        <v>82</v>
      </c>
      <c r="D28" s="23" t="s">
        <v>83</v>
      </c>
      <c r="E28" s="24" t="str">
        <f aca="false">IF($D28="","",IFERROR(INDEX(Bausteinkatalog!$C$8:$C$34,MATCH($D28,Bausteinkatalog!$B$8:$B$34,0)),"unbekannter Code"))</f>
        <v>Verschrauben mit Elektrowerkzeug</v>
      </c>
      <c r="F28" s="25" t="str">
        <f aca="false">IF($D28="","",IFERROR(INDEX(Bausteinkatalog!$D$8:$D$34,MATCH($D28,Bausteinkatalog!$B$8:$B$34,0)),"unbekannter Code"))</f>
        <v>Werkzeug &amp; Hilfsmittel</v>
      </c>
      <c r="G28" s="26" t="str">
        <f aca="false">IF($D28="","",IFERROR(INDEX(Bausteinkatalog!$E$8:$E$34,MATCH($D28,Bausteinkatalog!$B$8:$B$34,0)),"unbekannter Code"))</f>
        <v>Hauptnutzung</v>
      </c>
      <c r="H28" s="27" t="s">
        <v>84</v>
      </c>
      <c r="I28" s="28" t="n">
        <f aca="false">IF($D28="","",IFERROR(INDEX(Bausteinkatalog!$F$8:$F$34,MATCH($D28,Bausteinkatalog!$B$8:$B$34,0)),0))</f>
        <v>40</v>
      </c>
      <c r="J28" s="29" t="n">
        <v>4</v>
      </c>
      <c r="K28" s="30" t="n">
        <f aca="false">IF($D28="","",ROUND($I28*$J28,1))</f>
        <v>160</v>
      </c>
      <c r="L28" s="31" t="n">
        <f aca="false">IF($D28="","",ROUND($K28*$B$14,2))</f>
        <v>5.76</v>
      </c>
      <c r="M28" s="32" t="n">
        <f aca="false">IF($D28="","",IFERROR($K28/$K$42,0))</f>
        <v>0.293685756240822</v>
      </c>
      <c r="O28" s="33" t="n">
        <f aca="false">IF($K28="","",$K28*1000-ROW())</f>
        <v>159972</v>
      </c>
    </row>
    <row r="29" customFormat="false" ht="15.75" hidden="false" customHeight="true" outlineLevel="0" collapsed="false">
      <c r="B29" s="21" t="n">
        <f aca="false">IF($C29="","",COUNTA($C$20:$C29))</f>
        <v>10</v>
      </c>
      <c r="C29" s="22" t="s">
        <v>85</v>
      </c>
      <c r="D29" s="23" t="s">
        <v>86</v>
      </c>
      <c r="E29" s="24" t="str">
        <f aca="false">IF($D29="","",IFERROR(INDEX(Bausteinkatalog!$C$8:$C$34,MATCH($D29,Bausteinkatalog!$B$8:$B$34,0)),"unbekannter Code"))</f>
        <v>Werkzeug ablegen</v>
      </c>
      <c r="F29" s="25" t="str">
        <f aca="false">IF($D29="","",IFERROR(INDEX(Bausteinkatalog!$D$8:$D$34,MATCH($D29,Bausteinkatalog!$B$8:$B$34,0)),"unbekannter Code"))</f>
        <v>Werkzeug &amp; Hilfsmittel</v>
      </c>
      <c r="G29" s="26" t="str">
        <f aca="false">IF($D29="","",IFERROR(INDEX(Bausteinkatalog!$E$8:$E$34,MATCH($D29,Bausteinkatalog!$B$8:$B$34,0)),"unbekannter Code"))</f>
        <v>Nebennutzung</v>
      </c>
      <c r="H29" s="27" t="s">
        <v>87</v>
      </c>
      <c r="I29" s="28" t="n">
        <f aca="false">IF($D29="","",IFERROR(INDEX(Bausteinkatalog!$F$8:$F$34,MATCH($D29,Bausteinkatalog!$B$8:$B$34,0)),0))</f>
        <v>15</v>
      </c>
      <c r="J29" s="29" t="n">
        <v>1</v>
      </c>
      <c r="K29" s="30" t="n">
        <f aca="false">IF($D29="","",ROUND($I29*$J29,1))</f>
        <v>15</v>
      </c>
      <c r="L29" s="31" t="n">
        <f aca="false">IF($D29="","",ROUND($K29*$B$14,2))</f>
        <v>0.54</v>
      </c>
      <c r="M29" s="32" t="n">
        <f aca="false">IF($D29="","",IFERROR($K29/$K$42,0))</f>
        <v>0.0275330396475771</v>
      </c>
      <c r="O29" s="33" t="n">
        <f aca="false">IF($K29="","",$K29*1000-ROW())</f>
        <v>14971</v>
      </c>
    </row>
    <row r="30" customFormat="false" ht="15.75" hidden="false" customHeight="true" outlineLevel="0" collapsed="false">
      <c r="B30" s="21" t="n">
        <f aca="false">IF($C30="","",COUNTA($C$20:$C30))</f>
        <v>11</v>
      </c>
      <c r="C30" s="22" t="s">
        <v>88</v>
      </c>
      <c r="D30" s="23" t="s">
        <v>89</v>
      </c>
      <c r="E30" s="24" t="str">
        <f aca="false">IF($D30="","",IFERROR(INDEX(Bausteinkatalog!$C$8:$C$34,MATCH($D30,Bausteinkatalog!$B$8:$B$34,0)),"unbekannter Code"))</f>
        <v>Schalter oder Taster betätigen</v>
      </c>
      <c r="F30" s="25" t="str">
        <f aca="false">IF($D30="","",IFERROR(INDEX(Bausteinkatalog!$D$8:$D$34,MATCH($D30,Bausteinkatalog!$B$8:$B$34,0)),"unbekannter Code"))</f>
        <v>Betätigen &amp; Bedienen</v>
      </c>
      <c r="G30" s="26" t="str">
        <f aca="false">IF($D30="","",IFERROR(INDEX(Bausteinkatalog!$E$8:$E$34,MATCH($D30,Bausteinkatalog!$B$8:$B$34,0)),"unbekannter Code"))</f>
        <v>Nebennutzung</v>
      </c>
      <c r="H30" s="27" t="s">
        <v>90</v>
      </c>
      <c r="I30" s="28" t="n">
        <f aca="false">IF($D30="","",IFERROR(INDEX(Bausteinkatalog!$F$8:$F$34,MATCH($D30,Bausteinkatalog!$B$8:$B$34,0)),0))</f>
        <v>11</v>
      </c>
      <c r="J30" s="29" t="n">
        <v>1</v>
      </c>
      <c r="K30" s="30" t="n">
        <f aca="false">IF($D30="","",ROUND($I30*$J30,1))</f>
        <v>11</v>
      </c>
      <c r="L30" s="31" t="n">
        <f aca="false">IF($D30="","",ROUND($K30*$B$14,2))</f>
        <v>0.4</v>
      </c>
      <c r="M30" s="32" t="n">
        <f aca="false">IF($D30="","",IFERROR($K30/$K$42,0))</f>
        <v>0.0201908957415565</v>
      </c>
      <c r="O30" s="33" t="n">
        <f aca="false">IF($K30="","",$K30*1000-ROW())</f>
        <v>10970</v>
      </c>
    </row>
    <row r="31" customFormat="false" ht="15.75" hidden="false" customHeight="true" outlineLevel="0" collapsed="false">
      <c r="B31" s="21" t="n">
        <f aca="false">IF($C31="","",COUNTA($C$20:$C31))</f>
        <v>12</v>
      </c>
      <c r="C31" s="22" t="s">
        <v>91</v>
      </c>
      <c r="D31" s="23" t="s">
        <v>92</v>
      </c>
      <c r="E31" s="24" t="str">
        <f aca="false">IF($D31="","",IFERROR(INDEX(Bausteinkatalog!$C$8:$C$34,MATCH($D31,Bausteinkatalog!$B$8:$B$34,0)),"unbekannter Code"))</f>
        <v>Teil ablegen, genau positioniert</v>
      </c>
      <c r="F31" s="25" t="str">
        <f aca="false">IF($D31="","",IFERROR(INDEX(Bausteinkatalog!$D$8:$D$34,MATCH($D31,Bausteinkatalog!$B$8:$B$34,0)),"unbekannter Code"))</f>
        <v>Aufnehmen &amp; Ablegen</v>
      </c>
      <c r="G31" s="26" t="str">
        <f aca="false">IF($D31="","",IFERROR(INDEX(Bausteinkatalog!$E$8:$E$34,MATCH($D31,Bausteinkatalog!$B$8:$B$34,0)),"unbekannter Code"))</f>
        <v>Nebennutzung</v>
      </c>
      <c r="H31" s="27" t="s">
        <v>93</v>
      </c>
      <c r="I31" s="28" t="n">
        <f aca="false">IF($D31="","",IFERROR(INDEX(Bausteinkatalog!$F$8:$F$34,MATCH($D31,Bausteinkatalog!$B$8:$B$34,0)),0))</f>
        <v>18</v>
      </c>
      <c r="J31" s="29" t="n">
        <v>1</v>
      </c>
      <c r="K31" s="30" t="n">
        <f aca="false">IF($D31="","",ROUND($I31*$J31,1))</f>
        <v>18</v>
      </c>
      <c r="L31" s="31" t="n">
        <f aca="false">IF($D31="","",ROUND($K31*$B$14,2))</f>
        <v>0.65</v>
      </c>
      <c r="M31" s="32" t="n">
        <f aca="false">IF($D31="","",IFERROR($K31/$K$42,0))</f>
        <v>0.0330396475770925</v>
      </c>
      <c r="O31" s="33" t="n">
        <f aca="false">IF($K31="","",$K31*1000-ROW())</f>
        <v>17969</v>
      </c>
    </row>
    <row r="32" customFormat="false" ht="15.75" hidden="false" customHeight="true" outlineLevel="0" collapsed="false">
      <c r="B32" s="21" t="n">
        <f aca="false">IF($C32="","",COUNTA($C$20:$C32))</f>
        <v>13</v>
      </c>
      <c r="C32" s="22" t="s">
        <v>94</v>
      </c>
      <c r="D32" s="23" t="s">
        <v>95</v>
      </c>
      <c r="E32" s="24" t="str">
        <f aca="false">IF($D32="","",IFERROR(INDEX(Bausteinkatalog!$C$8:$C$34,MATCH($D32,Bausteinkatalog!$B$8:$B$34,0)),"unbekannter Code"))</f>
        <v>Sichtprüfung, ein Prüfmerkmal</v>
      </c>
      <c r="F32" s="25" t="str">
        <f aca="false">IF($D32="","",IFERROR(INDEX(Bausteinkatalog!$D$8:$D$34,MATCH($D32,Bausteinkatalog!$B$8:$B$34,0)),"unbekannter Code"))</f>
        <v>Prüfen &amp; Messen</v>
      </c>
      <c r="G32" s="26" t="str">
        <f aca="false">IF($D32="","",IFERROR(INDEX(Bausteinkatalog!$E$8:$E$34,MATCH($D32,Bausteinkatalog!$B$8:$B$34,0)),"unbekannter Code"))</f>
        <v>Nebennutzung</v>
      </c>
      <c r="H32" s="27" t="s">
        <v>96</v>
      </c>
      <c r="I32" s="28" t="n">
        <f aca="false">IF($D32="","",IFERROR(INDEX(Bausteinkatalog!$F$8:$F$34,MATCH($D32,Bausteinkatalog!$B$8:$B$34,0)),0))</f>
        <v>15</v>
      </c>
      <c r="J32" s="29" t="n">
        <v>1</v>
      </c>
      <c r="K32" s="30" t="n">
        <f aca="false">IF($D32="","",ROUND($I32*$J32,1))</f>
        <v>15</v>
      </c>
      <c r="L32" s="31" t="n">
        <f aca="false">IF($D32="","",ROUND($K32*$B$14,2))</f>
        <v>0.54</v>
      </c>
      <c r="M32" s="32" t="n">
        <f aca="false">IF($D32="","",IFERROR($K32/$K$42,0))</f>
        <v>0.0275330396475771</v>
      </c>
      <c r="O32" s="33" t="n">
        <f aca="false">IF($K32="","",$K32*1000-ROW())</f>
        <v>14968</v>
      </c>
    </row>
    <row r="33" customFormat="false" ht="15.75" hidden="false" customHeight="true" outlineLevel="0" collapsed="false">
      <c r="B33" s="21" t="n">
        <f aca="false">IF($C33="","",COUNTA($C$20:$C33))</f>
        <v>14</v>
      </c>
      <c r="C33" s="22" t="s">
        <v>97</v>
      </c>
      <c r="D33" s="23" t="s">
        <v>98</v>
      </c>
      <c r="E33" s="24" t="str">
        <f aca="false">IF($D33="","",IFERROR(INDEX(Bausteinkatalog!$C$8:$C$34,MATCH($D33,Bausteinkatalog!$B$8:$B$34,0)),"unbekannter Code"))</f>
        <v>Körperdrehung im Stand</v>
      </c>
      <c r="F33" s="25" t="str">
        <f aca="false">IF($D33="","",IFERROR(INDEX(Bausteinkatalog!$D$8:$D$34,MATCH($D33,Bausteinkatalog!$B$8:$B$34,0)),"unbekannter Code"))</f>
        <v>Körperbewegung &amp; Wege</v>
      </c>
      <c r="G33" s="26" t="str">
        <f aca="false">IF($D33="","",IFERROR(INDEX(Bausteinkatalog!$E$8:$E$34,MATCH($D33,Bausteinkatalog!$B$8:$B$34,0)),"unbekannter Code"))</f>
        <v>Verschwendung</v>
      </c>
      <c r="H33" s="27" t="s">
        <v>99</v>
      </c>
      <c r="I33" s="28" t="n">
        <f aca="false">IF($D33="","",IFERROR(INDEX(Bausteinkatalog!$F$8:$F$34,MATCH($D33,Bausteinkatalog!$B$8:$B$34,0)),0))</f>
        <v>20</v>
      </c>
      <c r="J33" s="29" t="n">
        <v>1</v>
      </c>
      <c r="K33" s="30" t="n">
        <f aca="false">IF($D33="","",ROUND($I33*$J33,1))</f>
        <v>20</v>
      </c>
      <c r="L33" s="31" t="n">
        <f aca="false">IF($D33="","",ROUND($K33*$B$14,2))</f>
        <v>0.72</v>
      </c>
      <c r="M33" s="32" t="n">
        <f aca="false">IF($D33="","",IFERROR($K33/$K$42,0))</f>
        <v>0.0367107195301028</v>
      </c>
      <c r="O33" s="33" t="n">
        <f aca="false">IF($K33="","",$K33*1000-ROW())</f>
        <v>19967</v>
      </c>
    </row>
    <row r="34" customFormat="false" ht="15.75" hidden="false" customHeight="true" outlineLevel="0" collapsed="false">
      <c r="B34" s="21" t="str">
        <f aca="false">IF($C34="","",COUNTA($C$20:$C34))</f>
        <v/>
      </c>
      <c r="C34" s="22"/>
      <c r="D34" s="23"/>
      <c r="E34" s="24" t="str">
        <f aca="false">IF($D34="","",IFERROR(INDEX(Bausteinkatalog!$C$8:$C$34,MATCH($D34,Bausteinkatalog!$B$8:$B$34,0)),"unbekannter Code"))</f>
        <v/>
      </c>
      <c r="F34" s="25" t="str">
        <f aca="false">IF($D34="","",IFERROR(INDEX(Bausteinkatalog!$D$8:$D$34,MATCH($D34,Bausteinkatalog!$B$8:$B$34,0)),"unbekannter Code"))</f>
        <v/>
      </c>
      <c r="G34" s="26" t="str">
        <f aca="false">IF($D34="","",IFERROR(INDEX(Bausteinkatalog!$E$8:$E$34,MATCH($D34,Bausteinkatalog!$B$8:$B$34,0)),"unbekannter Code"))</f>
        <v/>
      </c>
      <c r="H34" s="27"/>
      <c r="I34" s="28" t="str">
        <f aca="false">IF($D34="","",IFERROR(INDEX(Bausteinkatalog!$F$8:$F$34,MATCH($D34,Bausteinkatalog!$B$8:$B$34,0)),0))</f>
        <v/>
      </c>
      <c r="J34" s="29"/>
      <c r="K34" s="30" t="str">
        <f aca="false">IF($D34="","",ROUND($I34*$J34,1))</f>
        <v/>
      </c>
      <c r="L34" s="31" t="str">
        <f aca="false">IF($D34="","",ROUND($K34*$B$14,2))</f>
        <v/>
      </c>
      <c r="M34" s="32" t="str">
        <f aca="false">IF($D34="","",IFERROR($K34/$K$42,0))</f>
        <v/>
      </c>
      <c r="O34" s="33" t="str">
        <f aca="false">IF($K34="","",$K34*1000-ROW())</f>
        <v/>
      </c>
    </row>
    <row r="35" customFormat="false" ht="15.75" hidden="false" customHeight="true" outlineLevel="0" collapsed="false">
      <c r="B35" s="21" t="str">
        <f aca="false">IF($C35="","",COUNTA($C$20:$C35))</f>
        <v/>
      </c>
      <c r="C35" s="22"/>
      <c r="D35" s="23"/>
      <c r="E35" s="24" t="str">
        <f aca="false">IF($D35="","",IFERROR(INDEX(Bausteinkatalog!$C$8:$C$34,MATCH($D35,Bausteinkatalog!$B$8:$B$34,0)),"unbekannter Code"))</f>
        <v/>
      </c>
      <c r="F35" s="25" t="str">
        <f aca="false">IF($D35="","",IFERROR(INDEX(Bausteinkatalog!$D$8:$D$34,MATCH($D35,Bausteinkatalog!$B$8:$B$34,0)),"unbekannter Code"))</f>
        <v/>
      </c>
      <c r="G35" s="26" t="str">
        <f aca="false">IF($D35="","",IFERROR(INDEX(Bausteinkatalog!$E$8:$E$34,MATCH($D35,Bausteinkatalog!$B$8:$B$34,0)),"unbekannter Code"))</f>
        <v/>
      </c>
      <c r="H35" s="27"/>
      <c r="I35" s="28" t="str">
        <f aca="false">IF($D35="","",IFERROR(INDEX(Bausteinkatalog!$F$8:$F$34,MATCH($D35,Bausteinkatalog!$B$8:$B$34,0)),0))</f>
        <v/>
      </c>
      <c r="J35" s="29"/>
      <c r="K35" s="30" t="str">
        <f aca="false">IF($D35="","",ROUND($I35*$J35,1))</f>
        <v/>
      </c>
      <c r="L35" s="31" t="str">
        <f aca="false">IF($D35="","",ROUND($K35*$B$14,2))</f>
        <v/>
      </c>
      <c r="M35" s="32" t="str">
        <f aca="false">IF($D35="","",IFERROR($K35/$K$42,0))</f>
        <v/>
      </c>
      <c r="O35" s="33" t="str">
        <f aca="false">IF($K35="","",$K35*1000-ROW())</f>
        <v/>
      </c>
    </row>
    <row r="36" customFormat="false" ht="15.75" hidden="false" customHeight="true" outlineLevel="0" collapsed="false">
      <c r="B36" s="21" t="str">
        <f aca="false">IF($C36="","",COUNTA($C$20:$C36))</f>
        <v/>
      </c>
      <c r="C36" s="22"/>
      <c r="D36" s="23"/>
      <c r="E36" s="24" t="str">
        <f aca="false">IF($D36="","",IFERROR(INDEX(Bausteinkatalog!$C$8:$C$34,MATCH($D36,Bausteinkatalog!$B$8:$B$34,0)),"unbekannter Code"))</f>
        <v/>
      </c>
      <c r="F36" s="25" t="str">
        <f aca="false">IF($D36="","",IFERROR(INDEX(Bausteinkatalog!$D$8:$D$34,MATCH($D36,Bausteinkatalog!$B$8:$B$34,0)),"unbekannter Code"))</f>
        <v/>
      </c>
      <c r="G36" s="26" t="str">
        <f aca="false">IF($D36="","",IFERROR(INDEX(Bausteinkatalog!$E$8:$E$34,MATCH($D36,Bausteinkatalog!$B$8:$B$34,0)),"unbekannter Code"))</f>
        <v/>
      </c>
      <c r="H36" s="27"/>
      <c r="I36" s="28" t="str">
        <f aca="false">IF($D36="","",IFERROR(INDEX(Bausteinkatalog!$F$8:$F$34,MATCH($D36,Bausteinkatalog!$B$8:$B$34,0)),0))</f>
        <v/>
      </c>
      <c r="J36" s="29"/>
      <c r="K36" s="30" t="str">
        <f aca="false">IF($D36="","",ROUND($I36*$J36,1))</f>
        <v/>
      </c>
      <c r="L36" s="31" t="str">
        <f aca="false">IF($D36="","",ROUND($K36*$B$14,2))</f>
        <v/>
      </c>
      <c r="M36" s="32" t="str">
        <f aca="false">IF($D36="","",IFERROR($K36/$K$42,0))</f>
        <v/>
      </c>
      <c r="O36" s="33" t="str">
        <f aca="false">IF($K36="","",$K36*1000-ROW())</f>
        <v/>
      </c>
    </row>
    <row r="37" customFormat="false" ht="15.75" hidden="false" customHeight="true" outlineLevel="0" collapsed="false">
      <c r="B37" s="21" t="str">
        <f aca="false">IF($C37="","",COUNTA($C$20:$C37))</f>
        <v/>
      </c>
      <c r="C37" s="22"/>
      <c r="D37" s="23"/>
      <c r="E37" s="24" t="str">
        <f aca="false">IF($D37="","",IFERROR(INDEX(Bausteinkatalog!$C$8:$C$34,MATCH($D37,Bausteinkatalog!$B$8:$B$34,0)),"unbekannter Code"))</f>
        <v/>
      </c>
      <c r="F37" s="25" t="str">
        <f aca="false">IF($D37="","",IFERROR(INDEX(Bausteinkatalog!$D$8:$D$34,MATCH($D37,Bausteinkatalog!$B$8:$B$34,0)),"unbekannter Code"))</f>
        <v/>
      </c>
      <c r="G37" s="26" t="str">
        <f aca="false">IF($D37="","",IFERROR(INDEX(Bausteinkatalog!$E$8:$E$34,MATCH($D37,Bausteinkatalog!$B$8:$B$34,0)),"unbekannter Code"))</f>
        <v/>
      </c>
      <c r="H37" s="27"/>
      <c r="I37" s="28" t="str">
        <f aca="false">IF($D37="","",IFERROR(INDEX(Bausteinkatalog!$F$8:$F$34,MATCH($D37,Bausteinkatalog!$B$8:$B$34,0)),0))</f>
        <v/>
      </c>
      <c r="J37" s="29"/>
      <c r="K37" s="30" t="str">
        <f aca="false">IF($D37="","",ROUND($I37*$J37,1))</f>
        <v/>
      </c>
      <c r="L37" s="31" t="str">
        <f aca="false">IF($D37="","",ROUND($K37*$B$14,2))</f>
        <v/>
      </c>
      <c r="M37" s="32" t="str">
        <f aca="false">IF($D37="","",IFERROR($K37/$K$42,0))</f>
        <v/>
      </c>
      <c r="O37" s="33" t="str">
        <f aca="false">IF($K37="","",$K37*1000-ROW())</f>
        <v/>
      </c>
    </row>
    <row r="38" customFormat="false" ht="15.75" hidden="false" customHeight="true" outlineLevel="0" collapsed="false">
      <c r="B38" s="21" t="str">
        <f aca="false">IF($C38="","",COUNTA($C$20:$C38))</f>
        <v/>
      </c>
      <c r="C38" s="22"/>
      <c r="D38" s="23"/>
      <c r="E38" s="24" t="str">
        <f aca="false">IF($D38="","",IFERROR(INDEX(Bausteinkatalog!$C$8:$C$34,MATCH($D38,Bausteinkatalog!$B$8:$B$34,0)),"unbekannter Code"))</f>
        <v/>
      </c>
      <c r="F38" s="25" t="str">
        <f aca="false">IF($D38="","",IFERROR(INDEX(Bausteinkatalog!$D$8:$D$34,MATCH($D38,Bausteinkatalog!$B$8:$B$34,0)),"unbekannter Code"))</f>
        <v/>
      </c>
      <c r="G38" s="26" t="str">
        <f aca="false">IF($D38="","",IFERROR(INDEX(Bausteinkatalog!$E$8:$E$34,MATCH($D38,Bausteinkatalog!$B$8:$B$34,0)),"unbekannter Code"))</f>
        <v/>
      </c>
      <c r="H38" s="27"/>
      <c r="I38" s="28" t="str">
        <f aca="false">IF($D38="","",IFERROR(INDEX(Bausteinkatalog!$F$8:$F$34,MATCH($D38,Bausteinkatalog!$B$8:$B$34,0)),0))</f>
        <v/>
      </c>
      <c r="J38" s="29"/>
      <c r="K38" s="30" t="str">
        <f aca="false">IF($D38="","",ROUND($I38*$J38,1))</f>
        <v/>
      </c>
      <c r="L38" s="31" t="str">
        <f aca="false">IF($D38="","",ROUND($K38*$B$14,2))</f>
        <v/>
      </c>
      <c r="M38" s="32" t="str">
        <f aca="false">IF($D38="","",IFERROR($K38/$K$42,0))</f>
        <v/>
      </c>
      <c r="O38" s="33" t="str">
        <f aca="false">IF($K38="","",$K38*1000-ROW())</f>
        <v/>
      </c>
    </row>
    <row r="39" customFormat="false" ht="15.75" hidden="false" customHeight="true" outlineLevel="0" collapsed="false">
      <c r="B39" s="21" t="str">
        <f aca="false">IF($C39="","",COUNTA($C$20:$C39))</f>
        <v/>
      </c>
      <c r="C39" s="22"/>
      <c r="D39" s="23"/>
      <c r="E39" s="24" t="str">
        <f aca="false">IF($D39="","",IFERROR(INDEX(Bausteinkatalog!$C$8:$C$34,MATCH($D39,Bausteinkatalog!$B$8:$B$34,0)),"unbekannter Code"))</f>
        <v/>
      </c>
      <c r="F39" s="25" t="str">
        <f aca="false">IF($D39="","",IFERROR(INDEX(Bausteinkatalog!$D$8:$D$34,MATCH($D39,Bausteinkatalog!$B$8:$B$34,0)),"unbekannter Code"))</f>
        <v/>
      </c>
      <c r="G39" s="26" t="str">
        <f aca="false">IF($D39="","",IFERROR(INDEX(Bausteinkatalog!$E$8:$E$34,MATCH($D39,Bausteinkatalog!$B$8:$B$34,0)),"unbekannter Code"))</f>
        <v/>
      </c>
      <c r="H39" s="27"/>
      <c r="I39" s="28" t="str">
        <f aca="false">IF($D39="","",IFERROR(INDEX(Bausteinkatalog!$F$8:$F$34,MATCH($D39,Bausteinkatalog!$B$8:$B$34,0)),0))</f>
        <v/>
      </c>
      <c r="J39" s="29"/>
      <c r="K39" s="30" t="str">
        <f aca="false">IF($D39="","",ROUND($I39*$J39,1))</f>
        <v/>
      </c>
      <c r="L39" s="31" t="str">
        <f aca="false">IF($D39="","",ROUND($K39*$B$14,2))</f>
        <v/>
      </c>
      <c r="M39" s="32" t="str">
        <f aca="false">IF($D39="","",IFERROR($K39/$K$42,0))</f>
        <v/>
      </c>
      <c r="O39" s="33" t="str">
        <f aca="false">IF($K39="","",$K39*1000-ROW())</f>
        <v/>
      </c>
    </row>
    <row r="40" customFormat="false" ht="15.75" hidden="false" customHeight="true" outlineLevel="0" collapsed="false">
      <c r="B40" s="21" t="str">
        <f aca="false">IF($C40="","",COUNTA($C$20:$C40))</f>
        <v/>
      </c>
      <c r="C40" s="22"/>
      <c r="D40" s="23"/>
      <c r="E40" s="24" t="str">
        <f aca="false">IF($D40="","",IFERROR(INDEX(Bausteinkatalog!$C$8:$C$34,MATCH($D40,Bausteinkatalog!$B$8:$B$34,0)),"unbekannter Code"))</f>
        <v/>
      </c>
      <c r="F40" s="25" t="str">
        <f aca="false">IF($D40="","",IFERROR(INDEX(Bausteinkatalog!$D$8:$D$34,MATCH($D40,Bausteinkatalog!$B$8:$B$34,0)),"unbekannter Code"))</f>
        <v/>
      </c>
      <c r="G40" s="26" t="str">
        <f aca="false">IF($D40="","",IFERROR(INDEX(Bausteinkatalog!$E$8:$E$34,MATCH($D40,Bausteinkatalog!$B$8:$B$34,0)),"unbekannter Code"))</f>
        <v/>
      </c>
      <c r="H40" s="27"/>
      <c r="I40" s="28" t="str">
        <f aca="false">IF($D40="","",IFERROR(INDEX(Bausteinkatalog!$F$8:$F$34,MATCH($D40,Bausteinkatalog!$B$8:$B$34,0)),0))</f>
        <v/>
      </c>
      <c r="J40" s="29"/>
      <c r="K40" s="30" t="str">
        <f aca="false">IF($D40="","",ROUND($I40*$J40,1))</f>
        <v/>
      </c>
      <c r="L40" s="31" t="str">
        <f aca="false">IF($D40="","",ROUND($K40*$B$14,2))</f>
        <v/>
      </c>
      <c r="M40" s="32" t="str">
        <f aca="false">IF($D40="","",IFERROR($K40/$K$42,0))</f>
        <v/>
      </c>
      <c r="O40" s="33" t="str">
        <f aca="false">IF($K40="","",$K40*1000-ROW())</f>
        <v/>
      </c>
    </row>
    <row r="41" customFormat="false" ht="15.75" hidden="false" customHeight="true" outlineLevel="0" collapsed="false">
      <c r="B41" s="21" t="str">
        <f aca="false">IF($C41="","",COUNTA($C$20:$C41))</f>
        <v/>
      </c>
      <c r="C41" s="22"/>
      <c r="D41" s="23"/>
      <c r="E41" s="24" t="str">
        <f aca="false">IF($D41="","",IFERROR(INDEX(Bausteinkatalog!$C$8:$C$34,MATCH($D41,Bausteinkatalog!$B$8:$B$34,0)),"unbekannter Code"))</f>
        <v/>
      </c>
      <c r="F41" s="25" t="str">
        <f aca="false">IF($D41="","",IFERROR(INDEX(Bausteinkatalog!$D$8:$D$34,MATCH($D41,Bausteinkatalog!$B$8:$B$34,0)),"unbekannter Code"))</f>
        <v/>
      </c>
      <c r="G41" s="26" t="str">
        <f aca="false">IF($D41="","",IFERROR(INDEX(Bausteinkatalog!$E$8:$E$34,MATCH($D41,Bausteinkatalog!$B$8:$B$34,0)),"unbekannter Code"))</f>
        <v/>
      </c>
      <c r="H41" s="27"/>
      <c r="I41" s="28" t="str">
        <f aca="false">IF($D41="","",IFERROR(INDEX(Bausteinkatalog!$F$8:$F$34,MATCH($D41,Bausteinkatalog!$B$8:$B$34,0)),0))</f>
        <v/>
      </c>
      <c r="J41" s="29"/>
      <c r="K41" s="30" t="str">
        <f aca="false">IF($D41="","",ROUND($I41*$J41,1))</f>
        <v/>
      </c>
      <c r="L41" s="31" t="str">
        <f aca="false">IF($D41="","",ROUND($K41*$B$14,2))</f>
        <v/>
      </c>
      <c r="M41" s="32" t="str">
        <f aca="false">IF($D41="","",IFERROR($K41/$K$42,0))</f>
        <v/>
      </c>
      <c r="O41" s="33" t="str">
        <f aca="false">IF($K41="","",$K41*1000-ROW())</f>
        <v/>
      </c>
    </row>
    <row r="42" customFormat="false" ht="19.5" hidden="false" customHeight="true" outlineLevel="0" collapsed="false">
      <c r="B42" s="34" t="str">
        <f aca="false">"SUMME   ·   "&amp;SUMPRODUCT(($C$20:$C$41&lt;&gt;"")*1)&amp;" Ablaufabschnitte   ·   Normzeit "&amp;TEXT($L$42,"0.00")&amp;" s"</f>
        <v>SUMME   ·   14 Ablaufabschnitte   ·   Normzeit 19.61 s</v>
      </c>
      <c r="C42" s="34"/>
      <c r="D42" s="34"/>
      <c r="E42" s="34"/>
      <c r="F42" s="34"/>
      <c r="G42" s="34"/>
      <c r="H42" s="34"/>
      <c r="I42" s="35" t="s">
        <v>100</v>
      </c>
      <c r="J42" s="36"/>
      <c r="K42" s="37" t="n">
        <f aca="false">ROUND(SUM($K$20:$K$41),1)</f>
        <v>544.8</v>
      </c>
      <c r="L42" s="38" t="n">
        <f aca="false">ROUND(SUM($L$20:$L$41),2)</f>
        <v>19.61</v>
      </c>
      <c r="M42" s="39" t="n">
        <f aca="false">SUM($M$20:$M$41)</f>
        <v>1</v>
      </c>
    </row>
    <row r="43" customFormat="false" ht="6" hidden="false" customHeight="true" outlineLevel="0" collapsed="false"/>
    <row r="44" customFormat="false" ht="19.5" hidden="false" customHeight="true" outlineLevel="0" collapsed="false">
      <c r="B44" s="6" t="s">
        <v>101</v>
      </c>
      <c r="C44" s="6"/>
      <c r="D44" s="6"/>
      <c r="E44" s="6"/>
      <c r="F44" s="6"/>
      <c r="G44" s="6"/>
      <c r="H44" s="6"/>
      <c r="I44" s="7" t="s">
        <v>102</v>
      </c>
      <c r="J44" s="7"/>
      <c r="K44" s="7"/>
      <c r="L44" s="7"/>
      <c r="M44" s="7"/>
    </row>
    <row r="45" customFormat="false" ht="13.5" hidden="false" customHeight="true" outlineLevel="0" collapsed="false">
      <c r="B45" s="40" t="s">
        <v>103</v>
      </c>
      <c r="C45" s="40"/>
      <c r="D45" s="40" t="s">
        <v>104</v>
      </c>
      <c r="E45" s="40"/>
      <c r="F45" s="40" t="s">
        <v>105</v>
      </c>
      <c r="G45" s="40"/>
      <c r="H45" s="40" t="s">
        <v>106</v>
      </c>
      <c r="I45" s="40"/>
      <c r="J45" s="41" t="s">
        <v>107</v>
      </c>
      <c r="K45" s="41"/>
      <c r="L45" s="40" t="s">
        <v>108</v>
      </c>
      <c r="M45" s="40"/>
    </row>
    <row r="46" customFormat="false" ht="21.75" hidden="false" customHeight="true" outlineLevel="0" collapsed="false">
      <c r="B46" s="42" t="n">
        <f aca="false">$K$42</f>
        <v>544.8</v>
      </c>
      <c r="C46" s="42"/>
      <c r="D46" s="43" t="n">
        <f aca="false">ROUND($K$42*$B$14/$D$14,2)</f>
        <v>19.61</v>
      </c>
      <c r="E46" s="43"/>
      <c r="F46" s="43" t="n">
        <f aca="false">ROUND($D$46*$H$14,2)</f>
        <v>0.98</v>
      </c>
      <c r="G46" s="43"/>
      <c r="H46" s="43" t="n">
        <f aca="false">ROUND($D$46*$F$14,2)</f>
        <v>1.57</v>
      </c>
      <c r="I46" s="43"/>
      <c r="J46" s="44" t="n">
        <f aca="false">ROUND($D$46+$F$46+$H$46,2)</f>
        <v>22.16</v>
      </c>
      <c r="K46" s="44"/>
      <c r="L46" s="45" t="n">
        <f aca="false">ROUND($J$46/60,3)</f>
        <v>0.369</v>
      </c>
      <c r="M46" s="45"/>
    </row>
    <row r="47" customFormat="false" ht="13.5" hidden="false" customHeight="true" outlineLevel="0" collapsed="false">
      <c r="B47" s="40" t="s">
        <v>109</v>
      </c>
      <c r="C47" s="40"/>
      <c r="D47" s="40" t="s">
        <v>110</v>
      </c>
      <c r="E47" s="40"/>
      <c r="F47" s="40" t="s">
        <v>111</v>
      </c>
      <c r="G47" s="40"/>
      <c r="H47" s="40" t="s">
        <v>112</v>
      </c>
      <c r="I47" s="40"/>
      <c r="J47" s="41" t="s">
        <v>113</v>
      </c>
      <c r="K47" s="41"/>
      <c r="L47" s="40" t="s">
        <v>114</v>
      </c>
      <c r="M47" s="40"/>
    </row>
    <row r="48" customFormat="false" ht="21.75" hidden="false" customHeight="true" outlineLevel="0" collapsed="false">
      <c r="B48" s="46" t="n">
        <f aca="false">$J$14</f>
        <v>12</v>
      </c>
      <c r="C48" s="46"/>
      <c r="D48" s="46" t="n">
        <f aca="false">ROUND($B$48+$L$14*$L$46,1)</f>
        <v>104.3</v>
      </c>
      <c r="E48" s="46"/>
      <c r="F48" s="47" t="n">
        <f aca="false">IFERROR(ROUND(3600/$J$46,0),0)</f>
        <v>162</v>
      </c>
      <c r="G48" s="47"/>
      <c r="H48" s="48" t="n">
        <f aca="false">ROUND($F$48*$F$16*$H$16,0)</f>
        <v>1118</v>
      </c>
      <c r="I48" s="48"/>
      <c r="J48" s="49" t="n">
        <f aca="false">ROUND($J$46/3600*$B$16,3)</f>
        <v>0.32</v>
      </c>
      <c r="K48" s="49"/>
      <c r="L48" s="50" t="n">
        <f aca="false">ROUND($L$14*$J$48+$B$48/60*$B$16,2)</f>
        <v>90.4</v>
      </c>
      <c r="M48" s="50"/>
    </row>
    <row r="49" customFormat="false" ht="13.5" hidden="false" customHeight="true" outlineLevel="0" collapsed="false">
      <c r="B49" s="40" t="s">
        <v>39</v>
      </c>
      <c r="C49" s="40"/>
      <c r="D49" s="51" t="s">
        <v>115</v>
      </c>
      <c r="E49" s="51"/>
      <c r="F49" s="51" t="s">
        <v>116</v>
      </c>
      <c r="G49" s="51"/>
      <c r="H49" s="51" t="s">
        <v>117</v>
      </c>
      <c r="I49" s="51"/>
      <c r="J49" s="52" t="s">
        <v>118</v>
      </c>
      <c r="K49" s="52"/>
      <c r="L49" s="53" t="s">
        <v>119</v>
      </c>
      <c r="M49" s="53"/>
    </row>
    <row r="50" customFormat="false" ht="21.75" hidden="false" customHeight="true" outlineLevel="0" collapsed="false">
      <c r="B50" s="43" t="n">
        <f aca="false">$D$16</f>
        <v>24</v>
      </c>
      <c r="C50" s="43"/>
      <c r="D50" s="54" t="n">
        <f aca="false">ROUND($B$50-$J$46,2)</f>
        <v>1.84</v>
      </c>
      <c r="E50" s="54"/>
      <c r="F50" s="55" t="n">
        <f aca="false">IFERROR($J$46/$B$50,0)</f>
        <v>0.923333333333333</v>
      </c>
      <c r="G50" s="55"/>
      <c r="H50" s="55" t="n">
        <f aca="false">IFERROR(SUMIFS($K$20:$K$41,$G$20:$G$41,"Hauptnutzung")/$K$42,0)</f>
        <v>0.513950073421439</v>
      </c>
      <c r="I50" s="55"/>
      <c r="J50" s="56" t="n">
        <f aca="false">IFERROR(SUMIFS($K$20:$K$41,$G$20:$G$41,"Nebennutzung")/$K$42,0)</f>
        <v>0.440528634361234</v>
      </c>
      <c r="K50" s="56"/>
      <c r="L50" s="57" t="n">
        <f aca="false">IFERROR(SUMIFS($K$20:$K$41,$G$20:$G$41,"Verschwendung")/$K$42,0)</f>
        <v>0.0455212922173275</v>
      </c>
      <c r="M50" s="57"/>
    </row>
    <row r="51" customFormat="false" ht="25.5" hidden="false" customHeight="true" outlineLevel="0" collapsed="false">
      <c r="B51" s="58" t="str">
        <f aca="false">"Ergebnis:      "&amp;IF($J$46&lt;=$B$50,"✔ Taktzeit eingehalten","⚠ Taktzeit überschritten")&amp;"      ·      Zeit je Einheit "&amp;TEXT($J$46,"0.00")&amp;" s"&amp;"      ·      Auslastung "&amp;TEXT($F$50,"0.0%")&amp;"      ·      Wertschöpfungsgrad "&amp;TEXT($H$50,"0.0%")&amp;"      ·      Ausbringung "&amp;TEXT($F$48,"#,##0")&amp;" Stk/h"</f>
        <v>Ergebnis:      ✔ Taktzeit eingehalten      ·      Zeit je Einheit 22.16 s      ·      Auslastung 92.3%      ·      Wertschöpfungsgrad 51.4%      ·      Ausbringung 162 Stk/h</v>
      </c>
      <c r="C51" s="58"/>
      <c r="D51" s="58"/>
      <c r="E51" s="58"/>
      <c r="F51" s="58"/>
      <c r="G51" s="58"/>
      <c r="H51" s="58"/>
      <c r="I51" s="58"/>
      <c r="J51" s="58"/>
      <c r="K51" s="58"/>
      <c r="L51" s="58"/>
      <c r="M51" s="58"/>
    </row>
    <row r="53" customFormat="false" ht="13.5" hidden="false" customHeight="true" outlineLevel="0" collapsed="false">
      <c r="B53" s="59" t="s">
        <v>120</v>
      </c>
      <c r="C53" s="59"/>
      <c r="D53" s="59"/>
      <c r="E53" s="59"/>
      <c r="F53" s="59"/>
      <c r="G53" s="59"/>
      <c r="H53" s="59"/>
      <c r="I53" s="59"/>
      <c r="J53" s="59"/>
      <c r="K53" s="59"/>
      <c r="L53" s="59"/>
      <c r="M53" s="59"/>
    </row>
    <row r="54" customFormat="false" ht="13.5" hidden="false" customHeight="true" outlineLevel="0" collapsed="false">
      <c r="B54" s="59"/>
      <c r="C54" s="59"/>
      <c r="D54" s="59"/>
      <c r="E54" s="59"/>
      <c r="F54" s="59"/>
      <c r="G54" s="59"/>
      <c r="H54" s="59"/>
      <c r="I54" s="59"/>
      <c r="J54" s="59"/>
      <c r="K54" s="59"/>
      <c r="L54" s="59"/>
      <c r="M54" s="59"/>
    </row>
  </sheetData>
  <autoFilter ref="B19:M41"/>
  <mergeCells count="99">
    <mergeCell ref="B2:H2"/>
    <mergeCell ref="I2:M2"/>
    <mergeCell ref="B3:H3"/>
    <mergeCell ref="I3:M3"/>
    <mergeCell ref="B6:H6"/>
    <mergeCell ref="I6:M6"/>
    <mergeCell ref="B7:C7"/>
    <mergeCell ref="D7:E7"/>
    <mergeCell ref="F7:G7"/>
    <mergeCell ref="H7:I7"/>
    <mergeCell ref="J7:K7"/>
    <mergeCell ref="L7:M7"/>
    <mergeCell ref="B8:C8"/>
    <mergeCell ref="D8:E8"/>
    <mergeCell ref="F8:G8"/>
    <mergeCell ref="H8:I8"/>
    <mergeCell ref="J8:K8"/>
    <mergeCell ref="L8:M8"/>
    <mergeCell ref="B9:C9"/>
    <mergeCell ref="D9:E9"/>
    <mergeCell ref="F9:G9"/>
    <mergeCell ref="H9:I9"/>
    <mergeCell ref="J9:K9"/>
    <mergeCell ref="L9:M9"/>
    <mergeCell ref="B10:C10"/>
    <mergeCell ref="D10:E10"/>
    <mergeCell ref="F10:G10"/>
    <mergeCell ref="H10:I10"/>
    <mergeCell ref="J10:K10"/>
    <mergeCell ref="L10:M10"/>
    <mergeCell ref="B12:H12"/>
    <mergeCell ref="I12:M12"/>
    <mergeCell ref="B13:C13"/>
    <mergeCell ref="D13:E13"/>
    <mergeCell ref="F13:G13"/>
    <mergeCell ref="H13:I13"/>
    <mergeCell ref="J13:K13"/>
    <mergeCell ref="L13:M13"/>
    <mergeCell ref="B14:C14"/>
    <mergeCell ref="D14:E14"/>
    <mergeCell ref="F14:G14"/>
    <mergeCell ref="H14:I14"/>
    <mergeCell ref="J14:K14"/>
    <mergeCell ref="L14:M14"/>
    <mergeCell ref="B15:C15"/>
    <mergeCell ref="D15:E15"/>
    <mergeCell ref="F15:G15"/>
    <mergeCell ref="H15:I15"/>
    <mergeCell ref="J15:K15"/>
    <mergeCell ref="L15:M15"/>
    <mergeCell ref="B16:C16"/>
    <mergeCell ref="D16:E16"/>
    <mergeCell ref="F16:G16"/>
    <mergeCell ref="H16:I16"/>
    <mergeCell ref="J16:K16"/>
    <mergeCell ref="L16:M16"/>
    <mergeCell ref="B18:H18"/>
    <mergeCell ref="I18:M18"/>
    <mergeCell ref="B42:H42"/>
    <mergeCell ref="B44:H44"/>
    <mergeCell ref="I44:M44"/>
    <mergeCell ref="B45:C45"/>
    <mergeCell ref="D45:E45"/>
    <mergeCell ref="F45:G45"/>
    <mergeCell ref="H45:I45"/>
    <mergeCell ref="J45:K45"/>
    <mergeCell ref="L45:M45"/>
    <mergeCell ref="B46:C46"/>
    <mergeCell ref="D46:E46"/>
    <mergeCell ref="F46:G46"/>
    <mergeCell ref="H46:I46"/>
    <mergeCell ref="J46:K46"/>
    <mergeCell ref="L46:M46"/>
    <mergeCell ref="B47:C47"/>
    <mergeCell ref="D47:E47"/>
    <mergeCell ref="F47:G47"/>
    <mergeCell ref="H47:I47"/>
    <mergeCell ref="J47:K47"/>
    <mergeCell ref="L47:M47"/>
    <mergeCell ref="B48:C48"/>
    <mergeCell ref="D48:E48"/>
    <mergeCell ref="F48:G48"/>
    <mergeCell ref="H48:I48"/>
    <mergeCell ref="J48:K48"/>
    <mergeCell ref="L48:M48"/>
    <mergeCell ref="B49:C49"/>
    <mergeCell ref="D49:E49"/>
    <mergeCell ref="F49:G49"/>
    <mergeCell ref="H49:I49"/>
    <mergeCell ref="J49:K49"/>
    <mergeCell ref="L49:M49"/>
    <mergeCell ref="B50:C50"/>
    <mergeCell ref="D50:E50"/>
    <mergeCell ref="F50:G50"/>
    <mergeCell ref="H50:I50"/>
    <mergeCell ref="J50:K50"/>
    <mergeCell ref="L50:M50"/>
    <mergeCell ref="B51:M51"/>
    <mergeCell ref="B53:M54"/>
  </mergeCells>
  <conditionalFormatting sqref="B51:M51">
    <cfRule type="expression" priority="2" aboveAverage="0" equalAverage="0" bottom="0" percent="0" rank="0" text="" dxfId="13">
      <formula>ISNUMBER(SEARCH("überschritten",$B$51))</formula>
    </cfRule>
  </conditionalFormatting>
  <conditionalFormatting sqref="G20:G41">
    <cfRule type="cellIs" priority="3" operator="equal" aboveAverage="0" equalAverage="0" bottom="0" percent="0" rank="0" text="" dxfId="14">
      <formula>"Hauptnutzung"</formula>
    </cfRule>
    <cfRule type="cellIs" priority="4" operator="equal" aboveAverage="0" equalAverage="0" bottom="0" percent="0" rank="0" text="" dxfId="15">
      <formula>"Nebennutzung"</formula>
    </cfRule>
    <cfRule type="cellIs" priority="5" operator="equal" aboveAverage="0" equalAverage="0" bottom="0" percent="0" rank="0" text="" dxfId="16">
      <formula>"Verschwendung"</formula>
    </cfRule>
  </conditionalFormatting>
  <conditionalFormatting sqref="E20:E41">
    <cfRule type="cellIs" priority="6" operator="equal" aboveAverage="0" equalAverage="0" bottom="0" percent="0" rank="0" text="" dxfId="16">
      <formula>"unbekannter Code"</formula>
    </cfRule>
  </conditionalFormatting>
  <conditionalFormatting sqref="J20:J41">
    <cfRule type="expression" priority="7" aboveAverage="0" equalAverage="0" bottom="0" percent="0" rank="0" text="" dxfId="17">
      <formula>AND($D20&lt;&gt;"",OR($J20="",$J20&lt;=0))</formula>
    </cfRule>
  </conditionalFormatting>
  <conditionalFormatting sqref="M20:M41">
    <cfRule type="dataBar" priority="8">
      <dataBar showValue="1" minLength="10" maxLength="90">
        <cfvo type="num" val="0"/>
        <cfvo type="num" val="0.35"/>
        <color rgb="FF5C7E9E"/>
      </dataBar>
      <extLst>
        <ext xmlns:x14="http://schemas.microsoft.com/office/spreadsheetml/2009/9/main" uri="{B025F937-C7B1-47D3-B67F-A62EFF666E3E}">
          <x14:id>{BC7BE74B-AAEF-431E-BD3D-14C4266F8275}</x14:id>
        </ext>
      </extLst>
    </cfRule>
  </conditionalFormatting>
  <dataValidations count="1">
    <dataValidation allowBlank="true" error="Bitte einen Code aus dem Bausteinkatalog wählen." errorStyle="stop" errorTitle="Unbekannter Code" operator="between" prompt="Code aus dem Bausteinkatalog wählen." promptTitle="Prozessbaustein" showDropDown="false" showErrorMessage="false" showInputMessage="false" sqref="D20:D41" type="list">
      <formula1>Bausteinkatalog!$B$8:$B$34</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1"/>
  <extLst>
    <ext xmlns:x14="http://schemas.microsoft.com/office/spreadsheetml/2009/9/main" uri="{78C0D931-6437-407d-A8EE-F0AAD7539E65}">
      <x14:conditionalFormattings>
        <x14:conditionalFormatting xmlns:xm="http://schemas.microsoft.com/office/excel/2006/main">
          <x14:cfRule type="dataBar" id="{BC7BE74B-AAEF-431E-BD3D-14C4266F8275}">
            <x14:dataBar minLength="10" maxLength="90" axisPosition="none" gradient="true">
              <x14:cfvo type="num">
                <xm:f>0</xm:f>
              </x14:cfvo>
              <x14:cfvo type="num">
                <xm:f>0.35</xm:f>
              </x14:cfvo>
              <x14:negativeFillColor rgb="FF5C7E9E"/>
              <x14:axisColor rgb="FF000000"/>
            </x14:dataBar>
          </x14:cfRule>
          <xm:sqref>M20:M41</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G5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7" topLeftCell="B8" activePane="bottomRight" state="frozen"/>
      <selection pane="topLeft" activeCell="A1" activeCellId="0" sqref="A1"/>
      <selection pane="topRight" activeCell="B1" activeCellId="0" sqref="B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12"/>
    <col collapsed="false" customWidth="true" hidden="false" outlineLevel="0" max="3" min="3" style="0" width="42"/>
    <col collapsed="false" customWidth="true" hidden="false" outlineLevel="0" max="4" min="4" style="0" width="24"/>
    <col collapsed="false" customWidth="true" hidden="false" outlineLevel="0" max="5" min="5" style="0" width="16"/>
    <col collapsed="false" customWidth="true" hidden="false" outlineLevel="0" max="6" min="6" style="0" width="15"/>
    <col collapsed="false" customWidth="true" hidden="false" outlineLevel="0" max="7" min="7" style="0" width="48"/>
  </cols>
  <sheetData>
    <row r="2" customFormat="false" ht="30" hidden="false" customHeight="true" outlineLevel="0" collapsed="false">
      <c r="B2" s="1" t="s">
        <v>121</v>
      </c>
      <c r="C2" s="1"/>
      <c r="D2" s="1"/>
      <c r="E2" s="2" t="s">
        <v>122</v>
      </c>
      <c r="F2" s="2"/>
      <c r="G2" s="2"/>
    </row>
    <row r="3" customFormat="false" ht="18.75" hidden="false" customHeight="true" outlineLevel="0" collapsed="false">
      <c r="B3" s="3" t="s">
        <v>123</v>
      </c>
      <c r="C3" s="3"/>
      <c r="D3" s="3"/>
      <c r="E3" s="4" t="s">
        <v>124</v>
      </c>
      <c r="F3" s="4"/>
      <c r="G3" s="4"/>
    </row>
    <row r="4" customFormat="false" ht="4.5" hidden="false" customHeight="true" outlineLevel="0" collapsed="false">
      <c r="B4" s="5"/>
      <c r="C4" s="5"/>
      <c r="D4" s="5"/>
      <c r="E4" s="5"/>
      <c r="F4" s="5"/>
      <c r="G4" s="5"/>
    </row>
    <row r="6" customFormat="false" ht="19.5" hidden="false" customHeight="true" outlineLevel="0" collapsed="false">
      <c r="B6" s="6" t="s">
        <v>125</v>
      </c>
      <c r="C6" s="6"/>
      <c r="D6" s="6"/>
      <c r="E6" s="7" t="s">
        <v>126</v>
      </c>
      <c r="F6" s="7"/>
      <c r="G6" s="7"/>
    </row>
    <row r="7" customFormat="false" ht="27.75" hidden="false" customHeight="true" outlineLevel="0" collapsed="false">
      <c r="B7" s="60" t="s">
        <v>48</v>
      </c>
      <c r="C7" s="61" t="s">
        <v>127</v>
      </c>
      <c r="D7" s="61" t="s">
        <v>50</v>
      </c>
      <c r="E7" s="60" t="s">
        <v>128</v>
      </c>
      <c r="F7" s="19" t="s">
        <v>53</v>
      </c>
      <c r="G7" s="61" t="s">
        <v>129</v>
      </c>
    </row>
    <row r="8" customFormat="false" ht="15.75" hidden="false" customHeight="true" outlineLevel="0" collapsed="false">
      <c r="B8" s="23" t="s">
        <v>74</v>
      </c>
      <c r="C8" s="62" t="s">
        <v>130</v>
      </c>
      <c r="D8" s="25" t="s">
        <v>131</v>
      </c>
      <c r="E8" s="26" t="s">
        <v>132</v>
      </c>
      <c r="F8" s="63" t="n">
        <v>12</v>
      </c>
      <c r="G8" s="64" t="s">
        <v>133</v>
      </c>
    </row>
    <row r="9" customFormat="false" ht="15.75" hidden="false" customHeight="true" outlineLevel="0" collapsed="false">
      <c r="B9" s="23" t="s">
        <v>62</v>
      </c>
      <c r="C9" s="62" t="s">
        <v>134</v>
      </c>
      <c r="D9" s="25" t="s">
        <v>131</v>
      </c>
      <c r="E9" s="26" t="s">
        <v>132</v>
      </c>
      <c r="F9" s="63" t="n">
        <v>22</v>
      </c>
      <c r="G9" s="64" t="s">
        <v>135</v>
      </c>
    </row>
    <row r="10" customFormat="false" ht="15.75" hidden="false" customHeight="true" outlineLevel="0" collapsed="false">
      <c r="B10" s="23" t="s">
        <v>136</v>
      </c>
      <c r="C10" s="62" t="s">
        <v>137</v>
      </c>
      <c r="D10" s="25" t="s">
        <v>131</v>
      </c>
      <c r="E10" s="26" t="s">
        <v>132</v>
      </c>
      <c r="F10" s="63" t="n">
        <v>9</v>
      </c>
      <c r="G10" s="64" t="s">
        <v>138</v>
      </c>
    </row>
    <row r="11" customFormat="false" ht="15.75" hidden="false" customHeight="true" outlineLevel="0" collapsed="false">
      <c r="B11" s="23" t="s">
        <v>92</v>
      </c>
      <c r="C11" s="62" t="s">
        <v>139</v>
      </c>
      <c r="D11" s="25" t="s">
        <v>131</v>
      </c>
      <c r="E11" s="26" t="s">
        <v>132</v>
      </c>
      <c r="F11" s="63" t="n">
        <v>18</v>
      </c>
      <c r="G11" s="64" t="s">
        <v>140</v>
      </c>
    </row>
    <row r="12" customFormat="false" ht="15.75" hidden="false" customHeight="true" outlineLevel="0" collapsed="false">
      <c r="B12" s="23" t="s">
        <v>141</v>
      </c>
      <c r="C12" s="62" t="s">
        <v>142</v>
      </c>
      <c r="D12" s="25" t="s">
        <v>143</v>
      </c>
      <c r="E12" s="26" t="s">
        <v>132</v>
      </c>
      <c r="F12" s="63" t="n">
        <v>10</v>
      </c>
      <c r="G12" s="64" t="s">
        <v>144</v>
      </c>
    </row>
    <row r="13" customFormat="false" ht="15.75" hidden="false" customHeight="true" outlineLevel="0" collapsed="false">
      <c r="B13" s="23" t="s">
        <v>65</v>
      </c>
      <c r="C13" s="62" t="s">
        <v>145</v>
      </c>
      <c r="D13" s="25" t="s">
        <v>143</v>
      </c>
      <c r="E13" s="26" t="s">
        <v>132</v>
      </c>
      <c r="F13" s="63" t="n">
        <v>16</v>
      </c>
      <c r="G13" s="64" t="s">
        <v>146</v>
      </c>
    </row>
    <row r="14" customFormat="false" ht="15.75" hidden="false" customHeight="true" outlineLevel="0" collapsed="false">
      <c r="B14" s="23" t="s">
        <v>147</v>
      </c>
      <c r="C14" s="62" t="s">
        <v>148</v>
      </c>
      <c r="D14" s="25" t="s">
        <v>143</v>
      </c>
      <c r="E14" s="26" t="s">
        <v>132</v>
      </c>
      <c r="F14" s="63" t="n">
        <v>24</v>
      </c>
      <c r="G14" s="64" t="s">
        <v>149</v>
      </c>
    </row>
    <row r="15" customFormat="false" ht="15.75" hidden="false" customHeight="true" outlineLevel="0" collapsed="false">
      <c r="B15" s="23" t="s">
        <v>150</v>
      </c>
      <c r="C15" s="62" t="s">
        <v>151</v>
      </c>
      <c r="D15" s="25" t="s">
        <v>152</v>
      </c>
      <c r="E15" s="26" t="s">
        <v>153</v>
      </c>
      <c r="F15" s="63" t="n">
        <v>14</v>
      </c>
      <c r="G15" s="64" t="s">
        <v>154</v>
      </c>
    </row>
    <row r="16" customFormat="false" ht="15.75" hidden="false" customHeight="true" outlineLevel="0" collapsed="false">
      <c r="B16" s="23" t="s">
        <v>68</v>
      </c>
      <c r="C16" s="62" t="s">
        <v>155</v>
      </c>
      <c r="D16" s="25" t="s">
        <v>152</v>
      </c>
      <c r="E16" s="26" t="s">
        <v>153</v>
      </c>
      <c r="F16" s="63" t="n">
        <v>28</v>
      </c>
      <c r="G16" s="64" t="s">
        <v>156</v>
      </c>
    </row>
    <row r="17" customFormat="false" ht="15.75" hidden="false" customHeight="true" outlineLevel="0" collapsed="false">
      <c r="B17" s="23" t="s">
        <v>77</v>
      </c>
      <c r="C17" s="62" t="s">
        <v>157</v>
      </c>
      <c r="D17" s="25" t="s">
        <v>152</v>
      </c>
      <c r="E17" s="26" t="s">
        <v>153</v>
      </c>
      <c r="F17" s="63" t="n">
        <v>46</v>
      </c>
      <c r="G17" s="64" t="s">
        <v>158</v>
      </c>
    </row>
    <row r="18" customFormat="false" ht="15.75" hidden="false" customHeight="true" outlineLevel="0" collapsed="false">
      <c r="B18" s="23" t="s">
        <v>159</v>
      </c>
      <c r="C18" s="62" t="s">
        <v>160</v>
      </c>
      <c r="D18" s="25" t="s">
        <v>152</v>
      </c>
      <c r="E18" s="26" t="s">
        <v>153</v>
      </c>
      <c r="F18" s="63" t="n">
        <v>20</v>
      </c>
      <c r="G18" s="64" t="s">
        <v>161</v>
      </c>
    </row>
    <row r="19" customFormat="false" ht="15.75" hidden="false" customHeight="true" outlineLevel="0" collapsed="false">
      <c r="B19" s="23" t="s">
        <v>89</v>
      </c>
      <c r="C19" s="62" t="s">
        <v>162</v>
      </c>
      <c r="D19" s="25" t="s">
        <v>163</v>
      </c>
      <c r="E19" s="26" t="s">
        <v>132</v>
      </c>
      <c r="F19" s="63" t="n">
        <v>11</v>
      </c>
      <c r="G19" s="64" t="s">
        <v>164</v>
      </c>
    </row>
    <row r="20" customFormat="false" ht="15.75" hidden="false" customHeight="true" outlineLevel="0" collapsed="false">
      <c r="B20" s="23" t="s">
        <v>71</v>
      </c>
      <c r="C20" s="62" t="s">
        <v>165</v>
      </c>
      <c r="D20" s="25" t="s">
        <v>163</v>
      </c>
      <c r="E20" s="26" t="s">
        <v>132</v>
      </c>
      <c r="F20" s="63" t="n">
        <v>19</v>
      </c>
      <c r="G20" s="64" t="s">
        <v>166</v>
      </c>
    </row>
    <row r="21" customFormat="false" ht="15.75" hidden="false" customHeight="true" outlineLevel="0" collapsed="false">
      <c r="B21" s="23" t="s">
        <v>167</v>
      </c>
      <c r="C21" s="62" t="s">
        <v>168</v>
      </c>
      <c r="D21" s="25" t="s">
        <v>163</v>
      </c>
      <c r="E21" s="26" t="s">
        <v>153</v>
      </c>
      <c r="F21" s="63" t="n">
        <v>34</v>
      </c>
      <c r="G21" s="64" t="s">
        <v>169</v>
      </c>
    </row>
    <row r="22" customFormat="false" ht="15.75" hidden="false" customHeight="true" outlineLevel="0" collapsed="false">
      <c r="B22" s="23" t="s">
        <v>80</v>
      </c>
      <c r="C22" s="62" t="s">
        <v>170</v>
      </c>
      <c r="D22" s="25" t="s">
        <v>171</v>
      </c>
      <c r="E22" s="26" t="s">
        <v>132</v>
      </c>
      <c r="F22" s="63" t="n">
        <v>25</v>
      </c>
      <c r="G22" s="64" t="s">
        <v>172</v>
      </c>
    </row>
    <row r="23" customFormat="false" ht="15.75" hidden="false" customHeight="true" outlineLevel="0" collapsed="false">
      <c r="B23" s="23" t="s">
        <v>83</v>
      </c>
      <c r="C23" s="62" t="s">
        <v>173</v>
      </c>
      <c r="D23" s="25" t="s">
        <v>171</v>
      </c>
      <c r="E23" s="26" t="s">
        <v>153</v>
      </c>
      <c r="F23" s="63" t="n">
        <v>40</v>
      </c>
      <c r="G23" s="64" t="s">
        <v>174</v>
      </c>
    </row>
    <row r="24" customFormat="false" ht="15.75" hidden="false" customHeight="true" outlineLevel="0" collapsed="false">
      <c r="B24" s="23" t="s">
        <v>86</v>
      </c>
      <c r="C24" s="62" t="s">
        <v>175</v>
      </c>
      <c r="D24" s="25" t="s">
        <v>171</v>
      </c>
      <c r="E24" s="26" t="s">
        <v>132</v>
      </c>
      <c r="F24" s="63" t="n">
        <v>15</v>
      </c>
      <c r="G24" s="64" t="s">
        <v>176</v>
      </c>
    </row>
    <row r="25" customFormat="false" ht="15.75" hidden="false" customHeight="true" outlineLevel="0" collapsed="false">
      <c r="B25" s="23" t="s">
        <v>95</v>
      </c>
      <c r="C25" s="62" t="s">
        <v>177</v>
      </c>
      <c r="D25" s="25" t="s">
        <v>178</v>
      </c>
      <c r="E25" s="26" t="s">
        <v>132</v>
      </c>
      <c r="F25" s="63" t="n">
        <v>15</v>
      </c>
      <c r="G25" s="64" t="s">
        <v>179</v>
      </c>
    </row>
    <row r="26" customFormat="false" ht="15.75" hidden="false" customHeight="true" outlineLevel="0" collapsed="false">
      <c r="B26" s="23" t="s">
        <v>180</v>
      </c>
      <c r="C26" s="62" t="s">
        <v>181</v>
      </c>
      <c r="D26" s="25" t="s">
        <v>178</v>
      </c>
      <c r="E26" s="26" t="s">
        <v>132</v>
      </c>
      <c r="F26" s="63" t="n">
        <v>45</v>
      </c>
      <c r="G26" s="64" t="s">
        <v>182</v>
      </c>
    </row>
    <row r="27" customFormat="false" ht="15.75" hidden="false" customHeight="true" outlineLevel="0" collapsed="false">
      <c r="B27" s="23" t="s">
        <v>183</v>
      </c>
      <c r="C27" s="62" t="s">
        <v>184</v>
      </c>
      <c r="D27" s="25" t="s">
        <v>178</v>
      </c>
      <c r="E27" s="26" t="s">
        <v>132</v>
      </c>
      <c r="F27" s="63" t="n">
        <v>60</v>
      </c>
      <c r="G27" s="64" t="s">
        <v>185</v>
      </c>
    </row>
    <row r="28" customFormat="false" ht="15.75" hidden="false" customHeight="true" outlineLevel="0" collapsed="false">
      <c r="B28" s="23" t="s">
        <v>98</v>
      </c>
      <c r="C28" s="62" t="s">
        <v>186</v>
      </c>
      <c r="D28" s="25" t="s">
        <v>187</v>
      </c>
      <c r="E28" s="26" t="s">
        <v>188</v>
      </c>
      <c r="F28" s="63" t="n">
        <v>20</v>
      </c>
      <c r="G28" s="64" t="s">
        <v>189</v>
      </c>
    </row>
    <row r="29" customFormat="false" ht="15.75" hidden="false" customHeight="true" outlineLevel="0" collapsed="false">
      <c r="B29" s="23" t="s">
        <v>190</v>
      </c>
      <c r="C29" s="62" t="s">
        <v>191</v>
      </c>
      <c r="D29" s="25" t="s">
        <v>187</v>
      </c>
      <c r="E29" s="26" t="s">
        <v>188</v>
      </c>
      <c r="F29" s="63" t="n">
        <v>60</v>
      </c>
      <c r="G29" s="64" t="s">
        <v>192</v>
      </c>
    </row>
    <row r="30" customFormat="false" ht="15.75" hidden="false" customHeight="true" outlineLevel="0" collapsed="false">
      <c r="B30" s="23" t="s">
        <v>193</v>
      </c>
      <c r="C30" s="62" t="s">
        <v>194</v>
      </c>
      <c r="D30" s="25" t="s">
        <v>187</v>
      </c>
      <c r="E30" s="26" t="s">
        <v>188</v>
      </c>
      <c r="F30" s="63" t="n">
        <v>25</v>
      </c>
      <c r="G30" s="64" t="s">
        <v>195</v>
      </c>
    </row>
    <row r="31" customFormat="false" ht="15.75" hidden="false" customHeight="true" outlineLevel="0" collapsed="false">
      <c r="B31" s="23" t="s">
        <v>59</v>
      </c>
      <c r="C31" s="62" t="s">
        <v>196</v>
      </c>
      <c r="D31" s="25" t="s">
        <v>197</v>
      </c>
      <c r="E31" s="26" t="s">
        <v>188</v>
      </c>
      <c r="F31" s="63" t="n">
        <v>120</v>
      </c>
      <c r="G31" s="64" t="s">
        <v>198</v>
      </c>
    </row>
    <row r="32" customFormat="false" ht="15.75" hidden="false" customHeight="true" outlineLevel="0" collapsed="false">
      <c r="B32" s="23" t="s">
        <v>199</v>
      </c>
      <c r="C32" s="62" t="s">
        <v>200</v>
      </c>
      <c r="D32" s="25" t="s">
        <v>197</v>
      </c>
      <c r="E32" s="26" t="s">
        <v>188</v>
      </c>
      <c r="F32" s="63" t="n">
        <v>210</v>
      </c>
      <c r="G32" s="64" t="s">
        <v>198</v>
      </c>
    </row>
    <row r="33" customFormat="false" ht="15.75" hidden="false" customHeight="true" outlineLevel="0" collapsed="false">
      <c r="B33" s="23" t="s">
        <v>201</v>
      </c>
      <c r="C33" s="62" t="s">
        <v>202</v>
      </c>
      <c r="D33" s="25" t="s">
        <v>203</v>
      </c>
      <c r="E33" s="26" t="s">
        <v>188</v>
      </c>
      <c r="F33" s="63" t="n">
        <v>28</v>
      </c>
      <c r="G33" s="64" t="s">
        <v>204</v>
      </c>
    </row>
    <row r="34" customFormat="false" ht="15.75" hidden="false" customHeight="true" outlineLevel="0" collapsed="false">
      <c r="B34" s="23" t="s">
        <v>205</v>
      </c>
      <c r="C34" s="62" t="s">
        <v>206</v>
      </c>
      <c r="D34" s="25" t="s">
        <v>203</v>
      </c>
      <c r="E34" s="26" t="s">
        <v>188</v>
      </c>
      <c r="F34" s="63" t="n">
        <v>55</v>
      </c>
      <c r="G34" s="64" t="s">
        <v>207</v>
      </c>
    </row>
    <row r="35" customFormat="false" ht="19.5" hidden="false" customHeight="true" outlineLevel="0" collapsed="false">
      <c r="B35" s="34" t="str">
        <f aca="false">"Bausteine im Katalog:   "&amp;COUNTA($B$8:$B$34)&amp;"      ·      Zeitwert Ø   "&amp;TEXT(AVERAGE($F$8:$F$34),"0.0")&amp;" TMU"</f>
        <v>Bausteine im Katalog:   27      ·      Zeitwert Ø   37.1 TMU</v>
      </c>
      <c r="C35" s="34"/>
      <c r="D35" s="34"/>
      <c r="E35" s="34"/>
      <c r="F35" s="65" t="n">
        <f aca="false">ROUND(SUM($F$8:$F$34),1)</f>
        <v>1001</v>
      </c>
      <c r="G35" s="66" t="s">
        <v>208</v>
      </c>
    </row>
    <row r="37" customFormat="false" ht="19.5" hidden="false" customHeight="true" outlineLevel="0" collapsed="false">
      <c r="B37" s="6" t="s">
        <v>209</v>
      </c>
      <c r="C37" s="6"/>
      <c r="D37" s="6"/>
      <c r="E37" s="7" t="s">
        <v>210</v>
      </c>
      <c r="F37" s="7"/>
      <c r="G37" s="7"/>
    </row>
    <row r="38" customFormat="false" ht="18" hidden="false" customHeight="true" outlineLevel="0" collapsed="false">
      <c r="B38" s="61" t="s">
        <v>211</v>
      </c>
      <c r="C38" s="60" t="s">
        <v>212</v>
      </c>
      <c r="D38" s="61" t="s">
        <v>213</v>
      </c>
      <c r="E38" s="61"/>
      <c r="F38" s="61"/>
      <c r="G38" s="61"/>
    </row>
    <row r="39" customFormat="false" ht="15.75" hidden="false" customHeight="true" outlineLevel="0" collapsed="false">
      <c r="B39" s="62" t="s">
        <v>214</v>
      </c>
      <c r="C39" s="67" t="n">
        <f aca="false">'MTM-Analyse'!$B$14</f>
        <v>0.036</v>
      </c>
      <c r="D39" s="68" t="s">
        <v>215</v>
      </c>
      <c r="E39" s="68"/>
      <c r="F39" s="68"/>
      <c r="G39" s="68"/>
    </row>
    <row r="40" customFormat="false" ht="15.75" hidden="false" customHeight="true" outlineLevel="0" collapsed="false">
      <c r="B40" s="62" t="s">
        <v>216</v>
      </c>
      <c r="C40" s="69" t="n">
        <f aca="false">ROUND(1/'MTM-Analyse'!$B$14,2)</f>
        <v>27.78</v>
      </c>
      <c r="D40" s="68" t="s">
        <v>217</v>
      </c>
      <c r="E40" s="68"/>
      <c r="F40" s="68"/>
      <c r="G40" s="68"/>
    </row>
    <row r="41" customFormat="false" ht="15.75" hidden="false" customHeight="true" outlineLevel="0" collapsed="false">
      <c r="B41" s="62" t="s">
        <v>218</v>
      </c>
      <c r="C41" s="70" t="n">
        <f aca="false">ROUND(60/'MTM-Analyse'!$B$14,1)</f>
        <v>1666.7</v>
      </c>
      <c r="D41" s="68" t="s">
        <v>219</v>
      </c>
      <c r="E41" s="68"/>
      <c r="F41" s="68"/>
      <c r="G41" s="68"/>
    </row>
    <row r="42" customFormat="false" ht="15.75" hidden="false" customHeight="true" outlineLevel="0" collapsed="false">
      <c r="B42" s="62" t="s">
        <v>220</v>
      </c>
      <c r="C42" s="71" t="n">
        <f aca="false">ROUND(3600/'MTM-Analyse'!$B$14,0)</f>
        <v>100000</v>
      </c>
      <c r="D42" s="68" t="s">
        <v>221</v>
      </c>
      <c r="E42" s="68"/>
      <c r="F42" s="68"/>
      <c r="G42" s="68"/>
    </row>
    <row r="44" customFormat="false" ht="19.5" hidden="false" customHeight="true" outlineLevel="0" collapsed="false">
      <c r="B44" s="6" t="s">
        <v>222</v>
      </c>
      <c r="C44" s="6"/>
      <c r="D44" s="6"/>
      <c r="E44" s="7"/>
      <c r="F44" s="7"/>
      <c r="G44" s="7"/>
    </row>
    <row r="45" customFormat="false" ht="18" hidden="false" customHeight="true" outlineLevel="0" collapsed="false">
      <c r="B45" s="72" t="s">
        <v>153</v>
      </c>
      <c r="C45" s="24" t="s">
        <v>223</v>
      </c>
      <c r="D45" s="24"/>
      <c r="E45" s="24"/>
      <c r="F45" s="24"/>
      <c r="G45" s="24"/>
    </row>
    <row r="46" customFormat="false" ht="18" hidden="false" customHeight="true" outlineLevel="0" collapsed="false">
      <c r="B46" s="73" t="s">
        <v>132</v>
      </c>
      <c r="C46" s="24" t="s">
        <v>224</v>
      </c>
      <c r="D46" s="24"/>
      <c r="E46" s="24"/>
      <c r="F46" s="24"/>
      <c r="G46" s="24"/>
    </row>
    <row r="47" customFormat="false" ht="18" hidden="false" customHeight="true" outlineLevel="0" collapsed="false">
      <c r="B47" s="74" t="s">
        <v>188</v>
      </c>
      <c r="C47" s="24" t="s">
        <v>225</v>
      </c>
      <c r="D47" s="24"/>
      <c r="E47" s="24"/>
      <c r="F47" s="24"/>
      <c r="G47" s="24"/>
    </row>
    <row r="49" customFormat="false" ht="15" hidden="false" customHeight="true" outlineLevel="0" collapsed="false">
      <c r="B49" s="59" t="s">
        <v>226</v>
      </c>
      <c r="C49" s="59"/>
      <c r="D49" s="59"/>
      <c r="E49" s="59"/>
      <c r="F49" s="59"/>
      <c r="G49" s="59"/>
    </row>
    <row r="50" customFormat="false" ht="15" hidden="false" customHeight="true" outlineLevel="0" collapsed="false">
      <c r="B50" s="59"/>
      <c r="C50" s="59"/>
      <c r="D50" s="59"/>
      <c r="E50" s="59"/>
      <c r="F50" s="59"/>
      <c r="G50" s="59"/>
    </row>
  </sheetData>
  <mergeCells count="20">
    <mergeCell ref="B2:D2"/>
    <mergeCell ref="E2:G2"/>
    <mergeCell ref="B3:D3"/>
    <mergeCell ref="E3:G3"/>
    <mergeCell ref="B6:D6"/>
    <mergeCell ref="E6:G6"/>
    <mergeCell ref="B35:E35"/>
    <mergeCell ref="B37:D37"/>
    <mergeCell ref="E37:G37"/>
    <mergeCell ref="D38:G38"/>
    <mergeCell ref="D39:G39"/>
    <mergeCell ref="D40:G40"/>
    <mergeCell ref="D41:G41"/>
    <mergeCell ref="D42:G42"/>
    <mergeCell ref="B44:D44"/>
    <mergeCell ref="E44:G44"/>
    <mergeCell ref="C45:G45"/>
    <mergeCell ref="C46:G46"/>
    <mergeCell ref="C47:G47"/>
    <mergeCell ref="B49:G50"/>
  </mergeCells>
  <conditionalFormatting sqref="E8:E34">
    <cfRule type="cellIs" priority="2" operator="equal" aboveAverage="0" equalAverage="0" bottom="0" percent="0" rank="0" text="" dxfId="14">
      <formula>"Hauptnutzung"</formula>
    </cfRule>
    <cfRule type="cellIs" priority="3" operator="equal" aboveAverage="0" equalAverage="0" bottom="0" percent="0" rank="0" text="" dxfId="15">
      <formula>"Nebennutzung"</formula>
    </cfRule>
    <cfRule type="cellIs" priority="4" operator="equal" aboveAverage="0" equalAverage="0" bottom="0" percent="0" rank="0" text="" dxfId="16">
      <formula>"Verschwendung"</formula>
    </cfRule>
  </conditionalFormatting>
  <dataValidations count="2">
    <dataValidation allowBlank="true" errorStyle="stop" operator="between" showDropDown="false" showErrorMessage="false" showInputMessage="false" sqref="E8:E34" type="list">
      <formula1>"Hauptnutzung,Nebennutzung,Verschwendung"</formula1>
      <formula2>0</formula2>
    </dataValidation>
    <dataValidation allowBlank="true" errorStyle="stop" operator="between" showDropDown="false" showErrorMessage="false" showInputMessage="false" sqref="D8:D34" type="list">
      <formula1>"Aufnehmen &amp; Ablegen,Bewegen &amp; Bringen,Fügen &amp; Montieren,Betätigen &amp; Bedienen,Werkzeug &amp; Hilfsmittel,Prüfen &amp; Messen,Körperbewegung &amp; Wege,Transport &amp; Behälter,Warten &amp; Störung"</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M6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21"/>
    <col collapsed="false" customWidth="true" hidden="false" outlineLevel="0" max="13" min="3" style="0" width="13.5"/>
  </cols>
  <sheetData>
    <row r="2" customFormat="false" ht="30" hidden="false" customHeight="true" outlineLevel="0" collapsed="false">
      <c r="B2" s="1" t="s">
        <v>227</v>
      </c>
      <c r="C2" s="1"/>
      <c r="D2" s="1"/>
      <c r="E2" s="1"/>
      <c r="F2" s="1"/>
      <c r="G2" s="1"/>
      <c r="H2" s="1"/>
      <c r="I2" s="2" t="s">
        <v>228</v>
      </c>
      <c r="J2" s="2"/>
      <c r="K2" s="2"/>
      <c r="L2" s="2"/>
      <c r="M2" s="2"/>
    </row>
    <row r="3" customFormat="false" ht="18.75" hidden="false" customHeight="true" outlineLevel="0" collapsed="false">
      <c r="B3" s="3" t="s">
        <v>229</v>
      </c>
      <c r="C3" s="3"/>
      <c r="D3" s="3"/>
      <c r="E3" s="3"/>
      <c r="F3" s="3"/>
      <c r="G3" s="3"/>
      <c r="H3" s="3"/>
      <c r="I3" s="4" t="s">
        <v>230</v>
      </c>
      <c r="J3" s="4"/>
      <c r="K3" s="4"/>
      <c r="L3" s="4"/>
      <c r="M3" s="4"/>
    </row>
    <row r="4" customFormat="false" ht="4.5" hidden="false" customHeight="true" outlineLevel="0" collapsed="false">
      <c r="B4" s="5"/>
      <c r="C4" s="5"/>
      <c r="D4" s="5"/>
      <c r="E4" s="5"/>
      <c r="F4" s="5"/>
      <c r="G4" s="5"/>
      <c r="H4" s="5"/>
      <c r="I4" s="5"/>
      <c r="J4" s="5"/>
      <c r="K4" s="5"/>
      <c r="L4" s="5"/>
      <c r="M4" s="5"/>
    </row>
    <row r="6" customFormat="false" ht="19.5" hidden="false" customHeight="true" outlineLevel="0" collapsed="false">
      <c r="B6" s="6" t="s">
        <v>231</v>
      </c>
      <c r="C6" s="6"/>
      <c r="D6" s="6"/>
      <c r="E6" s="6"/>
      <c r="F6" s="6"/>
      <c r="G6" s="6"/>
      <c r="H6" s="6"/>
      <c r="I6" s="7" t="s">
        <v>232</v>
      </c>
      <c r="J6" s="7"/>
      <c r="K6" s="7"/>
      <c r="L6" s="7"/>
      <c r="M6" s="7"/>
    </row>
    <row r="7" customFormat="false" ht="13.5" hidden="false" customHeight="true" outlineLevel="0" collapsed="false">
      <c r="B7" s="41" t="s">
        <v>107</v>
      </c>
      <c r="C7" s="41"/>
      <c r="D7" s="40" t="s">
        <v>111</v>
      </c>
      <c r="E7" s="40"/>
      <c r="F7" s="41" t="s">
        <v>113</v>
      </c>
      <c r="G7" s="41"/>
      <c r="H7" s="40" t="s">
        <v>103</v>
      </c>
      <c r="I7" s="40"/>
      <c r="J7" s="51" t="s">
        <v>117</v>
      </c>
      <c r="K7" s="51"/>
      <c r="L7" s="52" t="s">
        <v>116</v>
      </c>
      <c r="M7" s="52"/>
    </row>
    <row r="8" customFormat="false" ht="21.75" hidden="false" customHeight="true" outlineLevel="0" collapsed="false">
      <c r="B8" s="44" t="n">
        <f aca="false">'MTM-Analyse'!$J$46</f>
        <v>22.16</v>
      </c>
      <c r="C8" s="44"/>
      <c r="D8" s="47" t="n">
        <f aca="false">'MTM-Analyse'!$F$48</f>
        <v>162</v>
      </c>
      <c r="E8" s="47"/>
      <c r="F8" s="49" t="n">
        <f aca="false">'MTM-Analyse'!$J$48</f>
        <v>0.32</v>
      </c>
      <c r="G8" s="49"/>
      <c r="H8" s="42" t="n">
        <f aca="false">'MTM-Analyse'!$K$42</f>
        <v>544.8</v>
      </c>
      <c r="I8" s="42"/>
      <c r="J8" s="55" t="n">
        <f aca="false">'MTM-Analyse'!$H$50</f>
        <v>0.513950073421439</v>
      </c>
      <c r="K8" s="55"/>
      <c r="L8" s="56" t="n">
        <f aca="false">'MTM-Analyse'!$F$50</f>
        <v>0.923333333333333</v>
      </c>
      <c r="M8" s="56"/>
    </row>
    <row r="9" customFormat="false" ht="6" hidden="false" customHeight="true" outlineLevel="0" collapsed="false"/>
    <row r="10" customFormat="false" ht="19.5" hidden="false" customHeight="true" outlineLevel="0" collapsed="false">
      <c r="B10" s="6" t="s">
        <v>233</v>
      </c>
      <c r="C10" s="6"/>
      <c r="D10" s="6"/>
      <c r="E10" s="6"/>
      <c r="F10" s="6"/>
      <c r="G10" s="6"/>
      <c r="H10" s="6"/>
      <c r="I10" s="7" t="s">
        <v>234</v>
      </c>
      <c r="J10" s="7"/>
      <c r="K10" s="7"/>
      <c r="L10" s="7"/>
      <c r="M10" s="7"/>
    </row>
    <row r="11" customFormat="false" ht="19.5" hidden="false" customHeight="true" outlineLevel="0" collapsed="false">
      <c r="B11" s="61" t="s">
        <v>50</v>
      </c>
      <c r="C11" s="61"/>
      <c r="D11" s="60" t="s">
        <v>235</v>
      </c>
      <c r="E11" s="60" t="s">
        <v>236</v>
      </c>
      <c r="F11" s="60" t="s">
        <v>237</v>
      </c>
      <c r="G11" s="60" t="s">
        <v>238</v>
      </c>
    </row>
    <row r="12" customFormat="false" ht="15.75" hidden="false" customHeight="true" outlineLevel="0" collapsed="false">
      <c r="B12" s="24" t="s">
        <v>131</v>
      </c>
      <c r="C12" s="24"/>
      <c r="D12" s="75" t="n">
        <f aca="false">COUNTIFS('MTM-Analyse'!$F$20:$F$41,$B12)</f>
        <v>3</v>
      </c>
      <c r="E12" s="30" t="n">
        <f aca="false">SUMIFS('MTM-Analyse'!$K$20:$K$41,'MTM-Analyse'!$F$20:$F$41,$B12)</f>
        <v>64</v>
      </c>
      <c r="F12" s="31" t="n">
        <f aca="false">ROUND($E12*'MTM-Analyse'!$B$14,2)</f>
        <v>2.3</v>
      </c>
      <c r="G12" s="32" t="n">
        <f aca="false">IFERROR($E12/$E$21,0)</f>
        <v>0.117474302496329</v>
      </c>
    </row>
    <row r="13" customFormat="false" ht="15.75" hidden="false" customHeight="true" outlineLevel="0" collapsed="false">
      <c r="B13" s="24" t="s">
        <v>143</v>
      </c>
      <c r="C13" s="24"/>
      <c r="D13" s="75" t="n">
        <f aca="false">COUNTIFS('MTM-Analyse'!$F$20:$F$41,$B13)</f>
        <v>1</v>
      </c>
      <c r="E13" s="30" t="n">
        <f aca="false">SUMIFS('MTM-Analyse'!$K$20:$K$41,'MTM-Analyse'!$F$20:$F$41,$B13)</f>
        <v>16</v>
      </c>
      <c r="F13" s="31" t="n">
        <f aca="false">ROUND($E13*'MTM-Analyse'!$B$14,2)</f>
        <v>0.58</v>
      </c>
      <c r="G13" s="32" t="n">
        <f aca="false">IFERROR($E13/$E$21,0)</f>
        <v>0.0293685756240822</v>
      </c>
    </row>
    <row r="14" customFormat="false" ht="15.75" hidden="false" customHeight="true" outlineLevel="0" collapsed="false">
      <c r="B14" s="24" t="s">
        <v>152</v>
      </c>
      <c r="C14" s="24"/>
      <c r="D14" s="75" t="n">
        <f aca="false">COUNTIFS('MTM-Analyse'!$F$20:$F$41,$B14)</f>
        <v>2</v>
      </c>
      <c r="E14" s="30" t="n">
        <f aca="false">SUMIFS('MTM-Analyse'!$K$20:$K$41,'MTM-Analyse'!$F$20:$F$41,$B14)</f>
        <v>120</v>
      </c>
      <c r="F14" s="31" t="n">
        <f aca="false">ROUND($E14*'MTM-Analyse'!$B$14,2)</f>
        <v>4.32</v>
      </c>
      <c r="G14" s="32" t="n">
        <f aca="false">IFERROR($E14/$E$21,0)</f>
        <v>0.220264317180617</v>
      </c>
    </row>
    <row r="15" customFormat="false" ht="15.75" hidden="false" customHeight="true" outlineLevel="0" collapsed="false">
      <c r="B15" s="24" t="s">
        <v>163</v>
      </c>
      <c r="C15" s="24"/>
      <c r="D15" s="75" t="n">
        <f aca="false">COUNTIFS('MTM-Analyse'!$F$20:$F$41,$B15)</f>
        <v>2</v>
      </c>
      <c r="E15" s="30" t="n">
        <f aca="false">SUMIFS('MTM-Analyse'!$K$20:$K$41,'MTM-Analyse'!$F$20:$F$41,$B15)</f>
        <v>30</v>
      </c>
      <c r="F15" s="31" t="n">
        <f aca="false">ROUND($E15*'MTM-Analyse'!$B$14,2)</f>
        <v>1.08</v>
      </c>
      <c r="G15" s="32" t="n">
        <f aca="false">IFERROR($E15/$E$21,0)</f>
        <v>0.0550660792951542</v>
      </c>
    </row>
    <row r="16" customFormat="false" ht="15.75" hidden="false" customHeight="true" outlineLevel="0" collapsed="false">
      <c r="B16" s="24" t="s">
        <v>171</v>
      </c>
      <c r="C16" s="24"/>
      <c r="D16" s="75" t="n">
        <f aca="false">COUNTIFS('MTM-Analyse'!$F$20:$F$41,$B16)</f>
        <v>3</v>
      </c>
      <c r="E16" s="30" t="n">
        <f aca="false">SUMIFS('MTM-Analyse'!$K$20:$K$41,'MTM-Analyse'!$F$20:$F$41,$B16)</f>
        <v>275</v>
      </c>
      <c r="F16" s="31" t="n">
        <f aca="false">ROUND($E16*'MTM-Analyse'!$B$14,2)</f>
        <v>9.9</v>
      </c>
      <c r="G16" s="32" t="n">
        <f aca="false">IFERROR($E16/$E$21,0)</f>
        <v>0.504772393538914</v>
      </c>
    </row>
    <row r="17" customFormat="false" ht="15.75" hidden="false" customHeight="true" outlineLevel="0" collapsed="false">
      <c r="B17" s="24" t="s">
        <v>178</v>
      </c>
      <c r="C17" s="24"/>
      <c r="D17" s="75" t="n">
        <f aca="false">COUNTIFS('MTM-Analyse'!$F$20:$F$41,$B17)</f>
        <v>1</v>
      </c>
      <c r="E17" s="30" t="n">
        <f aca="false">SUMIFS('MTM-Analyse'!$K$20:$K$41,'MTM-Analyse'!$F$20:$F$41,$B17)</f>
        <v>15</v>
      </c>
      <c r="F17" s="31" t="n">
        <f aca="false">ROUND($E17*'MTM-Analyse'!$B$14,2)</f>
        <v>0.54</v>
      </c>
      <c r="G17" s="32" t="n">
        <f aca="false">IFERROR($E17/$E$21,0)</f>
        <v>0.0275330396475771</v>
      </c>
    </row>
    <row r="18" customFormat="false" ht="15.75" hidden="false" customHeight="true" outlineLevel="0" collapsed="false">
      <c r="B18" s="24" t="s">
        <v>187</v>
      </c>
      <c r="C18" s="24"/>
      <c r="D18" s="75" t="n">
        <f aca="false">COUNTIFS('MTM-Analyse'!$F$20:$F$41,$B18)</f>
        <v>1</v>
      </c>
      <c r="E18" s="30" t="n">
        <f aca="false">SUMIFS('MTM-Analyse'!$K$20:$K$41,'MTM-Analyse'!$F$20:$F$41,$B18)</f>
        <v>20</v>
      </c>
      <c r="F18" s="31" t="n">
        <f aca="false">ROUND($E18*'MTM-Analyse'!$B$14,2)</f>
        <v>0.72</v>
      </c>
      <c r="G18" s="32" t="n">
        <f aca="false">IFERROR($E18/$E$21,0)</f>
        <v>0.0367107195301028</v>
      </c>
    </row>
    <row r="19" customFormat="false" ht="15.75" hidden="false" customHeight="true" outlineLevel="0" collapsed="false">
      <c r="B19" s="24" t="s">
        <v>197</v>
      </c>
      <c r="C19" s="24"/>
      <c r="D19" s="75" t="n">
        <f aca="false">COUNTIFS('MTM-Analyse'!$F$20:$F$41,$B19)</f>
        <v>1</v>
      </c>
      <c r="E19" s="30" t="n">
        <f aca="false">SUMIFS('MTM-Analyse'!$K$20:$K$41,'MTM-Analyse'!$F$20:$F$41,$B19)</f>
        <v>4.8</v>
      </c>
      <c r="F19" s="31" t="n">
        <f aca="false">ROUND($E19*'MTM-Analyse'!$B$14,2)</f>
        <v>0.17</v>
      </c>
      <c r="G19" s="32" t="n">
        <f aca="false">IFERROR($E19/$E$21,0)</f>
        <v>0.00881057268722467</v>
      </c>
    </row>
    <row r="20" customFormat="false" ht="15.75" hidden="false" customHeight="true" outlineLevel="0" collapsed="false">
      <c r="B20" s="24" t="s">
        <v>203</v>
      </c>
      <c r="C20" s="24"/>
      <c r="D20" s="75" t="n">
        <f aca="false">COUNTIFS('MTM-Analyse'!$F$20:$F$41,$B20)</f>
        <v>0</v>
      </c>
      <c r="E20" s="30" t="n">
        <f aca="false">SUMIFS('MTM-Analyse'!$K$20:$K$41,'MTM-Analyse'!$F$20:$F$41,$B20)</f>
        <v>0</v>
      </c>
      <c r="F20" s="31" t="n">
        <f aca="false">ROUND($E20*'MTM-Analyse'!$B$14,2)</f>
        <v>0</v>
      </c>
      <c r="G20" s="32" t="n">
        <f aca="false">IFERROR($E20/$E$21,0)</f>
        <v>0</v>
      </c>
    </row>
    <row r="21" customFormat="false" ht="18.75" hidden="false" customHeight="true" outlineLevel="0" collapsed="false">
      <c r="B21" s="34" t="s">
        <v>239</v>
      </c>
      <c r="C21" s="34"/>
      <c r="D21" s="76" t="n">
        <f aca="false">SUM($D$12:$D$20)</f>
        <v>14</v>
      </c>
      <c r="E21" s="77" t="n">
        <f aca="false">ROUND(SUM($E$12:$E$20),1)</f>
        <v>544.8</v>
      </c>
      <c r="F21" s="78" t="n">
        <f aca="false">ROUND(SUM($F$12:$F$20),2)</f>
        <v>19.61</v>
      </c>
      <c r="G21" s="79" t="n">
        <f aca="false">SUM($G$12:$G$20)</f>
        <v>1</v>
      </c>
    </row>
    <row r="23" customFormat="false" ht="19.5" hidden="false" customHeight="true" outlineLevel="0" collapsed="false">
      <c r="B23" s="6" t="s">
        <v>240</v>
      </c>
      <c r="C23" s="6"/>
      <c r="D23" s="6"/>
      <c r="E23" s="7"/>
      <c r="F23" s="7"/>
      <c r="G23" s="7"/>
    </row>
    <row r="24" customFormat="false" ht="19.5" hidden="false" customHeight="true" outlineLevel="0" collapsed="false">
      <c r="B24" s="61" t="s">
        <v>241</v>
      </c>
      <c r="C24" s="61"/>
      <c r="D24" s="60" t="s">
        <v>235</v>
      </c>
      <c r="E24" s="60" t="s">
        <v>236</v>
      </c>
      <c r="F24" s="60" t="s">
        <v>237</v>
      </c>
      <c r="G24" s="60" t="s">
        <v>238</v>
      </c>
    </row>
    <row r="25" customFormat="false" ht="16.5" hidden="false" customHeight="true" outlineLevel="0" collapsed="false">
      <c r="B25" s="80" t="s">
        <v>153</v>
      </c>
      <c r="C25" s="80"/>
      <c r="D25" s="75" t="n">
        <f aca="false">COUNTIFS('MTM-Analyse'!$G$20:$G$41,$B25)</f>
        <v>3</v>
      </c>
      <c r="E25" s="30" t="n">
        <f aca="false">SUMIFS('MTM-Analyse'!$K$20:$K$41,'MTM-Analyse'!$G$20:$G$41,$B25)</f>
        <v>280</v>
      </c>
      <c r="F25" s="31" t="n">
        <f aca="false">ROUND($E25*'MTM-Analyse'!$B$14,2)</f>
        <v>10.08</v>
      </c>
      <c r="G25" s="81" t="n">
        <f aca="false">IFERROR($E25/$E$28,0)</f>
        <v>0.513950073421439</v>
      </c>
    </row>
    <row r="26" customFormat="false" ht="16.5" hidden="false" customHeight="true" outlineLevel="0" collapsed="false">
      <c r="B26" s="82" t="s">
        <v>132</v>
      </c>
      <c r="C26" s="82"/>
      <c r="D26" s="75" t="n">
        <f aca="false">COUNTIFS('MTM-Analyse'!$G$20:$G$41,$B26)</f>
        <v>9</v>
      </c>
      <c r="E26" s="30" t="n">
        <f aca="false">SUMIFS('MTM-Analyse'!$K$20:$K$41,'MTM-Analyse'!$G$20:$G$41,$B26)</f>
        <v>240</v>
      </c>
      <c r="F26" s="31" t="n">
        <f aca="false">ROUND($E26*'MTM-Analyse'!$B$14,2)</f>
        <v>8.64</v>
      </c>
      <c r="G26" s="83" t="n">
        <f aca="false">IFERROR($E26/$E$28,0)</f>
        <v>0.440528634361234</v>
      </c>
    </row>
    <row r="27" customFormat="false" ht="16.5" hidden="false" customHeight="true" outlineLevel="0" collapsed="false">
      <c r="B27" s="84" t="s">
        <v>188</v>
      </c>
      <c r="C27" s="84"/>
      <c r="D27" s="75" t="n">
        <f aca="false">COUNTIFS('MTM-Analyse'!$G$20:$G$41,$B27)</f>
        <v>2</v>
      </c>
      <c r="E27" s="30" t="n">
        <f aca="false">SUMIFS('MTM-Analyse'!$K$20:$K$41,'MTM-Analyse'!$G$20:$G$41,$B27)</f>
        <v>24.8</v>
      </c>
      <c r="F27" s="31" t="n">
        <f aca="false">ROUND($E27*'MTM-Analyse'!$B$14,2)</f>
        <v>0.89</v>
      </c>
      <c r="G27" s="85" t="n">
        <f aca="false">IFERROR($E27/$E$28,0)</f>
        <v>0.0455212922173275</v>
      </c>
    </row>
    <row r="28" customFormat="false" ht="18.75" hidden="false" customHeight="true" outlineLevel="0" collapsed="false">
      <c r="B28" s="34" t="s">
        <v>239</v>
      </c>
      <c r="C28" s="34"/>
      <c r="D28" s="76" t="n">
        <f aca="false">SUM($D$25:$D$27)</f>
        <v>14</v>
      </c>
      <c r="E28" s="77" t="n">
        <f aca="false">ROUND(SUM($E$25:$E$27),1)</f>
        <v>544.8</v>
      </c>
      <c r="F28" s="78" t="n">
        <f aca="false">ROUND(SUM($F$25:$F$27),2)</f>
        <v>19.61</v>
      </c>
      <c r="G28" s="79" t="n">
        <f aca="false">SUM($G$25:$G$27)</f>
        <v>1</v>
      </c>
    </row>
    <row r="30" customFormat="false" ht="19.5" hidden="false" customHeight="true" outlineLevel="0" collapsed="false">
      <c r="B30" s="6" t="s">
        <v>242</v>
      </c>
      <c r="C30" s="6"/>
      <c r="D30" s="6"/>
      <c r="E30" s="7"/>
      <c r="F30" s="7"/>
      <c r="G30" s="7"/>
    </row>
    <row r="31" customFormat="false" ht="19.5" hidden="false" customHeight="true" outlineLevel="0" collapsed="false">
      <c r="B31" s="61" t="s">
        <v>243</v>
      </c>
      <c r="C31" s="61"/>
      <c r="D31" s="60" t="s">
        <v>48</v>
      </c>
      <c r="E31" s="60" t="s">
        <v>236</v>
      </c>
      <c r="F31" s="60" t="s">
        <v>237</v>
      </c>
      <c r="G31" s="60" t="s">
        <v>238</v>
      </c>
    </row>
    <row r="32" customFormat="false" ht="15.75" hidden="false" customHeight="true" outlineLevel="0" collapsed="false">
      <c r="B32" s="24" t="str">
        <f aca="false">IFERROR("1.   "&amp;INDEX('MTM-Analyse'!$C$20:$C$41,MATCH(LARGE('MTM-Analyse'!$O$20:$O$41,1),'MTM-Analyse'!$O$20:$O$41,0)),"–")</f>
        <v>1.   Schraubverbindung herstellen</v>
      </c>
      <c r="C32" s="24"/>
      <c r="D32" s="86" t="str">
        <f aca="false">IFERROR(INDEX('MTM-Analyse'!$D$20:$D$41,MATCH(LARGE('MTM-Analyse'!$O$20:$O$41,1),'MTM-Analyse'!$O$20:$O$41,0)),"–")</f>
        <v>WKZ-2</v>
      </c>
      <c r="E32" s="30" t="n">
        <f aca="false">IFERROR(INDEX('MTM-Analyse'!$K$20:$K$41,MATCH(LARGE('MTM-Analyse'!$O$20:$O$41,1),'MTM-Analyse'!$O$20:$O$41,0)),0)</f>
        <v>160</v>
      </c>
      <c r="F32" s="31" t="n">
        <f aca="false">ROUND($E32*'MTM-Analyse'!$B$14,2)</f>
        <v>5.76</v>
      </c>
      <c r="G32" s="32" t="n">
        <f aca="false">IFERROR($E32/'MTM-Analyse'!$K$42,0)</f>
        <v>0.293685756240822</v>
      </c>
    </row>
    <row r="33" customFormat="false" ht="15.75" hidden="false" customHeight="true" outlineLevel="0" collapsed="false">
      <c r="B33" s="24" t="str">
        <f aca="false">IFERROR("2.   "&amp;INDEX('MTM-Analyse'!$C$20:$C$41,MATCH(LARGE('MTM-Analyse'!$O$20:$O$41,2),'MTM-Analyse'!$O$20:$O$41,0)),"–")</f>
        <v>2.   Schraube aufnehmen und ansetzen</v>
      </c>
      <c r="C33" s="24"/>
      <c r="D33" s="86" t="str">
        <f aca="false">IFERROR(INDEX('MTM-Analyse'!$D$20:$D$41,MATCH(LARGE('MTM-Analyse'!$O$20:$O$41,2),'MTM-Analyse'!$O$20:$O$41,0)),"–")</f>
        <v>WKZ-1</v>
      </c>
      <c r="E33" s="30" t="n">
        <f aca="false">IFERROR(INDEX('MTM-Analyse'!$K$20:$K$41,MATCH(LARGE('MTM-Analyse'!$O$20:$O$41,2),'MTM-Analyse'!$O$20:$O$41,0)),0)</f>
        <v>100</v>
      </c>
      <c r="F33" s="31" t="n">
        <f aca="false">ROUND($E33*'MTM-Analyse'!$B$14,2)</f>
        <v>3.6</v>
      </c>
      <c r="G33" s="32" t="n">
        <f aca="false">IFERROR($E33/'MTM-Analyse'!$K$42,0)</f>
        <v>0.183553597650514</v>
      </c>
    </row>
    <row r="34" customFormat="false" ht="15.75" hidden="false" customHeight="true" outlineLevel="0" collapsed="false">
      <c r="B34" s="24" t="str">
        <f aca="false">IFERROR("3.   "&amp;INDEX('MTM-Analyse'!$C$20:$C$41,MATCH(LARGE('MTM-Analyse'!$O$20:$O$41,3),'MTM-Analyse'!$O$20:$O$41,0)),"–")</f>
        <v>3.   Anbauteil ausrichten und fügen</v>
      </c>
      <c r="C34" s="24"/>
      <c r="D34" s="86" t="str">
        <f aca="false">IFERROR(INDEX('MTM-Analyse'!$D$20:$D$41,MATCH(LARGE('MTM-Analyse'!$O$20:$O$41,3),'MTM-Analyse'!$O$20:$O$41,0)),"–")</f>
        <v>FUG-3</v>
      </c>
      <c r="E34" s="30" t="n">
        <f aca="false">IFERROR(INDEX('MTM-Analyse'!$K$20:$K$41,MATCH(LARGE('MTM-Analyse'!$O$20:$O$41,3),'MTM-Analyse'!$O$20:$O$41,0)),0)</f>
        <v>92</v>
      </c>
      <c r="F34" s="31" t="n">
        <f aca="false">ROUND($E34*'MTM-Analyse'!$B$14,2)</f>
        <v>3.31</v>
      </c>
      <c r="G34" s="32" t="n">
        <f aca="false">IFERROR($E34/'MTM-Analyse'!$K$42,0)</f>
        <v>0.168869309838473</v>
      </c>
    </row>
    <row r="35" customFormat="false" ht="15.75" hidden="false" customHeight="true" outlineLevel="0" collapsed="false">
      <c r="B35" s="24" t="str">
        <f aca="false">IFERROR("4.   "&amp;INDEX('MTM-Analyse'!$C$20:$C$41,MATCH(LARGE('MTM-Analyse'!$O$20:$O$41,4),'MTM-Analyse'!$O$20:$O$41,0)),"–")</f>
        <v>4.   Grundkörper in Vorrichtung fügen</v>
      </c>
      <c r="C35" s="24"/>
      <c r="D35" s="86" t="str">
        <f aca="false">IFERROR(INDEX('MTM-Analyse'!$D$20:$D$41,MATCH(LARGE('MTM-Analyse'!$O$20:$O$41,4),'MTM-Analyse'!$O$20:$O$41,0)),"–")</f>
        <v>FUG-2</v>
      </c>
      <c r="E35" s="30" t="n">
        <f aca="false">IFERROR(INDEX('MTM-Analyse'!$K$20:$K$41,MATCH(LARGE('MTM-Analyse'!$O$20:$O$41,4),'MTM-Analyse'!$O$20:$O$41,0)),0)</f>
        <v>28</v>
      </c>
      <c r="F35" s="31" t="n">
        <f aca="false">ROUND($E35*'MTM-Analyse'!$B$14,2)</f>
        <v>1.01</v>
      </c>
      <c r="G35" s="32" t="n">
        <f aca="false">IFERROR($E35/'MTM-Analyse'!$K$42,0)</f>
        <v>0.0513950073421439</v>
      </c>
    </row>
    <row r="36" customFormat="false" ht="15.75" hidden="false" customHeight="true" outlineLevel="0" collapsed="false">
      <c r="B36" s="24" t="str">
        <f aca="false">IFERROR("5.   "&amp;INDEX('MTM-Analyse'!$C$20:$C$41,MATCH(LARGE('MTM-Analyse'!$O$20:$O$41,5),'MTM-Analyse'!$O$20:$O$41,0)),"–")</f>
        <v>5.   Anbauteil aufnehmen</v>
      </c>
      <c r="C36" s="24"/>
      <c r="D36" s="86" t="str">
        <f aca="false">IFERROR(INDEX('MTM-Analyse'!$D$20:$D$41,MATCH(LARGE('MTM-Analyse'!$O$20:$O$41,5),'MTM-Analyse'!$O$20:$O$41,0)),"–")</f>
        <v>AUF-1</v>
      </c>
      <c r="E36" s="30" t="n">
        <f aca="false">IFERROR(INDEX('MTM-Analyse'!$K$20:$K$41,MATCH(LARGE('MTM-Analyse'!$O$20:$O$41,5),'MTM-Analyse'!$O$20:$O$41,0)),0)</f>
        <v>24</v>
      </c>
      <c r="F36" s="31" t="n">
        <f aca="false">ROUND($E36*'MTM-Analyse'!$B$14,2)</f>
        <v>0.86</v>
      </c>
      <c r="G36" s="32" t="n">
        <f aca="false">IFERROR($E36/'MTM-Analyse'!$K$42,0)</f>
        <v>0.0440528634361234</v>
      </c>
    </row>
    <row r="37" customFormat="false" ht="15" hidden="false" customHeight="false" outlineLevel="0" collapsed="false">
      <c r="B37" s="87" t="s">
        <v>244</v>
      </c>
      <c r="C37" s="87"/>
      <c r="D37" s="87"/>
      <c r="E37" s="87"/>
      <c r="F37" s="87"/>
      <c r="G37" s="87"/>
    </row>
    <row r="39" customFormat="false" ht="19.5" hidden="false" customHeight="true" outlineLevel="0" collapsed="false">
      <c r="B39" s="6" t="s">
        <v>245</v>
      </c>
      <c r="C39" s="6"/>
      <c r="D39" s="6"/>
      <c r="E39" s="7"/>
      <c r="F39" s="7"/>
      <c r="G39" s="7"/>
    </row>
    <row r="40" customFormat="false" ht="19.5" hidden="false" customHeight="true" outlineLevel="0" collapsed="false">
      <c r="B40" s="61" t="s">
        <v>246</v>
      </c>
      <c r="C40" s="61"/>
      <c r="D40" s="61"/>
      <c r="E40" s="61"/>
      <c r="F40" s="60" t="s">
        <v>247</v>
      </c>
      <c r="G40" s="60" t="s">
        <v>212</v>
      </c>
    </row>
    <row r="41" customFormat="false" ht="15.75" hidden="false" customHeight="true" outlineLevel="0" collapsed="false">
      <c r="B41" s="24" t="s">
        <v>248</v>
      </c>
      <c r="C41" s="24"/>
      <c r="D41" s="24"/>
      <c r="E41" s="24"/>
      <c r="F41" s="26" t="str">
        <f aca="false">IF(SUMPRODUCT(('MTM-Analyse'!$C$20:$C$41&lt;&gt;"")*('MTM-Analyse'!$D$20:$D$41=""))=0,"OK","PRÜFEN")</f>
        <v>OK</v>
      </c>
      <c r="G41" s="21" t="str">
        <f aca="false">SUMPRODUCT(('MTM-Analyse'!$C$20:$C$41&lt;&gt;"")*('MTM-Analyse'!$D$20:$D$41=""))&amp;" offen"</f>
        <v>0 offen</v>
      </c>
    </row>
    <row r="42" customFormat="false" ht="15.75" hidden="false" customHeight="true" outlineLevel="0" collapsed="false">
      <c r="B42" s="24" t="s">
        <v>249</v>
      </c>
      <c r="C42" s="24"/>
      <c r="D42" s="24"/>
      <c r="E42" s="24"/>
      <c r="F42" s="26" t="str">
        <f aca="false">IF(COUNTIF('MTM-Analyse'!$E$20:$E$41,"unbekannter Code")=0,"OK","PRÜFEN")</f>
        <v>OK</v>
      </c>
      <c r="G42" s="21" t="str">
        <f aca="false">COUNTIF('MTM-Analyse'!$E$20:$E$41,"unbekannter Code")&amp;" Fehler"</f>
        <v>0 Fehler</v>
      </c>
    </row>
    <row r="43" customFormat="false" ht="15.75" hidden="false" customHeight="true" outlineLevel="0" collapsed="false">
      <c r="B43" s="24" t="s">
        <v>250</v>
      </c>
      <c r="C43" s="24"/>
      <c r="D43" s="24"/>
      <c r="E43" s="24"/>
      <c r="F43" s="26" t="str">
        <f aca="false">IF(SUMPRODUCT(('MTM-Analyse'!$D$20:$D$41&lt;&gt;"")*('MTM-Analyse'!$J$20:$J$41&lt;=0))=0,"OK","PRÜFEN")</f>
        <v>OK</v>
      </c>
      <c r="G43" s="21" t="str">
        <f aca="false">SUMPRODUCT(('MTM-Analyse'!$D$20:$D$41&lt;&gt;"")*('MTM-Analyse'!$J$20:$J$41&lt;=0))&amp;" Zeilen"</f>
        <v>0 Zeilen</v>
      </c>
    </row>
    <row r="44" customFormat="false" ht="15.75" hidden="false" customHeight="true" outlineLevel="0" collapsed="false">
      <c r="B44" s="24" t="s">
        <v>251</v>
      </c>
      <c r="C44" s="24"/>
      <c r="D44" s="24"/>
      <c r="E44" s="24"/>
      <c r="F44" s="26" t="str">
        <f aca="false">IF('MTM-Analyse'!$J$46&lt;='MTM-Analyse'!$B$50,"OK","PRÜFEN")</f>
        <v>OK</v>
      </c>
      <c r="G44" s="21" t="str">
        <f aca="false">TEXT('MTM-Analyse'!$B$50-'MTM-Analyse'!$J$46,"0.00")&amp;" s Puffer"</f>
        <v>1.84 s Puffer</v>
      </c>
    </row>
    <row r="45" customFormat="false" ht="15.75" hidden="false" customHeight="true" outlineLevel="0" collapsed="false">
      <c r="B45" s="24" t="s">
        <v>252</v>
      </c>
      <c r="C45" s="24"/>
      <c r="D45" s="24"/>
      <c r="E45" s="24"/>
      <c r="F45" s="26" t="str">
        <f aca="false">IF(AND('MTM-Analyse'!$D$14&gt;=0.8,'MTM-Analyse'!$D$14&lt;=1.3),"OK","PRÜFEN")</f>
        <v>OK</v>
      </c>
      <c r="G45" s="21" t="str">
        <f aca="false">TEXT('MTM-Analyse'!$D$14,"0.0%")</f>
        <v>100.0%</v>
      </c>
    </row>
    <row r="46" customFormat="false" ht="15.75" hidden="false" customHeight="true" outlineLevel="0" collapsed="false">
      <c r="B46" s="24" t="s">
        <v>253</v>
      </c>
      <c r="C46" s="24"/>
      <c r="D46" s="24"/>
      <c r="E46" s="24"/>
      <c r="F46" s="26" t="str">
        <f aca="false">IF('MTM-Analyse'!$H$50&gt;=0.4,"OK","INFO")</f>
        <v>OK</v>
      </c>
      <c r="G46" s="21" t="str">
        <f aca="false">TEXT('MTM-Analyse'!$H$50,"0.0%")</f>
        <v>51.4%</v>
      </c>
    </row>
    <row r="47" customFormat="false" ht="15.75" hidden="false" customHeight="true" outlineLevel="0" collapsed="false">
      <c r="B47" s="24" t="s">
        <v>254</v>
      </c>
      <c r="C47" s="24"/>
      <c r="D47" s="24"/>
      <c r="E47" s="24"/>
      <c r="F47" s="26" t="str">
        <f aca="false">IF('MTM-Analyse'!$L$50&lt;=0.1,"OK","INFO")</f>
        <v>OK</v>
      </c>
      <c r="G47" s="21" t="str">
        <f aca="false">TEXT('MTM-Analyse'!$L$50,"0.0%")</f>
        <v>4.6%</v>
      </c>
    </row>
    <row r="49" customFormat="false" ht="19.5" hidden="false" customHeight="true" outlineLevel="0" collapsed="false">
      <c r="B49" s="6" t="s">
        <v>255</v>
      </c>
      <c r="C49" s="6"/>
      <c r="D49" s="6"/>
      <c r="E49" s="6"/>
      <c r="F49" s="6"/>
      <c r="G49" s="6"/>
      <c r="H49" s="6"/>
      <c r="I49" s="7"/>
      <c r="J49" s="7"/>
      <c r="K49" s="7"/>
      <c r="L49" s="7"/>
      <c r="M49" s="7"/>
    </row>
    <row r="50" customFormat="false" ht="15.75" hidden="false" customHeight="true" outlineLevel="0" collapsed="false">
      <c r="B50" s="88" t="n">
        <v>1</v>
      </c>
      <c r="C50" s="89" t="s">
        <v>256</v>
      </c>
      <c r="D50" s="89"/>
      <c r="E50" s="89"/>
      <c r="F50" s="89"/>
      <c r="G50" s="89"/>
      <c r="H50" s="89"/>
      <c r="I50" s="89"/>
      <c r="J50" s="89"/>
      <c r="K50" s="89"/>
      <c r="L50" s="89"/>
      <c r="M50" s="89"/>
    </row>
    <row r="51" customFormat="false" ht="15.75" hidden="false" customHeight="true" outlineLevel="0" collapsed="false">
      <c r="B51" s="88" t="n">
        <v>2</v>
      </c>
      <c r="C51" s="89" t="s">
        <v>257</v>
      </c>
      <c r="D51" s="89"/>
      <c r="E51" s="89"/>
      <c r="F51" s="89"/>
      <c r="G51" s="89"/>
      <c r="H51" s="89"/>
      <c r="I51" s="89"/>
      <c r="J51" s="89"/>
      <c r="K51" s="89"/>
      <c r="L51" s="89"/>
      <c r="M51" s="89"/>
    </row>
    <row r="52" customFormat="false" ht="15.75" hidden="false" customHeight="true" outlineLevel="0" collapsed="false">
      <c r="B52" s="88" t="n">
        <v>3</v>
      </c>
      <c r="C52" s="89" t="s">
        <v>258</v>
      </c>
      <c r="D52" s="89"/>
      <c r="E52" s="89"/>
      <c r="F52" s="89"/>
      <c r="G52" s="89"/>
      <c r="H52" s="89"/>
      <c r="I52" s="89"/>
      <c r="J52" s="89"/>
      <c r="K52" s="89"/>
      <c r="L52" s="89"/>
      <c r="M52" s="89"/>
    </row>
    <row r="53" customFormat="false" ht="15.75" hidden="false" customHeight="true" outlineLevel="0" collapsed="false">
      <c r="B53" s="88" t="n">
        <v>4</v>
      </c>
      <c r="C53" s="89" t="s">
        <v>259</v>
      </c>
      <c r="D53" s="89"/>
      <c r="E53" s="89"/>
      <c r="F53" s="89"/>
      <c r="G53" s="89"/>
      <c r="H53" s="89"/>
      <c r="I53" s="89"/>
      <c r="J53" s="89"/>
      <c r="K53" s="89"/>
      <c r="L53" s="89"/>
      <c r="M53" s="89"/>
    </row>
    <row r="54" customFormat="false" ht="15.75" hidden="false" customHeight="true" outlineLevel="0" collapsed="false">
      <c r="B54" s="88" t="n">
        <v>5</v>
      </c>
      <c r="C54" s="89" t="s">
        <v>260</v>
      </c>
      <c r="D54" s="89"/>
      <c r="E54" s="89"/>
      <c r="F54" s="89"/>
      <c r="G54" s="89"/>
      <c r="H54" s="89"/>
      <c r="I54" s="89"/>
      <c r="J54" s="89"/>
      <c r="K54" s="89"/>
      <c r="L54" s="89"/>
      <c r="M54" s="89"/>
    </row>
    <row r="55" customFormat="false" ht="15.75" hidden="false" customHeight="true" outlineLevel="0" collapsed="false">
      <c r="B55" s="88" t="n">
        <v>6</v>
      </c>
      <c r="C55" s="89" t="s">
        <v>261</v>
      </c>
      <c r="D55" s="89"/>
      <c r="E55" s="89"/>
      <c r="F55" s="89"/>
      <c r="G55" s="89"/>
      <c r="H55" s="89"/>
      <c r="I55" s="89"/>
      <c r="J55" s="89"/>
      <c r="K55" s="89"/>
      <c r="L55" s="89"/>
      <c r="M55" s="89"/>
    </row>
    <row r="56" customFormat="false" ht="15.75" hidden="false" customHeight="true" outlineLevel="0" collapsed="false">
      <c r="B56" s="88" t="n">
        <v>7</v>
      </c>
      <c r="C56" s="89" t="s">
        <v>262</v>
      </c>
      <c r="D56" s="89"/>
      <c r="E56" s="89"/>
      <c r="F56" s="89"/>
      <c r="G56" s="89"/>
      <c r="H56" s="89"/>
      <c r="I56" s="89"/>
      <c r="J56" s="89"/>
      <c r="K56" s="89"/>
      <c r="L56" s="89"/>
      <c r="M56" s="89"/>
    </row>
    <row r="58" customFormat="false" ht="15" hidden="false" customHeight="false" outlineLevel="0" collapsed="false">
      <c r="B58" s="90" t="s">
        <v>263</v>
      </c>
    </row>
    <row r="59" customFormat="false" ht="18" hidden="false" customHeight="true" outlineLevel="0" collapsed="false">
      <c r="B59" s="91" t="s">
        <v>264</v>
      </c>
      <c r="C59" s="91"/>
      <c r="D59" s="92" t="s">
        <v>265</v>
      </c>
      <c r="E59" s="92"/>
      <c r="F59" s="93" t="s">
        <v>153</v>
      </c>
      <c r="G59" s="93"/>
      <c r="H59" s="94" t="s">
        <v>132</v>
      </c>
      <c r="I59" s="94"/>
      <c r="J59" s="95" t="s">
        <v>188</v>
      </c>
      <c r="K59" s="95"/>
      <c r="L59" s="96" t="s">
        <v>266</v>
      </c>
      <c r="M59" s="96"/>
    </row>
    <row r="61" customFormat="false" ht="13.5" hidden="false" customHeight="true" outlineLevel="0" collapsed="false">
      <c r="B61" s="59" t="s">
        <v>267</v>
      </c>
      <c r="C61" s="59"/>
      <c r="D61" s="59"/>
      <c r="E61" s="59"/>
      <c r="F61" s="59"/>
      <c r="G61" s="59"/>
      <c r="H61" s="59"/>
      <c r="I61" s="59"/>
      <c r="J61" s="59"/>
      <c r="K61" s="59"/>
      <c r="L61" s="59"/>
      <c r="M61" s="59"/>
    </row>
    <row r="62" customFormat="false" ht="13.5" hidden="false" customHeight="true" outlineLevel="0" collapsed="false">
      <c r="B62" s="59"/>
      <c r="C62" s="59"/>
      <c r="D62" s="59"/>
      <c r="E62" s="59"/>
      <c r="F62" s="59"/>
      <c r="G62" s="59"/>
      <c r="H62" s="59"/>
      <c r="I62" s="59"/>
      <c r="J62" s="59"/>
      <c r="K62" s="59"/>
      <c r="L62" s="59"/>
      <c r="M62" s="59"/>
    </row>
  </sheetData>
  <mergeCells count="73">
    <mergeCell ref="B2:H2"/>
    <mergeCell ref="I2:M2"/>
    <mergeCell ref="B3:H3"/>
    <mergeCell ref="I3:M3"/>
    <mergeCell ref="B6:H6"/>
    <mergeCell ref="I6:M6"/>
    <mergeCell ref="B7:C7"/>
    <mergeCell ref="D7:E7"/>
    <mergeCell ref="F7:G7"/>
    <mergeCell ref="H7:I7"/>
    <mergeCell ref="J7:K7"/>
    <mergeCell ref="L7:M7"/>
    <mergeCell ref="B8:C8"/>
    <mergeCell ref="D8:E8"/>
    <mergeCell ref="F8:G8"/>
    <mergeCell ref="H8:I8"/>
    <mergeCell ref="J8:K8"/>
    <mergeCell ref="L8:M8"/>
    <mergeCell ref="B10:H10"/>
    <mergeCell ref="I10:M10"/>
    <mergeCell ref="B11:C11"/>
    <mergeCell ref="B12:C12"/>
    <mergeCell ref="B13:C13"/>
    <mergeCell ref="B14:C14"/>
    <mergeCell ref="B15:C15"/>
    <mergeCell ref="B16:C16"/>
    <mergeCell ref="B17:C17"/>
    <mergeCell ref="B18:C18"/>
    <mergeCell ref="B19:C19"/>
    <mergeCell ref="B20:C20"/>
    <mergeCell ref="B21:C21"/>
    <mergeCell ref="B23:D23"/>
    <mergeCell ref="E23:G23"/>
    <mergeCell ref="B24:C24"/>
    <mergeCell ref="B25:C25"/>
    <mergeCell ref="B26:C26"/>
    <mergeCell ref="B27:C27"/>
    <mergeCell ref="B28:C28"/>
    <mergeCell ref="B30:D30"/>
    <mergeCell ref="E30:G30"/>
    <mergeCell ref="B31:C31"/>
    <mergeCell ref="B32:C32"/>
    <mergeCell ref="B33:C33"/>
    <mergeCell ref="B34:C34"/>
    <mergeCell ref="B35:C35"/>
    <mergeCell ref="B36:C36"/>
    <mergeCell ref="B37:G37"/>
    <mergeCell ref="B39:D39"/>
    <mergeCell ref="E39:G39"/>
    <mergeCell ref="B40:E40"/>
    <mergeCell ref="B41:E41"/>
    <mergeCell ref="B42:E42"/>
    <mergeCell ref="B43:E43"/>
    <mergeCell ref="B44:E44"/>
    <mergeCell ref="B45:E45"/>
    <mergeCell ref="B46:E46"/>
    <mergeCell ref="B47:E47"/>
    <mergeCell ref="B49:H49"/>
    <mergeCell ref="I49:M49"/>
    <mergeCell ref="C50:M50"/>
    <mergeCell ref="C51:M51"/>
    <mergeCell ref="C52:M52"/>
    <mergeCell ref="C53:M53"/>
    <mergeCell ref="C54:M54"/>
    <mergeCell ref="C55:M55"/>
    <mergeCell ref="C56:M56"/>
    <mergeCell ref="B59:C59"/>
    <mergeCell ref="D59:E59"/>
    <mergeCell ref="F59:G59"/>
    <mergeCell ref="H59:I59"/>
    <mergeCell ref="J59:K59"/>
    <mergeCell ref="L59:M59"/>
    <mergeCell ref="B61:M62"/>
  </mergeCells>
  <conditionalFormatting sqref="G12:G20">
    <cfRule type="dataBar" priority="2">
      <dataBar showValue="1" minLength="10" maxLength="90">
        <cfvo type="num" val="0"/>
        <cfvo type="num" val="0.5"/>
        <color rgb="FF5C7E9E"/>
      </dataBar>
      <extLst>
        <ext xmlns:x14="http://schemas.microsoft.com/office/spreadsheetml/2009/9/main" uri="{B025F937-C7B1-47D3-B67F-A62EFF666E3E}">
          <x14:id>{A7AF4A50-F82D-47D0-81CB-E169EDA0E48C}</x14:id>
        </ext>
      </extLst>
    </cfRule>
  </conditionalFormatting>
  <conditionalFormatting sqref="F41:F47">
    <cfRule type="cellIs" priority="3" operator="equal" aboveAverage="0" equalAverage="0" bottom="0" percent="0" rank="0" text="" dxfId="14">
      <formula>"OK"</formula>
    </cfRule>
    <cfRule type="cellIs" priority="4" operator="equal" aboveAverage="0" equalAverage="0" bottom="0" percent="0" rank="0" text="" dxfId="16">
      <formula>"PRÜFEN"</formula>
    </cfRule>
    <cfRule type="cellIs" priority="5" operator="equal" aboveAverage="0" equalAverage="0" bottom="0" percent="0" rank="0" text="" dxfId="18">
      <formula>"INFO"</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1"/>
  <extLst>
    <ext xmlns:x14="http://schemas.microsoft.com/office/spreadsheetml/2009/9/main" uri="{78C0D931-6437-407d-A8EE-F0AAD7539E65}">
      <x14:conditionalFormattings>
        <x14:conditionalFormatting xmlns:xm="http://schemas.microsoft.com/office/excel/2006/main">
          <x14:cfRule type="dataBar" id="{A7AF4A50-F82D-47D0-81CB-E169EDA0E48C}">
            <x14:dataBar minLength="10" maxLength="90" axisPosition="none" gradient="true">
              <x14:cfvo type="num">
                <xm:f>0</xm:f>
              </x14:cfvo>
              <x14:cfvo type="num">
                <xm:f>0.5</xm:f>
              </x14:cfvo>
              <x14:negativeFillColor rgb="FF5C7E9E"/>
              <x14:axisColor rgb="FF000000"/>
            </x14:dataBar>
          </x14:cfRule>
          <xm:sqref>G12:G20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2026-07-23T08:58:51Z</dcterms:created>
  <dc:creator>openpyxl</dc:creator>
  <dc:description/>
  <dc:language>en-US</dc:language>
  <cp:lastModifiedBy/>
  <dcterms:modified xsi:type="dcterms:W3CDTF">2026-07-23T08:58:53Z</dcterms:modified>
  <cp:revision>1</cp:revision>
  <dc:subject/>
  <dc:title>MTM-Analyse Vorlage 2026</dc:title>
</cp:coreProperties>
</file>

<file path=docProps/custom.xml><?xml version="1.0" encoding="utf-8"?>
<Properties xmlns="http://schemas.openxmlformats.org/officeDocument/2006/custom-properties" xmlns:vt="http://schemas.openxmlformats.org/officeDocument/2006/docPropsVTypes"/>
</file>