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C762FD55-0AA4-4B35-A846-F89C9FB84DD9}" xr6:coauthVersionLast="47" xr6:coauthVersionMax="47" xr10:uidLastSave="{00000000-0000-0000-0000-000000000000}"/>
  <bookViews>
    <workbookView xWindow="1035" yWindow="1035" windowWidth="25500" windowHeight="13500" tabRatio="500" activeTab="2" xr2:uid="{00000000-000D-0000-FFFF-FFFF00000000}"/>
  </bookViews>
  <sheets>
    <sheet name="Stammdaten" sheetId="1" r:id="rId1"/>
    <sheet name="Kalkulation" sheetId="2" r:id="rId2"/>
    <sheet name="Formblatt 223" sheetId="3" r:id="rId3"/>
    <sheet name="Auswertung" sheetId="4" r:id="rId4"/>
  </sheets>
  <definedNames>
    <definedName name="_xlnm._FilterDatabase" localSheetId="1" hidden="1">Kalkulation!$A$6:$P$29</definedName>
    <definedName name="_xlnm.Print_Area" localSheetId="2">'Formblatt 223'!$A$1:$J$40</definedName>
    <definedName name="_xlnm.Print_Area" localSheetId="1">Kalkulation!$A$1:$P$32</definedName>
    <definedName name="_xlnm.Print_Titles" localSheetId="2">'Formblatt 223'!$8:$10</definedName>
    <definedName name="_xlnm.Print_Titles" localSheetId="1">Kalkulation!$5:$7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5" i="4" l="1"/>
  <c r="N28" i="2"/>
  <c r="I31" i="3" s="1"/>
  <c r="M28" i="2"/>
  <c r="H31" i="3" s="1"/>
  <c r="L28" i="2"/>
  <c r="G31" i="3" s="1"/>
  <c r="F28" i="2"/>
  <c r="K28" i="2" s="1"/>
  <c r="N27" i="2"/>
  <c r="I30" i="3" s="1"/>
  <c r="M27" i="2"/>
  <c r="M26" i="2"/>
  <c r="L26" i="2"/>
  <c r="G29" i="3" s="1"/>
  <c r="F26" i="2"/>
  <c r="K26" i="2" s="1"/>
  <c r="N24" i="2"/>
  <c r="I27" i="3" s="1"/>
  <c r="M24" i="2"/>
  <c r="H27" i="3" s="1"/>
  <c r="L24" i="2"/>
  <c r="G27" i="3" s="1"/>
  <c r="N22" i="2"/>
  <c r="M22" i="2"/>
  <c r="L22" i="2"/>
  <c r="G25" i="3" s="1"/>
  <c r="F22" i="2"/>
  <c r="K22" i="2" s="1"/>
  <c r="N21" i="2"/>
  <c r="I24" i="3" s="1"/>
  <c r="M21" i="2"/>
  <c r="H24" i="3" s="1"/>
  <c r="M19" i="2"/>
  <c r="L19" i="2"/>
  <c r="F19" i="2"/>
  <c r="K19" i="2" s="1"/>
  <c r="N18" i="2"/>
  <c r="I21" i="3" s="1"/>
  <c r="M18" i="2"/>
  <c r="H21" i="3" s="1"/>
  <c r="L18" i="2"/>
  <c r="G21" i="3" s="1"/>
  <c r="N16" i="2"/>
  <c r="I19" i="3" s="1"/>
  <c r="M16" i="2"/>
  <c r="H19" i="3" s="1"/>
  <c r="L16" i="2"/>
  <c r="G19" i="3" s="1"/>
  <c r="F16" i="2"/>
  <c r="J16" i="2" s="1"/>
  <c r="N15" i="2"/>
  <c r="I18" i="3" s="1"/>
  <c r="M15" i="2"/>
  <c r="M14" i="2"/>
  <c r="H17" i="3" s="1"/>
  <c r="L14" i="2"/>
  <c r="G17" i="3" s="1"/>
  <c r="F14" i="2"/>
  <c r="K14" i="2" s="1"/>
  <c r="N12" i="2"/>
  <c r="I15" i="3" s="1"/>
  <c r="M12" i="2"/>
  <c r="H15" i="3" s="1"/>
  <c r="L12" i="2"/>
  <c r="G15" i="3" s="1"/>
  <c r="N10" i="2"/>
  <c r="M10" i="2"/>
  <c r="L10" i="2"/>
  <c r="F10" i="2"/>
  <c r="J10" i="2" s="1"/>
  <c r="N9" i="2"/>
  <c r="I12" i="3" s="1"/>
  <c r="M9" i="2"/>
  <c r="H12" i="3" s="1"/>
  <c r="F25" i="1"/>
  <c r="N29" i="2" s="1"/>
  <c r="I32" i="3" s="1"/>
  <c r="F24" i="1"/>
  <c r="M29" i="2" s="1"/>
  <c r="H32" i="3" s="1"/>
  <c r="F23" i="1"/>
  <c r="L27" i="2" s="1"/>
  <c r="G30" i="3" s="1"/>
  <c r="F22" i="1"/>
  <c r="C18" i="1"/>
  <c r="F29" i="2" s="1"/>
  <c r="E32" i="3"/>
  <c r="D32" i="3"/>
  <c r="C32" i="3"/>
  <c r="B32" i="3"/>
  <c r="A32" i="3"/>
  <c r="E31" i="3"/>
  <c r="D31" i="3"/>
  <c r="C31" i="3"/>
  <c r="B31" i="3"/>
  <c r="A31" i="3"/>
  <c r="H30" i="3"/>
  <c r="E30" i="3"/>
  <c r="D30" i="3"/>
  <c r="C30" i="3"/>
  <c r="B30" i="3"/>
  <c r="A30" i="3"/>
  <c r="H29" i="3"/>
  <c r="E29" i="3"/>
  <c r="D29" i="3"/>
  <c r="C29" i="3"/>
  <c r="B29" i="3"/>
  <c r="A29" i="3"/>
  <c r="A28" i="3"/>
  <c r="E27" i="3"/>
  <c r="D27" i="3"/>
  <c r="C27" i="3"/>
  <c r="B27" i="3"/>
  <c r="A27" i="3"/>
  <c r="E26" i="3"/>
  <c r="D26" i="3"/>
  <c r="C26" i="3"/>
  <c r="B26" i="3"/>
  <c r="A26" i="3"/>
  <c r="I25" i="3"/>
  <c r="H25" i="3"/>
  <c r="E25" i="3"/>
  <c r="D25" i="3"/>
  <c r="C25" i="3"/>
  <c r="B25" i="3"/>
  <c r="A25" i="3"/>
  <c r="E24" i="3"/>
  <c r="D24" i="3"/>
  <c r="C24" i="3"/>
  <c r="B24" i="3"/>
  <c r="A24" i="3"/>
  <c r="A23" i="3"/>
  <c r="H22" i="3"/>
  <c r="G22" i="3"/>
  <c r="E22" i="3"/>
  <c r="D22" i="3"/>
  <c r="C22" i="3"/>
  <c r="B22" i="3"/>
  <c r="A22" i="3"/>
  <c r="E21" i="3"/>
  <c r="D21" i="3"/>
  <c r="C21" i="3"/>
  <c r="B21" i="3"/>
  <c r="A21" i="3"/>
  <c r="E20" i="3"/>
  <c r="D20" i="3"/>
  <c r="C20" i="3"/>
  <c r="B20" i="3"/>
  <c r="A20" i="3"/>
  <c r="E19" i="3"/>
  <c r="D19" i="3"/>
  <c r="C19" i="3"/>
  <c r="B19" i="3"/>
  <c r="A19" i="3"/>
  <c r="H18" i="3"/>
  <c r="E18" i="3"/>
  <c r="D18" i="3"/>
  <c r="C18" i="3"/>
  <c r="B18" i="3"/>
  <c r="A18" i="3"/>
  <c r="E17" i="3"/>
  <c r="D17" i="3"/>
  <c r="C17" i="3"/>
  <c r="B17" i="3"/>
  <c r="A17" i="3"/>
  <c r="A16" i="3"/>
  <c r="E15" i="3"/>
  <c r="D15" i="3"/>
  <c r="C15" i="3"/>
  <c r="B15" i="3"/>
  <c r="A15" i="3"/>
  <c r="E14" i="3"/>
  <c r="D14" i="3"/>
  <c r="C14" i="3"/>
  <c r="B14" i="3"/>
  <c r="A14" i="3"/>
  <c r="I13" i="3"/>
  <c r="H13" i="3"/>
  <c r="G13" i="3"/>
  <c r="E13" i="3"/>
  <c r="D13" i="3"/>
  <c r="C13" i="3"/>
  <c r="B13" i="3"/>
  <c r="A13" i="3"/>
  <c r="E12" i="3"/>
  <c r="D12" i="3"/>
  <c r="C12" i="3"/>
  <c r="B12" i="3"/>
  <c r="A12" i="3"/>
  <c r="A11" i="3"/>
  <c r="H6" i="3"/>
  <c r="B6" i="3"/>
  <c r="H5" i="3"/>
  <c r="B5" i="3"/>
  <c r="H4" i="3"/>
  <c r="B4" i="3"/>
  <c r="O22" i="2" l="1"/>
  <c r="F25" i="3"/>
  <c r="F29" i="3"/>
  <c r="O14" i="2"/>
  <c r="F17" i="3"/>
  <c r="F31" i="3"/>
  <c r="O28" i="2"/>
  <c r="K29" i="2"/>
  <c r="J29" i="2"/>
  <c r="F22" i="3"/>
  <c r="O19" i="2"/>
  <c r="F12" i="2"/>
  <c r="F18" i="2"/>
  <c r="F24" i="2"/>
  <c r="K10" i="2"/>
  <c r="K16" i="2"/>
  <c r="J28" i="2"/>
  <c r="J14" i="2"/>
  <c r="J19" i="2"/>
  <c r="J26" i="2"/>
  <c r="J22" i="2"/>
  <c r="F17" i="2"/>
  <c r="N14" i="2"/>
  <c r="I17" i="3" s="1"/>
  <c r="N19" i="2"/>
  <c r="I22" i="3" s="1"/>
  <c r="N26" i="2"/>
  <c r="I29" i="3" s="1"/>
  <c r="F23" i="2"/>
  <c r="L11" i="2"/>
  <c r="G14" i="3" s="1"/>
  <c r="L17" i="2"/>
  <c r="G20" i="3" s="1"/>
  <c r="L23" i="2"/>
  <c r="G26" i="3" s="1"/>
  <c r="L29" i="2"/>
  <c r="G32" i="3" s="1"/>
  <c r="F9" i="2"/>
  <c r="M11" i="2"/>
  <c r="H14" i="3" s="1"/>
  <c r="F15" i="2"/>
  <c r="M17" i="2"/>
  <c r="H20" i="3" s="1"/>
  <c r="F21" i="2"/>
  <c r="M23" i="2"/>
  <c r="H26" i="3" s="1"/>
  <c r="F27" i="2"/>
  <c r="F11" i="2"/>
  <c r="N11" i="2"/>
  <c r="I14" i="3" s="1"/>
  <c r="N17" i="2"/>
  <c r="I20" i="3" s="1"/>
  <c r="N23" i="2"/>
  <c r="I26" i="3" s="1"/>
  <c r="L9" i="2"/>
  <c r="L15" i="2"/>
  <c r="G18" i="3" s="1"/>
  <c r="L21" i="2"/>
  <c r="G24" i="3" s="1"/>
  <c r="J24" i="2" l="1"/>
  <c r="K24" i="2"/>
  <c r="F19" i="3"/>
  <c r="O16" i="2"/>
  <c r="K9" i="2"/>
  <c r="J9" i="2"/>
  <c r="P19" i="2"/>
  <c r="J22" i="3"/>
  <c r="J17" i="3"/>
  <c r="P14" i="2"/>
  <c r="K23" i="2"/>
  <c r="J23" i="2"/>
  <c r="P28" i="2"/>
  <c r="J31" i="3"/>
  <c r="C14" i="4"/>
  <c r="O26" i="2"/>
  <c r="K21" i="2"/>
  <c r="J21" i="2"/>
  <c r="O10" i="2"/>
  <c r="F13" i="3"/>
  <c r="K12" i="2"/>
  <c r="J12" i="2"/>
  <c r="K17" i="2"/>
  <c r="J17" i="2"/>
  <c r="K18" i="2"/>
  <c r="J18" i="2"/>
  <c r="O29" i="2"/>
  <c r="F32" i="3"/>
  <c r="G12" i="3"/>
  <c r="C12" i="4"/>
  <c r="C13" i="4"/>
  <c r="K27" i="2"/>
  <c r="J27" i="2"/>
  <c r="K15" i="2"/>
  <c r="J15" i="2"/>
  <c r="K11" i="2"/>
  <c r="J11" i="2"/>
  <c r="P22" i="2"/>
  <c r="J25" i="3"/>
  <c r="F24" i="3" l="1"/>
  <c r="O21" i="2"/>
  <c r="O23" i="2"/>
  <c r="F26" i="3"/>
  <c r="P26" i="2"/>
  <c r="J29" i="3"/>
  <c r="J13" i="3"/>
  <c r="P10" i="2"/>
  <c r="O11" i="2"/>
  <c r="F14" i="3"/>
  <c r="J19" i="3"/>
  <c r="P16" i="2"/>
  <c r="G16" i="4"/>
  <c r="F21" i="3"/>
  <c r="O18" i="2"/>
  <c r="F27" i="3"/>
  <c r="O24" i="2"/>
  <c r="F18" i="3"/>
  <c r="O15" i="2"/>
  <c r="F30" i="3"/>
  <c r="O27" i="2"/>
  <c r="P29" i="2"/>
  <c r="J32" i="3"/>
  <c r="F12" i="3"/>
  <c r="C11" i="4"/>
  <c r="C15" i="4" s="1"/>
  <c r="O9" i="2"/>
  <c r="O17" i="2"/>
  <c r="F20" i="3"/>
  <c r="O12" i="2"/>
  <c r="F15" i="3"/>
  <c r="J21" i="3" l="1"/>
  <c r="P18" i="2"/>
  <c r="P11" i="2"/>
  <c r="J14" i="3"/>
  <c r="J30" i="3"/>
  <c r="P27" i="2"/>
  <c r="J12" i="3"/>
  <c r="P9" i="2"/>
  <c r="G14" i="4"/>
  <c r="G13" i="4"/>
  <c r="P15" i="2"/>
  <c r="J18" i="3"/>
  <c r="P23" i="2"/>
  <c r="J26" i="3"/>
  <c r="J27" i="3"/>
  <c r="P24" i="2"/>
  <c r="P12" i="2"/>
  <c r="J15" i="3"/>
  <c r="P17" i="2"/>
  <c r="J20" i="3"/>
  <c r="J24" i="3"/>
  <c r="P21" i="2"/>
  <c r="D21" i="4" l="1"/>
  <c r="E24" i="4"/>
  <c r="D24" i="4"/>
  <c r="E21" i="4"/>
  <c r="C24" i="4"/>
  <c r="E23" i="4"/>
  <c r="D23" i="4"/>
  <c r="C21" i="4"/>
  <c r="C23" i="4"/>
  <c r="D20" i="4"/>
  <c r="E22" i="4"/>
  <c r="C22" i="4"/>
  <c r="D22" i="4"/>
  <c r="E20" i="4"/>
  <c r="C20" i="4"/>
  <c r="P30" i="2"/>
  <c r="C4" i="4" s="1"/>
  <c r="F24" i="4" l="1"/>
  <c r="D12" i="4"/>
  <c r="D15" i="4"/>
  <c r="G11" i="4"/>
  <c r="C5" i="4"/>
  <c r="F23" i="4"/>
  <c r="D14" i="4"/>
  <c r="F22" i="4"/>
  <c r="D13" i="4"/>
  <c r="D11" i="4"/>
  <c r="G12" i="4"/>
  <c r="F21" i="4"/>
  <c r="F20" i="4"/>
  <c r="C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18" authorId="0" shapeId="0" xr:uid="{00000000-0006-0000-0000-000001000000}">
      <text>
        <r>
          <rPr>
            <sz val="10"/>
            <rFont val="Arial"/>
            <family val="2"/>
          </rPr>
          <t>Errechnet aus Mittellohn A, Lohnzusatz- und Lohnnebenkosten.
Weicht dieser Verrechnungslohn von den Formblättern 221/222 ab, ist die Abweichung dem Auftraggeber offenzulegen.</t>
        </r>
      </text>
    </comment>
  </commentList>
</comments>
</file>

<file path=xl/sharedStrings.xml><?xml version="1.0" encoding="utf-8"?>
<sst xmlns="http://schemas.openxmlformats.org/spreadsheetml/2006/main" count="193" uniqueCount="159">
  <si>
    <t>FORMBLATT 223 · AUFGLIEDERUNG DER EINHEITSPREISE</t>
  </si>
  <si>
    <t>Stammdaten · Kalkulationsgrundlagen · Zuschlagssätze     |     Kalkulationsjahr 2026</t>
  </si>
  <si>
    <t>1 │ ANGABEN ZUM VERGABEVERFAHREN   (Kopfdaten des Formblatts 223)</t>
  </si>
  <si>
    <t>Mengeneinheiten (Auswahlliste)</t>
  </si>
  <si>
    <t>Baumaßnahme</t>
  </si>
  <si>
    <t>Neubau eines zweigeschossigen Verwaltungsgebäudes</t>
  </si>
  <si>
    <t>m</t>
  </si>
  <si>
    <t>Leistung / Los</t>
  </si>
  <si>
    <t>Los 3 – Rohbauarbeiten</t>
  </si>
  <si>
    <t>m²</t>
  </si>
  <si>
    <t>Vergabenummer</t>
  </si>
  <si>
    <t>2026-HB-00147</t>
  </si>
  <si>
    <t>m³</t>
  </si>
  <si>
    <t>Vergabestelle (Auftraggeber)</t>
  </si>
  <si>
    <t>Bau- und Liegenschaftsamt Musterstadt</t>
  </si>
  <si>
    <t>kg</t>
  </si>
  <si>
    <t>Bieter (Firma)</t>
  </si>
  <si>
    <t>Nordwest Hochbau GmbH &amp; Co. KG</t>
  </si>
  <si>
    <t>t</t>
  </si>
  <si>
    <t>Anschrift des Bieters</t>
  </si>
  <si>
    <t>Gewerbering 18, 26123 Musterstadt</t>
  </si>
  <si>
    <t>St</t>
  </si>
  <si>
    <t>Datum des Angebots</t>
  </si>
  <si>
    <t>16.03.2026</t>
  </si>
  <si>
    <t>psch</t>
  </si>
  <si>
    <t>Angebotsfrist</t>
  </si>
  <si>
    <t>27.03.2026, 11:00 Uhr</t>
  </si>
  <si>
    <t>h</t>
  </si>
  <si>
    <t>l</t>
  </si>
  <si>
    <t>2 │ VERRECHNUNGSLOHN (KALKULATIONSLOHN)</t>
  </si>
  <si>
    <t>Std</t>
  </si>
  <si>
    <t>Mittellohn A – Grundlohn einschl. Zulagen</t>
  </si>
  <si>
    <t>€ je produktive Stunde</t>
  </si>
  <si>
    <t>Lohnzusatzkosten (Sozialkosten)</t>
  </si>
  <si>
    <t>Prozentsatz auf Mittellohn A</t>
  </si>
  <si>
    <t>Lohnnebenkosten (Fahrt, Auslösung, PSA)</t>
  </si>
  <si>
    <t>Verrechnungslohn (Mittellohn ASL)</t>
  </si>
  <si>
    <t>Spalte 5 × dieser Wert  ➜  Löhne</t>
  </si>
  <si>
    <t>3 │ ZUSCHLAGSSÄTZE AUF DIE EINZELKOSTEN DER TEILLEISTUNGEN (EKT)</t>
  </si>
  <si>
    <t>Kostenart</t>
  </si>
  <si>
    <t>Baustellen-
gemeinkosten</t>
  </si>
  <si>
    <t>Allgemeine
Geschäftskosten</t>
  </si>
  <si>
    <t>Wagnis und
Gewinn</t>
  </si>
  <si>
    <t>Gesamtzuschlag</t>
  </si>
  <si>
    <t>Löhne</t>
  </si>
  <si>
    <t>Stoffe</t>
  </si>
  <si>
    <t>Geräte</t>
  </si>
  <si>
    <t>Sonstiges / Nachunternehmerleistungen</t>
  </si>
  <si>
    <t>Die Zuschlagssätze werden additiv auf die Einzelkosten der Teilleistung gerechnet (EKT × (1 + Gesamtzuschlag)). Die Werte sind Beispielwerte und durch die eigenen Kalkulationswerte zu ersetzen.</t>
  </si>
  <si>
    <t>4 │ WEITERE PARAMETER</t>
  </si>
  <si>
    <t>Umsatzsteuersatz</t>
  </si>
  <si>
    <t>Schwelle: wichtige Teilleistungen aufzugliedern</t>
  </si>
  <si>
    <t>Schwelle: alle Teilleistungen aufzugliedern</t>
  </si>
  <si>
    <t>Warnschwelle Lohnanteil je Position</t>
  </si>
  <si>
    <t>5 │ LEGENDE</t>
  </si>
  <si>
    <t>Eingabefeld – hier tragen Sie Ihre eigenen Werte ein.</t>
  </si>
  <si>
    <t>Berechnetes Feld – Formel, bitte nicht überschreiben.</t>
  </si>
  <si>
    <t>Beschriftung / Struktur.</t>
  </si>
  <si>
    <t>KALKULATION DER EINHEITSPREISE</t>
  </si>
  <si>
    <t>Arbeitsblatt · Eingaben in den hellen Feldern · Ergebnisse fließen automatisch in das Formblatt 223</t>
  </si>
  <si>
    <t>Angaben aus dem Leistungsverzeichnis</t>
  </si>
  <si>
    <t>Einzelkosten der Teilleistung (EKT) je Mengeneinheit</t>
  </si>
  <si>
    <t>Teilkosten einschl. Zuschläge je Mengeneinheit</t>
  </si>
  <si>
    <t>Ergebnis</t>
  </si>
  <si>
    <t>OZ des LV</t>
  </si>
  <si>
    <t>Kurzbezeichnung der Teilleistung</t>
  </si>
  <si>
    <t>Menge</t>
  </si>
  <si>
    <t>ME</t>
  </si>
  <si>
    <t>Zeitansatz
Std/ME</t>
  </si>
  <si>
    <t>Löhne
€/ME</t>
  </si>
  <si>
    <t>Stoffe
€/ME</t>
  </si>
  <si>
    <t>Geräte
€/ME</t>
  </si>
  <si>
    <t>Sonstiges/NU
€/ME</t>
  </si>
  <si>
    <t>EKT gesamt
€/ME</t>
  </si>
  <si>
    <t>Einheitspreis
€/ME</t>
  </si>
  <si>
    <t>Gesamtbetrag
€</t>
  </si>
  <si>
    <t>TITEL 01 · ERD- UND VERBAUARBEITEN</t>
  </si>
  <si>
    <t>01.0010</t>
  </si>
  <si>
    <t>Oberboden 30 cm abtragen, seitlich lagern</t>
  </si>
  <si>
    <t>01.0020</t>
  </si>
  <si>
    <t>Baugrube ausheben, BK 3–5, Aushub abfahren</t>
  </si>
  <si>
    <t>01.0030</t>
  </si>
  <si>
    <t>Verbau als Trägerbohlwand herstellen und rückbauen</t>
  </si>
  <si>
    <t>01.0040</t>
  </si>
  <si>
    <t>Baugrubensohle verdichten und profilgerecht abziehen</t>
  </si>
  <si>
    <t>TITEL 02 · BETON- UND STAHLBETONARBEITEN</t>
  </si>
  <si>
    <t>02.0010</t>
  </si>
  <si>
    <t>Sauberkeitsschicht C8/10, d = 5 cm</t>
  </si>
  <si>
    <t>02.0020</t>
  </si>
  <si>
    <t>Bodenplatte C25/30, d = 30 cm, WU-Beton</t>
  </si>
  <si>
    <t>02.0030</t>
  </si>
  <si>
    <t>Betonstahl B500B liefern, biegen und verlegen</t>
  </si>
  <si>
    <t>02.0040</t>
  </si>
  <si>
    <t>Wandschalung beidseitig, Sichtbetonklasse SB2</t>
  </si>
  <si>
    <t>02.0050</t>
  </si>
  <si>
    <t>Stahlbetonwände C25/30, d = 24 cm</t>
  </si>
  <si>
    <t>02.0060</t>
  </si>
  <si>
    <t>Deckenelemente als Fertigteil liefern und versetzen</t>
  </si>
  <si>
    <t>TITEL 03 · MAUER-, PUTZ- UND NEBENLEISTUNGEN</t>
  </si>
  <si>
    <t>03.0010</t>
  </si>
  <si>
    <t>Mauerwerk KS 17,5 cm, Dünnbettmörtel</t>
  </si>
  <si>
    <t>03.0020</t>
  </si>
  <si>
    <t>Innenputz, Gipsmaschinenputz, d = 10 mm</t>
  </si>
  <si>
    <t>03.0030</t>
  </si>
  <si>
    <t>Arbeits- und Schutzgerüst stellen und vorhalten</t>
  </si>
  <si>
    <t>03.0040</t>
  </si>
  <si>
    <t>Stundenlohnarbeiten Facharbeiter</t>
  </si>
  <si>
    <t>TITEL 04 · EIGENE POSITIONEN (Vorlagezeilen)</t>
  </si>
  <si>
    <t>ANGEBOTSSUMME (netto, ohne Umsatzsteuer)</t>
  </si>
  <si>
    <t>Spalte 6 (Löhne) = Zeitansatz × Verrechnungslohn aus dem Blatt Stammdaten.  Spalten 11–14 = Einzelkosten × (1 + Gesamtzuschlag der jeweiligen Kostenart).  Spalte 15 (Einheitspreis) = Summe der Spalten 11–14 und wird unverändert in das Formblatt 223 übernommen.</t>
  </si>
  <si>
    <t>Aufgliederung der Einheitspreise</t>
  </si>
  <si>
    <t>223</t>
  </si>
  <si>
    <t>Leistung</t>
  </si>
  <si>
    <t>Datum</t>
  </si>
  <si>
    <t>Bieter</t>
  </si>
  <si>
    <t>Vergabestelle</t>
  </si>
  <si>
    <t>Teilkosten einschl. Zuschläge in EUR (ohne Umsatzsteuer) je Mengeneinheit</t>
  </si>
  <si>
    <t>Kurzbezeichnung</t>
  </si>
  <si>
    <t>Menge der
Teilleistung</t>
  </si>
  <si>
    <t>Mengen-
einheit</t>
  </si>
  <si>
    <t>Sonstiges</t>
  </si>
  <si>
    <t>Angebotener
Einheitspreis
(Sp. 6+7+8+9)</t>
  </si>
  <si>
    <t>1  1)</t>
  </si>
  <si>
    <t>2  1)</t>
  </si>
  <si>
    <t>3  1)</t>
  </si>
  <si>
    <t>4  1)</t>
  </si>
  <si>
    <t>5  2)</t>
  </si>
  <si>
    <t>6  2) 3)</t>
  </si>
  <si>
    <t>7  2)</t>
  </si>
  <si>
    <t>8  2) 4)</t>
  </si>
  <si>
    <t>9  2)</t>
  </si>
  <si>
    <t>10  2)</t>
  </si>
  <si>
    <t>1)  Angaben werden vom Auftraggeber im Leistungsverzeichnis vorgegeben.</t>
  </si>
  <si>
    <t>2)  Anzugeben bei allen Teilleistungen – unabhängig davon, ob sie der Bieter selbst oder ein Nachunternehmer ausführt.</t>
  </si>
  <si>
    <t>3)  Weicht der zugrunde gelegte Verrechnungslohn von den Angaben in den Formblättern 221 bzw. 222 ab, ist dies offenzulegen.</t>
  </si>
  <si>
    <t>4)  Gerätekosten einschließlich Betriebsstoffkosten, soweit sie den Einzelkosten der genannten Ordnungszahlen zugerechnet wurden.</t>
  </si>
  <si>
    <t>Ort, Datum</t>
  </si>
  <si>
    <t>Rechtsverbindliche Unterschrift / Stempel des Bieters</t>
  </si>
  <si>
    <t>AUSWERTUNG UND PLAUSIBILITÄTSPRÜFUNG</t>
  </si>
  <si>
    <t>Kostenstruktur, Angebotssumme und formale Prüfhinweise zum Formblatt 223</t>
  </si>
  <si>
    <t>Angebotssumme netto</t>
  </si>
  <si>
    <t>Umsatzsteuer</t>
  </si>
  <si>
    <t>Angebotssumme brutto</t>
  </si>
  <si>
    <t>KOSTENSTRUKTUR DER ANGEBOTSSUMME</t>
  </si>
  <si>
    <t>Betrag (netto)</t>
  </si>
  <si>
    <t>Anteil</t>
  </si>
  <si>
    <t>Prüfhinweis</t>
  </si>
  <si>
    <t>Umfang der Aufgliederung</t>
  </si>
  <si>
    <t>Summenabgleich Kalkulation / Formblatt</t>
  </si>
  <si>
    <t>Positionen mit Einheitspreis 0,00 €</t>
  </si>
  <si>
    <t>Sonstiges / Nachunternehmer</t>
  </si>
  <si>
    <t>Positionen über Warnschwelle Lohnanteil</t>
  </si>
  <si>
    <t>Summe</t>
  </si>
  <si>
    <t>Erfasste Teilleistungen</t>
  </si>
  <si>
    <t>Durchschnittlicher Gesamtzuschlag</t>
  </si>
  <si>
    <t>POSITIONEN MIT DEM GRÖSSTEN ANTEIL AN DER ANGEBOTSSUMME</t>
  </si>
  <si>
    <t>Rang</t>
  </si>
  <si>
    <t>Gesamtbetrag</t>
  </si>
  <si>
    <t>Hinweis: Die Auswertung dient der internen Plausibilitätsprüfung vor Angebotsabgabe. Maßgeblich für die Abgabe ist ausschließlich das Blatt „Formblatt 223“ in der vom Auftraggeber geforderten Fassung. Sämtliche Beträge verstehen sich netto ohne Umsatzsteuer.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</si>
</sst>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quot; €/h&quot;"/>
    <numFmt numFmtId="165" formatCode="0.0\ %;\-0.0\ %;&quot;&quot;"/>
    <numFmt numFmtId="166" formatCode="#,##0&quot; €&quot;;\-#,##0&quot; €&quot;;&quot;&quot;"/>
    <numFmt numFmtId="167" formatCode="#,##0.00;\-#,##0.00;&quot;&quot;"/>
    <numFmt numFmtId="168" formatCode="#,##0.000;\-#,##0.000;&quot;&quot;"/>
    <numFmt numFmtId="169" formatCode="#,##0.00&quot; €&quot;;\-#,##0.00&quot; €&quot;;&quot;&quot;"/>
  </numFmts>
  <fonts count="23" x14ac:knownFonts="1">
    <font>
      <sz val="11"/>
      <color theme="1"/>
      <name val="Calibri"/>
      <family val="2"/>
      <charset val="1"/>
    </font>
    <font>
      <b/>
      <sz val="16"/>
      <color rgb="FFFFFFFF"/>
      <name val="Calibri"/>
      <charset val="1"/>
    </font>
    <font>
      <sz val="9"/>
      <color rgb="FFFFFFFF"/>
      <name val="Calibri"/>
      <charset val="1"/>
    </font>
    <font>
      <b/>
      <sz val="11"/>
      <color rgb="FF1B3A4A"/>
      <name val="Calibri"/>
      <charset val="1"/>
    </font>
    <font>
      <b/>
      <sz val="9"/>
      <color rgb="FFFFFFFF"/>
      <name val="Calibri"/>
      <charset val="1"/>
    </font>
    <font>
      <sz val="10"/>
      <color rgb="FF1F1F1F"/>
      <name val="Calibri"/>
      <charset val="1"/>
    </font>
    <font>
      <sz val="9"/>
      <color rgb="FF7A868C"/>
      <name val="Calibri"/>
      <charset val="1"/>
    </font>
    <font>
      <b/>
      <sz val="10"/>
      <color rgb="FF1F1F1F"/>
      <name val="Calibri"/>
      <charset val="1"/>
    </font>
    <font>
      <b/>
      <sz val="10"/>
      <color rgb="FF1B3A4A"/>
      <name val="Calibri"/>
      <charset val="1"/>
    </font>
    <font>
      <sz val="9"/>
      <color rgb="FFB4661E"/>
      <name val="Calibri"/>
      <charset val="1"/>
    </font>
    <font>
      <i/>
      <sz val="9"/>
      <color rgb="FF7A868C"/>
      <name val="Calibri"/>
      <charset val="1"/>
    </font>
    <font>
      <sz val="10"/>
      <name val="Arial"/>
      <family val="2"/>
    </font>
    <font>
      <b/>
      <sz val="10"/>
      <color rgb="FFFFFFFF"/>
      <name val="Calibri"/>
      <charset val="1"/>
    </font>
    <font>
      <sz val="8"/>
      <color rgb="FF7A868C"/>
      <name val="Calibri"/>
      <charset val="1"/>
    </font>
    <font>
      <sz val="10"/>
      <color rgb="FF7A868C"/>
      <name val="Calibri"/>
      <charset val="1"/>
    </font>
    <font>
      <b/>
      <sz val="11"/>
      <color rgb="FFFFFFFF"/>
      <name val="Calibri"/>
      <charset val="1"/>
    </font>
    <font>
      <b/>
      <sz val="12"/>
      <color rgb="FFFFFFFF"/>
      <name val="Calibri"/>
      <charset val="1"/>
    </font>
    <font>
      <b/>
      <sz val="26"/>
      <color rgb="FFFFFFFF"/>
      <name val="Calibri"/>
      <charset val="1"/>
    </font>
    <font>
      <b/>
      <sz val="8"/>
      <color rgb="FF7A868C"/>
      <name val="Calibri"/>
      <charset val="1"/>
    </font>
    <font>
      <b/>
      <sz val="13"/>
      <color rgb="FF1B3A4A"/>
      <name val="Calibri"/>
      <charset val="1"/>
    </font>
    <font>
      <b/>
      <sz val="13"/>
      <color rgb="FF2F6076"/>
      <name val="Calibri"/>
      <charset val="1"/>
    </font>
    <font>
      <b/>
      <sz val="13"/>
      <color rgb="FFB4661E"/>
      <name val="Calibri"/>
      <charset val="1"/>
    </font>
    <font>
      <b/>
      <sz val="10"/>
      <color rgb="FFB4661E"/>
      <name val="Calibri"/>
      <charset val="1"/>
    </font>
  </fonts>
  <fills count="12">
    <fill>
      <patternFill patternType="none"/>
    </fill>
    <fill>
      <patternFill patternType="gray125"/>
    </fill>
    <fill>
      <patternFill patternType="solid">
        <fgColor rgb="FF1B3A4A"/>
        <bgColor rgb="FF003366"/>
      </patternFill>
    </fill>
    <fill>
      <patternFill patternType="solid">
        <fgColor rgb="FF2F6076"/>
        <bgColor rgb="FF1E6B4F"/>
      </patternFill>
    </fill>
    <fill>
      <patternFill patternType="solid">
        <fgColor rgb="FFFBEEE2"/>
        <bgColor rgb="FFFDF3DC"/>
      </patternFill>
    </fill>
    <fill>
      <patternFill patternType="solid">
        <fgColor rgb="FF7A868C"/>
        <bgColor rgb="FF878787"/>
      </patternFill>
    </fill>
    <fill>
      <patternFill patternType="solid">
        <fgColor rgb="FFFDF3DC"/>
        <bgColor rgb="FFFBEEE2"/>
      </patternFill>
    </fill>
    <fill>
      <patternFill patternType="solid">
        <fgColor rgb="FFFFFFFF"/>
        <bgColor rgb="FFF2F4F5"/>
      </patternFill>
    </fill>
    <fill>
      <patternFill patternType="solid">
        <fgColor rgb="FFDCE6EB"/>
        <bgColor rgb="FFEDEDED"/>
      </patternFill>
    </fill>
    <fill>
      <patternFill patternType="solid">
        <fgColor rgb="FFF2F4F5"/>
        <bgColor rgb="FFEDEDED"/>
      </patternFill>
    </fill>
    <fill>
      <patternFill patternType="solid">
        <fgColor rgb="FFB4661E"/>
        <bgColor rgb="FFFF6600"/>
      </patternFill>
    </fill>
    <fill>
      <patternFill patternType="solid">
        <fgColor rgb="FF1E6B4F"/>
        <bgColor rgb="FF2F6076"/>
      </patternFill>
    </fill>
  </fills>
  <borders count="10">
    <border>
      <left/>
      <right/>
      <top/>
      <bottom/>
      <diagonal/>
    </border>
    <border>
      <left/>
      <right/>
      <top/>
      <bottom style="medium">
        <color rgb="FFB4661E"/>
      </bottom>
      <diagonal/>
    </border>
    <border>
      <left style="thin">
        <color rgb="FFB9C4CA"/>
      </left>
      <right style="thin">
        <color rgb="FFB9C4CA"/>
      </right>
      <top style="thin">
        <color rgb="FFB9C4CA"/>
      </top>
      <bottom style="thin">
        <color rgb="FFB9C4CA"/>
      </bottom>
      <diagonal/>
    </border>
    <border>
      <left style="thin">
        <color rgb="FFFFFFFF"/>
      </left>
      <right style="thin">
        <color rgb="FFFFFFFF"/>
      </right>
      <top/>
      <bottom/>
      <diagonal/>
    </border>
    <border>
      <left/>
      <right/>
      <top/>
      <bottom style="medium">
        <color rgb="FF1B3A4A"/>
      </bottom>
      <diagonal/>
    </border>
    <border>
      <left/>
      <right/>
      <top style="thin">
        <color rgb="FF2F6076"/>
      </top>
      <bottom style="thin">
        <color rgb="FF2F6076"/>
      </bottom>
      <diagonal/>
    </border>
    <border>
      <left style="hair">
        <color rgb="FFC9D2D7"/>
      </left>
      <right style="hair">
        <color rgb="FFC9D2D7"/>
      </right>
      <top/>
      <bottom style="hair">
        <color rgb="FFC9D2D7"/>
      </bottom>
      <diagonal/>
    </border>
    <border>
      <left/>
      <right/>
      <top/>
      <bottom style="thin">
        <color rgb="FF2F6076"/>
      </bottom>
      <diagonal/>
    </border>
    <border>
      <left/>
      <right/>
      <top/>
      <bottom style="thin">
        <color rgb="FF1B3A4A"/>
      </bottom>
      <diagonal/>
    </border>
    <border>
      <left/>
      <right/>
      <top/>
      <bottom style="thin">
        <color rgb="FFB4661E"/>
      </bottom>
      <diagonal/>
    </border>
  </borders>
  <cellStyleXfs count="1">
    <xf numFmtId="0" fontId="0" fillId="0" borderId="0"/>
  </cellStyleXfs>
  <cellXfs count="82">
    <xf numFmtId="0" fontId="0" fillId="0" borderId="0" xfId="0"/>
    <xf numFmtId="0" fontId="10" fillId="0" borderId="0" xfId="0" applyFont="1" applyAlignment="1">
      <alignment vertical="center" wrapText="1" indent="1"/>
    </xf>
    <xf numFmtId="164" fontId="8" fillId="8" borderId="2" xfId="0" applyNumberFormat="1" applyFont="1" applyFill="1" applyBorder="1" applyAlignment="1">
      <alignment vertical="center" indent="1"/>
    </xf>
    <xf numFmtId="165" fontId="5" fillId="6" borderId="2" xfId="0" applyNumberFormat="1" applyFont="1" applyFill="1" applyBorder="1" applyAlignment="1">
      <alignment vertical="center" indent="1"/>
    </xf>
    <xf numFmtId="164" fontId="5" fillId="6" borderId="2" xfId="0" applyNumberFormat="1" applyFont="1" applyFill="1" applyBorder="1" applyAlignment="1">
      <alignment vertical="center" indent="1"/>
    </xf>
    <xf numFmtId="0" fontId="5" fillId="6" borderId="2" xfId="0" applyFont="1" applyFill="1" applyBorder="1" applyAlignment="1">
      <alignment vertical="center" indent="1"/>
    </xf>
    <xf numFmtId="0" fontId="3" fillId="4" borderId="1" xfId="0" applyFont="1" applyFill="1" applyBorder="1" applyAlignment="1">
      <alignment vertical="center" indent="1"/>
    </xf>
    <xf numFmtId="0" fontId="2" fillId="3" borderId="0" xfId="0" applyFont="1" applyFill="1" applyAlignment="1">
      <alignment vertical="center" indent="1"/>
    </xf>
    <xf numFmtId="0" fontId="13" fillId="0" borderId="0" xfId="0" applyFont="1" applyAlignment="1">
      <alignment vertical="center" indent="1"/>
    </xf>
    <xf numFmtId="0" fontId="8" fillId="8" borderId="5" xfId="0" applyFont="1" applyFill="1" applyBorder="1" applyAlignment="1">
      <alignment vertical="center" indent="1"/>
    </xf>
    <xf numFmtId="0" fontId="4" fillId="10" borderId="0" xfId="0" applyFont="1" applyFill="1" applyAlignment="1">
      <alignment horizontal="center" vertical="center"/>
    </xf>
    <xf numFmtId="0" fontId="0" fillId="3" borderId="0" xfId="0" applyFill="1"/>
    <xf numFmtId="0" fontId="3" fillId="0" borderId="7" xfId="0" applyFont="1" applyBorder="1" applyAlignment="1">
      <alignment vertical="center" indent="1"/>
    </xf>
    <xf numFmtId="0" fontId="17" fillId="10" borderId="0" xfId="0" applyFont="1" applyFill="1" applyAlignment="1">
      <alignment horizontal="center" vertical="center"/>
    </xf>
    <xf numFmtId="0" fontId="1" fillId="2" borderId="0" xfId="0" applyFont="1" applyFill="1" applyAlignment="1">
      <alignment vertical="center" indent="1"/>
    </xf>
    <xf numFmtId="0" fontId="4" fillId="5" borderId="2" xfId="0" applyFont="1" applyFill="1" applyBorder="1" applyAlignment="1">
      <alignment horizontal="center" vertical="center"/>
    </xf>
    <xf numFmtId="0" fontId="5" fillId="0" borderId="0" xfId="0" applyFont="1" applyAlignment="1">
      <alignment vertical="center" indent="1"/>
    </xf>
    <xf numFmtId="0" fontId="5" fillId="7" borderId="2" xfId="0" applyFont="1" applyFill="1" applyBorder="1" applyAlignment="1">
      <alignment horizontal="center"/>
    </xf>
    <xf numFmtId="0" fontId="6" fillId="0" borderId="0" xfId="0" applyFont="1" applyAlignment="1">
      <alignment vertical="center" indent="1"/>
    </xf>
    <xf numFmtId="0" fontId="7" fillId="0" borderId="0" xfId="0" applyFont="1" applyAlignment="1">
      <alignment vertical="center" indent="1"/>
    </xf>
    <xf numFmtId="0" fontId="9" fillId="0" borderId="0" xfId="0" applyFont="1" applyAlignment="1">
      <alignment vertical="center" indent="1"/>
    </xf>
    <xf numFmtId="0" fontId="4" fillId="3" borderId="2" xfId="0" applyFont="1" applyFill="1" applyBorder="1" applyAlignment="1">
      <alignment horizontal="center" vertical="center" wrapText="1"/>
    </xf>
    <xf numFmtId="0" fontId="5" fillId="9" borderId="2" xfId="0" applyFont="1" applyFill="1" applyBorder="1" applyAlignment="1">
      <alignment vertical="center" indent="1"/>
    </xf>
    <xf numFmtId="165" fontId="5" fillId="6" borderId="2" xfId="0" applyNumberFormat="1" applyFont="1" applyFill="1" applyBorder="1" applyAlignment="1">
      <alignment horizontal="center"/>
    </xf>
    <xf numFmtId="165" fontId="8" fillId="8" borderId="2" xfId="0" applyNumberFormat="1" applyFont="1" applyFill="1" applyBorder="1" applyAlignment="1">
      <alignment horizontal="center"/>
    </xf>
    <xf numFmtId="0" fontId="0" fillId="6" borderId="2" xfId="0" applyFill="1" applyBorder="1"/>
    <xf numFmtId="0" fontId="0" fillId="8" borderId="2" xfId="0" applyFill="1" applyBorder="1"/>
    <xf numFmtId="0" fontId="0" fillId="9" borderId="2" xfId="0" applyFill="1" applyBorder="1"/>
    <xf numFmtId="0" fontId="4" fillId="3"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13" fillId="9" borderId="4" xfId="0" applyFont="1" applyFill="1" applyBorder="1" applyAlignment="1">
      <alignment horizontal="center"/>
    </xf>
    <xf numFmtId="0" fontId="5" fillId="6" borderId="6" xfId="0" applyFont="1" applyFill="1" applyBorder="1" applyAlignment="1">
      <alignment horizontal="left" vertical="center" indent="1"/>
    </xf>
    <xf numFmtId="167" fontId="5" fillId="6" borderId="6" xfId="0" applyNumberFormat="1" applyFont="1" applyFill="1" applyBorder="1" applyAlignment="1">
      <alignment horizontal="right" vertical="center" indent="1"/>
    </xf>
    <xf numFmtId="0" fontId="5" fillId="6" borderId="6" xfId="0" applyFont="1" applyFill="1" applyBorder="1" applyAlignment="1">
      <alignment horizontal="center" vertical="center"/>
    </xf>
    <xf numFmtId="168" fontId="5" fillId="6" borderId="6" xfId="0" applyNumberFormat="1" applyFont="1" applyFill="1" applyBorder="1" applyAlignment="1">
      <alignment horizontal="right" vertical="center" indent="1"/>
    </xf>
    <xf numFmtId="169" fontId="5" fillId="9" borderId="6" xfId="0" applyNumberFormat="1" applyFont="1" applyFill="1" applyBorder="1" applyAlignment="1">
      <alignment horizontal="right" vertical="center" indent="1"/>
    </xf>
    <xf numFmtId="169" fontId="5" fillId="6" borderId="6" xfId="0" applyNumberFormat="1" applyFont="1" applyFill="1" applyBorder="1" applyAlignment="1">
      <alignment horizontal="right" vertical="center" indent="1"/>
    </xf>
    <xf numFmtId="169" fontId="14" fillId="9" borderId="6" xfId="0" applyNumberFormat="1" applyFont="1" applyFill="1" applyBorder="1" applyAlignment="1">
      <alignment horizontal="right" vertical="center" indent="1"/>
    </xf>
    <xf numFmtId="169" fontId="5" fillId="4" borderId="6" xfId="0" applyNumberFormat="1" applyFont="1" applyFill="1" applyBorder="1" applyAlignment="1">
      <alignment horizontal="right" vertical="center" indent="1"/>
    </xf>
    <xf numFmtId="169" fontId="8" fillId="8" borderId="6" xfId="0" applyNumberFormat="1" applyFont="1" applyFill="1" applyBorder="1" applyAlignment="1">
      <alignment horizontal="right" vertical="center" indent="1"/>
    </xf>
    <xf numFmtId="169" fontId="7" fillId="9" borderId="6" xfId="0" applyNumberFormat="1" applyFont="1" applyFill="1" applyBorder="1" applyAlignment="1">
      <alignment horizontal="right" vertical="center" indent="1"/>
    </xf>
    <xf numFmtId="169" fontId="5" fillId="7" borderId="6" xfId="0" applyNumberFormat="1" applyFont="1" applyFill="1" applyBorder="1" applyAlignment="1">
      <alignment horizontal="right" vertical="center" indent="1"/>
    </xf>
    <xf numFmtId="0" fontId="0" fillId="2" borderId="0" xfId="0" applyFill="1"/>
    <xf numFmtId="169" fontId="16" fillId="2" borderId="0" xfId="0" applyNumberFormat="1" applyFont="1" applyFill="1" applyAlignment="1">
      <alignment horizontal="right" vertical="center" indent="1"/>
    </xf>
    <xf numFmtId="0" fontId="18" fillId="0" borderId="7" xfId="0" applyFont="1" applyBorder="1" applyAlignment="1">
      <alignment vertical="center" indent="1"/>
    </xf>
    <xf numFmtId="0" fontId="13" fillId="9" borderId="4" xfId="0" applyFont="1" applyFill="1" applyBorder="1" applyAlignment="1">
      <alignment horizontal="center" vertical="center"/>
    </xf>
    <xf numFmtId="0" fontId="5" fillId="0" borderId="6" xfId="0" applyFont="1" applyBorder="1" applyAlignment="1">
      <alignment horizontal="left" vertical="center" indent="1"/>
    </xf>
    <xf numFmtId="167" fontId="5" fillId="0" borderId="6" xfId="0" applyNumberFormat="1" applyFont="1" applyBorder="1" applyAlignment="1">
      <alignment horizontal="right" vertical="center" indent="1"/>
    </xf>
    <xf numFmtId="0" fontId="5" fillId="0" borderId="6" xfId="0" applyFont="1" applyBorder="1" applyAlignment="1">
      <alignment horizontal="center" vertical="center"/>
    </xf>
    <xf numFmtId="168" fontId="5" fillId="0" borderId="6" xfId="0" applyNumberFormat="1" applyFont="1" applyBorder="1" applyAlignment="1">
      <alignment horizontal="right" vertical="center" indent="1"/>
    </xf>
    <xf numFmtId="0" fontId="0" fillId="0" borderId="8" xfId="0" applyBorder="1"/>
    <xf numFmtId="0" fontId="6" fillId="0" borderId="0" xfId="0" applyFont="1"/>
    <xf numFmtId="0" fontId="15" fillId="2" borderId="0" xfId="0" applyFont="1" applyFill="1" applyAlignment="1">
      <alignment vertical="center" indent="1"/>
    </xf>
    <xf numFmtId="169" fontId="19" fillId="9" borderId="8" xfId="0" applyNumberFormat="1" applyFont="1" applyFill="1" applyBorder="1" applyAlignment="1">
      <alignment horizontal="right" vertical="center" indent="1"/>
    </xf>
    <xf numFmtId="0" fontId="15" fillId="3" borderId="0" xfId="0" applyFont="1" applyFill="1" applyAlignment="1">
      <alignment vertical="center" indent="1"/>
    </xf>
    <xf numFmtId="169" fontId="20" fillId="9" borderId="7" xfId="0" applyNumberFormat="1" applyFont="1" applyFill="1" applyBorder="1" applyAlignment="1">
      <alignment horizontal="right" vertical="center" indent="1"/>
    </xf>
    <xf numFmtId="0" fontId="15" fillId="10" borderId="0" xfId="0" applyFont="1" applyFill="1" applyAlignment="1">
      <alignment vertical="center" indent="1"/>
    </xf>
    <xf numFmtId="169" fontId="21" fillId="9" borderId="9" xfId="0" applyNumberFormat="1" applyFont="1" applyFill="1" applyBorder="1" applyAlignment="1">
      <alignment horizontal="right" vertical="center" indent="1"/>
    </xf>
    <xf numFmtId="0" fontId="4" fillId="3" borderId="2" xfId="0" applyFont="1" applyFill="1" applyBorder="1" applyAlignment="1">
      <alignment horizontal="center" vertical="center"/>
    </xf>
    <xf numFmtId="0" fontId="5" fillId="7" borderId="2" xfId="0" applyFont="1" applyFill="1" applyBorder="1" applyAlignment="1">
      <alignment vertical="center" indent="1"/>
    </xf>
    <xf numFmtId="169" fontId="5" fillId="0" borderId="2" xfId="0" applyNumberFormat="1" applyFont="1" applyBorder="1" applyAlignment="1">
      <alignment horizontal="right" vertical="center" indent="1"/>
    </xf>
    <xf numFmtId="165" fontId="22" fillId="0" borderId="2" xfId="0" applyNumberFormat="1" applyFont="1" applyBorder="1" applyAlignment="1">
      <alignment horizontal="center" vertical="center"/>
    </xf>
    <xf numFmtId="0" fontId="12" fillId="2" borderId="2" xfId="0" applyFont="1" applyFill="1" applyBorder="1" applyAlignment="1">
      <alignment vertical="center" indent="1"/>
    </xf>
    <xf numFmtId="169" fontId="12" fillId="2" borderId="2" xfId="0" applyNumberFormat="1" applyFont="1" applyFill="1" applyBorder="1" applyAlignment="1">
      <alignment horizontal="right" vertical="center" indent="1"/>
    </xf>
    <xf numFmtId="165" fontId="12" fillId="2" borderId="2" xfId="0" applyNumberFormat="1" applyFont="1" applyFill="1" applyBorder="1" applyAlignment="1">
      <alignment horizontal="center" vertical="center"/>
    </xf>
    <xf numFmtId="0" fontId="22" fillId="0" borderId="2" xfId="0" applyFont="1" applyBorder="1" applyAlignment="1">
      <alignment horizontal="center" vertical="center"/>
    </xf>
    <xf numFmtId="0" fontId="5" fillId="0" borderId="2" xfId="0" applyFont="1" applyBorder="1" applyAlignment="1">
      <alignment vertical="center" indent="1"/>
    </xf>
    <xf numFmtId="165" fontId="5" fillId="0" borderId="2" xfId="0" applyNumberFormat="1" applyFont="1" applyBorder="1" applyAlignment="1">
      <alignment horizontal="center" vertical="center"/>
    </xf>
    <xf numFmtId="166" fontId="5" fillId="6" borderId="2" xfId="0" applyNumberFormat="1" applyFont="1" applyFill="1" applyBorder="1" applyAlignment="1">
      <alignment vertical="center" indent="1"/>
    </xf>
    <xf numFmtId="0" fontId="5" fillId="0" borderId="0" xfId="0" applyFont="1" applyAlignment="1">
      <alignment vertical="center" indent="1"/>
    </xf>
    <xf numFmtId="0" fontId="12" fillId="3" borderId="0" xfId="0" applyFont="1" applyFill="1" applyAlignment="1">
      <alignment horizontal="center" vertical="center"/>
    </xf>
    <xf numFmtId="0" fontId="12" fillId="2" borderId="0" xfId="0" applyFont="1" applyFill="1" applyAlignment="1">
      <alignment horizontal="center" vertical="center"/>
    </xf>
    <xf numFmtId="0" fontId="12" fillId="10" borderId="0" xfId="0" applyFont="1" applyFill="1" applyAlignment="1">
      <alignment horizontal="center" vertical="center"/>
    </xf>
    <xf numFmtId="0" fontId="12" fillId="11" borderId="0" xfId="0" applyFont="1" applyFill="1" applyAlignment="1">
      <alignment horizontal="center" vertical="center"/>
    </xf>
    <xf numFmtId="0" fontId="15" fillId="2" borderId="0" xfId="0" applyFont="1" applyFill="1" applyAlignment="1">
      <alignment horizontal="right" vertical="center" indent="1"/>
    </xf>
    <xf numFmtId="0" fontId="10" fillId="0" borderId="0" xfId="0" applyFont="1" applyAlignment="1">
      <alignment vertical="center" indent="1"/>
    </xf>
    <xf numFmtId="0" fontId="4" fillId="3" borderId="2" xfId="0" applyFont="1" applyFill="1" applyBorder="1" applyAlignment="1">
      <alignment horizontal="center" vertical="center"/>
    </xf>
    <xf numFmtId="0" fontId="8" fillId="0" borderId="2" xfId="0" applyFont="1" applyBorder="1" applyAlignment="1">
      <alignment horizontal="center" vertical="center"/>
    </xf>
    <xf numFmtId="165" fontId="8" fillId="0" borderId="2" xfId="0" applyNumberFormat="1" applyFont="1" applyBorder="1" applyAlignment="1">
      <alignment horizontal="center" vertical="center"/>
    </xf>
    <xf numFmtId="0" fontId="10" fillId="0" borderId="0" xfId="0" applyFont="1" applyAlignment="1">
      <alignment vertical="top" wrapText="1" indent="1"/>
    </xf>
  </cellXfs>
  <cellStyles count="1">
    <cellStyle name="Standard" xfId="0" builtinId="0"/>
  </cellStyles>
  <dxfs count="2">
    <dxf>
      <fill>
        <patternFill>
          <bgColor rgb="FFEDEDED"/>
        </patternFill>
      </fill>
    </dxf>
    <dxf>
      <font>
        <b/>
        <sz val="10"/>
        <color rgb="FF9C2B2B"/>
        <name val="Calibri"/>
        <charset val="1"/>
      </font>
      <fill>
        <patternFill>
          <bgColor rgb="FFF7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4661E"/>
      <rgbColor rgb="FF800080"/>
      <rgbColor rgb="FF1E6B4F"/>
      <rgbColor rgb="FFB9C4CA"/>
      <rgbColor rgb="FF7A868C"/>
      <rgbColor rgb="FF9999FF"/>
      <rgbColor rgb="FF993366"/>
      <rgbColor rgb="FFFDF3DC"/>
      <rgbColor rgb="FFDCE6EB"/>
      <rgbColor rgb="FF660066"/>
      <rgbColor rgb="FFFF8080"/>
      <rgbColor rgb="FF0066CC"/>
      <rgbColor rgb="FFC9D2D7"/>
      <rgbColor rgb="FF000080"/>
      <rgbColor rgb="FFFF00FF"/>
      <rgbColor rgb="FFFFFF00"/>
      <rgbColor rgb="FF00FFFF"/>
      <rgbColor rgb="FF800080"/>
      <rgbColor rgb="FF800000"/>
      <rgbColor rgb="FF2F6076"/>
      <rgbColor rgb="FF0000FF"/>
      <rgbColor rgb="FF00CCFF"/>
      <rgbColor rgb="FFF2F4F5"/>
      <rgbColor rgb="FFEDEDED"/>
      <rgbColor rgb="FFFBEEE2"/>
      <rgbColor rgb="FFD9D9D9"/>
      <rgbColor rgb="FFFF99CC"/>
      <rgbColor rgb="FFCC99FF"/>
      <rgbColor rgb="FFF7D9D9"/>
      <rgbColor rgb="FF3366FF"/>
      <rgbColor rgb="FF33CCCC"/>
      <rgbColor rgb="FF99CC00"/>
      <rgbColor rgb="FFFFCC00"/>
      <rgbColor rgb="FFFF9900"/>
      <rgbColor rgb="FFFF6600"/>
      <rgbColor rgb="FF4F81BD"/>
      <rgbColor rgb="FF878787"/>
      <rgbColor rgb="FF003366"/>
      <rgbColor rgb="FF339966"/>
      <rgbColor rgb="FF003300"/>
      <rgbColor rgb="FF1F1F1F"/>
      <rgbColor rgb="FF9C2B2B"/>
      <rgbColor rgb="FF993366"/>
      <rgbColor rgb="FF333399"/>
      <rgbColor rgb="FF1B3A4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Kostenstruktur je Kostenart</a:t>
            </a:r>
          </a:p>
        </c:rich>
      </c:tx>
      <c:overlay val="0"/>
      <c:spPr>
        <a:noFill/>
        <a:ln w="0">
          <a:noFill/>
        </a:ln>
      </c:spPr>
    </c:title>
    <c:autoTitleDeleted val="0"/>
    <c:plotArea>
      <c:layout/>
      <c:barChart>
        <c:barDir val="bar"/>
        <c:grouping val="clustered"/>
        <c:varyColors val="0"/>
        <c:ser>
          <c:idx val="0"/>
          <c:order val="0"/>
          <c:tx>
            <c:strRef>
              <c:f>Auswertung!$C$10</c:f>
              <c:strCache>
                <c:ptCount val="1"/>
                <c:pt idx="0">
                  <c:v>Betrag (netto)</c:v>
                </c:pt>
              </c:strCache>
            </c:strRef>
          </c:tx>
          <c:spPr>
            <a:solidFill>
              <a:srgbClr val="4F81BD"/>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Auswertung!$B$11:$B$14</c:f>
              <c:strCache>
                <c:ptCount val="4"/>
                <c:pt idx="0">
                  <c:v>Löhne</c:v>
                </c:pt>
                <c:pt idx="1">
                  <c:v>Stoffe</c:v>
                </c:pt>
                <c:pt idx="2">
                  <c:v>Geräte</c:v>
                </c:pt>
                <c:pt idx="3">
                  <c:v>Sonstiges / Nachunternehmer</c:v>
                </c:pt>
              </c:strCache>
            </c:strRef>
          </c:cat>
          <c:val>
            <c:numRef>
              <c:f>Auswertung!$C$11:$C$14</c:f>
              <c:numCache>
                <c:formatCode>#,##0.00" €";\-#,##0.00" €";""</c:formatCode>
                <c:ptCount val="4"/>
                <c:pt idx="0">
                  <c:v>163950.31</c:v>
                </c:pt>
                <c:pt idx="1">
                  <c:v>168818.88</c:v>
                </c:pt>
                <c:pt idx="2">
                  <c:v>48211.46</c:v>
                </c:pt>
                <c:pt idx="3">
                  <c:v>32244</c:v>
                </c:pt>
              </c:numCache>
            </c:numRef>
          </c:val>
          <c:extLst>
            <c:ext xmlns:c16="http://schemas.microsoft.com/office/drawing/2014/chart" uri="{C3380CC4-5D6E-409C-BE32-E72D297353CC}">
              <c16:uniqueId val="{00000000-3EB9-4168-B4A5-4394C1DCA6FF}"/>
            </c:ext>
          </c:extLst>
        </c:ser>
        <c:dLbls>
          <c:showLegendKey val="0"/>
          <c:showVal val="0"/>
          <c:showCatName val="0"/>
          <c:showSerName val="0"/>
          <c:showPercent val="0"/>
          <c:showBubbleSize val="0"/>
        </c:dLbls>
        <c:gapWidth val="150"/>
        <c:axId val="86402497"/>
        <c:axId val="51273459"/>
      </c:barChart>
      <c:catAx>
        <c:axId val="86402497"/>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1273459"/>
        <c:crosses val="autoZero"/>
        <c:auto val="1"/>
        <c:lblAlgn val="ctr"/>
        <c:lblOffset val="100"/>
        <c:noMultiLvlLbl val="0"/>
      </c:catAx>
      <c:valAx>
        <c:axId val="51273459"/>
        <c:scaling>
          <c:orientation val="minMax"/>
        </c:scaling>
        <c:delete val="0"/>
        <c:axPos val="b"/>
        <c:majorGridlines>
          <c:spPr>
            <a:ln w="9360">
              <a:solidFill>
                <a:srgbClr val="878787"/>
              </a:solidFill>
              <a:round/>
            </a:ln>
          </c:spPr>
        </c:majorGridlines>
        <c:numFmt formatCode="#,##0.00&quot; €&quot;;\-#,##0.00&quot; €&quot;;&quot;&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86402497"/>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3</xdr:col>
      <xdr:colOff>1014480</xdr:colOff>
      <xdr:row>37</xdr:row>
      <xdr:rowOff>136080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6076"/>
  </sheetPr>
  <dimension ref="A1:J37"/>
  <sheetViews>
    <sheetView showGridLines="0" zoomScaleNormal="100" workbookViewId="0"/>
  </sheetViews>
  <sheetFormatPr baseColWidth="10" defaultColWidth="8.7109375" defaultRowHeight="15" x14ac:dyDescent="0.25"/>
  <cols>
    <col min="1" max="1" width="2" customWidth="1"/>
    <col min="2" max="2" width="34" customWidth="1"/>
    <col min="3" max="3" width="20" customWidth="1"/>
    <col min="4" max="5" width="16" customWidth="1"/>
    <col min="6" max="6" width="18" customWidth="1"/>
    <col min="7" max="7" width="3" customWidth="1"/>
    <col min="8" max="8" width="26" customWidth="1"/>
    <col min="10" max="10" width="26" customWidth="1"/>
  </cols>
  <sheetData>
    <row r="1" spans="1:10" ht="33.75" customHeight="1" x14ac:dyDescent="0.25">
      <c r="A1" s="14" t="s">
        <v>0</v>
      </c>
      <c r="B1" s="14"/>
      <c r="C1" s="14"/>
      <c r="D1" s="14"/>
      <c r="E1" s="14"/>
      <c r="F1" s="14"/>
      <c r="G1" s="14"/>
      <c r="H1" s="14"/>
    </row>
    <row r="2" spans="1:10" ht="18" customHeight="1" x14ac:dyDescent="0.25">
      <c r="A2" s="7" t="s">
        <v>1</v>
      </c>
      <c r="B2" s="7"/>
      <c r="C2" s="7"/>
      <c r="D2" s="7"/>
      <c r="E2" s="7"/>
      <c r="F2" s="7"/>
      <c r="G2" s="7"/>
      <c r="H2" s="7"/>
    </row>
    <row r="4" spans="1:10" ht="21.75" customHeight="1" x14ac:dyDescent="0.25">
      <c r="A4" s="6" t="s">
        <v>2</v>
      </c>
      <c r="B4" s="6"/>
      <c r="C4" s="6"/>
      <c r="D4" s="6"/>
      <c r="E4" s="6"/>
      <c r="F4" s="6"/>
      <c r="G4" s="6"/>
      <c r="H4" s="6"/>
      <c r="J4" s="15" t="s">
        <v>3</v>
      </c>
    </row>
    <row r="5" spans="1:10" ht="18" customHeight="1" x14ac:dyDescent="0.25">
      <c r="B5" s="16" t="s">
        <v>4</v>
      </c>
      <c r="C5" s="5" t="s">
        <v>5</v>
      </c>
      <c r="D5" s="5"/>
      <c r="E5" s="5"/>
      <c r="J5" s="17" t="s">
        <v>6</v>
      </c>
    </row>
    <row r="6" spans="1:10" ht="18" customHeight="1" x14ac:dyDescent="0.25">
      <c r="B6" s="16" t="s">
        <v>7</v>
      </c>
      <c r="C6" s="5" t="s">
        <v>8</v>
      </c>
      <c r="D6" s="5"/>
      <c r="E6" s="5"/>
      <c r="J6" s="17" t="s">
        <v>9</v>
      </c>
    </row>
    <row r="7" spans="1:10" ht="18" customHeight="1" x14ac:dyDescent="0.25">
      <c r="B7" s="16" t="s">
        <v>10</v>
      </c>
      <c r="C7" s="5" t="s">
        <v>11</v>
      </c>
      <c r="D7" s="5"/>
      <c r="E7" s="5"/>
      <c r="J7" s="17" t="s">
        <v>12</v>
      </c>
    </row>
    <row r="8" spans="1:10" ht="18" customHeight="1" x14ac:dyDescent="0.25">
      <c r="B8" s="16" t="s">
        <v>13</v>
      </c>
      <c r="C8" s="5" t="s">
        <v>14</v>
      </c>
      <c r="D8" s="5"/>
      <c r="E8" s="5"/>
      <c r="J8" s="17" t="s">
        <v>15</v>
      </c>
    </row>
    <row r="9" spans="1:10" ht="18" customHeight="1" x14ac:dyDescent="0.25">
      <c r="B9" s="16" t="s">
        <v>16</v>
      </c>
      <c r="C9" s="5" t="s">
        <v>17</v>
      </c>
      <c r="D9" s="5"/>
      <c r="E9" s="5"/>
      <c r="J9" s="17" t="s">
        <v>18</v>
      </c>
    </row>
    <row r="10" spans="1:10" ht="18" customHeight="1" x14ac:dyDescent="0.25">
      <c r="B10" s="16" t="s">
        <v>19</v>
      </c>
      <c r="C10" s="5" t="s">
        <v>20</v>
      </c>
      <c r="D10" s="5"/>
      <c r="E10" s="5"/>
      <c r="J10" s="17" t="s">
        <v>21</v>
      </c>
    </row>
    <row r="11" spans="1:10" ht="18" customHeight="1" x14ac:dyDescent="0.25">
      <c r="B11" s="16" t="s">
        <v>22</v>
      </c>
      <c r="C11" s="5" t="s">
        <v>23</v>
      </c>
      <c r="D11" s="5"/>
      <c r="E11" s="5"/>
      <c r="J11" s="17" t="s">
        <v>24</v>
      </c>
    </row>
    <row r="12" spans="1:10" ht="18" customHeight="1" x14ac:dyDescent="0.25">
      <c r="B12" s="16" t="s">
        <v>25</v>
      </c>
      <c r="C12" s="5" t="s">
        <v>26</v>
      </c>
      <c r="D12" s="5"/>
      <c r="E12" s="5"/>
      <c r="J12" s="17" t="s">
        <v>27</v>
      </c>
    </row>
    <row r="13" spans="1:10" x14ac:dyDescent="0.25">
      <c r="J13" s="17" t="s">
        <v>28</v>
      </c>
    </row>
    <row r="14" spans="1:10" ht="21.75" customHeight="1" x14ac:dyDescent="0.25">
      <c r="A14" s="6" t="s">
        <v>29</v>
      </c>
      <c r="B14" s="6"/>
      <c r="C14" s="6"/>
      <c r="D14" s="6"/>
      <c r="E14" s="6"/>
      <c r="F14" s="6"/>
      <c r="G14" s="6"/>
      <c r="H14" s="6"/>
      <c r="J14" s="17" t="s">
        <v>30</v>
      </c>
    </row>
    <row r="15" spans="1:10" x14ac:dyDescent="0.25">
      <c r="B15" s="16" t="s">
        <v>31</v>
      </c>
      <c r="C15" s="4">
        <v>22.9</v>
      </c>
      <c r="D15" s="4"/>
      <c r="E15" s="4"/>
      <c r="F15" s="18" t="s">
        <v>32</v>
      </c>
    </row>
    <row r="16" spans="1:10" x14ac:dyDescent="0.25">
      <c r="B16" s="16" t="s">
        <v>33</v>
      </c>
      <c r="C16" s="3">
        <v>0.82499999999999996</v>
      </c>
      <c r="D16" s="3"/>
      <c r="E16" s="3"/>
      <c r="F16" s="18" t="s">
        <v>34</v>
      </c>
    </row>
    <row r="17" spans="1:8" x14ac:dyDescent="0.25">
      <c r="B17" s="16" t="s">
        <v>35</v>
      </c>
      <c r="C17" s="4">
        <v>2.15</v>
      </c>
      <c r="D17" s="4"/>
      <c r="E17" s="4"/>
      <c r="F17" s="18" t="s">
        <v>32</v>
      </c>
    </row>
    <row r="18" spans="1:8" x14ac:dyDescent="0.25">
      <c r="B18" s="19" t="s">
        <v>36</v>
      </c>
      <c r="C18" s="2">
        <f>ROUND(C15*(1+C16)+C17,2)</f>
        <v>43.94</v>
      </c>
      <c r="D18" s="2"/>
      <c r="E18" s="2"/>
      <c r="F18" s="20" t="s">
        <v>37</v>
      </c>
    </row>
    <row r="20" spans="1:8" ht="21.75" customHeight="1" x14ac:dyDescent="0.25">
      <c r="A20" s="6" t="s">
        <v>38</v>
      </c>
      <c r="B20" s="6"/>
      <c r="C20" s="6"/>
      <c r="D20" s="6"/>
      <c r="E20" s="6"/>
      <c r="F20" s="6"/>
      <c r="G20" s="6"/>
      <c r="H20" s="6"/>
    </row>
    <row r="21" spans="1:8" ht="31.5" customHeight="1" x14ac:dyDescent="0.25">
      <c r="B21" s="21" t="s">
        <v>39</v>
      </c>
      <c r="C21" s="21" t="s">
        <v>40</v>
      </c>
      <c r="D21" s="21" t="s">
        <v>41</v>
      </c>
      <c r="E21" s="21" t="s">
        <v>42</v>
      </c>
      <c r="F21" s="21" t="s">
        <v>43</v>
      </c>
    </row>
    <row r="22" spans="1:8" x14ac:dyDescent="0.25">
      <c r="B22" s="22" t="s">
        <v>44</v>
      </c>
      <c r="C22" s="23">
        <v>0.11799999999999999</v>
      </c>
      <c r="D22" s="23">
        <v>7.9000000000000001E-2</v>
      </c>
      <c r="E22" s="23">
        <v>4.8000000000000001E-2</v>
      </c>
      <c r="F22" s="24">
        <f>SUM(C22:E22)</f>
        <v>0.245</v>
      </c>
    </row>
    <row r="23" spans="1:8" x14ac:dyDescent="0.25">
      <c r="B23" s="22" t="s">
        <v>45</v>
      </c>
      <c r="C23" s="23">
        <v>3.2000000000000001E-2</v>
      </c>
      <c r="D23" s="23">
        <v>7.9000000000000001E-2</v>
      </c>
      <c r="E23" s="23">
        <v>4.8000000000000001E-2</v>
      </c>
      <c r="F23" s="24">
        <f>SUM(C23:E23)</f>
        <v>0.159</v>
      </c>
    </row>
    <row r="24" spans="1:8" x14ac:dyDescent="0.25">
      <c r="B24" s="22" t="s">
        <v>46</v>
      </c>
      <c r="C24" s="23">
        <v>6.0999999999999999E-2</v>
      </c>
      <c r="D24" s="23">
        <v>7.9000000000000001E-2</v>
      </c>
      <c r="E24" s="23">
        <v>4.8000000000000001E-2</v>
      </c>
      <c r="F24" s="24">
        <f>SUM(C24:E24)</f>
        <v>0.188</v>
      </c>
    </row>
    <row r="25" spans="1:8" x14ac:dyDescent="0.25">
      <c r="B25" s="22" t="s">
        <v>47</v>
      </c>
      <c r="C25" s="23">
        <v>1.7999999999999999E-2</v>
      </c>
      <c r="D25" s="23">
        <v>5.1999999999999998E-2</v>
      </c>
      <c r="E25" s="23">
        <v>3.1E-2</v>
      </c>
      <c r="F25" s="24">
        <f>SUM(C25:E25)</f>
        <v>0.10099999999999999</v>
      </c>
    </row>
    <row r="26" spans="1:8" ht="27.75" customHeight="1" x14ac:dyDescent="0.25">
      <c r="B26" s="1" t="s">
        <v>48</v>
      </c>
      <c r="C26" s="1"/>
      <c r="D26" s="1"/>
      <c r="E26" s="1"/>
      <c r="F26" s="1"/>
    </row>
    <row r="28" spans="1:8" ht="21.75" customHeight="1" x14ac:dyDescent="0.25">
      <c r="A28" s="6" t="s">
        <v>49</v>
      </c>
      <c r="B28" s="6"/>
      <c r="C28" s="6"/>
      <c r="D28" s="6"/>
      <c r="E28" s="6"/>
      <c r="F28" s="6"/>
      <c r="G28" s="6"/>
      <c r="H28" s="6"/>
    </row>
    <row r="29" spans="1:8" x14ac:dyDescent="0.25">
      <c r="B29" s="16" t="s">
        <v>50</v>
      </c>
      <c r="C29" s="3">
        <v>0.19</v>
      </c>
      <c r="D29" s="3"/>
      <c r="E29" s="3"/>
    </row>
    <row r="30" spans="1:8" x14ac:dyDescent="0.25">
      <c r="B30" s="16" t="s">
        <v>51</v>
      </c>
      <c r="C30" s="70">
        <v>50000</v>
      </c>
      <c r="D30" s="70"/>
      <c r="E30" s="70"/>
    </row>
    <row r="31" spans="1:8" x14ac:dyDescent="0.25">
      <c r="B31" s="16" t="s">
        <v>52</v>
      </c>
      <c r="C31" s="70">
        <v>100000</v>
      </c>
      <c r="D31" s="70"/>
      <c r="E31" s="70"/>
    </row>
    <row r="32" spans="1:8" x14ac:dyDescent="0.25">
      <c r="B32" s="16" t="s">
        <v>53</v>
      </c>
      <c r="C32" s="3">
        <v>0.7</v>
      </c>
      <c r="D32" s="3"/>
      <c r="E32" s="3"/>
    </row>
    <row r="34" spans="1:8" ht="21.75" customHeight="1" x14ac:dyDescent="0.25">
      <c r="A34" s="6" t="s">
        <v>54</v>
      </c>
      <c r="B34" s="6"/>
      <c r="C34" s="6"/>
      <c r="D34" s="6"/>
      <c r="E34" s="6"/>
      <c r="F34" s="6"/>
      <c r="G34" s="6"/>
      <c r="H34" s="6"/>
    </row>
    <row r="35" spans="1:8" x14ac:dyDescent="0.25">
      <c r="B35" s="25"/>
      <c r="C35" s="71" t="s">
        <v>55</v>
      </c>
      <c r="D35" s="71"/>
      <c r="E35" s="71"/>
      <c r="F35" s="71"/>
    </row>
    <row r="36" spans="1:8" x14ac:dyDescent="0.25">
      <c r="B36" s="26"/>
      <c r="C36" s="71" t="s">
        <v>56</v>
      </c>
      <c r="D36" s="71"/>
      <c r="E36" s="71"/>
      <c r="F36" s="71"/>
    </row>
    <row r="37" spans="1:8" x14ac:dyDescent="0.25">
      <c r="B37" s="27"/>
      <c r="C37" s="71" t="s">
        <v>57</v>
      </c>
      <c r="D37" s="71"/>
      <c r="E37" s="71"/>
      <c r="F37" s="71"/>
    </row>
  </sheetData>
  <mergeCells count="27">
    <mergeCell ref="C36:F36"/>
    <mergeCell ref="C37:F37"/>
    <mergeCell ref="C30:E30"/>
    <mergeCell ref="C31:E31"/>
    <mergeCell ref="C32:E32"/>
    <mergeCell ref="A34:H34"/>
    <mergeCell ref="C35:F35"/>
    <mergeCell ref="C18:E18"/>
    <mergeCell ref="A20:H20"/>
    <mergeCell ref="B26:F26"/>
    <mergeCell ref="A28:H28"/>
    <mergeCell ref="C29:E29"/>
    <mergeCell ref="C12:E12"/>
    <mergeCell ref="A14:H14"/>
    <mergeCell ref="C15:E15"/>
    <mergeCell ref="C16:E16"/>
    <mergeCell ref="C17:E17"/>
    <mergeCell ref="C7:E7"/>
    <mergeCell ref="C8:E8"/>
    <mergeCell ref="C9:E9"/>
    <mergeCell ref="C10:E10"/>
    <mergeCell ref="C11:E11"/>
    <mergeCell ref="A1:H1"/>
    <mergeCell ref="A2:H2"/>
    <mergeCell ref="A4:H4"/>
    <mergeCell ref="C5:E5"/>
    <mergeCell ref="C6:E6"/>
  </mergeCells>
  <pageMargins left="0.75" right="0.75" top="1" bottom="1"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3A4A"/>
    <pageSetUpPr fitToPage="1"/>
  </sheetPr>
  <dimension ref="A1:P3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8.7109375" defaultRowHeight="15" x14ac:dyDescent="0.25"/>
  <cols>
    <col min="1" max="1" width="13" customWidth="1"/>
    <col min="2" max="2" width="46" customWidth="1"/>
    <col min="3" max="3" width="11" customWidth="1"/>
    <col min="4" max="4" width="7" customWidth="1"/>
    <col min="5" max="5" width="11" customWidth="1"/>
    <col min="6" max="8" width="12" customWidth="1"/>
    <col min="9" max="10" width="13" customWidth="1"/>
    <col min="11" max="13" width="12" customWidth="1"/>
    <col min="14" max="14" width="13" customWidth="1"/>
    <col min="15" max="15" width="14" customWidth="1"/>
    <col min="16" max="16" width="15" customWidth="1"/>
  </cols>
  <sheetData>
    <row r="1" spans="1:16" ht="33.75" customHeight="1" x14ac:dyDescent="0.25">
      <c r="A1" s="14" t="s">
        <v>58</v>
      </c>
      <c r="B1" s="14"/>
      <c r="C1" s="14"/>
      <c r="D1" s="14"/>
      <c r="E1" s="14"/>
      <c r="F1" s="14"/>
      <c r="G1" s="14"/>
      <c r="H1" s="14"/>
      <c r="I1" s="14"/>
      <c r="J1" s="14"/>
      <c r="K1" s="14"/>
      <c r="L1" s="14"/>
      <c r="M1" s="14"/>
      <c r="N1" s="14"/>
      <c r="O1" s="14"/>
      <c r="P1" s="14"/>
    </row>
    <row r="2" spans="1:16" ht="18" customHeight="1" x14ac:dyDescent="0.25">
      <c r="A2" s="7" t="s">
        <v>59</v>
      </c>
      <c r="B2" s="7"/>
      <c r="C2" s="7"/>
      <c r="D2" s="7"/>
      <c r="E2" s="7"/>
      <c r="F2" s="7"/>
      <c r="G2" s="7"/>
      <c r="H2" s="7"/>
      <c r="I2" s="7"/>
      <c r="J2" s="7"/>
      <c r="K2" s="7"/>
      <c r="L2" s="7"/>
      <c r="M2" s="7"/>
      <c r="N2" s="7"/>
      <c r="O2" s="7"/>
      <c r="P2" s="7"/>
    </row>
    <row r="5" spans="1:16" ht="19.5" customHeight="1" x14ac:dyDescent="0.25">
      <c r="A5" s="72" t="s">
        <v>60</v>
      </c>
      <c r="B5" s="72"/>
      <c r="C5" s="72"/>
      <c r="D5" s="72"/>
      <c r="E5" s="73" t="s">
        <v>61</v>
      </c>
      <c r="F5" s="73"/>
      <c r="G5" s="73"/>
      <c r="H5" s="73"/>
      <c r="I5" s="73"/>
      <c r="J5" s="73"/>
      <c r="K5" s="74" t="s">
        <v>62</v>
      </c>
      <c r="L5" s="74"/>
      <c r="M5" s="74"/>
      <c r="N5" s="74"/>
      <c r="O5" s="75" t="s">
        <v>63</v>
      </c>
      <c r="P5" s="75"/>
    </row>
    <row r="6" spans="1:16" ht="30" customHeight="1" x14ac:dyDescent="0.25">
      <c r="A6" s="28" t="s">
        <v>64</v>
      </c>
      <c r="B6" s="28" t="s">
        <v>65</v>
      </c>
      <c r="C6" s="28" t="s">
        <v>66</v>
      </c>
      <c r="D6" s="28" t="s">
        <v>67</v>
      </c>
      <c r="E6" s="29" t="s">
        <v>68</v>
      </c>
      <c r="F6" s="29" t="s">
        <v>69</v>
      </c>
      <c r="G6" s="29" t="s">
        <v>70</v>
      </c>
      <c r="H6" s="29" t="s">
        <v>71</v>
      </c>
      <c r="I6" s="29" t="s">
        <v>72</v>
      </c>
      <c r="J6" s="29" t="s">
        <v>73</v>
      </c>
      <c r="K6" s="30" t="s">
        <v>69</v>
      </c>
      <c r="L6" s="30" t="s">
        <v>70</v>
      </c>
      <c r="M6" s="30" t="s">
        <v>71</v>
      </c>
      <c r="N6" s="30" t="s">
        <v>72</v>
      </c>
      <c r="O6" s="31" t="s">
        <v>74</v>
      </c>
      <c r="P6" s="31" t="s">
        <v>75</v>
      </c>
    </row>
    <row r="7" spans="1:16" ht="12.75" customHeight="1" x14ac:dyDescent="0.25">
      <c r="A7" s="32">
        <v>1</v>
      </c>
      <c r="B7" s="32">
        <v>2</v>
      </c>
      <c r="C7" s="32">
        <v>3</v>
      </c>
      <c r="D7" s="32">
        <v>4</v>
      </c>
      <c r="E7" s="32">
        <v>5</v>
      </c>
      <c r="F7" s="32">
        <v>6</v>
      </c>
      <c r="G7" s="32">
        <v>7</v>
      </c>
      <c r="H7" s="32">
        <v>8</v>
      </c>
      <c r="I7" s="32">
        <v>9</v>
      </c>
      <c r="J7" s="32">
        <v>10</v>
      </c>
      <c r="K7" s="32">
        <v>11</v>
      </c>
      <c r="L7" s="32">
        <v>12</v>
      </c>
      <c r="M7" s="32">
        <v>13</v>
      </c>
      <c r="N7" s="32">
        <v>14</v>
      </c>
      <c r="O7" s="32">
        <v>15</v>
      </c>
      <c r="P7" s="32">
        <v>16</v>
      </c>
    </row>
    <row r="8" spans="1:16" ht="19.5" customHeight="1" x14ac:dyDescent="0.25">
      <c r="A8" s="9" t="s">
        <v>76</v>
      </c>
      <c r="B8" s="9"/>
      <c r="C8" s="9"/>
      <c r="D8" s="9"/>
      <c r="E8" s="9"/>
      <c r="F8" s="9"/>
      <c r="G8" s="9"/>
      <c r="H8" s="9"/>
      <c r="I8" s="9"/>
      <c r="J8" s="9"/>
      <c r="K8" s="9"/>
      <c r="L8" s="9"/>
      <c r="M8" s="9"/>
      <c r="N8" s="9"/>
      <c r="O8" s="9"/>
      <c r="P8" s="9"/>
    </row>
    <row r="9" spans="1:16" ht="16.5" customHeight="1" x14ac:dyDescent="0.25">
      <c r="A9" s="33" t="s">
        <v>77</v>
      </c>
      <c r="B9" s="33" t="s">
        <v>78</v>
      </c>
      <c r="C9" s="34">
        <v>1250</v>
      </c>
      <c r="D9" s="35" t="s">
        <v>12</v>
      </c>
      <c r="E9" s="36">
        <v>0.06</v>
      </c>
      <c r="F9" s="37">
        <f>ROUND(E9*Stammdaten!$C$18,2)</f>
        <v>2.64</v>
      </c>
      <c r="G9" s="38">
        <v>0</v>
      </c>
      <c r="H9" s="38">
        <v>2.4</v>
      </c>
      <c r="I9" s="38">
        <v>0</v>
      </c>
      <c r="J9" s="39">
        <f>SUM(F9:I9)</f>
        <v>5.04</v>
      </c>
      <c r="K9" s="40">
        <f>ROUND(F9*(1+Stammdaten!$F$22),2)</f>
        <v>3.29</v>
      </c>
      <c r="L9" s="40">
        <f>ROUND(G9*(1+Stammdaten!$F$23),2)</f>
        <v>0</v>
      </c>
      <c r="M9" s="40">
        <f>ROUND(H9*(1+Stammdaten!$F$24),2)</f>
        <v>2.85</v>
      </c>
      <c r="N9" s="40">
        <f>ROUND(I9*(1+Stammdaten!$F$25),2)</f>
        <v>0</v>
      </c>
      <c r="O9" s="41">
        <f>SUM(K9:N9)</f>
        <v>6.1400000000000006</v>
      </c>
      <c r="P9" s="42">
        <f>ROUND(C9*O9,2)</f>
        <v>7675</v>
      </c>
    </row>
    <row r="10" spans="1:16" ht="16.5" customHeight="1" x14ac:dyDescent="0.25">
      <c r="A10" s="33" t="s">
        <v>79</v>
      </c>
      <c r="B10" s="33" t="s">
        <v>80</v>
      </c>
      <c r="C10" s="34">
        <v>2400</v>
      </c>
      <c r="D10" s="35" t="s">
        <v>12</v>
      </c>
      <c r="E10" s="36">
        <v>0.05</v>
      </c>
      <c r="F10" s="43">
        <f>ROUND(E10*Stammdaten!$C$18,2)</f>
        <v>2.2000000000000002</v>
      </c>
      <c r="G10" s="38">
        <v>0</v>
      </c>
      <c r="H10" s="38">
        <v>4.0999999999999996</v>
      </c>
      <c r="I10" s="38">
        <v>6.8</v>
      </c>
      <c r="J10" s="39">
        <f>SUM(F10:I10)</f>
        <v>13.1</v>
      </c>
      <c r="K10" s="40">
        <f>ROUND(F10*(1+Stammdaten!$F$22),2)</f>
        <v>2.74</v>
      </c>
      <c r="L10" s="40">
        <f>ROUND(G10*(1+Stammdaten!$F$23),2)</f>
        <v>0</v>
      </c>
      <c r="M10" s="40">
        <f>ROUND(H10*(1+Stammdaten!$F$24),2)</f>
        <v>4.87</v>
      </c>
      <c r="N10" s="40">
        <f>ROUND(I10*(1+Stammdaten!$F$25),2)</f>
        <v>7.49</v>
      </c>
      <c r="O10" s="41">
        <f>SUM(K10:N10)</f>
        <v>15.100000000000001</v>
      </c>
      <c r="P10" s="42">
        <f>ROUND(C10*O10,2)</f>
        <v>36240</v>
      </c>
    </row>
    <row r="11" spans="1:16" ht="16.5" customHeight="1" x14ac:dyDescent="0.25">
      <c r="A11" s="33" t="s">
        <v>81</v>
      </c>
      <c r="B11" s="33" t="s">
        <v>82</v>
      </c>
      <c r="C11" s="34">
        <v>480</v>
      </c>
      <c r="D11" s="35" t="s">
        <v>9</v>
      </c>
      <c r="E11" s="36">
        <v>0.35</v>
      </c>
      <c r="F11" s="37">
        <f>ROUND(E11*Stammdaten!$C$18,2)</f>
        <v>15.38</v>
      </c>
      <c r="G11" s="38">
        <v>18.5</v>
      </c>
      <c r="H11" s="38">
        <v>12.4</v>
      </c>
      <c r="I11" s="38">
        <v>0</v>
      </c>
      <c r="J11" s="39">
        <f>SUM(F11:I11)</f>
        <v>46.28</v>
      </c>
      <c r="K11" s="40">
        <f>ROUND(F11*(1+Stammdaten!$F$22),2)</f>
        <v>19.149999999999999</v>
      </c>
      <c r="L11" s="40">
        <f>ROUND(G11*(1+Stammdaten!$F$23),2)</f>
        <v>21.44</v>
      </c>
      <c r="M11" s="40">
        <f>ROUND(H11*(1+Stammdaten!$F$24),2)</f>
        <v>14.73</v>
      </c>
      <c r="N11" s="40">
        <f>ROUND(I11*(1+Stammdaten!$F$25),2)</f>
        <v>0</v>
      </c>
      <c r="O11" s="41">
        <f>SUM(K11:N11)</f>
        <v>55.320000000000007</v>
      </c>
      <c r="P11" s="42">
        <f>ROUND(C11*O11,2)</f>
        <v>26553.599999999999</v>
      </c>
    </row>
    <row r="12" spans="1:16" ht="16.5" customHeight="1" x14ac:dyDescent="0.25">
      <c r="A12" s="33" t="s">
        <v>83</v>
      </c>
      <c r="B12" s="33" t="s">
        <v>84</v>
      </c>
      <c r="C12" s="34">
        <v>620</v>
      </c>
      <c r="D12" s="35" t="s">
        <v>9</v>
      </c>
      <c r="E12" s="36">
        <v>0.04</v>
      </c>
      <c r="F12" s="43">
        <f>ROUND(E12*Stammdaten!$C$18,2)</f>
        <v>1.76</v>
      </c>
      <c r="G12" s="38">
        <v>0</v>
      </c>
      <c r="H12" s="38">
        <v>1.1000000000000001</v>
      </c>
      <c r="I12" s="38">
        <v>0</v>
      </c>
      <c r="J12" s="39">
        <f>SUM(F12:I12)</f>
        <v>2.8600000000000003</v>
      </c>
      <c r="K12" s="40">
        <f>ROUND(F12*(1+Stammdaten!$F$22),2)</f>
        <v>2.19</v>
      </c>
      <c r="L12" s="40">
        <f>ROUND(G12*(1+Stammdaten!$F$23),2)</f>
        <v>0</v>
      </c>
      <c r="M12" s="40">
        <f>ROUND(H12*(1+Stammdaten!$F$24),2)</f>
        <v>1.31</v>
      </c>
      <c r="N12" s="40">
        <f>ROUND(I12*(1+Stammdaten!$F$25),2)</f>
        <v>0</v>
      </c>
      <c r="O12" s="41">
        <f>SUM(K12:N12)</f>
        <v>3.5</v>
      </c>
      <c r="P12" s="42">
        <f>ROUND(C12*O12,2)</f>
        <v>2170</v>
      </c>
    </row>
    <row r="13" spans="1:16" ht="19.5" customHeight="1" x14ac:dyDescent="0.25">
      <c r="A13" s="9" t="s">
        <v>85</v>
      </c>
      <c r="B13" s="9"/>
      <c r="C13" s="9"/>
      <c r="D13" s="9"/>
      <c r="E13" s="9"/>
      <c r="F13" s="9"/>
      <c r="G13" s="9"/>
      <c r="H13" s="9"/>
      <c r="I13" s="9"/>
      <c r="J13" s="9"/>
      <c r="K13" s="9"/>
      <c r="L13" s="9"/>
      <c r="M13" s="9"/>
      <c r="N13" s="9"/>
      <c r="O13" s="9"/>
      <c r="P13" s="9"/>
    </row>
    <row r="14" spans="1:16" ht="16.5" customHeight="1" x14ac:dyDescent="0.25">
      <c r="A14" s="33" t="s">
        <v>86</v>
      </c>
      <c r="B14" s="33" t="s">
        <v>87</v>
      </c>
      <c r="C14" s="34">
        <v>620</v>
      </c>
      <c r="D14" s="35" t="s">
        <v>9</v>
      </c>
      <c r="E14" s="36">
        <v>0.09</v>
      </c>
      <c r="F14" s="43">
        <f>ROUND(E14*Stammdaten!$C$18,2)</f>
        <v>3.95</v>
      </c>
      <c r="G14" s="38">
        <v>5.2</v>
      </c>
      <c r="H14" s="38">
        <v>0.6</v>
      </c>
      <c r="I14" s="38">
        <v>0</v>
      </c>
      <c r="J14" s="39">
        <f t="shared" ref="J14:J19" si="0">SUM(F14:I14)</f>
        <v>9.75</v>
      </c>
      <c r="K14" s="40">
        <f>ROUND(F14*(1+Stammdaten!$F$22),2)</f>
        <v>4.92</v>
      </c>
      <c r="L14" s="40">
        <f>ROUND(G14*(1+Stammdaten!$F$23),2)</f>
        <v>6.03</v>
      </c>
      <c r="M14" s="40">
        <f>ROUND(H14*(1+Stammdaten!$F$24),2)</f>
        <v>0.71</v>
      </c>
      <c r="N14" s="40">
        <f>ROUND(I14*(1+Stammdaten!$F$25),2)</f>
        <v>0</v>
      </c>
      <c r="O14" s="41">
        <f t="shared" ref="O14:O19" si="1">SUM(K14:N14)</f>
        <v>11.66</v>
      </c>
      <c r="P14" s="42">
        <f t="shared" ref="P14:P19" si="2">ROUND(C14*O14,2)</f>
        <v>7229.2</v>
      </c>
    </row>
    <row r="15" spans="1:16" ht="16.5" customHeight="1" x14ac:dyDescent="0.25">
      <c r="A15" s="33" t="s">
        <v>88</v>
      </c>
      <c r="B15" s="33" t="s">
        <v>89</v>
      </c>
      <c r="C15" s="34">
        <v>186</v>
      </c>
      <c r="D15" s="35" t="s">
        <v>12</v>
      </c>
      <c r="E15" s="36">
        <v>1.1000000000000001</v>
      </c>
      <c r="F15" s="37">
        <f>ROUND(E15*Stammdaten!$C$18,2)</f>
        <v>48.33</v>
      </c>
      <c r="G15" s="38">
        <v>118</v>
      </c>
      <c r="H15" s="38">
        <v>9.4</v>
      </c>
      <c r="I15" s="38">
        <v>0</v>
      </c>
      <c r="J15" s="39">
        <f t="shared" si="0"/>
        <v>175.73</v>
      </c>
      <c r="K15" s="40">
        <f>ROUND(F15*(1+Stammdaten!$F$22),2)</f>
        <v>60.17</v>
      </c>
      <c r="L15" s="40">
        <f>ROUND(G15*(1+Stammdaten!$F$23),2)</f>
        <v>136.76</v>
      </c>
      <c r="M15" s="40">
        <f>ROUND(H15*(1+Stammdaten!$F$24),2)</f>
        <v>11.17</v>
      </c>
      <c r="N15" s="40">
        <f>ROUND(I15*(1+Stammdaten!$F$25),2)</f>
        <v>0</v>
      </c>
      <c r="O15" s="41">
        <f t="shared" si="1"/>
        <v>208.1</v>
      </c>
      <c r="P15" s="42">
        <f t="shared" si="2"/>
        <v>38706.6</v>
      </c>
    </row>
    <row r="16" spans="1:16" ht="16.5" customHeight="1" x14ac:dyDescent="0.25">
      <c r="A16" s="33" t="s">
        <v>90</v>
      </c>
      <c r="B16" s="33" t="s">
        <v>91</v>
      </c>
      <c r="C16" s="34">
        <v>24500</v>
      </c>
      <c r="D16" s="35" t="s">
        <v>15</v>
      </c>
      <c r="E16" s="36">
        <v>0.02</v>
      </c>
      <c r="F16" s="43">
        <f>ROUND(E16*Stammdaten!$C$18,2)</f>
        <v>0.88</v>
      </c>
      <c r="G16" s="38">
        <v>1.05</v>
      </c>
      <c r="H16" s="38">
        <v>0.03</v>
      </c>
      <c r="I16" s="38">
        <v>0</v>
      </c>
      <c r="J16" s="39">
        <f t="shared" si="0"/>
        <v>1.9600000000000002</v>
      </c>
      <c r="K16" s="40">
        <f>ROUND(F16*(1+Stammdaten!$F$22),2)</f>
        <v>1.1000000000000001</v>
      </c>
      <c r="L16" s="40">
        <f>ROUND(G16*(1+Stammdaten!$F$23),2)</f>
        <v>1.22</v>
      </c>
      <c r="M16" s="40">
        <f>ROUND(H16*(1+Stammdaten!$F$24),2)</f>
        <v>0.04</v>
      </c>
      <c r="N16" s="40">
        <f>ROUND(I16*(1+Stammdaten!$F$25),2)</f>
        <v>0</v>
      </c>
      <c r="O16" s="41">
        <f t="shared" si="1"/>
        <v>2.3600000000000003</v>
      </c>
      <c r="P16" s="42">
        <f t="shared" si="2"/>
        <v>57820</v>
      </c>
    </row>
    <row r="17" spans="1:16" ht="16.5" customHeight="1" x14ac:dyDescent="0.25">
      <c r="A17" s="33" t="s">
        <v>92</v>
      </c>
      <c r="B17" s="33" t="s">
        <v>93</v>
      </c>
      <c r="C17" s="34">
        <v>1180</v>
      </c>
      <c r="D17" s="35" t="s">
        <v>9</v>
      </c>
      <c r="E17" s="36">
        <v>0.55000000000000004</v>
      </c>
      <c r="F17" s="37">
        <f>ROUND(E17*Stammdaten!$C$18,2)</f>
        <v>24.17</v>
      </c>
      <c r="G17" s="38">
        <v>8.9</v>
      </c>
      <c r="H17" s="38">
        <v>3.2</v>
      </c>
      <c r="I17" s="38">
        <v>0</v>
      </c>
      <c r="J17" s="39">
        <f t="shared" si="0"/>
        <v>36.270000000000003</v>
      </c>
      <c r="K17" s="40">
        <f>ROUND(F17*(1+Stammdaten!$F$22),2)</f>
        <v>30.09</v>
      </c>
      <c r="L17" s="40">
        <f>ROUND(G17*(1+Stammdaten!$F$23),2)</f>
        <v>10.32</v>
      </c>
      <c r="M17" s="40">
        <f>ROUND(H17*(1+Stammdaten!$F$24),2)</f>
        <v>3.8</v>
      </c>
      <c r="N17" s="40">
        <f>ROUND(I17*(1+Stammdaten!$F$25),2)</f>
        <v>0</v>
      </c>
      <c r="O17" s="41">
        <f t="shared" si="1"/>
        <v>44.209999999999994</v>
      </c>
      <c r="P17" s="42">
        <f t="shared" si="2"/>
        <v>52167.8</v>
      </c>
    </row>
    <row r="18" spans="1:16" ht="16.5" customHeight="1" x14ac:dyDescent="0.25">
      <c r="A18" s="33" t="s">
        <v>94</v>
      </c>
      <c r="B18" s="33" t="s">
        <v>95</v>
      </c>
      <c r="C18" s="34">
        <v>142</v>
      </c>
      <c r="D18" s="35" t="s">
        <v>12</v>
      </c>
      <c r="E18" s="36">
        <v>0.95</v>
      </c>
      <c r="F18" s="43">
        <f>ROUND(E18*Stammdaten!$C$18,2)</f>
        <v>41.74</v>
      </c>
      <c r="G18" s="38">
        <v>112</v>
      </c>
      <c r="H18" s="38">
        <v>7.8</v>
      </c>
      <c r="I18" s="38">
        <v>0</v>
      </c>
      <c r="J18" s="39">
        <f t="shared" si="0"/>
        <v>161.54000000000002</v>
      </c>
      <c r="K18" s="40">
        <f>ROUND(F18*(1+Stammdaten!$F$22),2)</f>
        <v>51.97</v>
      </c>
      <c r="L18" s="40">
        <f>ROUND(G18*(1+Stammdaten!$F$23),2)</f>
        <v>129.81</v>
      </c>
      <c r="M18" s="40">
        <f>ROUND(H18*(1+Stammdaten!$F$24),2)</f>
        <v>9.27</v>
      </c>
      <c r="N18" s="40">
        <f>ROUND(I18*(1+Stammdaten!$F$25),2)</f>
        <v>0</v>
      </c>
      <c r="O18" s="41">
        <f t="shared" si="1"/>
        <v>191.05</v>
      </c>
      <c r="P18" s="42">
        <f t="shared" si="2"/>
        <v>27129.1</v>
      </c>
    </row>
    <row r="19" spans="1:16" ht="16.5" customHeight="1" x14ac:dyDescent="0.25">
      <c r="A19" s="33" t="s">
        <v>96</v>
      </c>
      <c r="B19" s="33" t="s">
        <v>97</v>
      </c>
      <c r="C19" s="34">
        <v>940</v>
      </c>
      <c r="D19" s="35" t="s">
        <v>9</v>
      </c>
      <c r="E19" s="36">
        <v>0.18</v>
      </c>
      <c r="F19" s="37">
        <f>ROUND(E19*Stammdaten!$C$18,2)</f>
        <v>7.91</v>
      </c>
      <c r="G19" s="38">
        <v>46.5</v>
      </c>
      <c r="H19" s="38">
        <v>11.2</v>
      </c>
      <c r="I19" s="38">
        <v>0</v>
      </c>
      <c r="J19" s="39">
        <f t="shared" si="0"/>
        <v>65.61</v>
      </c>
      <c r="K19" s="40">
        <f>ROUND(F19*(1+Stammdaten!$F$22),2)</f>
        <v>9.85</v>
      </c>
      <c r="L19" s="40">
        <f>ROUND(G19*(1+Stammdaten!$F$23),2)</f>
        <v>53.89</v>
      </c>
      <c r="M19" s="40">
        <f>ROUND(H19*(1+Stammdaten!$F$24),2)</f>
        <v>13.31</v>
      </c>
      <c r="N19" s="40">
        <f>ROUND(I19*(1+Stammdaten!$F$25),2)</f>
        <v>0</v>
      </c>
      <c r="O19" s="41">
        <f t="shared" si="1"/>
        <v>77.05</v>
      </c>
      <c r="P19" s="42">
        <f t="shared" si="2"/>
        <v>72427</v>
      </c>
    </row>
    <row r="20" spans="1:16" ht="19.5" customHeight="1" x14ac:dyDescent="0.25">
      <c r="A20" s="9" t="s">
        <v>98</v>
      </c>
      <c r="B20" s="9"/>
      <c r="C20" s="9"/>
      <c r="D20" s="9"/>
      <c r="E20" s="9"/>
      <c r="F20" s="9"/>
      <c r="G20" s="9"/>
      <c r="H20" s="9"/>
      <c r="I20" s="9"/>
      <c r="J20" s="9"/>
      <c r="K20" s="9"/>
      <c r="L20" s="9"/>
      <c r="M20" s="9"/>
      <c r="N20" s="9"/>
      <c r="O20" s="9"/>
      <c r="P20" s="9"/>
    </row>
    <row r="21" spans="1:16" ht="16.5" customHeight="1" x14ac:dyDescent="0.25">
      <c r="A21" s="33" t="s">
        <v>99</v>
      </c>
      <c r="B21" s="33" t="s">
        <v>100</v>
      </c>
      <c r="C21" s="34">
        <v>385</v>
      </c>
      <c r="D21" s="35" t="s">
        <v>9</v>
      </c>
      <c r="E21" s="36">
        <v>0.62</v>
      </c>
      <c r="F21" s="37">
        <f>ROUND(E21*Stammdaten!$C$18,2)</f>
        <v>27.24</v>
      </c>
      <c r="G21" s="38">
        <v>21.4</v>
      </c>
      <c r="H21" s="38">
        <v>1.9</v>
      </c>
      <c r="I21" s="38">
        <v>0</v>
      </c>
      <c r="J21" s="39">
        <f>SUM(F21:I21)</f>
        <v>50.54</v>
      </c>
      <c r="K21" s="40">
        <f>ROUND(F21*(1+Stammdaten!$F$22),2)</f>
        <v>33.909999999999997</v>
      </c>
      <c r="L21" s="40">
        <f>ROUND(G21*(1+Stammdaten!$F$23),2)</f>
        <v>24.8</v>
      </c>
      <c r="M21" s="40">
        <f>ROUND(H21*(1+Stammdaten!$F$24),2)</f>
        <v>2.2599999999999998</v>
      </c>
      <c r="N21" s="40">
        <f>ROUND(I21*(1+Stammdaten!$F$25),2)</f>
        <v>0</v>
      </c>
      <c r="O21" s="41">
        <f>SUM(K21:N21)</f>
        <v>60.969999999999992</v>
      </c>
      <c r="P21" s="42">
        <f>ROUND(C21*O21,2)</f>
        <v>23473.45</v>
      </c>
    </row>
    <row r="22" spans="1:16" ht="16.5" customHeight="1" x14ac:dyDescent="0.25">
      <c r="A22" s="33" t="s">
        <v>101</v>
      </c>
      <c r="B22" s="33" t="s">
        <v>102</v>
      </c>
      <c r="C22" s="34">
        <v>2150</v>
      </c>
      <c r="D22" s="35" t="s">
        <v>9</v>
      </c>
      <c r="E22" s="36">
        <v>0.16</v>
      </c>
      <c r="F22" s="43">
        <f>ROUND(E22*Stammdaten!$C$18,2)</f>
        <v>7.03</v>
      </c>
      <c r="G22" s="38">
        <v>3.1</v>
      </c>
      <c r="H22" s="38">
        <v>0.85</v>
      </c>
      <c r="I22" s="38">
        <v>0</v>
      </c>
      <c r="J22" s="39">
        <f>SUM(F22:I22)</f>
        <v>10.98</v>
      </c>
      <c r="K22" s="40">
        <f>ROUND(F22*(1+Stammdaten!$F$22),2)</f>
        <v>8.75</v>
      </c>
      <c r="L22" s="40">
        <f>ROUND(G22*(1+Stammdaten!$F$23),2)</f>
        <v>3.59</v>
      </c>
      <c r="M22" s="40">
        <f>ROUND(H22*(1+Stammdaten!$F$24),2)</f>
        <v>1.01</v>
      </c>
      <c r="N22" s="40">
        <f>ROUND(I22*(1+Stammdaten!$F$25),2)</f>
        <v>0</v>
      </c>
      <c r="O22" s="41">
        <f>SUM(K22:N22)</f>
        <v>13.35</v>
      </c>
      <c r="P22" s="42">
        <f>ROUND(C22*O22,2)</f>
        <v>28702.5</v>
      </c>
    </row>
    <row r="23" spans="1:16" ht="16.5" customHeight="1" x14ac:dyDescent="0.25">
      <c r="A23" s="33" t="s">
        <v>103</v>
      </c>
      <c r="B23" s="33" t="s">
        <v>104</v>
      </c>
      <c r="C23" s="34">
        <v>1640</v>
      </c>
      <c r="D23" s="35" t="s">
        <v>9</v>
      </c>
      <c r="E23" s="36">
        <v>0</v>
      </c>
      <c r="F23" s="37">
        <f>ROUND(E23*Stammdaten!$C$18,2)</f>
        <v>0</v>
      </c>
      <c r="G23" s="38">
        <v>0</v>
      </c>
      <c r="H23" s="38">
        <v>0</v>
      </c>
      <c r="I23" s="38">
        <v>7.9</v>
      </c>
      <c r="J23" s="39">
        <f>SUM(F23:I23)</f>
        <v>7.9</v>
      </c>
      <c r="K23" s="40">
        <f>ROUND(F23*(1+Stammdaten!$F$22),2)</f>
        <v>0</v>
      </c>
      <c r="L23" s="40">
        <f>ROUND(G23*(1+Stammdaten!$F$23),2)</f>
        <v>0</v>
      </c>
      <c r="M23" s="40">
        <f>ROUND(H23*(1+Stammdaten!$F$24),2)</f>
        <v>0</v>
      </c>
      <c r="N23" s="40">
        <f>ROUND(I23*(1+Stammdaten!$F$25),2)</f>
        <v>8.6999999999999993</v>
      </c>
      <c r="O23" s="41">
        <f>SUM(K23:N23)</f>
        <v>8.6999999999999993</v>
      </c>
      <c r="P23" s="42">
        <f>ROUND(C23*O23,2)</f>
        <v>14268</v>
      </c>
    </row>
    <row r="24" spans="1:16" ht="16.5" customHeight="1" x14ac:dyDescent="0.25">
      <c r="A24" s="33" t="s">
        <v>105</v>
      </c>
      <c r="B24" s="33" t="s">
        <v>106</v>
      </c>
      <c r="C24" s="34">
        <v>320</v>
      </c>
      <c r="D24" s="35" t="s">
        <v>27</v>
      </c>
      <c r="E24" s="36">
        <v>1</v>
      </c>
      <c r="F24" s="43">
        <f>ROUND(E24*Stammdaten!$C$18,2)</f>
        <v>43.94</v>
      </c>
      <c r="G24" s="38">
        <v>2.5</v>
      </c>
      <c r="H24" s="38">
        <v>0.6</v>
      </c>
      <c r="I24" s="38">
        <v>0</v>
      </c>
      <c r="J24" s="39">
        <f>SUM(F24:I24)</f>
        <v>47.04</v>
      </c>
      <c r="K24" s="40">
        <f>ROUND(F24*(1+Stammdaten!$F$22),2)</f>
        <v>54.71</v>
      </c>
      <c r="L24" s="40">
        <f>ROUND(G24*(1+Stammdaten!$F$23),2)</f>
        <v>2.9</v>
      </c>
      <c r="M24" s="40">
        <f>ROUND(H24*(1+Stammdaten!$F$24),2)</f>
        <v>0.71</v>
      </c>
      <c r="N24" s="40">
        <f>ROUND(I24*(1+Stammdaten!$F$25),2)</f>
        <v>0</v>
      </c>
      <c r="O24" s="41">
        <f>SUM(K24:N24)</f>
        <v>58.32</v>
      </c>
      <c r="P24" s="42">
        <f>ROUND(C24*O24,2)</f>
        <v>18662.400000000001</v>
      </c>
    </row>
    <row r="25" spans="1:16" ht="19.5" customHeight="1" x14ac:dyDescent="0.25">
      <c r="A25" s="9" t="s">
        <v>107</v>
      </c>
      <c r="B25" s="9"/>
      <c r="C25" s="9"/>
      <c r="D25" s="9"/>
      <c r="E25" s="9"/>
      <c r="F25" s="9"/>
      <c r="G25" s="9"/>
      <c r="H25" s="9"/>
      <c r="I25" s="9"/>
      <c r="J25" s="9"/>
      <c r="K25" s="9"/>
      <c r="L25" s="9"/>
      <c r="M25" s="9"/>
      <c r="N25" s="9"/>
      <c r="O25" s="9"/>
      <c r="P25" s="9"/>
    </row>
    <row r="26" spans="1:16" ht="16.5" customHeight="1" x14ac:dyDescent="0.25">
      <c r="A26" s="33"/>
      <c r="B26" s="33"/>
      <c r="C26" s="34"/>
      <c r="D26" s="35"/>
      <c r="E26" s="36"/>
      <c r="F26" s="43">
        <f>ROUND(E26*Stammdaten!$C$18,2)</f>
        <v>0</v>
      </c>
      <c r="G26" s="38"/>
      <c r="H26" s="38"/>
      <c r="I26" s="38"/>
      <c r="J26" s="39">
        <f>SUM(F26:I26)</f>
        <v>0</v>
      </c>
      <c r="K26" s="40">
        <f>ROUND(F26*(1+Stammdaten!$F$22),2)</f>
        <v>0</v>
      </c>
      <c r="L26" s="40">
        <f>ROUND(G26*(1+Stammdaten!$F$23),2)</f>
        <v>0</v>
      </c>
      <c r="M26" s="40">
        <f>ROUND(H26*(1+Stammdaten!$F$24),2)</f>
        <v>0</v>
      </c>
      <c r="N26" s="40">
        <f>ROUND(I26*(1+Stammdaten!$F$25),2)</f>
        <v>0</v>
      </c>
      <c r="O26" s="41">
        <f>SUM(K26:N26)</f>
        <v>0</v>
      </c>
      <c r="P26" s="42">
        <f>ROUND(C26*O26,2)</f>
        <v>0</v>
      </c>
    </row>
    <row r="27" spans="1:16" ht="16.5" customHeight="1" x14ac:dyDescent="0.25">
      <c r="A27" s="33"/>
      <c r="B27" s="33"/>
      <c r="C27" s="34"/>
      <c r="D27" s="35"/>
      <c r="E27" s="36"/>
      <c r="F27" s="37">
        <f>ROUND(E27*Stammdaten!$C$18,2)</f>
        <v>0</v>
      </c>
      <c r="G27" s="38"/>
      <c r="H27" s="38"/>
      <c r="I27" s="38"/>
      <c r="J27" s="39">
        <f>SUM(F27:I27)</f>
        <v>0</v>
      </c>
      <c r="K27" s="40">
        <f>ROUND(F27*(1+Stammdaten!$F$22),2)</f>
        <v>0</v>
      </c>
      <c r="L27" s="40">
        <f>ROUND(G27*(1+Stammdaten!$F$23),2)</f>
        <v>0</v>
      </c>
      <c r="M27" s="40">
        <f>ROUND(H27*(1+Stammdaten!$F$24),2)</f>
        <v>0</v>
      </c>
      <c r="N27" s="40">
        <f>ROUND(I27*(1+Stammdaten!$F$25),2)</f>
        <v>0</v>
      </c>
      <c r="O27" s="41">
        <f>SUM(K27:N27)</f>
        <v>0</v>
      </c>
      <c r="P27" s="42">
        <f>ROUND(C27*O27,2)</f>
        <v>0</v>
      </c>
    </row>
    <row r="28" spans="1:16" ht="16.5" customHeight="1" x14ac:dyDescent="0.25">
      <c r="A28" s="33"/>
      <c r="B28" s="33"/>
      <c r="C28" s="34"/>
      <c r="D28" s="35"/>
      <c r="E28" s="36"/>
      <c r="F28" s="43">
        <f>ROUND(E28*Stammdaten!$C$18,2)</f>
        <v>0</v>
      </c>
      <c r="G28" s="38"/>
      <c r="H28" s="38"/>
      <c r="I28" s="38"/>
      <c r="J28" s="39">
        <f>SUM(F28:I28)</f>
        <v>0</v>
      </c>
      <c r="K28" s="40">
        <f>ROUND(F28*(1+Stammdaten!$F$22),2)</f>
        <v>0</v>
      </c>
      <c r="L28" s="40">
        <f>ROUND(G28*(1+Stammdaten!$F$23),2)</f>
        <v>0</v>
      </c>
      <c r="M28" s="40">
        <f>ROUND(H28*(1+Stammdaten!$F$24),2)</f>
        <v>0</v>
      </c>
      <c r="N28" s="40">
        <f>ROUND(I28*(1+Stammdaten!$F$25),2)</f>
        <v>0</v>
      </c>
      <c r="O28" s="41">
        <f>SUM(K28:N28)</f>
        <v>0</v>
      </c>
      <c r="P28" s="42">
        <f>ROUND(C28*O28,2)</f>
        <v>0</v>
      </c>
    </row>
    <row r="29" spans="1:16" ht="16.5" customHeight="1" x14ac:dyDescent="0.25">
      <c r="A29" s="33"/>
      <c r="B29" s="33"/>
      <c r="C29" s="34"/>
      <c r="D29" s="35"/>
      <c r="E29" s="36"/>
      <c r="F29" s="37">
        <f>ROUND(E29*Stammdaten!$C$18,2)</f>
        <v>0</v>
      </c>
      <c r="G29" s="38"/>
      <c r="H29" s="38"/>
      <c r="I29" s="38"/>
      <c r="J29" s="39">
        <f>SUM(F29:I29)</f>
        <v>0</v>
      </c>
      <c r="K29" s="40">
        <f>ROUND(F29*(1+Stammdaten!$F$22),2)</f>
        <v>0</v>
      </c>
      <c r="L29" s="40">
        <f>ROUND(G29*(1+Stammdaten!$F$23),2)</f>
        <v>0</v>
      </c>
      <c r="M29" s="40">
        <f>ROUND(H29*(1+Stammdaten!$F$24),2)</f>
        <v>0</v>
      </c>
      <c r="N29" s="40">
        <f>ROUND(I29*(1+Stammdaten!$F$25),2)</f>
        <v>0</v>
      </c>
      <c r="O29" s="41">
        <f>SUM(K29:N29)</f>
        <v>0</v>
      </c>
      <c r="P29" s="42">
        <f>ROUND(C29*O29,2)</f>
        <v>0</v>
      </c>
    </row>
    <row r="30" spans="1:16" ht="25.5" customHeight="1" x14ac:dyDescent="0.25">
      <c r="A30" s="76" t="s">
        <v>108</v>
      </c>
      <c r="B30" s="76"/>
      <c r="C30" s="76"/>
      <c r="D30" s="76"/>
      <c r="E30" s="76"/>
      <c r="F30" s="76"/>
      <c r="G30" s="76"/>
      <c r="H30" s="76"/>
      <c r="I30" s="76"/>
      <c r="J30" s="76"/>
      <c r="K30" s="76"/>
      <c r="L30" s="76"/>
      <c r="M30" s="76"/>
      <c r="N30" s="76"/>
      <c r="O30" s="44"/>
      <c r="P30" s="45">
        <f>ROUND(SUM(P8:P29),2)</f>
        <v>413224.65</v>
      </c>
    </row>
    <row r="32" spans="1:16" x14ac:dyDescent="0.25">
      <c r="A32" s="77" t="s">
        <v>109</v>
      </c>
      <c r="B32" s="77"/>
      <c r="C32" s="77"/>
      <c r="D32" s="77"/>
      <c r="E32" s="77"/>
      <c r="F32" s="77"/>
      <c r="G32" s="77"/>
      <c r="H32" s="77"/>
      <c r="I32" s="77"/>
      <c r="J32" s="77"/>
      <c r="K32" s="77"/>
      <c r="L32" s="77"/>
      <c r="M32" s="77"/>
      <c r="N32" s="77"/>
      <c r="O32" s="77"/>
      <c r="P32" s="77"/>
    </row>
  </sheetData>
  <autoFilter ref="A6:P29" xr:uid="{00000000-0009-0000-0000-000001000000}"/>
  <mergeCells count="12">
    <mergeCell ref="A32:P32"/>
    <mergeCell ref="A8:P8"/>
    <mergeCell ref="A13:P13"/>
    <mergeCell ref="A20:P20"/>
    <mergeCell ref="A25:P25"/>
    <mergeCell ref="A30:N30"/>
    <mergeCell ref="A1:P1"/>
    <mergeCell ref="A2:P2"/>
    <mergeCell ref="A5:D5"/>
    <mergeCell ref="E5:J5"/>
    <mergeCell ref="K5:N5"/>
    <mergeCell ref="O5:P5"/>
  </mergeCells>
  <conditionalFormatting sqref="O8:O29">
    <cfRule type="cellIs" dxfId="0" priority="3" operator="equal">
      <formula>0</formula>
    </cfRule>
  </conditionalFormatting>
  <dataValidations count="1">
    <dataValidation type="decimal" operator="greaterThanOrEqual" allowBlank="1" errorTitle="Ungültiger Wert" error="Bitte einen Wert größer oder gleich 0 eingeben." sqref="C8:C29 E8:E29 G8:I29" xr:uid="{00000000-0002-0000-0100-000001000000}">
      <formula1>0</formula1>
      <formula2>0</formula2>
    </dataValidation>
  </dataValidations>
  <pageMargins left="0.75" right="0.75" top="1" bottom="1" header="0.511811023622047" footer="0.511811023622047"/>
  <pageSetup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expression" priority="2" id="{00000000-000E-0000-0100-000002000000}">
            <xm:f>AND($O8&gt;0,$K8/$O8&gt;Stammdaten!$C$32)</xm:f>
            <x14:dxf>
              <font>
                <b/>
                <sz val="10"/>
                <color rgb="FF9C2B2B"/>
                <name val="Calibri"/>
                <charset val="1"/>
              </font>
              <fill>
                <patternFill>
                  <bgColor rgb="FFF7D9D9"/>
                </patternFill>
              </fill>
            </x14:dxf>
          </x14:cfRule>
          <xm:sqref>K8:K29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errorTitle="Ungültige Mengeneinheit" error="Bitte eine Mengeneinheit aus der Liste wählen (Blatt Stammdaten)." xr:uid="{00000000-0002-0000-0100-000000000000}">
          <x14:formula1>
            <xm:f>Stammdaten!$J$5:$J$14</xm:f>
          </x14:formula1>
          <x14:formula2>
            <xm:f>0</xm:f>
          </x14:formula2>
          <xm:sqref>D8:D29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4661E"/>
    <pageSetUpPr fitToPage="1"/>
  </sheetPr>
  <dimension ref="A1:J40"/>
  <sheetViews>
    <sheetView showGridLines="0" tabSelected="1" zoomScaleNormal="100" workbookViewId="0">
      <pane ySplit="10" topLeftCell="A11" activePane="bottomLeft" state="frozen"/>
      <selection pane="bottomLeft" activeCell="G58" sqref="G58"/>
    </sheetView>
  </sheetViews>
  <sheetFormatPr baseColWidth="10" defaultColWidth="8.7109375" defaultRowHeight="15" x14ac:dyDescent="0.25"/>
  <cols>
    <col min="1" max="1" width="12.140625" bestFit="1" customWidth="1"/>
    <col min="2" max="2" width="48" customWidth="1"/>
    <col min="3" max="3" width="10.140625" bestFit="1" customWidth="1"/>
    <col min="4" max="4" width="7.28515625" bestFit="1" customWidth="1"/>
    <col min="5" max="5" width="8.28515625" bestFit="1" customWidth="1"/>
    <col min="6" max="6" width="8.85546875" customWidth="1"/>
    <col min="7" max="7" width="9.140625" customWidth="1"/>
    <col min="8" max="8" width="8.140625" bestFit="1" customWidth="1"/>
    <col min="9" max="9" width="7.7109375" bestFit="1" customWidth="1"/>
    <col min="10" max="10" width="10.7109375" bestFit="1" customWidth="1"/>
  </cols>
  <sheetData>
    <row r="1" spans="1:10" ht="21.75" customHeight="1" x14ac:dyDescent="0.25">
      <c r="A1" s="14" t="s">
        <v>110</v>
      </c>
      <c r="B1" s="14"/>
      <c r="C1" s="14"/>
      <c r="D1" s="14"/>
      <c r="E1" s="14"/>
      <c r="F1" s="14"/>
      <c r="G1" s="14"/>
      <c r="H1" s="13" t="s">
        <v>111</v>
      </c>
      <c r="I1" s="13"/>
      <c r="J1" s="13"/>
    </row>
    <row r="2" spans="1:10" ht="18" customHeight="1" x14ac:dyDescent="0.25">
      <c r="A2" s="14"/>
      <c r="B2" s="14"/>
      <c r="C2" s="14"/>
      <c r="D2" s="14"/>
      <c r="E2" s="14"/>
      <c r="F2" s="14"/>
      <c r="G2" s="14"/>
      <c r="H2" s="13"/>
      <c r="I2" s="13"/>
      <c r="J2" s="13"/>
    </row>
    <row r="4" spans="1:10" ht="19.5" customHeight="1" x14ac:dyDescent="0.25">
      <c r="A4" s="46" t="s">
        <v>4</v>
      </c>
      <c r="B4" s="12" t="str">
        <f>Stammdaten!$C$5</f>
        <v>Neubau eines zweigeschossigen Verwaltungsgebäudes</v>
      </c>
      <c r="C4" s="12"/>
      <c r="D4" s="12"/>
      <c r="E4" s="12"/>
      <c r="F4" s="12"/>
      <c r="G4" s="46" t="s">
        <v>10</v>
      </c>
      <c r="H4" s="12" t="str">
        <f>Stammdaten!$C$7</f>
        <v>2026-HB-00147</v>
      </c>
      <c r="I4" s="12"/>
      <c r="J4" s="12"/>
    </row>
    <row r="5" spans="1:10" ht="19.5" customHeight="1" x14ac:dyDescent="0.25">
      <c r="A5" s="46" t="s">
        <v>112</v>
      </c>
      <c r="B5" s="12" t="str">
        <f>Stammdaten!$C$6</f>
        <v>Los 3 – Rohbauarbeiten</v>
      </c>
      <c r="C5" s="12"/>
      <c r="D5" s="12"/>
      <c r="E5" s="12"/>
      <c r="F5" s="12"/>
      <c r="G5" s="46" t="s">
        <v>113</v>
      </c>
      <c r="H5" s="12" t="str">
        <f>Stammdaten!$C$11</f>
        <v>16.03.2026</v>
      </c>
      <c r="I5" s="12"/>
      <c r="J5" s="12"/>
    </row>
    <row r="6" spans="1:10" ht="19.5" customHeight="1" x14ac:dyDescent="0.25">
      <c r="A6" s="46" t="s">
        <v>114</v>
      </c>
      <c r="B6" s="12" t="str">
        <f>Stammdaten!$C$9</f>
        <v>Nordwest Hochbau GmbH &amp; Co. KG</v>
      </c>
      <c r="C6" s="12"/>
      <c r="D6" s="12"/>
      <c r="E6" s="12"/>
      <c r="F6" s="12"/>
      <c r="G6" s="46" t="s">
        <v>115</v>
      </c>
      <c r="H6" s="12" t="str">
        <f>Stammdaten!$C$8</f>
        <v>Bau- und Liegenschaftsamt Musterstadt</v>
      </c>
      <c r="I6" s="12"/>
      <c r="J6" s="12"/>
    </row>
    <row r="8" spans="1:10" ht="18" customHeight="1" x14ac:dyDescent="0.25">
      <c r="A8" s="11"/>
      <c r="B8" s="11"/>
      <c r="C8" s="11"/>
      <c r="D8" s="11"/>
      <c r="E8" s="11"/>
      <c r="F8" s="10" t="s">
        <v>116</v>
      </c>
      <c r="G8" s="10"/>
      <c r="H8" s="10"/>
      <c r="I8" s="10"/>
      <c r="J8" s="10"/>
    </row>
    <row r="9" spans="1:10" ht="42" customHeight="1" x14ac:dyDescent="0.25">
      <c r="A9" s="29" t="s">
        <v>64</v>
      </c>
      <c r="B9" s="29" t="s">
        <v>117</v>
      </c>
      <c r="C9" s="29" t="s">
        <v>118</v>
      </c>
      <c r="D9" s="29" t="s">
        <v>119</v>
      </c>
      <c r="E9" s="29" t="s">
        <v>68</v>
      </c>
      <c r="F9" s="29" t="s">
        <v>44</v>
      </c>
      <c r="G9" s="29" t="s">
        <v>45</v>
      </c>
      <c r="H9" s="29" t="s">
        <v>46</v>
      </c>
      <c r="I9" s="29" t="s">
        <v>120</v>
      </c>
      <c r="J9" s="29" t="s">
        <v>121</v>
      </c>
    </row>
    <row r="10" spans="1:10" ht="13.5" customHeight="1" x14ac:dyDescent="0.25">
      <c r="A10" s="47" t="s">
        <v>122</v>
      </c>
      <c r="B10" s="47" t="s">
        <v>123</v>
      </c>
      <c r="C10" s="47" t="s">
        <v>124</v>
      </c>
      <c r="D10" s="47" t="s">
        <v>125</v>
      </c>
      <c r="E10" s="47" t="s">
        <v>126</v>
      </c>
      <c r="F10" s="47" t="s">
        <v>127</v>
      </c>
      <c r="G10" s="47" t="s">
        <v>128</v>
      </c>
      <c r="H10" s="47" t="s">
        <v>129</v>
      </c>
      <c r="I10" s="47" t="s">
        <v>130</v>
      </c>
      <c r="J10" s="47" t="s">
        <v>131</v>
      </c>
    </row>
    <row r="11" spans="1:10" ht="18.75" customHeight="1" x14ac:dyDescent="0.25">
      <c r="A11" s="9" t="str">
        <f>Kalkulation!A8</f>
        <v>TITEL 01 · ERD- UND VERBAUARBEITEN</v>
      </c>
      <c r="B11" s="9"/>
      <c r="C11" s="9"/>
      <c r="D11" s="9"/>
      <c r="E11" s="9"/>
      <c r="F11" s="9"/>
      <c r="G11" s="9"/>
      <c r="H11" s="9"/>
      <c r="I11" s="9"/>
      <c r="J11" s="9"/>
    </row>
    <row r="12" spans="1:10" ht="16.5" customHeight="1" x14ac:dyDescent="0.25">
      <c r="A12" s="48" t="str">
        <f>Kalkulation!A9</f>
        <v>01.0010</v>
      </c>
      <c r="B12" s="48" t="str">
        <f>Kalkulation!B9</f>
        <v>Oberboden 30 cm abtragen, seitlich lagern</v>
      </c>
      <c r="C12" s="49">
        <f>Kalkulation!C9</f>
        <v>1250</v>
      </c>
      <c r="D12" s="50" t="str">
        <f>Kalkulation!D9</f>
        <v>m³</v>
      </c>
      <c r="E12" s="51">
        <f>Kalkulation!E9</f>
        <v>0.06</v>
      </c>
      <c r="F12" s="40">
        <f>Kalkulation!K9</f>
        <v>3.29</v>
      </c>
      <c r="G12" s="40">
        <f>Kalkulation!L9</f>
        <v>0</v>
      </c>
      <c r="H12" s="40">
        <f>Kalkulation!M9</f>
        <v>2.85</v>
      </c>
      <c r="I12" s="40">
        <f>Kalkulation!N9</f>
        <v>0</v>
      </c>
      <c r="J12" s="41">
        <f>Kalkulation!O9</f>
        <v>6.1400000000000006</v>
      </c>
    </row>
    <row r="13" spans="1:10" ht="16.5" customHeight="1" x14ac:dyDescent="0.25">
      <c r="A13" s="48" t="str">
        <f>Kalkulation!A10</f>
        <v>01.0020</v>
      </c>
      <c r="B13" s="48" t="str">
        <f>Kalkulation!B10</f>
        <v>Baugrube ausheben, BK 3–5, Aushub abfahren</v>
      </c>
      <c r="C13" s="49">
        <f>Kalkulation!C10</f>
        <v>2400</v>
      </c>
      <c r="D13" s="50" t="str">
        <f>Kalkulation!D10</f>
        <v>m³</v>
      </c>
      <c r="E13" s="51">
        <f>Kalkulation!E10</f>
        <v>0.05</v>
      </c>
      <c r="F13" s="40">
        <f>Kalkulation!K10</f>
        <v>2.74</v>
      </c>
      <c r="G13" s="40">
        <f>Kalkulation!L10</f>
        <v>0</v>
      </c>
      <c r="H13" s="40">
        <f>Kalkulation!M10</f>
        <v>4.87</v>
      </c>
      <c r="I13" s="40">
        <f>Kalkulation!N10</f>
        <v>7.49</v>
      </c>
      <c r="J13" s="41">
        <f>Kalkulation!O10</f>
        <v>15.100000000000001</v>
      </c>
    </row>
    <row r="14" spans="1:10" ht="16.5" customHeight="1" x14ac:dyDescent="0.25">
      <c r="A14" s="48" t="str">
        <f>Kalkulation!A11</f>
        <v>01.0030</v>
      </c>
      <c r="B14" s="48" t="str">
        <f>Kalkulation!B11</f>
        <v>Verbau als Trägerbohlwand herstellen und rückbauen</v>
      </c>
      <c r="C14" s="49">
        <f>Kalkulation!C11</f>
        <v>480</v>
      </c>
      <c r="D14" s="50" t="str">
        <f>Kalkulation!D11</f>
        <v>m²</v>
      </c>
      <c r="E14" s="51">
        <f>Kalkulation!E11</f>
        <v>0.35</v>
      </c>
      <c r="F14" s="40">
        <f>Kalkulation!K11</f>
        <v>19.149999999999999</v>
      </c>
      <c r="G14" s="40">
        <f>Kalkulation!L11</f>
        <v>21.44</v>
      </c>
      <c r="H14" s="40">
        <f>Kalkulation!M11</f>
        <v>14.73</v>
      </c>
      <c r="I14" s="40">
        <f>Kalkulation!N11</f>
        <v>0</v>
      </c>
      <c r="J14" s="41">
        <f>Kalkulation!O11</f>
        <v>55.320000000000007</v>
      </c>
    </row>
    <row r="15" spans="1:10" ht="16.5" customHeight="1" x14ac:dyDescent="0.25">
      <c r="A15" s="48" t="str">
        <f>Kalkulation!A12</f>
        <v>01.0040</v>
      </c>
      <c r="B15" s="48" t="str">
        <f>Kalkulation!B12</f>
        <v>Baugrubensohle verdichten und profilgerecht abziehen</v>
      </c>
      <c r="C15" s="49">
        <f>Kalkulation!C12</f>
        <v>620</v>
      </c>
      <c r="D15" s="50" t="str">
        <f>Kalkulation!D12</f>
        <v>m²</v>
      </c>
      <c r="E15" s="51">
        <f>Kalkulation!E12</f>
        <v>0.04</v>
      </c>
      <c r="F15" s="40">
        <f>Kalkulation!K12</f>
        <v>2.19</v>
      </c>
      <c r="G15" s="40">
        <f>Kalkulation!L12</f>
        <v>0</v>
      </c>
      <c r="H15" s="40">
        <f>Kalkulation!M12</f>
        <v>1.31</v>
      </c>
      <c r="I15" s="40">
        <f>Kalkulation!N12</f>
        <v>0</v>
      </c>
      <c r="J15" s="41">
        <f>Kalkulation!O12</f>
        <v>3.5</v>
      </c>
    </row>
    <row r="16" spans="1:10" ht="18.75" customHeight="1" x14ac:dyDescent="0.25">
      <c r="A16" s="9" t="str">
        <f>Kalkulation!A13</f>
        <v>TITEL 02 · BETON- UND STAHLBETONARBEITEN</v>
      </c>
      <c r="B16" s="9"/>
      <c r="C16" s="9"/>
      <c r="D16" s="9"/>
      <c r="E16" s="9"/>
      <c r="F16" s="9"/>
      <c r="G16" s="9"/>
      <c r="H16" s="9"/>
      <c r="I16" s="9"/>
      <c r="J16" s="9"/>
    </row>
    <row r="17" spans="1:10" ht="16.5" customHeight="1" x14ac:dyDescent="0.25">
      <c r="A17" s="48" t="str">
        <f>Kalkulation!A14</f>
        <v>02.0010</v>
      </c>
      <c r="B17" s="48" t="str">
        <f>Kalkulation!B14</f>
        <v>Sauberkeitsschicht C8/10, d = 5 cm</v>
      </c>
      <c r="C17" s="49">
        <f>Kalkulation!C14</f>
        <v>620</v>
      </c>
      <c r="D17" s="50" t="str">
        <f>Kalkulation!D14</f>
        <v>m²</v>
      </c>
      <c r="E17" s="51">
        <f>Kalkulation!E14</f>
        <v>0.09</v>
      </c>
      <c r="F17" s="40">
        <f>Kalkulation!K14</f>
        <v>4.92</v>
      </c>
      <c r="G17" s="40">
        <f>Kalkulation!L14</f>
        <v>6.03</v>
      </c>
      <c r="H17" s="40">
        <f>Kalkulation!M14</f>
        <v>0.71</v>
      </c>
      <c r="I17" s="40">
        <f>Kalkulation!N14</f>
        <v>0</v>
      </c>
      <c r="J17" s="41">
        <f>Kalkulation!O14</f>
        <v>11.66</v>
      </c>
    </row>
    <row r="18" spans="1:10" ht="16.5" customHeight="1" x14ac:dyDescent="0.25">
      <c r="A18" s="48" t="str">
        <f>Kalkulation!A15</f>
        <v>02.0020</v>
      </c>
      <c r="B18" s="48" t="str">
        <f>Kalkulation!B15</f>
        <v>Bodenplatte C25/30, d = 30 cm, WU-Beton</v>
      </c>
      <c r="C18" s="49">
        <f>Kalkulation!C15</f>
        <v>186</v>
      </c>
      <c r="D18" s="50" t="str">
        <f>Kalkulation!D15</f>
        <v>m³</v>
      </c>
      <c r="E18" s="51">
        <f>Kalkulation!E15</f>
        <v>1.1000000000000001</v>
      </c>
      <c r="F18" s="40">
        <f>Kalkulation!K15</f>
        <v>60.17</v>
      </c>
      <c r="G18" s="40">
        <f>Kalkulation!L15</f>
        <v>136.76</v>
      </c>
      <c r="H18" s="40">
        <f>Kalkulation!M15</f>
        <v>11.17</v>
      </c>
      <c r="I18" s="40">
        <f>Kalkulation!N15</f>
        <v>0</v>
      </c>
      <c r="J18" s="41">
        <f>Kalkulation!O15</f>
        <v>208.1</v>
      </c>
    </row>
    <row r="19" spans="1:10" ht="16.5" customHeight="1" x14ac:dyDescent="0.25">
      <c r="A19" s="48" t="str">
        <f>Kalkulation!A16</f>
        <v>02.0030</v>
      </c>
      <c r="B19" s="48" t="str">
        <f>Kalkulation!B16</f>
        <v>Betonstahl B500B liefern, biegen und verlegen</v>
      </c>
      <c r="C19" s="49">
        <f>Kalkulation!C16</f>
        <v>24500</v>
      </c>
      <c r="D19" s="50" t="str">
        <f>Kalkulation!D16</f>
        <v>kg</v>
      </c>
      <c r="E19" s="51">
        <f>Kalkulation!E16</f>
        <v>0.02</v>
      </c>
      <c r="F19" s="40">
        <f>Kalkulation!K16</f>
        <v>1.1000000000000001</v>
      </c>
      <c r="G19" s="40">
        <f>Kalkulation!L16</f>
        <v>1.22</v>
      </c>
      <c r="H19" s="40">
        <f>Kalkulation!M16</f>
        <v>0.04</v>
      </c>
      <c r="I19" s="40">
        <f>Kalkulation!N16</f>
        <v>0</v>
      </c>
      <c r="J19" s="41">
        <f>Kalkulation!O16</f>
        <v>2.3600000000000003</v>
      </c>
    </row>
    <row r="20" spans="1:10" ht="16.5" customHeight="1" x14ac:dyDescent="0.25">
      <c r="A20" s="48" t="str">
        <f>Kalkulation!A17</f>
        <v>02.0040</v>
      </c>
      <c r="B20" s="48" t="str">
        <f>Kalkulation!B17</f>
        <v>Wandschalung beidseitig, Sichtbetonklasse SB2</v>
      </c>
      <c r="C20" s="49">
        <f>Kalkulation!C17</f>
        <v>1180</v>
      </c>
      <c r="D20" s="50" t="str">
        <f>Kalkulation!D17</f>
        <v>m²</v>
      </c>
      <c r="E20" s="51">
        <f>Kalkulation!E17</f>
        <v>0.55000000000000004</v>
      </c>
      <c r="F20" s="40">
        <f>Kalkulation!K17</f>
        <v>30.09</v>
      </c>
      <c r="G20" s="40">
        <f>Kalkulation!L17</f>
        <v>10.32</v>
      </c>
      <c r="H20" s="40">
        <f>Kalkulation!M17</f>
        <v>3.8</v>
      </c>
      <c r="I20" s="40">
        <f>Kalkulation!N17</f>
        <v>0</v>
      </c>
      <c r="J20" s="41">
        <f>Kalkulation!O17</f>
        <v>44.209999999999994</v>
      </c>
    </row>
    <row r="21" spans="1:10" ht="16.5" customHeight="1" x14ac:dyDescent="0.25">
      <c r="A21" s="48" t="str">
        <f>Kalkulation!A18</f>
        <v>02.0050</v>
      </c>
      <c r="B21" s="48" t="str">
        <f>Kalkulation!B18</f>
        <v>Stahlbetonwände C25/30, d = 24 cm</v>
      </c>
      <c r="C21" s="49">
        <f>Kalkulation!C18</f>
        <v>142</v>
      </c>
      <c r="D21" s="50" t="str">
        <f>Kalkulation!D18</f>
        <v>m³</v>
      </c>
      <c r="E21" s="51">
        <f>Kalkulation!E18</f>
        <v>0.95</v>
      </c>
      <c r="F21" s="40">
        <f>Kalkulation!K18</f>
        <v>51.97</v>
      </c>
      <c r="G21" s="40">
        <f>Kalkulation!L18</f>
        <v>129.81</v>
      </c>
      <c r="H21" s="40">
        <f>Kalkulation!M18</f>
        <v>9.27</v>
      </c>
      <c r="I21" s="40">
        <f>Kalkulation!N18</f>
        <v>0</v>
      </c>
      <c r="J21" s="41">
        <f>Kalkulation!O18</f>
        <v>191.05</v>
      </c>
    </row>
    <row r="22" spans="1:10" ht="16.5" customHeight="1" x14ac:dyDescent="0.25">
      <c r="A22" s="48" t="str">
        <f>Kalkulation!A19</f>
        <v>02.0060</v>
      </c>
      <c r="B22" s="48" t="str">
        <f>Kalkulation!B19</f>
        <v>Deckenelemente als Fertigteil liefern und versetzen</v>
      </c>
      <c r="C22" s="49">
        <f>Kalkulation!C19</f>
        <v>940</v>
      </c>
      <c r="D22" s="50" t="str">
        <f>Kalkulation!D19</f>
        <v>m²</v>
      </c>
      <c r="E22" s="51">
        <f>Kalkulation!E19</f>
        <v>0.18</v>
      </c>
      <c r="F22" s="40">
        <f>Kalkulation!K19</f>
        <v>9.85</v>
      </c>
      <c r="G22" s="40">
        <f>Kalkulation!L19</f>
        <v>53.89</v>
      </c>
      <c r="H22" s="40">
        <f>Kalkulation!M19</f>
        <v>13.31</v>
      </c>
      <c r="I22" s="40">
        <f>Kalkulation!N19</f>
        <v>0</v>
      </c>
      <c r="J22" s="41">
        <f>Kalkulation!O19</f>
        <v>77.05</v>
      </c>
    </row>
    <row r="23" spans="1:10" ht="18.75" customHeight="1" x14ac:dyDescent="0.25">
      <c r="A23" s="9" t="str">
        <f>Kalkulation!A20</f>
        <v>TITEL 03 · MAUER-, PUTZ- UND NEBENLEISTUNGEN</v>
      </c>
      <c r="B23" s="9"/>
      <c r="C23" s="9"/>
      <c r="D23" s="9"/>
      <c r="E23" s="9"/>
      <c r="F23" s="9"/>
      <c r="G23" s="9"/>
      <c r="H23" s="9"/>
      <c r="I23" s="9"/>
      <c r="J23" s="9"/>
    </row>
    <row r="24" spans="1:10" ht="16.5" customHeight="1" x14ac:dyDescent="0.25">
      <c r="A24" s="48" t="str">
        <f>Kalkulation!A21</f>
        <v>03.0010</v>
      </c>
      <c r="B24" s="48" t="str">
        <f>Kalkulation!B21</f>
        <v>Mauerwerk KS 17,5 cm, Dünnbettmörtel</v>
      </c>
      <c r="C24" s="49">
        <f>Kalkulation!C21</f>
        <v>385</v>
      </c>
      <c r="D24" s="50" t="str">
        <f>Kalkulation!D21</f>
        <v>m²</v>
      </c>
      <c r="E24" s="51">
        <f>Kalkulation!E21</f>
        <v>0.62</v>
      </c>
      <c r="F24" s="40">
        <f>Kalkulation!K21</f>
        <v>33.909999999999997</v>
      </c>
      <c r="G24" s="40">
        <f>Kalkulation!L21</f>
        <v>24.8</v>
      </c>
      <c r="H24" s="40">
        <f>Kalkulation!M21</f>
        <v>2.2599999999999998</v>
      </c>
      <c r="I24" s="40">
        <f>Kalkulation!N21</f>
        <v>0</v>
      </c>
      <c r="J24" s="41">
        <f>Kalkulation!O21</f>
        <v>60.969999999999992</v>
      </c>
    </row>
    <row r="25" spans="1:10" ht="16.5" customHeight="1" x14ac:dyDescent="0.25">
      <c r="A25" s="48" t="str">
        <f>Kalkulation!A22</f>
        <v>03.0020</v>
      </c>
      <c r="B25" s="48" t="str">
        <f>Kalkulation!B22</f>
        <v>Innenputz, Gipsmaschinenputz, d = 10 mm</v>
      </c>
      <c r="C25" s="49">
        <f>Kalkulation!C22</f>
        <v>2150</v>
      </c>
      <c r="D25" s="50" t="str">
        <f>Kalkulation!D22</f>
        <v>m²</v>
      </c>
      <c r="E25" s="51">
        <f>Kalkulation!E22</f>
        <v>0.16</v>
      </c>
      <c r="F25" s="40">
        <f>Kalkulation!K22</f>
        <v>8.75</v>
      </c>
      <c r="G25" s="40">
        <f>Kalkulation!L22</f>
        <v>3.59</v>
      </c>
      <c r="H25" s="40">
        <f>Kalkulation!M22</f>
        <v>1.01</v>
      </c>
      <c r="I25" s="40">
        <f>Kalkulation!N22</f>
        <v>0</v>
      </c>
      <c r="J25" s="41">
        <f>Kalkulation!O22</f>
        <v>13.35</v>
      </c>
    </row>
    <row r="26" spans="1:10" ht="16.5" customHeight="1" x14ac:dyDescent="0.25">
      <c r="A26" s="48" t="str">
        <f>Kalkulation!A23</f>
        <v>03.0030</v>
      </c>
      <c r="B26" s="48" t="str">
        <f>Kalkulation!B23</f>
        <v>Arbeits- und Schutzgerüst stellen und vorhalten</v>
      </c>
      <c r="C26" s="49">
        <f>Kalkulation!C23</f>
        <v>1640</v>
      </c>
      <c r="D26" s="50" t="str">
        <f>Kalkulation!D23</f>
        <v>m²</v>
      </c>
      <c r="E26" s="51">
        <f>Kalkulation!E23</f>
        <v>0</v>
      </c>
      <c r="F26" s="40">
        <f>Kalkulation!K23</f>
        <v>0</v>
      </c>
      <c r="G26" s="40">
        <f>Kalkulation!L23</f>
        <v>0</v>
      </c>
      <c r="H26" s="40">
        <f>Kalkulation!M23</f>
        <v>0</v>
      </c>
      <c r="I26" s="40">
        <f>Kalkulation!N23</f>
        <v>8.6999999999999993</v>
      </c>
      <c r="J26" s="41">
        <f>Kalkulation!O23</f>
        <v>8.6999999999999993</v>
      </c>
    </row>
    <row r="27" spans="1:10" ht="16.5" customHeight="1" x14ac:dyDescent="0.25">
      <c r="A27" s="48" t="str">
        <f>Kalkulation!A24</f>
        <v>03.0040</v>
      </c>
      <c r="B27" s="48" t="str">
        <f>Kalkulation!B24</f>
        <v>Stundenlohnarbeiten Facharbeiter</v>
      </c>
      <c r="C27" s="49">
        <f>Kalkulation!C24</f>
        <v>320</v>
      </c>
      <c r="D27" s="50" t="str">
        <f>Kalkulation!D24</f>
        <v>h</v>
      </c>
      <c r="E27" s="51">
        <f>Kalkulation!E24</f>
        <v>1</v>
      </c>
      <c r="F27" s="40">
        <f>Kalkulation!K24</f>
        <v>54.71</v>
      </c>
      <c r="G27" s="40">
        <f>Kalkulation!L24</f>
        <v>2.9</v>
      </c>
      <c r="H27" s="40">
        <f>Kalkulation!M24</f>
        <v>0.71</v>
      </c>
      <c r="I27" s="40">
        <f>Kalkulation!N24</f>
        <v>0</v>
      </c>
      <c r="J27" s="41">
        <f>Kalkulation!O24</f>
        <v>58.32</v>
      </c>
    </row>
    <row r="28" spans="1:10" ht="18.75" customHeight="1" x14ac:dyDescent="0.25">
      <c r="A28" s="9" t="str">
        <f>Kalkulation!A25</f>
        <v>TITEL 04 · EIGENE POSITIONEN (Vorlagezeilen)</v>
      </c>
      <c r="B28" s="9"/>
      <c r="C28" s="9"/>
      <c r="D28" s="9"/>
      <c r="E28" s="9"/>
      <c r="F28" s="9"/>
      <c r="G28" s="9"/>
      <c r="H28" s="9"/>
      <c r="I28" s="9"/>
      <c r="J28" s="9"/>
    </row>
    <row r="29" spans="1:10" ht="16.5" customHeight="1" x14ac:dyDescent="0.25">
      <c r="A29" s="48">
        <f>Kalkulation!A26</f>
        <v>0</v>
      </c>
      <c r="B29" s="48">
        <f>Kalkulation!B26</f>
        <v>0</v>
      </c>
      <c r="C29" s="49">
        <f>Kalkulation!C26</f>
        <v>0</v>
      </c>
      <c r="D29" s="50">
        <f>Kalkulation!D26</f>
        <v>0</v>
      </c>
      <c r="E29" s="51">
        <f>Kalkulation!E26</f>
        <v>0</v>
      </c>
      <c r="F29" s="40">
        <f>Kalkulation!K26</f>
        <v>0</v>
      </c>
      <c r="G29" s="40">
        <f>Kalkulation!L26</f>
        <v>0</v>
      </c>
      <c r="H29" s="40">
        <f>Kalkulation!M26</f>
        <v>0</v>
      </c>
      <c r="I29" s="40">
        <f>Kalkulation!N26</f>
        <v>0</v>
      </c>
      <c r="J29" s="41">
        <f>Kalkulation!O26</f>
        <v>0</v>
      </c>
    </row>
    <row r="30" spans="1:10" ht="16.5" customHeight="1" x14ac:dyDescent="0.25">
      <c r="A30" s="48">
        <f>Kalkulation!A27</f>
        <v>0</v>
      </c>
      <c r="B30" s="48">
        <f>Kalkulation!B27</f>
        <v>0</v>
      </c>
      <c r="C30" s="49">
        <f>Kalkulation!C27</f>
        <v>0</v>
      </c>
      <c r="D30" s="50">
        <f>Kalkulation!D27</f>
        <v>0</v>
      </c>
      <c r="E30" s="51">
        <f>Kalkulation!E27</f>
        <v>0</v>
      </c>
      <c r="F30" s="40">
        <f>Kalkulation!K27</f>
        <v>0</v>
      </c>
      <c r="G30" s="40">
        <f>Kalkulation!L27</f>
        <v>0</v>
      </c>
      <c r="H30" s="40">
        <f>Kalkulation!M27</f>
        <v>0</v>
      </c>
      <c r="I30" s="40">
        <f>Kalkulation!N27</f>
        <v>0</v>
      </c>
      <c r="J30" s="41">
        <f>Kalkulation!O27</f>
        <v>0</v>
      </c>
    </row>
    <row r="31" spans="1:10" ht="16.5" customHeight="1" x14ac:dyDescent="0.25">
      <c r="A31" s="48">
        <f>Kalkulation!A28</f>
        <v>0</v>
      </c>
      <c r="B31" s="48">
        <f>Kalkulation!B28</f>
        <v>0</v>
      </c>
      <c r="C31" s="49">
        <f>Kalkulation!C28</f>
        <v>0</v>
      </c>
      <c r="D31" s="50">
        <f>Kalkulation!D28</f>
        <v>0</v>
      </c>
      <c r="E31" s="51">
        <f>Kalkulation!E28</f>
        <v>0</v>
      </c>
      <c r="F31" s="40">
        <f>Kalkulation!K28</f>
        <v>0</v>
      </c>
      <c r="G31" s="40">
        <f>Kalkulation!L28</f>
        <v>0</v>
      </c>
      <c r="H31" s="40">
        <f>Kalkulation!M28</f>
        <v>0</v>
      </c>
      <c r="I31" s="40">
        <f>Kalkulation!N28</f>
        <v>0</v>
      </c>
      <c r="J31" s="41">
        <f>Kalkulation!O28</f>
        <v>0</v>
      </c>
    </row>
    <row r="32" spans="1:10" ht="16.5" customHeight="1" x14ac:dyDescent="0.25">
      <c r="A32" s="48">
        <f>Kalkulation!A29</f>
        <v>0</v>
      </c>
      <c r="B32" s="48">
        <f>Kalkulation!B29</f>
        <v>0</v>
      </c>
      <c r="C32" s="49">
        <f>Kalkulation!C29</f>
        <v>0</v>
      </c>
      <c r="D32" s="50">
        <f>Kalkulation!D29</f>
        <v>0</v>
      </c>
      <c r="E32" s="51">
        <f>Kalkulation!E29</f>
        <v>0</v>
      </c>
      <c r="F32" s="40">
        <f>Kalkulation!K29</f>
        <v>0</v>
      </c>
      <c r="G32" s="40">
        <f>Kalkulation!L29</f>
        <v>0</v>
      </c>
      <c r="H32" s="40">
        <f>Kalkulation!M29</f>
        <v>0</v>
      </c>
      <c r="I32" s="40">
        <f>Kalkulation!N29</f>
        <v>0</v>
      </c>
      <c r="J32" s="41">
        <f>Kalkulation!O29</f>
        <v>0</v>
      </c>
    </row>
    <row r="34" spans="1:10" ht="12.75" customHeight="1" x14ac:dyDescent="0.25">
      <c r="A34" s="8" t="s">
        <v>132</v>
      </c>
      <c r="B34" s="8"/>
      <c r="C34" s="8"/>
      <c r="D34" s="8"/>
      <c r="E34" s="8"/>
      <c r="F34" s="8"/>
      <c r="G34" s="8"/>
      <c r="H34" s="8"/>
      <c r="I34" s="8"/>
      <c r="J34" s="8"/>
    </row>
    <row r="35" spans="1:10" ht="12.75" customHeight="1" x14ac:dyDescent="0.25">
      <c r="A35" s="8" t="s">
        <v>133</v>
      </c>
      <c r="B35" s="8"/>
      <c r="C35" s="8"/>
      <c r="D35" s="8"/>
      <c r="E35" s="8"/>
      <c r="F35" s="8"/>
      <c r="G35" s="8"/>
      <c r="H35" s="8"/>
      <c r="I35" s="8"/>
      <c r="J35" s="8"/>
    </row>
    <row r="36" spans="1:10" ht="12.75" customHeight="1" x14ac:dyDescent="0.25">
      <c r="A36" s="8" t="s">
        <v>134</v>
      </c>
      <c r="B36" s="8"/>
      <c r="C36" s="8"/>
      <c r="D36" s="8"/>
      <c r="E36" s="8"/>
      <c r="F36" s="8"/>
      <c r="G36" s="8"/>
      <c r="H36" s="8"/>
      <c r="I36" s="8"/>
      <c r="J36" s="8"/>
    </row>
    <row r="37" spans="1:10" ht="12.75" customHeight="1" x14ac:dyDescent="0.25">
      <c r="A37" s="8" t="s">
        <v>135</v>
      </c>
      <c r="B37" s="8"/>
      <c r="C37" s="8"/>
      <c r="D37" s="8"/>
      <c r="E37" s="8"/>
      <c r="F37" s="8"/>
      <c r="G37" s="8"/>
      <c r="H37" s="8"/>
      <c r="I37" s="8"/>
      <c r="J37" s="8"/>
    </row>
    <row r="39" spans="1:10" ht="25.5" customHeight="1" x14ac:dyDescent="0.25">
      <c r="A39" s="52"/>
      <c r="B39" s="52"/>
      <c r="C39" s="52"/>
      <c r="F39" s="52"/>
      <c r="G39" s="52"/>
      <c r="H39" s="52"/>
      <c r="I39" s="52"/>
      <c r="J39" s="52"/>
    </row>
    <row r="40" spans="1:10" x14ac:dyDescent="0.25">
      <c r="A40" s="53" t="s">
        <v>136</v>
      </c>
      <c r="F40" s="53" t="s">
        <v>137</v>
      </c>
    </row>
  </sheetData>
  <mergeCells count="18">
    <mergeCell ref="A36:J36"/>
    <mergeCell ref="A37:J37"/>
    <mergeCell ref="A16:J16"/>
    <mergeCell ref="A23:J23"/>
    <mergeCell ref="A28:J28"/>
    <mergeCell ref="A34:J34"/>
    <mergeCell ref="A35:J35"/>
    <mergeCell ref="B6:F6"/>
    <mergeCell ref="H6:J6"/>
    <mergeCell ref="A8:E8"/>
    <mergeCell ref="F8:J8"/>
    <mergeCell ref="A11:J11"/>
    <mergeCell ref="A1:G2"/>
    <mergeCell ref="H1:J2"/>
    <mergeCell ref="B4:F4"/>
    <mergeCell ref="H4:J4"/>
    <mergeCell ref="B5:F5"/>
    <mergeCell ref="H5:J5"/>
  </mergeCell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6B4F"/>
  </sheetPr>
  <dimension ref="A1:H42"/>
  <sheetViews>
    <sheetView showGridLines="0" zoomScaleNormal="100" workbookViewId="0"/>
  </sheetViews>
  <sheetFormatPr baseColWidth="10" defaultColWidth="8.7109375" defaultRowHeight="15" x14ac:dyDescent="0.25"/>
  <cols>
    <col min="1" max="1" width="2" customWidth="1"/>
    <col min="2" max="2" width="34" customWidth="1"/>
    <col min="3" max="3" width="18" customWidth="1"/>
    <col min="4" max="4" width="46" customWidth="1"/>
    <col min="5" max="5" width="16" customWidth="1"/>
    <col min="6" max="6" width="34" customWidth="1"/>
    <col min="7" max="7" width="18" customWidth="1"/>
    <col min="8" max="8" width="16" customWidth="1"/>
  </cols>
  <sheetData>
    <row r="1" spans="1:8" ht="33.75" customHeight="1" x14ac:dyDescent="0.25">
      <c r="A1" s="14" t="s">
        <v>138</v>
      </c>
      <c r="B1" s="14"/>
      <c r="C1" s="14"/>
      <c r="D1" s="14"/>
      <c r="E1" s="14"/>
      <c r="F1" s="14"/>
      <c r="G1" s="14"/>
      <c r="H1" s="14"/>
    </row>
    <row r="2" spans="1:8" ht="18" customHeight="1" x14ac:dyDescent="0.25">
      <c r="A2" s="7" t="s">
        <v>139</v>
      </c>
      <c r="B2" s="7"/>
      <c r="C2" s="7"/>
      <c r="D2" s="7"/>
      <c r="E2" s="7"/>
      <c r="F2" s="7"/>
      <c r="G2" s="7"/>
      <c r="H2" s="7"/>
    </row>
    <row r="4" spans="1:8" ht="24" customHeight="1" x14ac:dyDescent="0.25">
      <c r="B4" s="54" t="s">
        <v>140</v>
      </c>
      <c r="C4" s="55">
        <f>ROUND(Kalkulation!P30,2)</f>
        <v>413224.65</v>
      </c>
    </row>
    <row r="5" spans="1:8" ht="24" customHeight="1" x14ac:dyDescent="0.25">
      <c r="B5" s="56" t="s">
        <v>141</v>
      </c>
      <c r="C5" s="57">
        <f>ROUND(C4*Stammdaten!$C$29,2)</f>
        <v>78512.679999999993</v>
      </c>
    </row>
    <row r="6" spans="1:8" ht="24" customHeight="1" x14ac:dyDescent="0.25">
      <c r="B6" s="58" t="s">
        <v>142</v>
      </c>
      <c r="C6" s="59">
        <f>ROUND(C4+C5,2)</f>
        <v>491737.33</v>
      </c>
    </row>
    <row r="9" spans="1:8" ht="21.75" customHeight="1" x14ac:dyDescent="0.25">
      <c r="A9" s="6" t="s">
        <v>143</v>
      </c>
      <c r="B9" s="6"/>
      <c r="C9" s="6"/>
      <c r="D9" s="6"/>
      <c r="E9" s="6"/>
      <c r="F9" s="6"/>
      <c r="G9" s="6"/>
      <c r="H9" s="6"/>
    </row>
    <row r="10" spans="1:8" x14ac:dyDescent="0.25">
      <c r="B10" s="60" t="s">
        <v>39</v>
      </c>
      <c r="C10" s="60" t="s">
        <v>144</v>
      </c>
      <c r="D10" s="60" t="s">
        <v>145</v>
      </c>
      <c r="F10" s="60" t="s">
        <v>146</v>
      </c>
      <c r="G10" s="78" t="s">
        <v>63</v>
      </c>
      <c r="H10" s="78"/>
    </row>
    <row r="11" spans="1:8" x14ac:dyDescent="0.25">
      <c r="B11" s="61" t="s">
        <v>44</v>
      </c>
      <c r="C11" s="62">
        <f>ROUND(SUMPRODUCT(Kalkulation!$C$8:$C$29,Kalkulation!$K$8:$K$29),2)</f>
        <v>163950.31</v>
      </c>
      <c r="D11" s="63">
        <f>IF($C$4=0,0,C11/$C$4)</f>
        <v>0.39675830084192698</v>
      </c>
      <c r="F11" s="61" t="s">
        <v>147</v>
      </c>
      <c r="G11" s="79" t="str">
        <f>IF($C$4&gt;Stammdaten!$C$31,"Alle Teilleistungen aufzugliedern",IF($C$4&gt;Stammdaten!$C$30,"Nur die wichtigen Teilleistungen","Aufgliederung i. d. R. nicht gefordert"))</f>
        <v>Alle Teilleistungen aufzugliedern</v>
      </c>
      <c r="H11" s="79"/>
    </row>
    <row r="12" spans="1:8" x14ac:dyDescent="0.25">
      <c r="B12" s="61" t="s">
        <v>45</v>
      </c>
      <c r="C12" s="62">
        <f>ROUND(SUMPRODUCT(Kalkulation!$C$8:$C$29,Kalkulation!$L$8:$L$29),2)</f>
        <v>168818.88</v>
      </c>
      <c r="D12" s="63">
        <f>IF($C$4=0,0,C12/$C$4)</f>
        <v>0.40854019720265961</v>
      </c>
      <c r="F12" s="61" t="s">
        <v>148</v>
      </c>
      <c r="G12" s="79" t="str">
        <f>IF(ROUND(SUM(C11:C14)-$C$4,2)=0,"Stimmig – keine Abweichung","Abweichung: bitte prüfen")</f>
        <v>Stimmig – keine Abweichung</v>
      </c>
      <c r="H12" s="79"/>
    </row>
    <row r="13" spans="1:8" x14ac:dyDescent="0.25">
      <c r="B13" s="61" t="s">
        <v>46</v>
      </c>
      <c r="C13" s="62">
        <f>ROUND(SUMPRODUCT(Kalkulation!$C$8:$C$29,Kalkulation!$M$8:$M$29),2)</f>
        <v>48211.46</v>
      </c>
      <c r="D13" s="63">
        <f>IF($C$4=0,0,C13/$C$4)</f>
        <v>0.11667130699971552</v>
      </c>
      <c r="F13" s="61" t="s">
        <v>149</v>
      </c>
      <c r="G13" s="79" t="str">
        <f>SUMPRODUCT((Kalkulation!$C$8:$C$29&gt;0)*(Kalkulation!$O$8:$O$29=0))&amp;" Position(en)"</f>
        <v>0 Position(en)</v>
      </c>
      <c r="H13" s="79"/>
    </row>
    <row r="14" spans="1:8" x14ac:dyDescent="0.25">
      <c r="B14" s="61" t="s">
        <v>150</v>
      </c>
      <c r="C14" s="62">
        <f>ROUND(SUMPRODUCT(Kalkulation!$C$8:$C$29,Kalkulation!$N$8:$N$29),2)</f>
        <v>32244</v>
      </c>
      <c r="D14" s="63">
        <f>IF($C$4=0,0,C14/$C$4)</f>
        <v>7.8030194955697824E-2</v>
      </c>
      <c r="F14" s="61" t="s">
        <v>151</v>
      </c>
      <c r="G14" s="79" t="str">
        <f>SUMPRODUCT((Kalkulation!$O$8:$O$29&gt;0)*(Kalkulation!$K$8:$K$29&gt;Stammdaten!$C$32*Kalkulation!$O$8:$O$29))&amp;" Position(en)"</f>
        <v>1 Position(en)</v>
      </c>
      <c r="H14" s="79"/>
    </row>
    <row r="15" spans="1:8" x14ac:dyDescent="0.25">
      <c r="B15" s="64" t="s">
        <v>152</v>
      </c>
      <c r="C15" s="65">
        <f>ROUND(SUM(C11:C14),2)</f>
        <v>413224.65</v>
      </c>
      <c r="D15" s="66">
        <f>IF($C$4=0,0,C15/$C$4)</f>
        <v>1</v>
      </c>
      <c r="F15" s="61" t="s">
        <v>153</v>
      </c>
      <c r="G15" s="79" t="str">
        <f>SUMPRODUCT((Kalkulation!$C$8:$C$29&gt;0)*1)&amp;" Position(en)"</f>
        <v>14 Position(en)</v>
      </c>
      <c r="H15" s="79"/>
    </row>
    <row r="16" spans="1:8" x14ac:dyDescent="0.25">
      <c r="F16" s="61" t="s">
        <v>154</v>
      </c>
      <c r="G16" s="80">
        <f>IF(SUMPRODUCT(Kalkulation!$C$8:$C$29,Kalkulation!$J$8:$J$29)=0,0,SUMPRODUCT(Kalkulation!$C$8:$C$29,Kalkulation!$O$8:$O$29)/SUMPRODUCT(Kalkulation!$C$8:$C$29,Kalkulation!$J$8:$J$29)-1)</f>
        <v>0.19097695095577416</v>
      </c>
      <c r="H16" s="80"/>
    </row>
    <row r="18" spans="1:8" ht="21.75" customHeight="1" x14ac:dyDescent="0.25">
      <c r="A18" s="6" t="s">
        <v>155</v>
      </c>
      <c r="B18" s="6"/>
      <c r="C18" s="6"/>
      <c r="D18" s="6"/>
      <c r="E18" s="6"/>
      <c r="F18" s="6"/>
      <c r="G18" s="6"/>
      <c r="H18" s="6"/>
    </row>
    <row r="19" spans="1:8" x14ac:dyDescent="0.25">
      <c r="B19" s="60" t="s">
        <v>156</v>
      </c>
      <c r="C19" s="60" t="s">
        <v>64</v>
      </c>
      <c r="D19" s="60" t="s">
        <v>117</v>
      </c>
      <c r="E19" s="60" t="s">
        <v>157</v>
      </c>
      <c r="F19" s="60" t="s">
        <v>145</v>
      </c>
    </row>
    <row r="20" spans="1:8" x14ac:dyDescent="0.25">
      <c r="B20" s="67">
        <v>1</v>
      </c>
      <c r="C20" s="68" t="str">
        <f>IFERROR(INDEX(Kalkulation!$A$8:$A$29,MATCH(LARGE(Kalkulation!$P$8:$P$29,1),Kalkulation!$P$8:$P$29,0)),"")</f>
        <v>02.0060</v>
      </c>
      <c r="D20" s="68" t="str">
        <f>IFERROR(INDEX(Kalkulation!$B$8:$B$29,MATCH(LARGE(Kalkulation!$P$8:$P$29,1),Kalkulation!$P$8:$P$29,0)),"")</f>
        <v>Deckenelemente als Fertigteil liefern und versetzen</v>
      </c>
      <c r="E20" s="62">
        <f>IFERROR(LARGE(Kalkulation!$P$8:$P$29,1),"")</f>
        <v>72427</v>
      </c>
      <c r="F20" s="69">
        <f>IFERROR(LARGE(Kalkulation!$P$8:$P$29,1)/$C$4,"")</f>
        <v>0.17527269972882789</v>
      </c>
    </row>
    <row r="21" spans="1:8" x14ac:dyDescent="0.25">
      <c r="B21" s="67">
        <v>2</v>
      </c>
      <c r="C21" s="68" t="str">
        <f>IFERROR(INDEX(Kalkulation!$A$8:$A$29,MATCH(LARGE(Kalkulation!$P$8:$P$29,2),Kalkulation!$P$8:$P$29,0)),"")</f>
        <v>02.0030</v>
      </c>
      <c r="D21" s="68" t="str">
        <f>IFERROR(INDEX(Kalkulation!$B$8:$B$29,MATCH(LARGE(Kalkulation!$P$8:$P$29,2),Kalkulation!$P$8:$P$29,0)),"")</f>
        <v>Betonstahl B500B liefern, biegen und verlegen</v>
      </c>
      <c r="E21" s="62">
        <f>IFERROR(LARGE(Kalkulation!$P$8:$P$29,2),"")</f>
        <v>57820</v>
      </c>
      <c r="F21" s="69">
        <f>IFERROR(LARGE(Kalkulation!$P$8:$P$29,2)/$C$4,"")</f>
        <v>0.139923888858034</v>
      </c>
    </row>
    <row r="22" spans="1:8" x14ac:dyDescent="0.25">
      <c r="B22" s="67">
        <v>3</v>
      </c>
      <c r="C22" s="68" t="str">
        <f>IFERROR(INDEX(Kalkulation!$A$8:$A$29,MATCH(LARGE(Kalkulation!$P$8:$P$29,3),Kalkulation!$P$8:$P$29,0)),"")</f>
        <v>02.0040</v>
      </c>
      <c r="D22" s="68" t="str">
        <f>IFERROR(INDEX(Kalkulation!$B$8:$B$29,MATCH(LARGE(Kalkulation!$P$8:$P$29,3),Kalkulation!$P$8:$P$29,0)),"")</f>
        <v>Wandschalung beidseitig, Sichtbetonklasse SB2</v>
      </c>
      <c r="E22" s="62">
        <f>IFERROR(LARGE(Kalkulation!$P$8:$P$29,3),"")</f>
        <v>52167.8</v>
      </c>
      <c r="F22" s="69">
        <f>IFERROR(LARGE(Kalkulation!$P$8:$P$29,3)/$C$4,"")</f>
        <v>0.12624561482476904</v>
      </c>
    </row>
    <row r="23" spans="1:8" x14ac:dyDescent="0.25">
      <c r="B23" s="67">
        <v>4</v>
      </c>
      <c r="C23" s="68" t="str">
        <f>IFERROR(INDEX(Kalkulation!$A$8:$A$29,MATCH(LARGE(Kalkulation!$P$8:$P$29,4),Kalkulation!$P$8:$P$29,0)),"")</f>
        <v>02.0020</v>
      </c>
      <c r="D23" s="68" t="str">
        <f>IFERROR(INDEX(Kalkulation!$B$8:$B$29,MATCH(LARGE(Kalkulation!$P$8:$P$29,4),Kalkulation!$P$8:$P$29,0)),"")</f>
        <v>Bodenplatte C25/30, d = 30 cm, WU-Beton</v>
      </c>
      <c r="E23" s="62">
        <f>IFERROR(LARGE(Kalkulation!$P$8:$P$29,4),"")</f>
        <v>38706.6</v>
      </c>
      <c r="F23" s="69">
        <f>IFERROR(LARGE(Kalkulation!$P$8:$P$29,4)/$C$4,"")</f>
        <v>9.366962982484224E-2</v>
      </c>
    </row>
    <row r="24" spans="1:8" x14ac:dyDescent="0.25">
      <c r="B24" s="67">
        <v>5</v>
      </c>
      <c r="C24" s="68" t="str">
        <f>IFERROR(INDEX(Kalkulation!$A$8:$A$29,MATCH(LARGE(Kalkulation!$P$8:$P$29,5),Kalkulation!$P$8:$P$29,0)),"")</f>
        <v>01.0020</v>
      </c>
      <c r="D24" s="68" t="str">
        <f>IFERROR(INDEX(Kalkulation!$B$8:$B$29,MATCH(LARGE(Kalkulation!$P$8:$P$29,5),Kalkulation!$P$8:$P$29,0)),"")</f>
        <v>Baugrube ausheben, BK 3–5, Aushub abfahren</v>
      </c>
      <c r="E24" s="62">
        <f>IFERROR(LARGE(Kalkulation!$P$8:$P$29,5),"")</f>
        <v>36240</v>
      </c>
      <c r="F24" s="69">
        <f>IFERROR(LARGE(Kalkulation!$P$8:$P$29,5)/$C$4,"")</f>
        <v>8.7700479630147904E-2</v>
      </c>
    </row>
    <row r="41" spans="2:8" ht="15" customHeight="1" x14ac:dyDescent="0.25">
      <c r="B41" s="81" t="s">
        <v>158</v>
      </c>
      <c r="C41" s="81"/>
      <c r="D41" s="81"/>
      <c r="E41" s="81"/>
      <c r="F41" s="81"/>
      <c r="G41" s="81"/>
      <c r="H41" s="81"/>
    </row>
    <row r="42" spans="2:8" x14ac:dyDescent="0.25">
      <c r="B42" s="81"/>
      <c r="C42" s="81"/>
      <c r="D42" s="81"/>
      <c r="E42" s="81"/>
      <c r="F42" s="81"/>
      <c r="G42" s="81"/>
      <c r="H42" s="81"/>
    </row>
  </sheetData>
  <mergeCells count="12">
    <mergeCell ref="A18:H18"/>
    <mergeCell ref="B41:H42"/>
    <mergeCell ref="G12:H12"/>
    <mergeCell ref="G13:H13"/>
    <mergeCell ref="G14:H14"/>
    <mergeCell ref="G15:H15"/>
    <mergeCell ref="G16:H16"/>
    <mergeCell ref="A1:H1"/>
    <mergeCell ref="A2:H2"/>
    <mergeCell ref="A9:H9"/>
    <mergeCell ref="G10:H10"/>
    <mergeCell ref="G11:H11"/>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Stammdaten</vt:lpstr>
      <vt:lpstr>Kalkulation</vt:lpstr>
      <vt:lpstr>Formblatt 223</vt:lpstr>
      <vt:lpstr>Auswertung</vt:lpstr>
      <vt:lpstr>'Formblatt 223'!Druckbereich</vt:lpstr>
      <vt:lpstr>Kalkulation!Druckbereich</vt:lpstr>
      <vt:lpstr>'Formblatt 223'!Drucktitel</vt:lpstr>
      <vt:lpstr>Kalkulation!Drucktitel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2026-07-18T16:13:46Z</dcterms:created>
  <dcterms:modified xsi:type="dcterms:W3CDTF">2026-07-18T16:47:22Z</dcterms:modified>
  <dc:language>en-US</dc:language>
</cp:coreProperties>
</file>