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undenerfassung" sheetId="1" state="visible" r:id="rId3"/>
    <sheet name="Auswertung" sheetId="2" state="visible" r:id="rId4"/>
  </sheets>
  <definedNames>
    <definedName function="false" hidden="false" localSheetId="1" name="_xlnm.Print_Area" vbProcedure="false">Auswertung!$A$1:$T$47</definedName>
    <definedName function="false" hidden="false" localSheetId="0" name="_xlnm.Print_Area" vbProcedure="false">Stundenerfassung!$A$1:$Q$64</definedName>
    <definedName function="false" hidden="false" localSheetId="0" name="_xlnm.Print_Titles" vbProcedure="false">Stundenerfassung!$21:$21</definedName>
    <definedName function="false" hidden="true" localSheetId="0" name="_xlnm._FilterDatabase" vbProcedure="false">Stundenerfassung!$B$21:$P$56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<sst xmlns="http://schemas.openxmlformats.org/spreadsheetml/2006/main" count="176" uniqueCount="134">
  <si>
    <t xml:space="preserve">STUNDEN ADDIEREN – ARBEITSZEITERFASSUNG</t>
  </si>
  <si>
    <t xml:space="preserve">VORLAGE 2026</t>
  </si>
  <si>
    <t xml:space="preserve">Universelle Vorlage zum Erfassen, Addieren und Auswerten von Stunden · Kalenderjahr 2026</t>
  </si>
  <si>
    <t xml:space="preserve">Blatt 1 von 2 · Erfassung</t>
  </si>
  <si>
    <t xml:space="preserve">01</t>
  </si>
  <si>
    <t xml:space="preserve">  STAMMDATEN UND BERECHNUNGSPARAMETER</t>
  </si>
  <si>
    <t xml:space="preserve">Name / Beschäftigte(r)</t>
  </si>
  <si>
    <t xml:space="preserve">Max Mustermann</t>
  </si>
  <si>
    <t xml:space="preserve">Sollstunden je Arbeitstag</t>
  </si>
  <si>
    <t xml:space="preserve">Gilt für Mo–Fr; Sa/So automatisch 0:00</t>
  </si>
  <si>
    <t xml:space="preserve">Personalnummer</t>
  </si>
  <si>
    <t xml:space="preserve">PN-2026-0147</t>
  </si>
  <si>
    <t xml:space="preserve">Verrechnungssatz je Stunde</t>
  </si>
  <si>
    <t xml:space="preserve">Brutto, ohne Zuschläge</t>
  </si>
  <si>
    <t xml:space="preserve">Abteilung / Kostenstelle</t>
  </si>
  <si>
    <t xml:space="preserve">Verwaltung · KST 4100</t>
  </si>
  <si>
    <t xml:space="preserve">Zuschlag auf Mehrstunden</t>
  </si>
  <si>
    <t xml:space="preserve">Aufschlag auf den positiven Tagessaldo</t>
  </si>
  <si>
    <t xml:space="preserve">Erfassungszeitraum von</t>
  </si>
  <si>
    <t xml:space="preserve">Saldo-Übertrag Vormonat</t>
  </si>
  <si>
    <t xml:space="preserve">In Dezimalstunden, negative Werte zulässig</t>
  </si>
  <si>
    <t xml:space="preserve">Erfassungszeitraum bis</t>
  </si>
  <si>
    <t xml:space="preserve">Mindestpause ab 6 Std.</t>
  </si>
  <si>
    <t xml:space="preserve">Vorgabe nach § 4 ArbZG</t>
  </si>
  <si>
    <t xml:space="preserve">Freigabe durch</t>
  </si>
  <si>
    <t xml:space="preserve">Erika Musterfrau</t>
  </si>
  <si>
    <t xml:space="preserve">Mindestpause ab 9 Std.</t>
  </si>
  <si>
    <t xml:space="preserve">GESAMTSTUNDEN IM ZEITRAUM</t>
  </si>
  <si>
    <t xml:space="preserve">DAVON DEZIMALSTUNDEN</t>
  </si>
  <si>
    <t xml:space="preserve">SOLLSTUNDEN</t>
  </si>
  <si>
    <t xml:space="preserve">SALDO INKL. ÜBERTRAG</t>
  </si>
  <si>
    <t xml:space="preserve">VERGÜTUNG GESAMT</t>
  </si>
  <si>
    <t xml:space="preserve">Summe aller erfassten Ist-Stunden</t>
  </si>
  <si>
    <t xml:space="preserve">Format für Lohn und Fakturierung</t>
  </si>
  <si>
    <t xml:space="preserve">Aus Sollzeit je Arbeitstag</t>
  </si>
  <si>
    <t xml:space="preserve">Über-/Unterstunden in Dezimal</t>
  </si>
  <si>
    <t xml:space="preserve">Ist-Stunden × Satz zzgl. Zuschlag</t>
  </si>
  <si>
    <t xml:space="preserve">HINWEIS</t>
  </si>
  <si>
    <t xml:space="preserve">Zeiten im Format HH:MM eintragen · Schichten über Mitternacht und Summen über 24 Stunden werden automatisch korrekt addiert · Die Kennzahlen oben folgen dem gesetzten Filter</t>
  </si>
  <si>
    <t xml:space="preserve">02</t>
  </si>
  <si>
    <t xml:space="preserve">  ZEITERFASSUNG – EINGABE UND AUTOMATISCHE ADDITION</t>
  </si>
  <si>
    <t xml:space="preserve">E I N G A B E   D U R C H   N U T Z E R</t>
  </si>
  <si>
    <t xml:space="preserve">A U T O M A T I S C H E   B E R E C H N U N G</t>
  </si>
  <si>
    <t xml:space="preserve">Nr.</t>
  </si>
  <si>
    <t xml:space="preserve">Datum</t>
  </si>
  <si>
    <t xml:space="preserve">Tag</t>
  </si>
  <si>
    <t xml:space="preserve">Kategorie</t>
  </si>
  <si>
    <t xml:space="preserve">Tätigkeit / Auftrag</t>
  </si>
  <si>
    <t xml:space="preserve">Beginn</t>
  </si>
  <si>
    <t xml:space="preserve">Ende</t>
  </si>
  <si>
    <t xml:space="preserve">Pause</t>
  </si>
  <si>
    <t xml:space="preserve">Anwesenheit
(brutto)</t>
  </si>
  <si>
    <t xml:space="preserve">Ist-Stunden
(hh:mm)</t>
  </si>
  <si>
    <t xml:space="preserve">Ist-Stunden
(dezimal)</t>
  </si>
  <si>
    <t xml:space="preserve">Soll-
stunden</t>
  </si>
  <si>
    <t xml:space="preserve">Saldo
(Std.)</t>
  </si>
  <si>
    <t xml:space="preserve">Vergütung</t>
  </si>
  <si>
    <t xml:space="preserve">Pausenprüfung
§ 4 ArbZG</t>
  </si>
  <si>
    <t xml:space="preserve">Regelarbeitszeit</t>
  </si>
  <si>
    <t xml:space="preserve">Wochenplanung und Teamabstimmung</t>
  </si>
  <si>
    <t xml:space="preserve">Projektarbeit</t>
  </si>
  <si>
    <t xml:space="preserve">Konzeptphase Angebot, Abstimmung</t>
  </si>
  <si>
    <t xml:space="preserve">Tagesgeschäft und Postbearbeitung</t>
  </si>
  <si>
    <t xml:space="preserve">Workshop mit dem Fachbereich</t>
  </si>
  <si>
    <t xml:space="preserve">Dokumentation, Wochenabschluss</t>
  </si>
  <si>
    <t xml:space="preserve">Schulung</t>
  </si>
  <si>
    <t xml:space="preserve">Interne Weiterbildung</t>
  </si>
  <si>
    <t xml:space="preserve">Tagesgeschäft</t>
  </si>
  <si>
    <t xml:space="preserve">Dienstreise</t>
  </si>
  <si>
    <t xml:space="preserve">Auswärtstermin inkl. Fahrzeit</t>
  </si>
  <si>
    <t xml:space="preserve">Nachbereitung Auswärtstermin</t>
  </si>
  <si>
    <t xml:space="preserve">Mobiles Arbeiten</t>
  </si>
  <si>
    <t xml:space="preserve">Berichtswesen und Ablage</t>
  </si>
  <si>
    <t xml:space="preserve">Sonderschicht Wartungsfenster</t>
  </si>
  <si>
    <t xml:space="preserve">Urlaub</t>
  </si>
  <si>
    <t xml:space="preserve">Erholungsurlaub</t>
  </si>
  <si>
    <t xml:space="preserve">Begleitung der Testphase</t>
  </si>
  <si>
    <t xml:space="preserve">Bereitschaft</t>
  </si>
  <si>
    <t xml:space="preserve">Nachtschicht Systemumstellung</t>
  </si>
  <si>
    <t xml:space="preserve">Krankheit</t>
  </si>
  <si>
    <t xml:space="preserve">Arbeitsunfähigkeit, Nachweis liegt vor</t>
  </si>
  <si>
    <t xml:space="preserve">Auswertungen und Reporting</t>
  </si>
  <si>
    <t xml:space="preserve">Abschlussbesprechung Projektphase</t>
  </si>
  <si>
    <t xml:space="preserve">Freizeitausgleich</t>
  </si>
  <si>
    <t xml:space="preserve">Abbau von Mehrstunden</t>
  </si>
  <si>
    <t xml:space="preserve">Monatsabschluss vorbereiten</t>
  </si>
  <si>
    <t xml:space="preserve">Monatsabschluss und Übergabe</t>
  </si>
  <si>
    <t xml:space="preserve">SUMME · ERFASSTER ZEITRAUM GESAMT</t>
  </si>
  <si>
    <t xml:space="preserve">03</t>
  </si>
  <si>
    <t xml:space="preserve">  BESTÄTIGUNG DER ERFASSTEN STUNDEN</t>
  </si>
  <si>
    <t xml:space="preserve">Ort, Datum</t>
  </si>
  <si>
    <t xml:space="preserve">Unterschrift Beschäftigte(r)</t>
  </si>
  <si>
    <t xml:space="preserve">Unterschrift Freigabe / Vorgesetzte(r)</t>
  </si>
  <si>
    <t xml:space="preserve">Diese Vorlage dient der Dokumentation und Addition von Arbeitsstunden. Sie ersetzt keine Rechts- oder Steuerberatung. Aufzeichnungs- und Aufbewahrungspflichten nach § 16 ArbZG und § 17 MiLoG bleiben unberührt.</t>
  </si>
  <si>
    <t xml:space="preserve">AUSWERTUNG DER STUNDENSUMMEN</t>
  </si>
  <si>
    <t xml:space="preserve">Automatische Addition nach Kategorie und Kalenderwoche · Kalenderjahr 2026</t>
  </si>
  <si>
    <t xml:space="preserve">Blatt 2 von 2 · Auswertung</t>
  </si>
  <si>
    <t xml:space="preserve">  STUNDEN JE KATEGORIE</t>
  </si>
  <si>
    <t xml:space="preserve">Einträge</t>
  </si>
  <si>
    <t xml:space="preserve">Stunden
(hh:mm)</t>
  </si>
  <si>
    <t xml:space="preserve">Stunden
(dezimal)</t>
  </si>
  <si>
    <t xml:space="preserve">Anteil</t>
  </si>
  <si>
    <t xml:space="preserve">Feiertag</t>
  </si>
  <si>
    <t xml:space="preserve">GESAMT</t>
  </si>
  <si>
    <t xml:space="preserve">Kategorien lassen sich frei anpassen – Bezeichnung hier und in der Auswahlliste des Erfassungsblattes identisch halten.</t>
  </si>
  <si>
    <t xml:space="preserve">  STUNDEN JE KALENDERWOCHE</t>
  </si>
  <si>
    <t xml:space="preserve">KW</t>
  </si>
  <si>
    <t xml:space="preserve">Von</t>
  </si>
  <si>
    <t xml:space="preserve">Bis</t>
  </si>
  <si>
    <t xml:space="preserve">Sollstunden
(dezimal)</t>
  </si>
  <si>
    <t xml:space="preserve">  KENNZAHLEN ZUM ZEITRAUM</t>
  </si>
  <si>
    <t xml:space="preserve">Erfasste Tage gesamt</t>
  </si>
  <si>
    <t xml:space="preserve">Summe erfasster Pausen</t>
  </si>
  <si>
    <t xml:space="preserve">Tage mit Zeiterfassung</t>
  </si>
  <si>
    <t xml:space="preserve">Tage über 10 Std. (§ 3 ArbZG)</t>
  </si>
  <si>
    <t xml:space="preserve">Ø Ist-Zeit je erfasstem Tag</t>
  </si>
  <si>
    <t xml:space="preserve">Hinweise „Pause zu kurz“</t>
  </si>
  <si>
    <t xml:space="preserve">Längster Arbeitstag (netto)</t>
  </si>
  <si>
    <t xml:space="preserve">Urlaubs- und Krankheitstage</t>
  </si>
  <si>
    <t xml:space="preserve">04</t>
  </si>
  <si>
    <t xml:space="preserve">  SO ARBEITEN SIE MIT DER VORLAGE</t>
  </si>
  <si>
    <t xml:space="preserve">Tragen Sie Datum, Kategorie, Tätigkeit, Beginn, Ende und Pause in die hell hinterlegten Felder des Blattes „Stundenerfassung“ ein. Alle grau hinterlegten Spalten berechnen sich selbst.</t>
  </si>
  <si>
    <t xml:space="preserve">Zeiten im Format HH:MM erfassen (z. B. 08:30). Schichten über Mitternacht werden automatisch erkannt, weil die Berechnung mit der Restwert-Funktion arbeitet – 20:00 bis 05:30 ergibt korrekt 9:30 Stunden.</t>
  </si>
  <si>
    <t xml:space="preserve">Summen über 24 Stunden erscheinen im Format [hh]:mm. Nur so addiert Excel Stunden richtig; im Standardformat hh:mm beginnt die Anzeige nach 24 Stunden wieder bei null.</t>
  </si>
  <si>
    <t xml:space="preserve">Dezimalstunden entstehen durch Multiplikation der Zeit mit 24 und sind das übliche Format für Lohnabrechnung und Rechnungsstellung.</t>
  </si>
  <si>
    <t xml:space="preserve">05</t>
  </si>
  <si>
    <t xml:space="preserve">Die Kennzahlen im Kopfbereich verwenden die Teilergebnis-Funktion: Filtern Sie die Tabelle z. B. nach einer Kategorie, zeigen die Karten sofort nur die Summe dieser Auswahl.</t>
  </si>
  <si>
    <t xml:space="preserve">06</t>
  </si>
  <si>
    <t xml:space="preserve">Urlaub, Krankheit und Feiertag werden automatisch mit den Sollstunden gutgeschrieben – Beginn und Ende bleiben leer. Freizeitausgleich reduziert den Saldo entsprechend.</t>
  </si>
  <si>
    <t xml:space="preserve">07</t>
  </si>
  <si>
    <t xml:space="preserve">Die Pausenprüfung orientiert sich an § 4 ArbZG: mindestens 30 Minuten ab mehr als 6 Stunden und 45 Minuten ab mehr als 9 Stunden. Beide Werte lassen sich oben in den Parametern anpassen.</t>
  </si>
  <si>
    <t xml:space="preserve">08</t>
  </si>
  <si>
    <t xml:space="preserve">Für weitere Zeiträume das Blatt kopieren und Zeitraum, Sollstunden, Verrechnungssatz sowie den Saldo-Übertrag anpassen. Die Auswertung folgt automatisch.</t>
  </si>
  <si>
    <t xml:space="preserve">Diese Vorlage dient der Dokumentation und Addition von Arbeitsstunden. Sie ersetzt keine Rechts- oder Steuerberatung.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</si>
</sst>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[h]:mm"/>
    <numFmt numFmtId="166" formatCode="#,##0.00&quot; €&quot;"/>
    <numFmt numFmtId="167" formatCode="0%"/>
    <numFmt numFmtId="168" formatCode="dd\.mm\.yyyy"/>
    <numFmt numFmtId="169" formatCode="\+#,##0.00;\-#,##0.00;0.00"/>
    <numFmt numFmtId="170" formatCode="0&quot; Min.&quot;"/>
    <numFmt numFmtId="171" formatCode="#,##0.00"/>
    <numFmt numFmtId="172" formatCode="General"/>
    <numFmt numFmtId="173" formatCode="hh:mm"/>
    <numFmt numFmtId="174" formatCode="0.0%"/>
    <numFmt numFmtId="175" formatCode="0"/>
  </numFmts>
  <fonts count="3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7"/>
      <color rgb="FFFFFFFF"/>
      <name val="Calibri"/>
      <family val="0"/>
      <charset val="1"/>
    </font>
    <font>
      <b val="true"/>
      <sz val="10"/>
      <color rgb="FFE8C9B4"/>
      <name val="Calibri"/>
      <family val="0"/>
      <charset val="1"/>
    </font>
    <font>
      <sz val="9.5"/>
      <color rgb="FFB7CDD2"/>
      <name val="Calibri"/>
      <family val="0"/>
      <charset val="1"/>
    </font>
    <font>
      <sz val="8.5"/>
      <color rgb="FFB7CDD2"/>
      <name val="Calibri"/>
      <family val="0"/>
      <charset val="1"/>
    </font>
    <font>
      <b val="true"/>
      <sz val="9.5"/>
      <color rgb="FFFFFFFF"/>
      <name val="Calibri"/>
      <family val="0"/>
      <charset val="1"/>
    </font>
    <font>
      <b val="true"/>
      <sz val="10.5"/>
      <color rgb="FF22303A"/>
      <name val="Calibri"/>
      <family val="0"/>
      <charset val="1"/>
    </font>
    <font>
      <sz val="9.5"/>
      <color rgb="FF22303A"/>
      <name val="Calibri"/>
      <family val="0"/>
      <charset val="1"/>
    </font>
    <font>
      <b val="true"/>
      <sz val="10"/>
      <color rgb="FF0F3D46"/>
      <name val="Calibri"/>
      <family val="0"/>
      <charset val="1"/>
    </font>
    <font>
      <i val="true"/>
      <sz val="8.5"/>
      <color rgb="FF6E8189"/>
      <name val="Calibri"/>
      <family val="0"/>
      <charset val="1"/>
    </font>
    <font>
      <b val="true"/>
      <sz val="8"/>
      <color rgb="FF9FBCC3"/>
      <name val="Calibri"/>
      <family val="0"/>
      <charset val="1"/>
    </font>
    <font>
      <b val="true"/>
      <sz val="8"/>
      <color rgb="FF6E8189"/>
      <name val="Calibri"/>
      <family val="0"/>
      <charset val="1"/>
    </font>
    <font>
      <b val="true"/>
      <sz val="19"/>
      <color rgb="FFFFFFFF"/>
      <name val="Calibri"/>
      <family val="0"/>
      <charset val="1"/>
    </font>
    <font>
      <b val="true"/>
      <sz val="19"/>
      <color rgb="FF0F3D46"/>
      <name val="Calibri"/>
      <family val="0"/>
      <charset val="1"/>
    </font>
    <font>
      <i val="true"/>
      <sz val="8"/>
      <color rgb="FF8FAEB6"/>
      <name val="Calibri"/>
      <family val="0"/>
      <charset val="1"/>
    </font>
    <font>
      <i val="true"/>
      <sz val="8"/>
      <color rgb="FF6E8189"/>
      <name val="Calibri"/>
      <family val="0"/>
      <charset val="1"/>
    </font>
    <font>
      <b val="true"/>
      <sz val="8"/>
      <color rgb="FF8E4620"/>
      <name val="Calibri"/>
      <family val="0"/>
      <charset val="1"/>
    </font>
    <font>
      <sz val="8.5"/>
      <color rgb="FF6E8189"/>
      <name val="Calibri"/>
      <family val="0"/>
      <charset val="1"/>
    </font>
    <font>
      <b val="true"/>
      <sz val="7.5"/>
      <color rgb="FF8E4620"/>
      <name val="Calibri"/>
      <family val="0"/>
      <charset val="1"/>
    </font>
    <font>
      <b val="true"/>
      <sz val="7.5"/>
      <color rgb="FF1C5C6B"/>
      <name val="Calibri"/>
      <family val="0"/>
      <charset val="1"/>
    </font>
    <font>
      <b val="true"/>
      <sz val="8.5"/>
      <color rgb="FFFFFFFF"/>
      <name val="Calibri"/>
      <family val="0"/>
      <charset val="1"/>
    </font>
    <font>
      <b val="true"/>
      <sz val="9.5"/>
      <color rgb="FF1C5C6B"/>
      <name val="Calibri"/>
      <family val="0"/>
      <charset val="1"/>
    </font>
    <font>
      <sz val="9.5"/>
      <color rgb="FF1C5C6B"/>
      <name val="Calibri"/>
      <family val="0"/>
      <charset val="1"/>
    </font>
    <font>
      <b val="true"/>
      <sz val="9.5"/>
      <color rgb="FF0F3D46"/>
      <name val="Calibri"/>
      <family val="0"/>
      <charset val="1"/>
    </font>
    <font>
      <b val="true"/>
      <sz val="10.5"/>
      <color rgb="FFFFFFFF"/>
      <name val="Calibri"/>
      <family val="0"/>
      <charset val="1"/>
    </font>
    <font>
      <b val="true"/>
      <sz val="9"/>
      <color rgb="FFE8C9B4"/>
      <name val="Calibri"/>
      <family val="0"/>
      <charset val="1"/>
    </font>
    <font>
      <b val="true"/>
      <sz val="8.5"/>
      <color rgb="FFBF6330"/>
      <name val="Calibri"/>
      <family val="0"/>
      <charset val="1"/>
    </font>
    <font>
      <sz val="8.5"/>
      <color rgb="FF22303A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F3D46"/>
        <bgColor rgb="FF22303A"/>
      </patternFill>
    </fill>
    <fill>
      <patternFill patternType="solid">
        <fgColor rgb="FFBF6330"/>
        <bgColor rgb="FF8E4620"/>
      </patternFill>
    </fill>
    <fill>
      <patternFill patternType="solid">
        <fgColor rgb="FFFDF6E9"/>
        <bgColor rgb="FFF3F7F8"/>
      </patternFill>
    </fill>
    <fill>
      <patternFill patternType="solid">
        <fgColor rgb="FF1C5C6B"/>
        <bgColor rgb="FF1E6B41"/>
      </patternFill>
    </fill>
    <fill>
      <patternFill patternType="solid">
        <fgColor rgb="FFE4EDEF"/>
        <bgColor rgb="FFDBE5E8"/>
      </patternFill>
    </fill>
    <fill>
      <patternFill patternType="solid">
        <fgColor rgb="FFF3F7F8"/>
        <bgColor rgb="FFFDF6E9"/>
      </patternFill>
    </fill>
    <fill>
      <patternFill patternType="solid">
        <fgColor rgb="FFFFFFFF"/>
        <bgColor rgb="FFF3F7F8"/>
      </patternFill>
    </fill>
  </fills>
  <borders count="10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0F3D46"/>
      </bottom>
      <diagonal/>
    </border>
    <border diagonalUp="false" diagonalDown="false">
      <left style="thin">
        <color rgb="FFCBD8DB"/>
      </left>
      <right style="thin">
        <color rgb="FFCBD8DB"/>
      </right>
      <top style="thin">
        <color rgb="FFCBD8DB"/>
      </top>
      <bottom style="thin">
        <color rgb="FFCBD8DB"/>
      </bottom>
      <diagonal/>
    </border>
    <border diagonalUp="false" diagonalDown="false">
      <left style="thin">
        <color rgb="FFFFFFFF"/>
      </left>
      <right style="thin">
        <color rgb="FFFFFFFF"/>
      </right>
      <top/>
      <bottom/>
      <diagonal/>
    </border>
    <border diagonalUp="false" diagonalDown="false"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 diagonalUp="false" diagonalDown="false">
      <left style="thin">
        <color rgb="FF1C5C6B"/>
      </left>
      <right style="thin">
        <color rgb="FF1C5C6B"/>
      </right>
      <top/>
      <bottom style="medium">
        <color rgb="FFBF6330"/>
      </bottom>
      <diagonal/>
    </border>
    <border diagonalUp="false" diagonalDown="false">
      <left style="hair">
        <color rgb="FFAFC6CB"/>
      </left>
      <right style="hair">
        <color rgb="FFAFC6CB"/>
      </right>
      <top/>
      <bottom style="hair">
        <color rgb="FFAFC6CB"/>
      </bottom>
      <diagonal/>
    </border>
    <border diagonalUp="false" diagonalDown="false">
      <left/>
      <right/>
      <top style="medium">
        <color rgb="FFBF6330"/>
      </top>
      <bottom/>
      <diagonal/>
    </border>
    <border diagonalUp="false" diagonalDown="false">
      <left/>
      <right/>
      <top/>
      <bottom style="thin">
        <color rgb="FF22303A"/>
      </bottom>
      <diagonal/>
    </border>
    <border diagonalUp="false" diagonalDown="false">
      <left/>
      <right/>
      <top/>
      <bottom style="hair">
        <color rgb="FFAFC6C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1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1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1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1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3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14" fillId="6" borderId="3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5" fontId="15" fillId="2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1" fontId="16" fillId="6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6" fillId="6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9" fontId="16" fillId="6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16" fillId="6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7" fillId="2" borderId="4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18" fillId="6" borderId="4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1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20" fillId="7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7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3" fontId="10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0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5" fillId="7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6" fillId="7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5" fillId="7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4" fillId="7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5" fillId="7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0" fillId="7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7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0" fontId="27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7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7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7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7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8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8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8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2" fontId="25" fillId="8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6" fillId="8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5" fillId="8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25" fillId="8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5" fillId="8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7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2" fontId="25" fillId="7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25" fillId="7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5" fontId="27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27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2" fontId="24" fillId="8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5" fillId="8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4" fillId="8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24" fillId="7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5" fillId="7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5" fontId="11" fillId="6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6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3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6">
    <dxf>
      <fill>
        <patternFill patternType="solid">
          <fgColor rgb="FF0F3D46"/>
          <bgColor rgb="FF000000"/>
        </patternFill>
      </fill>
    </dxf>
    <dxf>
      <fill>
        <patternFill patternType="solid">
          <fgColor rgb="FFDBE5E8"/>
          <bgColor rgb="FF000000"/>
        </patternFill>
      </fill>
    </dxf>
    <dxf>
      <fill>
        <patternFill patternType="solid">
          <fgColor rgb="FFF3F7F8"/>
          <bgColor rgb="FF000000"/>
        </patternFill>
      </fill>
    </dxf>
    <dxf>
      <fill>
        <patternFill patternType="solid">
          <fgColor rgb="FF6E8189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DF6E9"/>
          <bgColor rgb="FF000000"/>
        </patternFill>
      </fill>
    </dxf>
    <dxf>
      <fill>
        <patternFill patternType="solid">
          <fgColor rgb="FF22303A"/>
          <bgColor rgb="FF000000"/>
        </patternFill>
      </fill>
    </dxf>
    <dxf>
      <fill>
        <patternFill patternType="solid">
          <fgColor rgb="FF1C5C6B"/>
          <bgColor rgb="FF000000"/>
        </patternFill>
      </fill>
    </dxf>
    <dxf>
      <fill>
        <patternFill patternType="solid">
          <fgColor rgb="FF1E6B41"/>
          <bgColor rgb="FF000000"/>
        </patternFill>
      </fill>
    </dxf>
    <dxf>
      <fill>
        <patternFill patternType="solid">
          <fgColor rgb="FFB3261E"/>
          <bgColor rgb="FF000000"/>
        </patternFill>
      </fill>
    </dxf>
    <dxf>
      <fill>
        <patternFill patternType="solid">
          <fgColor rgb="FFFBEADF"/>
          <bgColor rgb="FF000000"/>
        </patternFill>
      </fill>
    </dxf>
    <dxf>
      <fill>
        <patternFill patternType="solid">
          <fgColor rgb="FF8E4620"/>
          <bgColor rgb="FF000000"/>
        </patternFill>
      </fill>
    </dxf>
    <dxf>
      <font>
        <name val="Calibri"/>
        <charset val="1"/>
        <family val="0"/>
        <b val="1"/>
        <color rgb="FF8E4620"/>
        <sz val="8"/>
      </font>
      <fill>
        <patternFill>
          <bgColor rgb="FFFBEADF"/>
        </patternFill>
      </fill>
    </dxf>
    <dxf>
      <font>
        <name val="Calibri"/>
        <charset val="1"/>
        <family val="0"/>
        <b val="1"/>
        <color rgb="FFB3261E"/>
        <sz val="9"/>
      </font>
    </dxf>
    <dxf>
      <font>
        <name val="Calibri"/>
        <charset val="1"/>
        <family val="0"/>
        <b val="1"/>
        <color rgb="FF1E6B41"/>
        <sz val="9"/>
      </font>
    </dxf>
    <dxf>
      <fill>
        <patternFill>
          <bgColor rgb="FFDBE5E8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E6B41"/>
      <rgbColor rgb="FFAFC6CB"/>
      <rgbColor rgb="FF878787"/>
      <rgbColor rgb="FF9FBCC3"/>
      <rgbColor rgb="FFB3261E"/>
      <rgbColor rgb="FFFDF6E9"/>
      <rgbColor rgb="FFE4EDEF"/>
      <rgbColor rgb="FF660066"/>
      <rgbColor rgb="FFFF8080"/>
      <rgbColor rgb="FF0066CC"/>
      <rgbColor rgb="FFCBD8DB"/>
      <rgbColor rgb="FF000080"/>
      <rgbColor rgb="FFFF00FF"/>
      <rgbColor rgb="FFFFFF00"/>
      <rgbColor rgb="FF00FFFF"/>
      <rgbColor rgb="FF800080"/>
      <rgbColor rgb="FF800000"/>
      <rgbColor rgb="FF1C5C6B"/>
      <rgbColor rgb="FF0000FF"/>
      <rgbColor rgb="FF00CCFF"/>
      <rgbColor rgb="FFF3F7F8"/>
      <rgbColor rgb="FFDBE5E8"/>
      <rgbColor rgb="FFFBEADF"/>
      <rgbColor rgb="FFB7CDD2"/>
      <rgbColor rgb="FFFF99CC"/>
      <rgbColor rgb="FFD9D9D9"/>
      <rgbColor rgb="FFE8C9B4"/>
      <rgbColor rgb="FF3366FF"/>
      <rgbColor rgb="FF33CCCC"/>
      <rgbColor rgb="FF99CC00"/>
      <rgbColor rgb="FFFFCC00"/>
      <rgbColor rgb="FFFF9900"/>
      <rgbColor rgb="FFBF6330"/>
      <rgbColor rgb="FF6E8189"/>
      <rgbColor rgb="FF8FAEB6"/>
      <rgbColor rgb="FF0F3D46"/>
      <rgbColor rgb="FF339966"/>
      <rgbColor rgb="FF003300"/>
      <rgbColor rgb="FF333300"/>
      <rgbColor rgb="FF8E4620"/>
      <rgbColor rgb="FF993366"/>
      <rgbColor rgb="FF333399"/>
      <rgbColor rgb="FF22303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Stunden je Kategorie (dezimal)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Auswertung!F7</c:f>
              <c:strCache>
                <c:ptCount val="1"/>
                <c:pt idx="0">
                  <c:v>Stunden
(dezimal)</c:v>
                </c:pt>
              </c:strCache>
            </c:strRef>
          </c:tx>
          <c:spPr>
            <a:solidFill>
              <a:srgbClr val="1c5c6b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Auswertung!$C$8:$C$17</c:f>
              <c:strCache>
                <c:ptCount val="10"/>
                <c:pt idx="0">
                  <c:v>Regelarbeitszeit</c:v>
                </c:pt>
                <c:pt idx="1">
                  <c:v>Projektarbeit</c:v>
                </c:pt>
                <c:pt idx="2">
                  <c:v>Mobiles Arbeiten</c:v>
                </c:pt>
                <c:pt idx="3">
                  <c:v>Dienstreise</c:v>
                </c:pt>
                <c:pt idx="4">
                  <c:v>Schulung</c:v>
                </c:pt>
                <c:pt idx="5">
                  <c:v>Bereitschaft</c:v>
                </c:pt>
                <c:pt idx="6">
                  <c:v>Urlaub</c:v>
                </c:pt>
                <c:pt idx="7">
                  <c:v>Krankheit</c:v>
                </c:pt>
                <c:pt idx="8">
                  <c:v>Feiertag</c:v>
                </c:pt>
                <c:pt idx="9">
                  <c:v>Freizeitausgleich</c:v>
                </c:pt>
              </c:strCache>
            </c:strRef>
          </c:cat>
          <c:val>
            <c:numRef>
              <c:f>Auswertung!$F$8:$F$17</c:f>
              <c:numCache>
                <c:formatCode>#,##0.00</c:formatCode>
                <c:ptCount val="10"/>
                <c:pt idx="0">
                  <c:v>70</c:v>
                </c:pt>
                <c:pt idx="1">
                  <c:v>40.5</c:v>
                </c:pt>
                <c:pt idx="2">
                  <c:v>15.5</c:v>
                </c:pt>
                <c:pt idx="3">
                  <c:v>10.75</c:v>
                </c:pt>
                <c:pt idx="4">
                  <c:v>7</c:v>
                </c:pt>
                <c:pt idx="5">
                  <c:v>8.5</c:v>
                </c:pt>
                <c:pt idx="6">
                  <c:v>16</c:v>
                </c:pt>
                <c:pt idx="7">
                  <c:v>8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gapWidth val="150"/>
        <c:overlap val="0"/>
        <c:axId val="93173571"/>
        <c:axId val="71824836"/>
      </c:barChart>
      <c:catAx>
        <c:axId val="931735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1824836"/>
        <c:crosses val="autoZero"/>
        <c:auto val="1"/>
        <c:lblAlgn val="ctr"/>
        <c:lblOffset val="100"/>
        <c:noMultiLvlLbl val="0"/>
      </c:catAx>
      <c:valAx>
        <c:axId val="7182483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.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3173571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Ist- und Sollstunden je Kalenderwoche (dezimal)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Auswertung!F21</c:f>
              <c:strCache>
                <c:ptCount val="1"/>
                <c:pt idx="0">
                  <c:v>Ist-Stunden
(dezimal)</c:v>
                </c:pt>
              </c:strCache>
            </c:strRef>
          </c:tx>
          <c:spPr>
            <a:solidFill>
              <a:srgbClr val="1c5c6b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Auswertung!$B$22:$B$27</c:f>
              <c:strCache>
                <c:ptCount val="6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/>
                </c:pt>
              </c:strCache>
            </c:strRef>
          </c:cat>
          <c:val>
            <c:numRef>
              <c:f>Auswertung!$F$22:$F$27</c:f>
              <c:numCache>
                <c:formatCode>#,##0.00</c:formatCode>
                <c:ptCount val="6"/>
                <c:pt idx="0">
                  <c:v>39.75</c:v>
                </c:pt>
                <c:pt idx="1">
                  <c:v>45.75</c:v>
                </c:pt>
                <c:pt idx="2">
                  <c:v>41.75</c:v>
                </c:pt>
                <c:pt idx="3">
                  <c:v>32.75</c:v>
                </c:pt>
                <c:pt idx="4">
                  <c:v>16.25</c:v>
                </c:pt>
              </c:numCache>
            </c:numRef>
          </c:val>
        </c:ser>
        <c:ser>
          <c:idx val="1"/>
          <c:order val="1"/>
          <c:tx>
            <c:strRef>
              <c:f>Auswertung!G21</c:f>
              <c:strCache>
                <c:ptCount val="1"/>
                <c:pt idx="0">
                  <c:v>Sollstunden
(dezimal)</c:v>
                </c:pt>
              </c:strCache>
            </c:strRef>
          </c:tx>
          <c:spPr>
            <a:solidFill>
              <a:srgbClr val="bf6330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Auswertung!$B$22:$B$27</c:f>
              <c:strCache>
                <c:ptCount val="6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/>
                </c:pt>
              </c:strCache>
            </c:strRef>
          </c:cat>
          <c:val>
            <c:numRef>
              <c:f>Auswertung!$G$22:$G$27</c:f>
              <c:numCache>
                <c:formatCode>#,##0.00</c:formatCode>
                <c:ptCount val="6"/>
                <c:pt idx="0">
                  <c:v>40</c:v>
                </c:pt>
                <c:pt idx="1">
                  <c:v>40</c:v>
                </c:pt>
                <c:pt idx="2">
                  <c:v>40</c:v>
                </c:pt>
                <c:pt idx="3">
                  <c:v>40</c:v>
                </c:pt>
                <c:pt idx="4">
                  <c:v>16</c:v>
                </c:pt>
              </c:numCache>
            </c:numRef>
          </c:val>
        </c:ser>
        <c:gapWidth val="150"/>
        <c:overlap val="0"/>
        <c:axId val="45643286"/>
        <c:axId val="45290003"/>
      </c:barChart>
      <c:catAx>
        <c:axId val="4564328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5290003"/>
        <c:crosses val="autoZero"/>
        <c:auto val="1"/>
        <c:lblAlgn val="ctr"/>
        <c:lblOffset val="100"/>
        <c:noMultiLvlLbl val="0"/>
      </c:catAx>
      <c:valAx>
        <c:axId val="4529000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.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5643286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0</xdr:colOff>
      <xdr:row>5</xdr:row>
      <xdr:rowOff>0</xdr:rowOff>
    </xdr:from>
    <xdr:to>
      <xdr:col>16</xdr:col>
      <xdr:colOff>169920</xdr:colOff>
      <xdr:row>18</xdr:row>
      <xdr:rowOff>123840</xdr:rowOff>
    </xdr:to>
    <xdr:graphicFrame>
      <xdr:nvGraphicFramePr>
        <xdr:cNvPr id="0" name="Chart 1"/>
        <xdr:cNvGraphicFramePr/>
      </xdr:nvGraphicFramePr>
      <xdr:xfrm>
        <a:off x="7577280" y="838080"/>
        <a:ext cx="4859640" cy="3095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20</xdr:row>
      <xdr:rowOff>0</xdr:rowOff>
    </xdr:from>
    <xdr:to>
      <xdr:col>16</xdr:col>
      <xdr:colOff>169920</xdr:colOff>
      <xdr:row>33</xdr:row>
      <xdr:rowOff>152280</xdr:rowOff>
    </xdr:to>
    <xdr:graphicFrame>
      <xdr:nvGraphicFramePr>
        <xdr:cNvPr id="1" name="Chart 2"/>
        <xdr:cNvGraphicFramePr/>
      </xdr:nvGraphicFramePr>
      <xdr:xfrm>
        <a:off x="7577280" y="4248000"/>
        <a:ext cx="4859640" cy="3095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F3D46"/>
    <pageSetUpPr fitToPage="true"/>
  </sheetPr>
  <dimension ref="A1:Q6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2" activeCellId="0" sqref="C2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5.51"/>
    <col collapsed="false" customWidth="true" hidden="false" outlineLevel="0" max="3" min="3" style="0" width="12.5"/>
    <col collapsed="false" customWidth="true" hidden="false" outlineLevel="0" max="4" min="4" style="0" width="10.51"/>
    <col collapsed="false" customWidth="true" hidden="false" outlineLevel="0" max="5" min="5" style="0" width="20"/>
    <col collapsed="false" customWidth="true" hidden="false" outlineLevel="0" max="6" min="6" style="0" width="28"/>
    <col collapsed="false" customWidth="true" hidden="false" outlineLevel="0" max="8" min="7" style="0" width="9.51"/>
    <col collapsed="false" customWidth="true" hidden="false" outlineLevel="0" max="9" min="9" style="0" width="10.51"/>
    <col collapsed="false" customWidth="true" hidden="false" outlineLevel="0" max="12" min="10" style="0" width="12.5"/>
    <col collapsed="false" customWidth="true" hidden="false" outlineLevel="0" max="14" min="13" style="0" width="11"/>
    <col collapsed="false" customWidth="true" hidden="false" outlineLevel="0" max="15" min="15" style="0" width="13"/>
    <col collapsed="false" customWidth="true" hidden="false" outlineLevel="0" max="16" min="16" style="0" width="17.5"/>
    <col collapsed="false" customWidth="true" hidden="false" outlineLevel="0" max="17" min="17" style="0" width="2.5"/>
  </cols>
  <sheetData>
    <row r="1" customFormat="false" ht="6" hidden="false" customHeight="true" outlineLevel="0" collapsed="false"/>
    <row r="2" customFormat="false" ht="30" hidden="false" customHeight="true" outlineLevel="0" collapsed="false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3" t="s">
        <v>1</v>
      </c>
      <c r="N2" s="3"/>
      <c r="O2" s="3"/>
      <c r="P2" s="3"/>
      <c r="Q2" s="3"/>
    </row>
    <row r="3" customFormat="false" ht="16.5" hidden="false" customHeight="true" outlineLevel="0" collapsed="false">
      <c r="A3" s="1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</v>
      </c>
      <c r="N3" s="5"/>
      <c r="O3" s="5"/>
      <c r="P3" s="5"/>
      <c r="Q3" s="5"/>
    </row>
    <row r="4" customFormat="false" ht="4.5" hidden="false" customHeight="true" outlineLevel="0" collapsed="false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customFormat="false" ht="9" hidden="false" customHeight="true" outlineLevel="0" collapsed="false"/>
    <row r="6" customFormat="false" ht="19.5" hidden="false" customHeight="true" outlineLevel="0" collapsed="false">
      <c r="B6" s="7" t="s">
        <v>4</v>
      </c>
      <c r="C6" s="8" t="s">
        <v>5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customFormat="false" ht="16.5" hidden="false" customHeight="true" outlineLevel="0" collapsed="false">
      <c r="B7" s="9" t="s">
        <v>6</v>
      </c>
      <c r="C7" s="9"/>
      <c r="D7" s="9"/>
      <c r="E7" s="10" t="s">
        <v>7</v>
      </c>
      <c r="F7" s="10"/>
      <c r="G7" s="10"/>
      <c r="H7" s="10"/>
      <c r="I7" s="9" t="s">
        <v>8</v>
      </c>
      <c r="J7" s="9"/>
      <c r="K7" s="9"/>
      <c r="L7" s="11" t="n">
        <v>0.333333333333333</v>
      </c>
      <c r="M7" s="11"/>
      <c r="N7" s="12" t="s">
        <v>9</v>
      </c>
      <c r="O7" s="12"/>
      <c r="P7" s="12"/>
    </row>
    <row r="8" customFormat="false" ht="16.5" hidden="false" customHeight="true" outlineLevel="0" collapsed="false">
      <c r="B8" s="9" t="s">
        <v>10</v>
      </c>
      <c r="C8" s="9"/>
      <c r="D8" s="9"/>
      <c r="E8" s="10" t="s">
        <v>11</v>
      </c>
      <c r="F8" s="10"/>
      <c r="G8" s="10"/>
      <c r="H8" s="10"/>
      <c r="I8" s="9" t="s">
        <v>12</v>
      </c>
      <c r="J8" s="9"/>
      <c r="K8" s="9"/>
      <c r="L8" s="13" t="n">
        <v>42.5</v>
      </c>
      <c r="M8" s="13"/>
      <c r="N8" s="12" t="s">
        <v>13</v>
      </c>
      <c r="O8" s="12"/>
      <c r="P8" s="12"/>
    </row>
    <row r="9" customFormat="false" ht="16.5" hidden="false" customHeight="true" outlineLevel="0" collapsed="false">
      <c r="B9" s="9" t="s">
        <v>14</v>
      </c>
      <c r="C9" s="9"/>
      <c r="D9" s="9"/>
      <c r="E9" s="10" t="s">
        <v>15</v>
      </c>
      <c r="F9" s="10"/>
      <c r="G9" s="10"/>
      <c r="H9" s="10"/>
      <c r="I9" s="9" t="s">
        <v>16</v>
      </c>
      <c r="J9" s="9"/>
      <c r="K9" s="9"/>
      <c r="L9" s="14" t="n">
        <v>0.25</v>
      </c>
      <c r="M9" s="14"/>
      <c r="N9" s="12" t="s">
        <v>17</v>
      </c>
      <c r="O9" s="12"/>
      <c r="P9" s="12"/>
    </row>
    <row r="10" customFormat="false" ht="16.5" hidden="false" customHeight="true" outlineLevel="0" collapsed="false">
      <c r="B10" s="9" t="s">
        <v>18</v>
      </c>
      <c r="C10" s="9"/>
      <c r="D10" s="9"/>
      <c r="E10" s="15" t="n">
        <v>46083</v>
      </c>
      <c r="F10" s="15"/>
      <c r="G10" s="15"/>
      <c r="H10" s="15"/>
      <c r="I10" s="9" t="s">
        <v>19</v>
      </c>
      <c r="J10" s="9"/>
      <c r="K10" s="9"/>
      <c r="L10" s="16" t="n">
        <v>2.25</v>
      </c>
      <c r="M10" s="16"/>
      <c r="N10" s="12" t="s">
        <v>20</v>
      </c>
      <c r="O10" s="12"/>
      <c r="P10" s="12"/>
    </row>
    <row r="11" customFormat="false" ht="16.5" hidden="false" customHeight="true" outlineLevel="0" collapsed="false">
      <c r="B11" s="9" t="s">
        <v>21</v>
      </c>
      <c r="C11" s="9"/>
      <c r="D11" s="9"/>
      <c r="E11" s="15" t="n">
        <v>46112</v>
      </c>
      <c r="F11" s="15"/>
      <c r="G11" s="15"/>
      <c r="H11" s="15"/>
      <c r="I11" s="9" t="s">
        <v>22</v>
      </c>
      <c r="J11" s="9"/>
      <c r="K11" s="9"/>
      <c r="L11" s="17" t="n">
        <v>30</v>
      </c>
      <c r="M11" s="17"/>
      <c r="N11" s="12" t="s">
        <v>23</v>
      </c>
      <c r="O11" s="12"/>
      <c r="P11" s="12"/>
    </row>
    <row r="12" customFormat="false" ht="16.5" hidden="false" customHeight="true" outlineLevel="0" collapsed="false">
      <c r="B12" s="9" t="s">
        <v>24</v>
      </c>
      <c r="C12" s="9"/>
      <c r="D12" s="9"/>
      <c r="E12" s="10" t="s">
        <v>25</v>
      </c>
      <c r="F12" s="10"/>
      <c r="G12" s="10"/>
      <c r="H12" s="10"/>
      <c r="I12" s="9" t="s">
        <v>26</v>
      </c>
      <c r="J12" s="9"/>
      <c r="K12" s="9"/>
      <c r="L12" s="17" t="n">
        <v>45</v>
      </c>
      <c r="M12" s="17"/>
      <c r="N12" s="12" t="s">
        <v>23</v>
      </c>
      <c r="O12" s="12"/>
      <c r="P12" s="12"/>
    </row>
    <row r="13" customFormat="false" ht="9.75" hidden="false" customHeight="true" outlineLevel="0" collapsed="false"/>
    <row r="14" customFormat="false" ht="3.75" hidden="false" customHeight="true" outlineLevel="0" collapsed="false">
      <c r="B14" s="18"/>
      <c r="C14" s="18"/>
      <c r="D14" s="18"/>
      <c r="E14" s="18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</row>
    <row r="15" customFormat="false" ht="15" hidden="false" customHeight="true" outlineLevel="0" collapsed="false">
      <c r="B15" s="20" t="s">
        <v>27</v>
      </c>
      <c r="C15" s="20"/>
      <c r="D15" s="20"/>
      <c r="E15" s="20"/>
      <c r="F15" s="21" t="s">
        <v>28</v>
      </c>
      <c r="G15" s="21"/>
      <c r="H15" s="21" t="s">
        <v>29</v>
      </c>
      <c r="I15" s="21"/>
      <c r="J15" s="21"/>
      <c r="K15" s="21" t="s">
        <v>30</v>
      </c>
      <c r="L15" s="21"/>
      <c r="M15" s="21"/>
      <c r="N15" s="21" t="s">
        <v>31</v>
      </c>
      <c r="O15" s="21"/>
      <c r="P15" s="21"/>
    </row>
    <row r="16" customFormat="false" ht="25.5" hidden="false" customHeight="true" outlineLevel="0" collapsed="false">
      <c r="B16" s="22" t="n">
        <f aca="false">SUBTOTAL(109,$K$22:$K$56)</f>
        <v>7.34375</v>
      </c>
      <c r="C16" s="22"/>
      <c r="D16" s="22"/>
      <c r="E16" s="22"/>
      <c r="F16" s="23" t="n">
        <f aca="false">SUBTOTAL(109,$L$22:$L$56)</f>
        <v>176.25</v>
      </c>
      <c r="G16" s="23"/>
      <c r="H16" s="24" t="n">
        <f aca="false">SUBTOTAL(109,$M$22:$M$56)</f>
        <v>7.33333333333333</v>
      </c>
      <c r="I16" s="24"/>
      <c r="J16" s="24"/>
      <c r="K16" s="25" t="n">
        <f aca="false">SUBTOTAL(109,$N$22:$N$56)+$L$10</f>
        <v>2.5</v>
      </c>
      <c r="L16" s="25"/>
      <c r="M16" s="25"/>
      <c r="N16" s="26" t="n">
        <f aca="false">SUBTOTAL(109,$O$22:$O$56)</f>
        <v>7618.12</v>
      </c>
      <c r="O16" s="26"/>
      <c r="P16" s="26"/>
    </row>
    <row r="17" customFormat="false" ht="15" hidden="false" customHeight="true" outlineLevel="0" collapsed="false">
      <c r="B17" s="27" t="s">
        <v>32</v>
      </c>
      <c r="C17" s="27"/>
      <c r="D17" s="27"/>
      <c r="E17" s="27"/>
      <c r="F17" s="28" t="s">
        <v>33</v>
      </c>
      <c r="G17" s="28"/>
      <c r="H17" s="28" t="s">
        <v>34</v>
      </c>
      <c r="I17" s="28"/>
      <c r="J17" s="28"/>
      <c r="K17" s="28" t="s">
        <v>35</v>
      </c>
      <c r="L17" s="28"/>
      <c r="M17" s="28"/>
      <c r="N17" s="28" t="s">
        <v>36</v>
      </c>
      <c r="O17" s="28"/>
      <c r="P17" s="28"/>
    </row>
    <row r="18" customFormat="false" ht="19.5" hidden="false" customHeight="true" outlineLevel="0" collapsed="false">
      <c r="B18" s="29" t="s">
        <v>37</v>
      </c>
      <c r="C18" s="29"/>
      <c r="D18" s="30" t="s">
        <v>38</v>
      </c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customFormat="false" ht="19.5" hidden="false" customHeight="true" outlineLevel="0" collapsed="false">
      <c r="B19" s="7" t="s">
        <v>39</v>
      </c>
      <c r="C19" s="8" t="s">
        <v>40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customFormat="false" ht="15" hidden="false" customHeight="true" outlineLevel="0" collapsed="false">
      <c r="C20" s="31" t="s">
        <v>41</v>
      </c>
      <c r="D20" s="31"/>
      <c r="E20" s="31"/>
      <c r="F20" s="31"/>
      <c r="G20" s="31"/>
      <c r="H20" s="31"/>
      <c r="I20" s="31"/>
      <c r="J20" s="32" t="s">
        <v>42</v>
      </c>
      <c r="K20" s="32"/>
      <c r="L20" s="32"/>
      <c r="M20" s="32"/>
      <c r="N20" s="32"/>
      <c r="O20" s="32"/>
      <c r="P20" s="32"/>
    </row>
    <row r="21" customFormat="false" ht="31.5" hidden="false" customHeight="true" outlineLevel="0" collapsed="false">
      <c r="B21" s="33" t="s">
        <v>43</v>
      </c>
      <c r="C21" s="33" t="s">
        <v>44</v>
      </c>
      <c r="D21" s="33" t="s">
        <v>45</v>
      </c>
      <c r="E21" s="33" t="s">
        <v>46</v>
      </c>
      <c r="F21" s="33" t="s">
        <v>47</v>
      </c>
      <c r="G21" s="33" t="s">
        <v>48</v>
      </c>
      <c r="H21" s="33" t="s">
        <v>49</v>
      </c>
      <c r="I21" s="33" t="s">
        <v>50</v>
      </c>
      <c r="J21" s="33" t="s">
        <v>51</v>
      </c>
      <c r="K21" s="33" t="s">
        <v>52</v>
      </c>
      <c r="L21" s="33" t="s">
        <v>53</v>
      </c>
      <c r="M21" s="33" t="s">
        <v>54</v>
      </c>
      <c r="N21" s="33" t="s">
        <v>55</v>
      </c>
      <c r="O21" s="33" t="s">
        <v>56</v>
      </c>
      <c r="P21" s="33" t="s">
        <v>57</v>
      </c>
    </row>
    <row r="22" customFormat="false" ht="16.5" hidden="false" customHeight="true" outlineLevel="0" collapsed="false">
      <c r="B22" s="34" t="n">
        <f aca="false">IF($C22="","",ROW()-21)</f>
        <v>1</v>
      </c>
      <c r="C22" s="35" t="n">
        <v>46083</v>
      </c>
      <c r="D22" s="36" t="str">
        <f aca="false">IF($C22="","",CHOOSE(WEEKDAY($C22,2),"Mo","Di","Mi","Do","Fr","Sa","So"))</f>
        <v>Mo</v>
      </c>
      <c r="E22" s="37" t="s">
        <v>58</v>
      </c>
      <c r="F22" s="37" t="s">
        <v>59</v>
      </c>
      <c r="G22" s="38" t="n">
        <v>0.333333333333333</v>
      </c>
      <c r="H22" s="38" t="n">
        <v>0.697916666666667</v>
      </c>
      <c r="I22" s="39" t="n">
        <v>45</v>
      </c>
      <c r="J22" s="40" t="n">
        <f aca="false">IF($C22="","",IF(OR($G22="",$H22=""),0,MOD($H22-$G22,1)))</f>
        <v>0.364583333333333</v>
      </c>
      <c r="K22" s="41" t="n">
        <f aca="false">IF($C22="","",IF(OR($E22="Urlaub",$E22="Krankheit",$E22="Feiertag"),$M22,MAX(0,$J22-$I22/1440)))</f>
        <v>0.333333333333333</v>
      </c>
      <c r="L22" s="42" t="n">
        <f aca="false">IF($C22="","",$K22*24)</f>
        <v>8</v>
      </c>
      <c r="M22" s="40" t="n">
        <f aca="false">IF($C22="","",IF(WEEKDAY($C22,2)&gt;5,0,$L$7))</f>
        <v>0.333333333333333</v>
      </c>
      <c r="N22" s="43" t="n">
        <f aca="false">IF($C22="","",($K22-$M22)*24)</f>
        <v>0</v>
      </c>
      <c r="O22" s="44" t="n">
        <f aca="false">IF($C22="","",ROUND($L22*$L$8+MAX(0,$N22)*$L$8*$L$9,2))</f>
        <v>340</v>
      </c>
      <c r="P22" s="45" t="str">
        <f aca="false">IF($C22="","",IF(OR($G22="",$H22=""),"–",IF($K22&gt;9/24,IF($I22&gt;=$L$12,"eingehalten","Pause zu kurz"),IF($K22&gt;6/24,IF($I22&gt;=$L$11,"eingehalten","Pause zu kurz"),"eingehalten"))))</f>
        <v>eingehalten</v>
      </c>
    </row>
    <row r="23" customFormat="false" ht="16.5" hidden="false" customHeight="true" outlineLevel="0" collapsed="false">
      <c r="B23" s="34" t="n">
        <f aca="false">IF($C23="","",ROW()-21)</f>
        <v>2</v>
      </c>
      <c r="C23" s="35" t="n">
        <v>46084</v>
      </c>
      <c r="D23" s="36" t="str">
        <f aca="false">IF($C23="","",CHOOSE(WEEKDAY($C23,2),"Mo","Di","Mi","Do","Fr","Sa","So"))</f>
        <v>Di</v>
      </c>
      <c r="E23" s="37" t="s">
        <v>60</v>
      </c>
      <c r="F23" s="37" t="s">
        <v>61</v>
      </c>
      <c r="G23" s="38" t="n">
        <v>0.322916666666667</v>
      </c>
      <c r="H23" s="38" t="n">
        <v>0.708333333333333</v>
      </c>
      <c r="I23" s="39" t="n">
        <v>45</v>
      </c>
      <c r="J23" s="40" t="n">
        <f aca="false">IF($C23="","",IF(OR($G23="",$H23=""),0,MOD($H23-$G23,1)))</f>
        <v>0.385416666666667</v>
      </c>
      <c r="K23" s="41" t="n">
        <f aca="false">IF($C23="","",IF(OR($E23="Urlaub",$E23="Krankheit",$E23="Feiertag"),$M23,MAX(0,$J23-$I23/1440)))</f>
        <v>0.354166666666667</v>
      </c>
      <c r="L23" s="42" t="n">
        <f aca="false">IF($C23="","",$K23*24)</f>
        <v>8.5</v>
      </c>
      <c r="M23" s="40" t="n">
        <f aca="false">IF($C23="","",IF(WEEKDAY($C23,2)&gt;5,0,$L$7))</f>
        <v>0.333333333333333</v>
      </c>
      <c r="N23" s="43" t="n">
        <f aca="false">IF($C23="","",($K23-$M23)*24)</f>
        <v>0.5</v>
      </c>
      <c r="O23" s="44" t="n">
        <f aca="false">IF($C23="","",ROUND($L23*$L$8+MAX(0,$N23)*$L$8*$L$9,2))</f>
        <v>366.56</v>
      </c>
      <c r="P23" s="45" t="str">
        <f aca="false">IF($C23="","",IF(OR($G23="",$H23=""),"–",IF($K23&gt;9/24,IF($I23&gt;=$L$12,"eingehalten","Pause zu kurz"),IF($K23&gt;6/24,IF($I23&gt;=$L$11,"eingehalten","Pause zu kurz"),"eingehalten"))))</f>
        <v>eingehalten</v>
      </c>
    </row>
    <row r="24" customFormat="false" ht="16.5" hidden="false" customHeight="true" outlineLevel="0" collapsed="false">
      <c r="B24" s="34" t="n">
        <f aca="false">IF($C24="","",ROW()-21)</f>
        <v>3</v>
      </c>
      <c r="C24" s="35" t="n">
        <v>46085</v>
      </c>
      <c r="D24" s="36" t="str">
        <f aca="false">IF($C24="","",CHOOSE(WEEKDAY($C24,2),"Mo","Di","Mi","Do","Fr","Sa","So"))</f>
        <v>Mi</v>
      </c>
      <c r="E24" s="37" t="s">
        <v>58</v>
      </c>
      <c r="F24" s="37" t="s">
        <v>62</v>
      </c>
      <c r="G24" s="38" t="n">
        <v>0.34375</v>
      </c>
      <c r="H24" s="38" t="n">
        <v>0.6875</v>
      </c>
      <c r="I24" s="39" t="n">
        <v>30</v>
      </c>
      <c r="J24" s="40" t="n">
        <f aca="false">IF($C24="","",IF(OR($G24="",$H24=""),0,MOD($H24-$G24,1)))</f>
        <v>0.34375</v>
      </c>
      <c r="K24" s="41" t="n">
        <f aca="false">IF($C24="","",IF(OR($E24="Urlaub",$E24="Krankheit",$E24="Feiertag"),$M24,MAX(0,$J24-$I24/1440)))</f>
        <v>0.322916666666667</v>
      </c>
      <c r="L24" s="42" t="n">
        <f aca="false">IF($C24="","",$K24*24)</f>
        <v>7.75</v>
      </c>
      <c r="M24" s="40" t="n">
        <f aca="false">IF($C24="","",IF(WEEKDAY($C24,2)&gt;5,0,$L$7))</f>
        <v>0.333333333333333</v>
      </c>
      <c r="N24" s="43" t="n">
        <f aca="false">IF($C24="","",($K24-$M24)*24)</f>
        <v>-0.25</v>
      </c>
      <c r="O24" s="44" t="n">
        <f aca="false">IF($C24="","",ROUND($L24*$L$8+MAX(0,$N24)*$L$8*$L$9,2))</f>
        <v>329.38</v>
      </c>
      <c r="P24" s="45" t="str">
        <f aca="false">IF($C24="","",IF(OR($G24="",$H24=""),"–",IF($K24&gt;9/24,IF($I24&gt;=$L$12,"eingehalten","Pause zu kurz"),IF($K24&gt;6/24,IF($I24&gt;=$L$11,"eingehalten","Pause zu kurz"),"eingehalten"))))</f>
        <v>eingehalten</v>
      </c>
    </row>
    <row r="25" customFormat="false" ht="16.5" hidden="false" customHeight="true" outlineLevel="0" collapsed="false">
      <c r="B25" s="34" t="n">
        <f aca="false">IF($C25="","",ROW()-21)</f>
        <v>4</v>
      </c>
      <c r="C25" s="35" t="n">
        <v>46086</v>
      </c>
      <c r="D25" s="36" t="str">
        <f aca="false">IF($C25="","",CHOOSE(WEEKDAY($C25,2),"Mo","Di","Mi","Do","Fr","Sa","So"))</f>
        <v>Do</v>
      </c>
      <c r="E25" s="37" t="s">
        <v>60</v>
      </c>
      <c r="F25" s="37" t="s">
        <v>63</v>
      </c>
      <c r="G25" s="38" t="n">
        <v>0.333333333333333</v>
      </c>
      <c r="H25" s="38" t="n">
        <v>0.760416666666667</v>
      </c>
      <c r="I25" s="39" t="n">
        <v>45</v>
      </c>
      <c r="J25" s="40" t="n">
        <f aca="false">IF($C25="","",IF(OR($G25="",$H25=""),0,MOD($H25-$G25,1)))</f>
        <v>0.427083333333333</v>
      </c>
      <c r="K25" s="41" t="n">
        <f aca="false">IF($C25="","",IF(OR($E25="Urlaub",$E25="Krankheit",$E25="Feiertag"),$M25,MAX(0,$J25-$I25/1440)))</f>
        <v>0.395833333333333</v>
      </c>
      <c r="L25" s="42" t="n">
        <f aca="false">IF($C25="","",$K25*24)</f>
        <v>9.5</v>
      </c>
      <c r="M25" s="40" t="n">
        <f aca="false">IF($C25="","",IF(WEEKDAY($C25,2)&gt;5,0,$L$7))</f>
        <v>0.333333333333333</v>
      </c>
      <c r="N25" s="43" t="n">
        <f aca="false">IF($C25="","",($K25-$M25)*24)</f>
        <v>1.5</v>
      </c>
      <c r="O25" s="44" t="n">
        <f aca="false">IF($C25="","",ROUND($L25*$L$8+MAX(0,$N25)*$L$8*$L$9,2))</f>
        <v>419.69</v>
      </c>
      <c r="P25" s="45" t="str">
        <f aca="false">IF($C25="","",IF(OR($G25="",$H25=""),"–",IF($K25&gt;9/24,IF($I25&gt;=$L$12,"eingehalten","Pause zu kurz"),IF($K25&gt;6/24,IF($I25&gt;=$L$11,"eingehalten","Pause zu kurz"),"eingehalten"))))</f>
        <v>eingehalten</v>
      </c>
    </row>
    <row r="26" customFormat="false" ht="16.5" hidden="false" customHeight="true" outlineLevel="0" collapsed="false">
      <c r="B26" s="34" t="n">
        <f aca="false">IF($C26="","",ROW()-21)</f>
        <v>5</v>
      </c>
      <c r="C26" s="35" t="n">
        <v>46087</v>
      </c>
      <c r="D26" s="36" t="str">
        <f aca="false">IF($C26="","",CHOOSE(WEEKDAY($C26,2),"Mo","Di","Mi","Do","Fr","Sa","So"))</f>
        <v>Fr</v>
      </c>
      <c r="E26" s="37" t="s">
        <v>58</v>
      </c>
      <c r="F26" s="37" t="s">
        <v>64</v>
      </c>
      <c r="G26" s="38" t="n">
        <v>0.333333333333333</v>
      </c>
      <c r="H26" s="38" t="n">
        <v>0.604166666666667</v>
      </c>
      <c r="I26" s="39" t="n">
        <v>30</v>
      </c>
      <c r="J26" s="40" t="n">
        <f aca="false">IF($C26="","",IF(OR($G26="",$H26=""),0,MOD($H26-$G26,1)))</f>
        <v>0.270833333333333</v>
      </c>
      <c r="K26" s="41" t="n">
        <f aca="false">IF($C26="","",IF(OR($E26="Urlaub",$E26="Krankheit",$E26="Feiertag"),$M26,MAX(0,$J26-$I26/1440)))</f>
        <v>0.25</v>
      </c>
      <c r="L26" s="42" t="n">
        <f aca="false">IF($C26="","",$K26*24)</f>
        <v>6</v>
      </c>
      <c r="M26" s="40" t="n">
        <f aca="false">IF($C26="","",IF(WEEKDAY($C26,2)&gt;5,0,$L$7))</f>
        <v>0.333333333333333</v>
      </c>
      <c r="N26" s="43" t="n">
        <f aca="false">IF($C26="","",($K26-$M26)*24)</f>
        <v>-2</v>
      </c>
      <c r="O26" s="44" t="n">
        <f aca="false">IF($C26="","",ROUND($L26*$L$8+MAX(0,$N26)*$L$8*$L$9,2))</f>
        <v>255</v>
      </c>
      <c r="P26" s="45" t="str">
        <f aca="false">IF($C26="","",IF(OR($G26="",$H26=""),"–",IF($K26&gt;9/24,IF($I26&gt;=$L$12,"eingehalten","Pause zu kurz"),IF($K26&gt;6/24,IF($I26&gt;=$L$11,"eingehalten","Pause zu kurz"),"eingehalten"))))</f>
        <v>eingehalten</v>
      </c>
    </row>
    <row r="27" customFormat="false" ht="16.5" hidden="false" customHeight="true" outlineLevel="0" collapsed="false">
      <c r="B27" s="34" t="n">
        <f aca="false">IF($C27="","",ROW()-21)</f>
        <v>6</v>
      </c>
      <c r="C27" s="35" t="n">
        <v>46090</v>
      </c>
      <c r="D27" s="36" t="str">
        <f aca="false">IF($C27="","",CHOOSE(WEEKDAY($C27,2),"Mo","Di","Mi","Do","Fr","Sa","So"))</f>
        <v>Mo</v>
      </c>
      <c r="E27" s="37" t="s">
        <v>65</v>
      </c>
      <c r="F27" s="37" t="s">
        <v>66</v>
      </c>
      <c r="G27" s="38" t="n">
        <v>0.375</v>
      </c>
      <c r="H27" s="38" t="n">
        <v>0.708333333333333</v>
      </c>
      <c r="I27" s="39" t="n">
        <v>60</v>
      </c>
      <c r="J27" s="40" t="n">
        <f aca="false">IF($C27="","",IF(OR($G27="",$H27=""),0,MOD($H27-$G27,1)))</f>
        <v>0.333333333333333</v>
      </c>
      <c r="K27" s="41" t="n">
        <f aca="false">IF($C27="","",IF(OR($E27="Urlaub",$E27="Krankheit",$E27="Feiertag"),$M27,MAX(0,$J27-$I27/1440)))</f>
        <v>0.291666666666667</v>
      </c>
      <c r="L27" s="42" t="n">
        <f aca="false">IF($C27="","",$K27*24)</f>
        <v>7</v>
      </c>
      <c r="M27" s="40" t="n">
        <f aca="false">IF($C27="","",IF(WEEKDAY($C27,2)&gt;5,0,$L$7))</f>
        <v>0.333333333333333</v>
      </c>
      <c r="N27" s="43" t="n">
        <f aca="false">IF($C27="","",($K27-$M27)*24)</f>
        <v>-1</v>
      </c>
      <c r="O27" s="44" t="n">
        <f aca="false">IF($C27="","",ROUND($L27*$L$8+MAX(0,$N27)*$L$8*$L$9,2))</f>
        <v>297.5</v>
      </c>
      <c r="P27" s="45" t="str">
        <f aca="false">IF($C27="","",IF(OR($G27="",$H27=""),"–",IF($K27&gt;9/24,IF($I27&gt;=$L$12,"eingehalten","Pause zu kurz"),IF($K27&gt;6/24,IF($I27&gt;=$L$11,"eingehalten","Pause zu kurz"),"eingehalten"))))</f>
        <v>eingehalten</v>
      </c>
    </row>
    <row r="28" customFormat="false" ht="16.5" hidden="false" customHeight="true" outlineLevel="0" collapsed="false">
      <c r="B28" s="34" t="n">
        <f aca="false">IF($C28="","",ROW()-21)</f>
        <v>7</v>
      </c>
      <c r="C28" s="35" t="n">
        <v>46091</v>
      </c>
      <c r="D28" s="36" t="str">
        <f aca="false">IF($C28="","",CHOOSE(WEEKDAY($C28,2),"Mo","Di","Mi","Do","Fr","Sa","So"))</f>
        <v>Di</v>
      </c>
      <c r="E28" s="37" t="s">
        <v>58</v>
      </c>
      <c r="F28" s="37" t="s">
        <v>67</v>
      </c>
      <c r="G28" s="38" t="n">
        <v>0.333333333333333</v>
      </c>
      <c r="H28" s="38" t="n">
        <v>0.697916666666667</v>
      </c>
      <c r="I28" s="39" t="n">
        <v>45</v>
      </c>
      <c r="J28" s="40" t="n">
        <f aca="false">IF($C28="","",IF(OR($G28="",$H28=""),0,MOD($H28-$G28,1)))</f>
        <v>0.364583333333333</v>
      </c>
      <c r="K28" s="41" t="n">
        <f aca="false">IF($C28="","",IF(OR($E28="Urlaub",$E28="Krankheit",$E28="Feiertag"),$M28,MAX(0,$J28-$I28/1440)))</f>
        <v>0.333333333333333</v>
      </c>
      <c r="L28" s="42" t="n">
        <f aca="false">IF($C28="","",$K28*24)</f>
        <v>8</v>
      </c>
      <c r="M28" s="40" t="n">
        <f aca="false">IF($C28="","",IF(WEEKDAY($C28,2)&gt;5,0,$L$7))</f>
        <v>0.333333333333333</v>
      </c>
      <c r="N28" s="43" t="n">
        <f aca="false">IF($C28="","",($K28-$M28)*24)</f>
        <v>0</v>
      </c>
      <c r="O28" s="44" t="n">
        <f aca="false">IF($C28="","",ROUND($L28*$L$8+MAX(0,$N28)*$L$8*$L$9,2))</f>
        <v>340</v>
      </c>
      <c r="P28" s="45" t="str">
        <f aca="false">IF($C28="","",IF(OR($G28="",$H28=""),"–",IF($K28&gt;9/24,IF($I28&gt;=$L$12,"eingehalten","Pause zu kurz"),IF($K28&gt;6/24,IF($I28&gt;=$L$11,"eingehalten","Pause zu kurz"),"eingehalten"))))</f>
        <v>eingehalten</v>
      </c>
    </row>
    <row r="29" customFormat="false" ht="16.5" hidden="false" customHeight="true" outlineLevel="0" collapsed="false">
      <c r="B29" s="34" t="n">
        <f aca="false">IF($C29="","",ROW()-21)</f>
        <v>8</v>
      </c>
      <c r="C29" s="35" t="n">
        <v>46092</v>
      </c>
      <c r="D29" s="36" t="str">
        <f aca="false">IF($C29="","",CHOOSE(WEEKDAY($C29,2),"Mo","Di","Mi","Do","Fr","Sa","So"))</f>
        <v>Mi</v>
      </c>
      <c r="E29" s="37" t="s">
        <v>68</v>
      </c>
      <c r="F29" s="37" t="s">
        <v>69</v>
      </c>
      <c r="G29" s="38" t="n">
        <v>0.270833333333333</v>
      </c>
      <c r="H29" s="38" t="n">
        <v>0.75</v>
      </c>
      <c r="I29" s="39" t="n">
        <v>45</v>
      </c>
      <c r="J29" s="40" t="n">
        <f aca="false">IF($C29="","",IF(OR($G29="",$H29=""),0,MOD($H29-$G29,1)))</f>
        <v>0.479166666666667</v>
      </c>
      <c r="K29" s="41" t="n">
        <f aca="false">IF($C29="","",IF(OR($E29="Urlaub",$E29="Krankheit",$E29="Feiertag"),$M29,MAX(0,$J29-$I29/1440)))</f>
        <v>0.447916666666667</v>
      </c>
      <c r="L29" s="42" t="n">
        <f aca="false">IF($C29="","",$K29*24)</f>
        <v>10.75</v>
      </c>
      <c r="M29" s="40" t="n">
        <f aca="false">IF($C29="","",IF(WEEKDAY($C29,2)&gt;5,0,$L$7))</f>
        <v>0.333333333333333</v>
      </c>
      <c r="N29" s="43" t="n">
        <f aca="false">IF($C29="","",($K29-$M29)*24)</f>
        <v>2.75</v>
      </c>
      <c r="O29" s="44" t="n">
        <f aca="false">IF($C29="","",ROUND($L29*$L$8+MAX(0,$N29)*$L$8*$L$9,2))</f>
        <v>486.09</v>
      </c>
      <c r="P29" s="45" t="str">
        <f aca="false">IF($C29="","",IF(OR($G29="",$H29=""),"–",IF($K29&gt;9/24,IF($I29&gt;=$L$12,"eingehalten","Pause zu kurz"),IF($K29&gt;6/24,IF($I29&gt;=$L$11,"eingehalten","Pause zu kurz"),"eingehalten"))))</f>
        <v>eingehalten</v>
      </c>
    </row>
    <row r="30" customFormat="false" ht="16.5" hidden="false" customHeight="true" outlineLevel="0" collapsed="false">
      <c r="B30" s="34" t="n">
        <f aca="false">IF($C30="","",ROW()-21)</f>
        <v>9</v>
      </c>
      <c r="C30" s="35" t="n">
        <v>46093</v>
      </c>
      <c r="D30" s="36" t="str">
        <f aca="false">IF($C30="","",CHOOSE(WEEKDAY($C30,2),"Mo","Di","Mi","Do","Fr","Sa","So"))</f>
        <v>Do</v>
      </c>
      <c r="E30" s="37" t="s">
        <v>58</v>
      </c>
      <c r="F30" s="37" t="s">
        <v>70</v>
      </c>
      <c r="G30" s="38" t="n">
        <v>0.354166666666667</v>
      </c>
      <c r="H30" s="38" t="n">
        <v>0.71875</v>
      </c>
      <c r="I30" s="39" t="n">
        <v>45</v>
      </c>
      <c r="J30" s="40" t="n">
        <f aca="false">IF($C30="","",IF(OR($G30="",$H30=""),0,MOD($H30-$G30,1)))</f>
        <v>0.364583333333333</v>
      </c>
      <c r="K30" s="41" t="n">
        <f aca="false">IF($C30="","",IF(OR($E30="Urlaub",$E30="Krankheit",$E30="Feiertag"),$M30,MAX(0,$J30-$I30/1440)))</f>
        <v>0.333333333333333</v>
      </c>
      <c r="L30" s="42" t="n">
        <f aca="false">IF($C30="","",$K30*24)</f>
        <v>8</v>
      </c>
      <c r="M30" s="40" t="n">
        <f aca="false">IF($C30="","",IF(WEEKDAY($C30,2)&gt;5,0,$L$7))</f>
        <v>0.333333333333333</v>
      </c>
      <c r="N30" s="43" t="n">
        <f aca="false">IF($C30="","",($K30-$M30)*24)</f>
        <v>0</v>
      </c>
      <c r="O30" s="44" t="n">
        <f aca="false">IF($C30="","",ROUND($L30*$L$8+MAX(0,$N30)*$L$8*$L$9,2))</f>
        <v>340</v>
      </c>
      <c r="P30" s="45" t="str">
        <f aca="false">IF($C30="","",IF(OR($G30="",$H30=""),"–",IF($K30&gt;9/24,IF($I30&gt;=$L$12,"eingehalten","Pause zu kurz"),IF($K30&gt;6/24,IF($I30&gt;=$L$11,"eingehalten","Pause zu kurz"),"eingehalten"))))</f>
        <v>eingehalten</v>
      </c>
    </row>
    <row r="31" customFormat="false" ht="16.5" hidden="false" customHeight="true" outlineLevel="0" collapsed="false">
      <c r="B31" s="34" t="n">
        <f aca="false">IF($C31="","",ROW()-21)</f>
        <v>10</v>
      </c>
      <c r="C31" s="35" t="n">
        <v>46094</v>
      </c>
      <c r="D31" s="36" t="str">
        <f aca="false">IF($C31="","",CHOOSE(WEEKDAY($C31,2),"Mo","Di","Mi","Do","Fr","Sa","So"))</f>
        <v>Fr</v>
      </c>
      <c r="E31" s="37" t="s">
        <v>71</v>
      </c>
      <c r="F31" s="37" t="s">
        <v>72</v>
      </c>
      <c r="G31" s="38" t="n">
        <v>0.333333333333333</v>
      </c>
      <c r="H31" s="38" t="n">
        <v>0.666666666666667</v>
      </c>
      <c r="I31" s="39" t="n">
        <v>30</v>
      </c>
      <c r="J31" s="40" t="n">
        <f aca="false">IF($C31="","",IF(OR($G31="",$H31=""),0,MOD($H31-$G31,1)))</f>
        <v>0.333333333333333</v>
      </c>
      <c r="K31" s="41" t="n">
        <f aca="false">IF($C31="","",IF(OR($E31="Urlaub",$E31="Krankheit",$E31="Feiertag"),$M31,MAX(0,$J31-$I31/1440)))</f>
        <v>0.3125</v>
      </c>
      <c r="L31" s="42" t="n">
        <f aca="false">IF($C31="","",$K31*24)</f>
        <v>7.5</v>
      </c>
      <c r="M31" s="40" t="n">
        <f aca="false">IF($C31="","",IF(WEEKDAY($C31,2)&gt;5,0,$L$7))</f>
        <v>0.333333333333333</v>
      </c>
      <c r="N31" s="43" t="n">
        <f aca="false">IF($C31="","",($K31-$M31)*24)</f>
        <v>-0.5</v>
      </c>
      <c r="O31" s="44" t="n">
        <f aca="false">IF($C31="","",ROUND($L31*$L$8+MAX(0,$N31)*$L$8*$L$9,2))</f>
        <v>318.75</v>
      </c>
      <c r="P31" s="45" t="str">
        <f aca="false">IF($C31="","",IF(OR($G31="",$H31=""),"–",IF($K31&gt;9/24,IF($I31&gt;=$L$12,"eingehalten","Pause zu kurz"),IF($K31&gt;6/24,IF($I31&gt;=$L$11,"eingehalten","Pause zu kurz"),"eingehalten"))))</f>
        <v>eingehalten</v>
      </c>
    </row>
    <row r="32" customFormat="false" ht="16.5" hidden="false" customHeight="true" outlineLevel="0" collapsed="false">
      <c r="B32" s="34" t="n">
        <f aca="false">IF($C32="","",ROW()-21)</f>
        <v>11</v>
      </c>
      <c r="C32" s="35" t="n">
        <v>46095</v>
      </c>
      <c r="D32" s="36" t="str">
        <f aca="false">IF($C32="","",CHOOSE(WEEKDAY($C32,2),"Mo","Di","Mi","Do","Fr","Sa","So"))</f>
        <v>Sa</v>
      </c>
      <c r="E32" s="37" t="s">
        <v>60</v>
      </c>
      <c r="F32" s="37" t="s">
        <v>73</v>
      </c>
      <c r="G32" s="38" t="n">
        <v>0.333333333333333</v>
      </c>
      <c r="H32" s="38" t="n">
        <v>0.541666666666667</v>
      </c>
      <c r="I32" s="39" t="n">
        <v>30</v>
      </c>
      <c r="J32" s="40" t="n">
        <f aca="false">IF($C32="","",IF(OR($G32="",$H32=""),0,MOD($H32-$G32,1)))</f>
        <v>0.208333333333333</v>
      </c>
      <c r="K32" s="41" t="n">
        <f aca="false">IF($C32="","",IF(OR($E32="Urlaub",$E32="Krankheit",$E32="Feiertag"),$M32,MAX(0,$J32-$I32/1440)))</f>
        <v>0.1875</v>
      </c>
      <c r="L32" s="42" t="n">
        <f aca="false">IF($C32="","",$K32*24)</f>
        <v>4.5</v>
      </c>
      <c r="M32" s="40" t="n">
        <f aca="false">IF($C32="","",IF(WEEKDAY($C32,2)&gt;5,0,$L$7))</f>
        <v>0</v>
      </c>
      <c r="N32" s="43" t="n">
        <f aca="false">IF($C32="","",($K32-$M32)*24)</f>
        <v>4.5</v>
      </c>
      <c r="O32" s="44" t="n">
        <f aca="false">IF($C32="","",ROUND($L32*$L$8+MAX(0,$N32)*$L$8*$L$9,2))</f>
        <v>239.06</v>
      </c>
      <c r="P32" s="45" t="str">
        <f aca="false">IF($C32="","",IF(OR($G32="",$H32=""),"–",IF($K32&gt;9/24,IF($I32&gt;=$L$12,"eingehalten","Pause zu kurz"),IF($K32&gt;6/24,IF($I32&gt;=$L$11,"eingehalten","Pause zu kurz"),"eingehalten"))))</f>
        <v>eingehalten</v>
      </c>
    </row>
    <row r="33" customFormat="false" ht="16.5" hidden="false" customHeight="true" outlineLevel="0" collapsed="false">
      <c r="B33" s="34" t="n">
        <f aca="false">IF($C33="","",ROW()-21)</f>
        <v>12</v>
      </c>
      <c r="C33" s="35" t="n">
        <v>46097</v>
      </c>
      <c r="D33" s="36" t="str">
        <f aca="false">IF($C33="","",CHOOSE(WEEKDAY($C33,2),"Mo","Di","Mi","Do","Fr","Sa","So"))</f>
        <v>Mo</v>
      </c>
      <c r="E33" s="37" t="s">
        <v>74</v>
      </c>
      <c r="F33" s="37" t="s">
        <v>75</v>
      </c>
      <c r="G33" s="38"/>
      <c r="H33" s="38"/>
      <c r="I33" s="39" t="n">
        <v>0</v>
      </c>
      <c r="J33" s="40" t="n">
        <f aca="false">IF($C33="","",IF(OR($G33="",$H33=""),0,MOD($H33-$G33,1)))</f>
        <v>0</v>
      </c>
      <c r="K33" s="41" t="n">
        <f aca="false">IF($C33="","",IF(OR($E33="Urlaub",$E33="Krankheit",$E33="Feiertag"),$M33,MAX(0,$J33-$I33/1440)))</f>
        <v>0.333333333333333</v>
      </c>
      <c r="L33" s="42" t="n">
        <f aca="false">IF($C33="","",$K33*24)</f>
        <v>8</v>
      </c>
      <c r="M33" s="40" t="n">
        <f aca="false">IF($C33="","",IF(WEEKDAY($C33,2)&gt;5,0,$L$7))</f>
        <v>0.333333333333333</v>
      </c>
      <c r="N33" s="43" t="n">
        <f aca="false">IF($C33="","",($K33-$M33)*24)</f>
        <v>0</v>
      </c>
      <c r="O33" s="44" t="n">
        <f aca="false">IF($C33="","",ROUND($L33*$L$8+MAX(0,$N33)*$L$8*$L$9,2))</f>
        <v>340</v>
      </c>
      <c r="P33" s="45" t="str">
        <f aca="false">IF($C33="","",IF(OR($G33="",$H33=""),"–",IF($K33&gt;9/24,IF($I33&gt;=$L$12,"eingehalten","Pause zu kurz"),IF($K33&gt;6/24,IF($I33&gt;=$L$11,"eingehalten","Pause zu kurz"),"eingehalten"))))</f>
        <v>–</v>
      </c>
    </row>
    <row r="34" customFormat="false" ht="16.5" hidden="false" customHeight="true" outlineLevel="0" collapsed="false">
      <c r="B34" s="34" t="n">
        <f aca="false">IF($C34="","",ROW()-21)</f>
        <v>13</v>
      </c>
      <c r="C34" s="35" t="n">
        <v>46098</v>
      </c>
      <c r="D34" s="36" t="str">
        <f aca="false">IF($C34="","",CHOOSE(WEEKDAY($C34,2),"Mo","Di","Mi","Do","Fr","Sa","So"))</f>
        <v>Di</v>
      </c>
      <c r="E34" s="37" t="s">
        <v>74</v>
      </c>
      <c r="F34" s="37" t="s">
        <v>75</v>
      </c>
      <c r="G34" s="38"/>
      <c r="H34" s="38"/>
      <c r="I34" s="39" t="n">
        <v>0</v>
      </c>
      <c r="J34" s="40" t="n">
        <f aca="false">IF($C34="","",IF(OR($G34="",$H34=""),0,MOD($H34-$G34,1)))</f>
        <v>0</v>
      </c>
      <c r="K34" s="41" t="n">
        <f aca="false">IF($C34="","",IF(OR($E34="Urlaub",$E34="Krankheit",$E34="Feiertag"),$M34,MAX(0,$J34-$I34/1440)))</f>
        <v>0.333333333333333</v>
      </c>
      <c r="L34" s="42" t="n">
        <f aca="false">IF($C34="","",$K34*24)</f>
        <v>8</v>
      </c>
      <c r="M34" s="40" t="n">
        <f aca="false">IF($C34="","",IF(WEEKDAY($C34,2)&gt;5,0,$L$7))</f>
        <v>0.333333333333333</v>
      </c>
      <c r="N34" s="43" t="n">
        <f aca="false">IF($C34="","",($K34-$M34)*24)</f>
        <v>0</v>
      </c>
      <c r="O34" s="44" t="n">
        <f aca="false">IF($C34="","",ROUND($L34*$L$8+MAX(0,$N34)*$L$8*$L$9,2))</f>
        <v>340</v>
      </c>
      <c r="P34" s="45" t="str">
        <f aca="false">IF($C34="","",IF(OR($G34="",$H34=""),"–",IF($K34&gt;9/24,IF($I34&gt;=$L$12,"eingehalten","Pause zu kurz"),IF($K34&gt;6/24,IF($I34&gt;=$L$11,"eingehalten","Pause zu kurz"),"eingehalten"))))</f>
        <v>–</v>
      </c>
    </row>
    <row r="35" customFormat="false" ht="16.5" hidden="false" customHeight="true" outlineLevel="0" collapsed="false">
      <c r="B35" s="34" t="n">
        <f aca="false">IF($C35="","",ROW()-21)</f>
        <v>14</v>
      </c>
      <c r="C35" s="35" t="n">
        <v>46099</v>
      </c>
      <c r="D35" s="36" t="str">
        <f aca="false">IF($C35="","",CHOOSE(WEEKDAY($C35,2),"Mo","Di","Mi","Do","Fr","Sa","So"))</f>
        <v>Mi</v>
      </c>
      <c r="E35" s="37" t="s">
        <v>58</v>
      </c>
      <c r="F35" s="37" t="s">
        <v>67</v>
      </c>
      <c r="G35" s="38" t="n">
        <v>0.333333333333333</v>
      </c>
      <c r="H35" s="38" t="n">
        <v>0.697916666666667</v>
      </c>
      <c r="I35" s="39" t="n">
        <v>45</v>
      </c>
      <c r="J35" s="40" t="n">
        <f aca="false">IF($C35="","",IF(OR($G35="",$H35=""),0,MOD($H35-$G35,1)))</f>
        <v>0.364583333333333</v>
      </c>
      <c r="K35" s="41" t="n">
        <f aca="false">IF($C35="","",IF(OR($E35="Urlaub",$E35="Krankheit",$E35="Feiertag"),$M35,MAX(0,$J35-$I35/1440)))</f>
        <v>0.333333333333333</v>
      </c>
      <c r="L35" s="42" t="n">
        <f aca="false">IF($C35="","",$K35*24)</f>
        <v>8</v>
      </c>
      <c r="M35" s="40" t="n">
        <f aca="false">IF($C35="","",IF(WEEKDAY($C35,2)&gt;5,0,$L$7))</f>
        <v>0.333333333333333</v>
      </c>
      <c r="N35" s="43" t="n">
        <f aca="false">IF($C35="","",($K35-$M35)*24)</f>
        <v>0</v>
      </c>
      <c r="O35" s="44" t="n">
        <f aca="false">IF($C35="","",ROUND($L35*$L$8+MAX(0,$N35)*$L$8*$L$9,2))</f>
        <v>340</v>
      </c>
      <c r="P35" s="45" t="str">
        <f aca="false">IF($C35="","",IF(OR($G35="",$H35=""),"–",IF($K35&gt;9/24,IF($I35&gt;=$L$12,"eingehalten","Pause zu kurz"),IF($K35&gt;6/24,IF($I35&gt;=$L$11,"eingehalten","Pause zu kurz"),"eingehalten"))))</f>
        <v>eingehalten</v>
      </c>
    </row>
    <row r="36" customFormat="false" ht="16.5" hidden="false" customHeight="true" outlineLevel="0" collapsed="false">
      <c r="B36" s="34" t="n">
        <f aca="false">IF($C36="","",ROW()-21)</f>
        <v>15</v>
      </c>
      <c r="C36" s="35" t="n">
        <v>46100</v>
      </c>
      <c r="D36" s="36" t="str">
        <f aca="false">IF($C36="","",CHOOSE(WEEKDAY($C36,2),"Mo","Di","Mi","Do","Fr","Sa","So"))</f>
        <v>Do</v>
      </c>
      <c r="E36" s="37" t="s">
        <v>60</v>
      </c>
      <c r="F36" s="37" t="s">
        <v>76</v>
      </c>
      <c r="G36" s="38" t="n">
        <v>0.333333333333333</v>
      </c>
      <c r="H36" s="38" t="n">
        <v>0.739583333333333</v>
      </c>
      <c r="I36" s="39" t="n">
        <v>30</v>
      </c>
      <c r="J36" s="40" t="n">
        <f aca="false">IF($C36="","",IF(OR($G36="",$H36=""),0,MOD($H36-$G36,1)))</f>
        <v>0.40625</v>
      </c>
      <c r="K36" s="41" t="n">
        <f aca="false">IF($C36="","",IF(OR($E36="Urlaub",$E36="Krankheit",$E36="Feiertag"),$M36,MAX(0,$J36-$I36/1440)))</f>
        <v>0.385416666666667</v>
      </c>
      <c r="L36" s="42" t="n">
        <f aca="false">IF($C36="","",$K36*24)</f>
        <v>9.25</v>
      </c>
      <c r="M36" s="40" t="n">
        <f aca="false">IF($C36="","",IF(WEEKDAY($C36,2)&gt;5,0,$L$7))</f>
        <v>0.333333333333333</v>
      </c>
      <c r="N36" s="43" t="n">
        <f aca="false">IF($C36="","",($K36-$M36)*24)</f>
        <v>1.25</v>
      </c>
      <c r="O36" s="44" t="n">
        <f aca="false">IF($C36="","",ROUND($L36*$L$8+MAX(0,$N36)*$L$8*$L$9,2))</f>
        <v>406.41</v>
      </c>
      <c r="P36" s="45" t="str">
        <f aca="false">IF($C36="","",IF(OR($G36="",$H36=""),"–",IF($K36&gt;9/24,IF($I36&gt;=$L$12,"eingehalten","Pause zu kurz"),IF($K36&gt;6/24,IF($I36&gt;=$L$11,"eingehalten","Pause zu kurz"),"eingehalten"))))</f>
        <v>Pause zu kurz</v>
      </c>
    </row>
    <row r="37" customFormat="false" ht="16.5" hidden="false" customHeight="true" outlineLevel="0" collapsed="false">
      <c r="B37" s="34" t="n">
        <f aca="false">IF($C37="","",ROW()-21)</f>
        <v>16</v>
      </c>
      <c r="C37" s="35" t="n">
        <v>46101</v>
      </c>
      <c r="D37" s="36" t="str">
        <f aca="false">IF($C37="","",CHOOSE(WEEKDAY($C37,2),"Mo","Di","Mi","Do","Fr","Sa","So"))</f>
        <v>Fr</v>
      </c>
      <c r="E37" s="37" t="s">
        <v>77</v>
      </c>
      <c r="F37" s="37" t="s">
        <v>78</v>
      </c>
      <c r="G37" s="38" t="n">
        <v>0.833333333333333</v>
      </c>
      <c r="H37" s="38" t="n">
        <v>0.229166666666667</v>
      </c>
      <c r="I37" s="39" t="n">
        <v>60</v>
      </c>
      <c r="J37" s="40" t="n">
        <f aca="false">IF($C37="","",IF(OR($G37="",$H37=""),0,MOD($H37-$G37,1)))</f>
        <v>0.395833333333333</v>
      </c>
      <c r="K37" s="41" t="n">
        <f aca="false">IF($C37="","",IF(OR($E37="Urlaub",$E37="Krankheit",$E37="Feiertag"),$M37,MAX(0,$J37-$I37/1440)))</f>
        <v>0.354166666666667</v>
      </c>
      <c r="L37" s="42" t="n">
        <f aca="false">IF($C37="","",$K37*24)</f>
        <v>8.5</v>
      </c>
      <c r="M37" s="40" t="n">
        <f aca="false">IF($C37="","",IF(WEEKDAY($C37,2)&gt;5,0,$L$7))</f>
        <v>0.333333333333333</v>
      </c>
      <c r="N37" s="43" t="n">
        <f aca="false">IF($C37="","",($K37-$M37)*24)</f>
        <v>0.5</v>
      </c>
      <c r="O37" s="44" t="n">
        <f aca="false">IF($C37="","",ROUND($L37*$L$8+MAX(0,$N37)*$L$8*$L$9,2))</f>
        <v>366.56</v>
      </c>
      <c r="P37" s="45" t="str">
        <f aca="false">IF($C37="","",IF(OR($G37="",$H37=""),"–",IF($K37&gt;9/24,IF($I37&gt;=$L$12,"eingehalten","Pause zu kurz"),IF($K37&gt;6/24,IF($I37&gt;=$L$11,"eingehalten","Pause zu kurz"),"eingehalten"))))</f>
        <v>eingehalten</v>
      </c>
    </row>
    <row r="38" customFormat="false" ht="16.5" hidden="false" customHeight="true" outlineLevel="0" collapsed="false">
      <c r="B38" s="34" t="n">
        <f aca="false">IF($C38="","",ROW()-21)</f>
        <v>17</v>
      </c>
      <c r="C38" s="35" t="n">
        <v>46104</v>
      </c>
      <c r="D38" s="36" t="str">
        <f aca="false">IF($C38="","",CHOOSE(WEEKDAY($C38,2),"Mo","Di","Mi","Do","Fr","Sa","So"))</f>
        <v>Mo</v>
      </c>
      <c r="E38" s="37" t="s">
        <v>79</v>
      </c>
      <c r="F38" s="37" t="s">
        <v>80</v>
      </c>
      <c r="G38" s="38"/>
      <c r="H38" s="38"/>
      <c r="I38" s="39" t="n">
        <v>0</v>
      </c>
      <c r="J38" s="40" t="n">
        <f aca="false">IF($C38="","",IF(OR($G38="",$H38=""),0,MOD($H38-$G38,1)))</f>
        <v>0</v>
      </c>
      <c r="K38" s="41" t="n">
        <f aca="false">IF($C38="","",IF(OR($E38="Urlaub",$E38="Krankheit",$E38="Feiertag"),$M38,MAX(0,$J38-$I38/1440)))</f>
        <v>0.333333333333333</v>
      </c>
      <c r="L38" s="42" t="n">
        <f aca="false">IF($C38="","",$K38*24)</f>
        <v>8</v>
      </c>
      <c r="M38" s="40" t="n">
        <f aca="false">IF($C38="","",IF(WEEKDAY($C38,2)&gt;5,0,$L$7))</f>
        <v>0.333333333333333</v>
      </c>
      <c r="N38" s="43" t="n">
        <f aca="false">IF($C38="","",($K38-$M38)*24)</f>
        <v>0</v>
      </c>
      <c r="O38" s="44" t="n">
        <f aca="false">IF($C38="","",ROUND($L38*$L$8+MAX(0,$N38)*$L$8*$L$9,2))</f>
        <v>340</v>
      </c>
      <c r="P38" s="45" t="str">
        <f aca="false">IF($C38="","",IF(OR($G38="",$H38=""),"–",IF($K38&gt;9/24,IF($I38&gt;=$L$12,"eingehalten","Pause zu kurz"),IF($K38&gt;6/24,IF($I38&gt;=$L$11,"eingehalten","Pause zu kurz"),"eingehalten"))))</f>
        <v>–</v>
      </c>
    </row>
    <row r="39" customFormat="false" ht="16.5" hidden="false" customHeight="true" outlineLevel="0" collapsed="false">
      <c r="B39" s="34" t="n">
        <f aca="false">IF($C39="","",ROW()-21)</f>
        <v>18</v>
      </c>
      <c r="C39" s="35" t="n">
        <v>46105</v>
      </c>
      <c r="D39" s="36" t="str">
        <f aca="false">IF($C39="","",CHOOSE(WEEKDAY($C39,2),"Mo","Di","Mi","Do","Fr","Sa","So"))</f>
        <v>Di</v>
      </c>
      <c r="E39" s="37" t="s">
        <v>58</v>
      </c>
      <c r="F39" s="37" t="s">
        <v>67</v>
      </c>
      <c r="G39" s="38" t="n">
        <v>0.333333333333333</v>
      </c>
      <c r="H39" s="38" t="n">
        <v>0.697916666666667</v>
      </c>
      <c r="I39" s="39" t="n">
        <v>45</v>
      </c>
      <c r="J39" s="40" t="n">
        <f aca="false">IF($C39="","",IF(OR($G39="",$H39=""),0,MOD($H39-$G39,1)))</f>
        <v>0.364583333333333</v>
      </c>
      <c r="K39" s="41" t="n">
        <f aca="false">IF($C39="","",IF(OR($E39="Urlaub",$E39="Krankheit",$E39="Feiertag"),$M39,MAX(0,$J39-$I39/1440)))</f>
        <v>0.333333333333333</v>
      </c>
      <c r="L39" s="42" t="n">
        <f aca="false">IF($C39="","",$K39*24)</f>
        <v>8</v>
      </c>
      <c r="M39" s="40" t="n">
        <f aca="false">IF($C39="","",IF(WEEKDAY($C39,2)&gt;5,0,$L$7))</f>
        <v>0.333333333333333</v>
      </c>
      <c r="N39" s="43" t="n">
        <f aca="false">IF($C39="","",($K39-$M39)*24)</f>
        <v>0</v>
      </c>
      <c r="O39" s="44" t="n">
        <f aca="false">IF($C39="","",ROUND($L39*$L$8+MAX(0,$N39)*$L$8*$L$9,2))</f>
        <v>340</v>
      </c>
      <c r="P39" s="45" t="str">
        <f aca="false">IF($C39="","",IF(OR($G39="",$H39=""),"–",IF($K39&gt;9/24,IF($I39&gt;=$L$12,"eingehalten","Pause zu kurz"),IF($K39&gt;6/24,IF($I39&gt;=$L$11,"eingehalten","Pause zu kurz"),"eingehalten"))))</f>
        <v>eingehalten</v>
      </c>
    </row>
    <row r="40" customFormat="false" ht="16.5" hidden="false" customHeight="true" outlineLevel="0" collapsed="false">
      <c r="B40" s="34" t="n">
        <f aca="false">IF($C40="","",ROW()-21)</f>
        <v>19</v>
      </c>
      <c r="C40" s="35" t="n">
        <v>46106</v>
      </c>
      <c r="D40" s="36" t="str">
        <f aca="false">IF($C40="","",CHOOSE(WEEKDAY($C40,2),"Mo","Di","Mi","Do","Fr","Sa","So"))</f>
        <v>Mi</v>
      </c>
      <c r="E40" s="37" t="s">
        <v>71</v>
      </c>
      <c r="F40" s="37" t="s">
        <v>81</v>
      </c>
      <c r="G40" s="38" t="n">
        <v>0.3125</v>
      </c>
      <c r="H40" s="38" t="n">
        <v>0.677083333333333</v>
      </c>
      <c r="I40" s="39" t="n">
        <v>45</v>
      </c>
      <c r="J40" s="40" t="n">
        <f aca="false">IF($C40="","",IF(OR($G40="",$H40=""),0,MOD($H40-$G40,1)))</f>
        <v>0.364583333333333</v>
      </c>
      <c r="K40" s="41" t="n">
        <f aca="false">IF($C40="","",IF(OR($E40="Urlaub",$E40="Krankheit",$E40="Feiertag"),$M40,MAX(0,$J40-$I40/1440)))</f>
        <v>0.333333333333333</v>
      </c>
      <c r="L40" s="42" t="n">
        <f aca="false">IF($C40="","",$K40*24)</f>
        <v>8</v>
      </c>
      <c r="M40" s="40" t="n">
        <f aca="false">IF($C40="","",IF(WEEKDAY($C40,2)&gt;5,0,$L$7))</f>
        <v>0.333333333333333</v>
      </c>
      <c r="N40" s="43" t="n">
        <f aca="false">IF($C40="","",($K40-$M40)*24)</f>
        <v>0</v>
      </c>
      <c r="O40" s="44" t="n">
        <f aca="false">IF($C40="","",ROUND($L40*$L$8+MAX(0,$N40)*$L$8*$L$9,2))</f>
        <v>340</v>
      </c>
      <c r="P40" s="45" t="str">
        <f aca="false">IF($C40="","",IF(OR($G40="",$H40=""),"–",IF($K40&gt;9/24,IF($I40&gt;=$L$12,"eingehalten","Pause zu kurz"),IF($K40&gt;6/24,IF($I40&gt;=$L$11,"eingehalten","Pause zu kurz"),"eingehalten"))))</f>
        <v>eingehalten</v>
      </c>
    </row>
    <row r="41" customFormat="false" ht="16.5" hidden="false" customHeight="true" outlineLevel="0" collapsed="false">
      <c r="B41" s="34" t="n">
        <f aca="false">IF($C41="","",ROW()-21)</f>
        <v>20</v>
      </c>
      <c r="C41" s="35" t="n">
        <v>46107</v>
      </c>
      <c r="D41" s="36" t="str">
        <f aca="false">IF($C41="","",CHOOSE(WEEKDAY($C41,2),"Mo","Di","Mi","Do","Fr","Sa","So"))</f>
        <v>Do</v>
      </c>
      <c r="E41" s="37" t="s">
        <v>60</v>
      </c>
      <c r="F41" s="37" t="s">
        <v>82</v>
      </c>
      <c r="G41" s="38" t="n">
        <v>0.333333333333333</v>
      </c>
      <c r="H41" s="38" t="n">
        <v>0.729166666666667</v>
      </c>
      <c r="I41" s="39" t="n">
        <v>45</v>
      </c>
      <c r="J41" s="40" t="n">
        <f aca="false">IF($C41="","",IF(OR($G41="",$H41=""),0,MOD($H41-$G41,1)))</f>
        <v>0.395833333333333</v>
      </c>
      <c r="K41" s="41" t="n">
        <f aca="false">IF($C41="","",IF(OR($E41="Urlaub",$E41="Krankheit",$E41="Feiertag"),$M41,MAX(0,$J41-$I41/1440)))</f>
        <v>0.364583333333333</v>
      </c>
      <c r="L41" s="42" t="n">
        <f aca="false">IF($C41="","",$K41*24)</f>
        <v>8.75</v>
      </c>
      <c r="M41" s="40" t="n">
        <f aca="false">IF($C41="","",IF(WEEKDAY($C41,2)&gt;5,0,$L$7))</f>
        <v>0.333333333333333</v>
      </c>
      <c r="N41" s="43" t="n">
        <f aca="false">IF($C41="","",($K41-$M41)*24)</f>
        <v>0.75</v>
      </c>
      <c r="O41" s="44" t="n">
        <f aca="false">IF($C41="","",ROUND($L41*$L$8+MAX(0,$N41)*$L$8*$L$9,2))</f>
        <v>379.84</v>
      </c>
      <c r="P41" s="45" t="str">
        <f aca="false">IF($C41="","",IF(OR($G41="",$H41=""),"–",IF($K41&gt;9/24,IF($I41&gt;=$L$12,"eingehalten","Pause zu kurz"),IF($K41&gt;6/24,IF($I41&gt;=$L$11,"eingehalten","Pause zu kurz"),"eingehalten"))))</f>
        <v>eingehalten</v>
      </c>
    </row>
    <row r="42" customFormat="false" ht="16.5" hidden="false" customHeight="true" outlineLevel="0" collapsed="false">
      <c r="B42" s="34" t="n">
        <f aca="false">IF($C42="","",ROW()-21)</f>
        <v>21</v>
      </c>
      <c r="C42" s="35" t="n">
        <v>46108</v>
      </c>
      <c r="D42" s="36" t="str">
        <f aca="false">IF($C42="","",CHOOSE(WEEKDAY($C42,2),"Mo","Di","Mi","Do","Fr","Sa","So"))</f>
        <v>Fr</v>
      </c>
      <c r="E42" s="37" t="s">
        <v>83</v>
      </c>
      <c r="F42" s="37" t="s">
        <v>84</v>
      </c>
      <c r="G42" s="38"/>
      <c r="H42" s="38"/>
      <c r="I42" s="39" t="n">
        <v>0</v>
      </c>
      <c r="J42" s="40" t="n">
        <f aca="false">IF($C42="","",IF(OR($G42="",$H42=""),0,MOD($H42-$G42,1)))</f>
        <v>0</v>
      </c>
      <c r="K42" s="41" t="n">
        <f aca="false">IF($C42="","",IF(OR($E42="Urlaub",$E42="Krankheit",$E42="Feiertag"),$M42,MAX(0,$J42-$I42/1440)))</f>
        <v>0</v>
      </c>
      <c r="L42" s="42" t="n">
        <f aca="false">IF($C42="","",$K42*24)</f>
        <v>0</v>
      </c>
      <c r="M42" s="40" t="n">
        <f aca="false">IF($C42="","",IF(WEEKDAY($C42,2)&gt;5,0,$L$7))</f>
        <v>0.333333333333333</v>
      </c>
      <c r="N42" s="43" t="n">
        <f aca="false">IF($C42="","",($K42-$M42)*24)</f>
        <v>-8</v>
      </c>
      <c r="O42" s="44" t="n">
        <f aca="false">IF($C42="","",ROUND($L42*$L$8+MAX(0,$N42)*$L$8*$L$9,2))</f>
        <v>0</v>
      </c>
      <c r="P42" s="45" t="str">
        <f aca="false">IF($C42="","",IF(OR($G42="",$H42=""),"–",IF($K42&gt;9/24,IF($I42&gt;=$L$12,"eingehalten","Pause zu kurz"),IF($K42&gt;6/24,IF($I42&gt;=$L$11,"eingehalten","Pause zu kurz"),"eingehalten"))))</f>
        <v>–</v>
      </c>
    </row>
    <row r="43" customFormat="false" ht="16.5" hidden="false" customHeight="true" outlineLevel="0" collapsed="false">
      <c r="B43" s="34" t="n">
        <f aca="false">IF($C43="","",ROW()-21)</f>
        <v>22</v>
      </c>
      <c r="C43" s="35" t="n">
        <v>46111</v>
      </c>
      <c r="D43" s="36" t="str">
        <f aca="false">IF($C43="","",CHOOSE(WEEKDAY($C43,2),"Mo","Di","Mi","Do","Fr","Sa","So"))</f>
        <v>Mo</v>
      </c>
      <c r="E43" s="37" t="s">
        <v>58</v>
      </c>
      <c r="F43" s="37" t="s">
        <v>85</v>
      </c>
      <c r="G43" s="38" t="n">
        <v>0.333333333333333</v>
      </c>
      <c r="H43" s="38" t="n">
        <v>0.708333333333333</v>
      </c>
      <c r="I43" s="39" t="n">
        <v>45</v>
      </c>
      <c r="J43" s="40" t="n">
        <f aca="false">IF($C43="","",IF(OR($G43="",$H43=""),0,MOD($H43-$G43,1)))</f>
        <v>0.375</v>
      </c>
      <c r="K43" s="41" t="n">
        <f aca="false">IF($C43="","",IF(OR($E43="Urlaub",$E43="Krankheit",$E43="Feiertag"),$M43,MAX(0,$J43-$I43/1440)))</f>
        <v>0.34375</v>
      </c>
      <c r="L43" s="42" t="n">
        <f aca="false">IF($C43="","",$K43*24)</f>
        <v>8.25</v>
      </c>
      <c r="M43" s="40" t="n">
        <f aca="false">IF($C43="","",IF(WEEKDAY($C43,2)&gt;5,0,$L$7))</f>
        <v>0.333333333333333</v>
      </c>
      <c r="N43" s="43" t="n">
        <f aca="false">IF($C43="","",($K43-$M43)*24)</f>
        <v>0.25</v>
      </c>
      <c r="O43" s="44" t="n">
        <f aca="false">IF($C43="","",ROUND($L43*$L$8+MAX(0,$N43)*$L$8*$L$9,2))</f>
        <v>353.28</v>
      </c>
      <c r="P43" s="45" t="str">
        <f aca="false">IF($C43="","",IF(OR($G43="",$H43=""),"–",IF($K43&gt;9/24,IF($I43&gt;=$L$12,"eingehalten","Pause zu kurz"),IF($K43&gt;6/24,IF($I43&gt;=$L$11,"eingehalten","Pause zu kurz"),"eingehalten"))))</f>
        <v>eingehalten</v>
      </c>
    </row>
    <row r="44" customFormat="false" ht="16.5" hidden="false" customHeight="true" outlineLevel="0" collapsed="false">
      <c r="B44" s="34" t="n">
        <f aca="false">IF($C44="","",ROW()-21)</f>
        <v>23</v>
      </c>
      <c r="C44" s="35" t="n">
        <v>46112</v>
      </c>
      <c r="D44" s="36" t="str">
        <f aca="false">IF($C44="","",CHOOSE(WEEKDAY($C44,2),"Mo","Di","Mi","Do","Fr","Sa","So"))</f>
        <v>Di</v>
      </c>
      <c r="E44" s="37" t="s">
        <v>58</v>
      </c>
      <c r="F44" s="37" t="s">
        <v>86</v>
      </c>
      <c r="G44" s="38" t="n">
        <v>0.333333333333333</v>
      </c>
      <c r="H44" s="38" t="n">
        <v>0.697916666666667</v>
      </c>
      <c r="I44" s="39" t="n">
        <v>45</v>
      </c>
      <c r="J44" s="40" t="n">
        <f aca="false">IF($C44="","",IF(OR($G44="",$H44=""),0,MOD($H44-$G44,1)))</f>
        <v>0.364583333333333</v>
      </c>
      <c r="K44" s="41" t="n">
        <f aca="false">IF($C44="","",IF(OR($E44="Urlaub",$E44="Krankheit",$E44="Feiertag"),$M44,MAX(0,$J44-$I44/1440)))</f>
        <v>0.333333333333333</v>
      </c>
      <c r="L44" s="42" t="n">
        <f aca="false">IF($C44="","",$K44*24)</f>
        <v>8</v>
      </c>
      <c r="M44" s="40" t="n">
        <f aca="false">IF($C44="","",IF(WEEKDAY($C44,2)&gt;5,0,$L$7))</f>
        <v>0.333333333333333</v>
      </c>
      <c r="N44" s="43" t="n">
        <f aca="false">IF($C44="","",($K44-$M44)*24)</f>
        <v>0</v>
      </c>
      <c r="O44" s="44" t="n">
        <f aca="false">IF($C44="","",ROUND($L44*$L$8+MAX(0,$N44)*$L$8*$L$9,2))</f>
        <v>340</v>
      </c>
      <c r="P44" s="45" t="str">
        <f aca="false">IF($C44="","",IF(OR($G44="",$H44=""),"–",IF($K44&gt;9/24,IF($I44&gt;=$L$12,"eingehalten","Pause zu kurz"),IF($K44&gt;6/24,IF($I44&gt;=$L$11,"eingehalten","Pause zu kurz"),"eingehalten"))))</f>
        <v>eingehalten</v>
      </c>
    </row>
    <row r="45" customFormat="false" ht="16.5" hidden="false" customHeight="true" outlineLevel="0" collapsed="false">
      <c r="B45" s="34" t="str">
        <f aca="false">IF($C45="","",ROW()-21)</f>
        <v/>
      </c>
      <c r="C45" s="35"/>
      <c r="D45" s="36" t="str">
        <f aca="false">IF($C45="","",CHOOSE(WEEKDAY($C45,2),"Mo","Di","Mi","Do","Fr","Sa","So"))</f>
        <v/>
      </c>
      <c r="E45" s="37"/>
      <c r="F45" s="37"/>
      <c r="G45" s="38"/>
      <c r="H45" s="38"/>
      <c r="I45" s="39"/>
      <c r="J45" s="40" t="str">
        <f aca="false">IF($C45="","",IF(OR($G45="",$H45=""),0,MOD($H45-$G45,1)))</f>
        <v/>
      </c>
      <c r="K45" s="41" t="str">
        <f aca="false">IF($C45="","",IF(OR($E45="Urlaub",$E45="Krankheit",$E45="Feiertag"),$M45,MAX(0,$J45-$I45/1440)))</f>
        <v/>
      </c>
      <c r="L45" s="42" t="str">
        <f aca="false">IF($C45="","",$K45*24)</f>
        <v/>
      </c>
      <c r="M45" s="40" t="str">
        <f aca="false">IF($C45="","",IF(WEEKDAY($C45,2)&gt;5,0,$L$7))</f>
        <v/>
      </c>
      <c r="N45" s="43" t="str">
        <f aca="false">IF($C45="","",($K45-$M45)*24)</f>
        <v/>
      </c>
      <c r="O45" s="44" t="str">
        <f aca="false">IF($C45="","",ROUND($L45*$L$8+MAX(0,$N45)*$L$8*$L$9,2))</f>
        <v/>
      </c>
      <c r="P45" s="45" t="str">
        <f aca="false">IF($C45="","",IF(OR($G45="",$H45=""),"–",IF($K45&gt;9/24,IF($I45&gt;=$L$12,"eingehalten","Pause zu kurz"),IF($K45&gt;6/24,IF($I45&gt;=$L$11,"eingehalten","Pause zu kurz"),"eingehalten"))))</f>
        <v/>
      </c>
    </row>
    <row r="46" customFormat="false" ht="16.5" hidden="false" customHeight="true" outlineLevel="0" collapsed="false">
      <c r="B46" s="34" t="str">
        <f aca="false">IF($C46="","",ROW()-21)</f>
        <v/>
      </c>
      <c r="C46" s="35"/>
      <c r="D46" s="36" t="str">
        <f aca="false">IF($C46="","",CHOOSE(WEEKDAY($C46,2),"Mo","Di","Mi","Do","Fr","Sa","So"))</f>
        <v/>
      </c>
      <c r="E46" s="37"/>
      <c r="F46" s="37"/>
      <c r="G46" s="38"/>
      <c r="H46" s="38"/>
      <c r="I46" s="39"/>
      <c r="J46" s="40" t="str">
        <f aca="false">IF($C46="","",IF(OR($G46="",$H46=""),0,MOD($H46-$G46,1)))</f>
        <v/>
      </c>
      <c r="K46" s="41" t="str">
        <f aca="false">IF($C46="","",IF(OR($E46="Urlaub",$E46="Krankheit",$E46="Feiertag"),$M46,MAX(0,$J46-$I46/1440)))</f>
        <v/>
      </c>
      <c r="L46" s="42" t="str">
        <f aca="false">IF($C46="","",$K46*24)</f>
        <v/>
      </c>
      <c r="M46" s="40" t="str">
        <f aca="false">IF($C46="","",IF(WEEKDAY($C46,2)&gt;5,0,$L$7))</f>
        <v/>
      </c>
      <c r="N46" s="43" t="str">
        <f aca="false">IF($C46="","",($K46-$M46)*24)</f>
        <v/>
      </c>
      <c r="O46" s="44" t="str">
        <f aca="false">IF($C46="","",ROUND($L46*$L$8+MAX(0,$N46)*$L$8*$L$9,2))</f>
        <v/>
      </c>
      <c r="P46" s="45" t="str">
        <f aca="false">IF($C46="","",IF(OR($G46="",$H46=""),"–",IF($K46&gt;9/24,IF($I46&gt;=$L$12,"eingehalten","Pause zu kurz"),IF($K46&gt;6/24,IF($I46&gt;=$L$11,"eingehalten","Pause zu kurz"),"eingehalten"))))</f>
        <v/>
      </c>
    </row>
    <row r="47" customFormat="false" ht="16.5" hidden="false" customHeight="true" outlineLevel="0" collapsed="false">
      <c r="B47" s="34" t="str">
        <f aca="false">IF($C47="","",ROW()-21)</f>
        <v/>
      </c>
      <c r="C47" s="35"/>
      <c r="D47" s="36" t="str">
        <f aca="false">IF($C47="","",CHOOSE(WEEKDAY($C47,2),"Mo","Di","Mi","Do","Fr","Sa","So"))</f>
        <v/>
      </c>
      <c r="E47" s="37"/>
      <c r="F47" s="37"/>
      <c r="G47" s="38"/>
      <c r="H47" s="38"/>
      <c r="I47" s="39"/>
      <c r="J47" s="40" t="str">
        <f aca="false">IF($C47="","",IF(OR($G47="",$H47=""),0,MOD($H47-$G47,1)))</f>
        <v/>
      </c>
      <c r="K47" s="41" t="str">
        <f aca="false">IF($C47="","",IF(OR($E47="Urlaub",$E47="Krankheit",$E47="Feiertag"),$M47,MAX(0,$J47-$I47/1440)))</f>
        <v/>
      </c>
      <c r="L47" s="42" t="str">
        <f aca="false">IF($C47="","",$K47*24)</f>
        <v/>
      </c>
      <c r="M47" s="40" t="str">
        <f aca="false">IF($C47="","",IF(WEEKDAY($C47,2)&gt;5,0,$L$7))</f>
        <v/>
      </c>
      <c r="N47" s="43" t="str">
        <f aca="false">IF($C47="","",($K47-$M47)*24)</f>
        <v/>
      </c>
      <c r="O47" s="44" t="str">
        <f aca="false">IF($C47="","",ROUND($L47*$L$8+MAX(0,$N47)*$L$8*$L$9,2))</f>
        <v/>
      </c>
      <c r="P47" s="45" t="str">
        <f aca="false">IF($C47="","",IF(OR($G47="",$H47=""),"–",IF($K47&gt;9/24,IF($I47&gt;=$L$12,"eingehalten","Pause zu kurz"),IF($K47&gt;6/24,IF($I47&gt;=$L$11,"eingehalten","Pause zu kurz"),"eingehalten"))))</f>
        <v/>
      </c>
    </row>
    <row r="48" customFormat="false" ht="16.5" hidden="false" customHeight="true" outlineLevel="0" collapsed="false">
      <c r="B48" s="34" t="str">
        <f aca="false">IF($C48="","",ROW()-21)</f>
        <v/>
      </c>
      <c r="C48" s="35"/>
      <c r="D48" s="36" t="str">
        <f aca="false">IF($C48="","",CHOOSE(WEEKDAY($C48,2),"Mo","Di","Mi","Do","Fr","Sa","So"))</f>
        <v/>
      </c>
      <c r="E48" s="37"/>
      <c r="F48" s="37"/>
      <c r="G48" s="38"/>
      <c r="H48" s="38"/>
      <c r="I48" s="39"/>
      <c r="J48" s="40" t="str">
        <f aca="false">IF($C48="","",IF(OR($G48="",$H48=""),0,MOD($H48-$G48,1)))</f>
        <v/>
      </c>
      <c r="K48" s="41" t="str">
        <f aca="false">IF($C48="","",IF(OR($E48="Urlaub",$E48="Krankheit",$E48="Feiertag"),$M48,MAX(0,$J48-$I48/1440)))</f>
        <v/>
      </c>
      <c r="L48" s="42" t="str">
        <f aca="false">IF($C48="","",$K48*24)</f>
        <v/>
      </c>
      <c r="M48" s="40" t="str">
        <f aca="false">IF($C48="","",IF(WEEKDAY($C48,2)&gt;5,0,$L$7))</f>
        <v/>
      </c>
      <c r="N48" s="43" t="str">
        <f aca="false">IF($C48="","",($K48-$M48)*24)</f>
        <v/>
      </c>
      <c r="O48" s="44" t="str">
        <f aca="false">IF($C48="","",ROUND($L48*$L$8+MAX(0,$N48)*$L$8*$L$9,2))</f>
        <v/>
      </c>
      <c r="P48" s="45" t="str">
        <f aca="false">IF($C48="","",IF(OR($G48="",$H48=""),"–",IF($K48&gt;9/24,IF($I48&gt;=$L$12,"eingehalten","Pause zu kurz"),IF($K48&gt;6/24,IF($I48&gt;=$L$11,"eingehalten","Pause zu kurz"),"eingehalten"))))</f>
        <v/>
      </c>
    </row>
    <row r="49" customFormat="false" ht="16.5" hidden="false" customHeight="true" outlineLevel="0" collapsed="false">
      <c r="B49" s="34" t="str">
        <f aca="false">IF($C49="","",ROW()-21)</f>
        <v/>
      </c>
      <c r="C49" s="35"/>
      <c r="D49" s="36" t="str">
        <f aca="false">IF($C49="","",CHOOSE(WEEKDAY($C49,2),"Mo","Di","Mi","Do","Fr","Sa","So"))</f>
        <v/>
      </c>
      <c r="E49" s="37"/>
      <c r="F49" s="37"/>
      <c r="G49" s="38"/>
      <c r="H49" s="38"/>
      <c r="I49" s="39"/>
      <c r="J49" s="40" t="str">
        <f aca="false">IF($C49="","",IF(OR($G49="",$H49=""),0,MOD($H49-$G49,1)))</f>
        <v/>
      </c>
      <c r="K49" s="41" t="str">
        <f aca="false">IF($C49="","",IF(OR($E49="Urlaub",$E49="Krankheit",$E49="Feiertag"),$M49,MAX(0,$J49-$I49/1440)))</f>
        <v/>
      </c>
      <c r="L49" s="42" t="str">
        <f aca="false">IF($C49="","",$K49*24)</f>
        <v/>
      </c>
      <c r="M49" s="40" t="str">
        <f aca="false">IF($C49="","",IF(WEEKDAY($C49,2)&gt;5,0,$L$7))</f>
        <v/>
      </c>
      <c r="N49" s="43" t="str">
        <f aca="false">IF($C49="","",($K49-$M49)*24)</f>
        <v/>
      </c>
      <c r="O49" s="44" t="str">
        <f aca="false">IF($C49="","",ROUND($L49*$L$8+MAX(0,$N49)*$L$8*$L$9,2))</f>
        <v/>
      </c>
      <c r="P49" s="45" t="str">
        <f aca="false">IF($C49="","",IF(OR($G49="",$H49=""),"–",IF($K49&gt;9/24,IF($I49&gt;=$L$12,"eingehalten","Pause zu kurz"),IF($K49&gt;6/24,IF($I49&gt;=$L$11,"eingehalten","Pause zu kurz"),"eingehalten"))))</f>
        <v/>
      </c>
    </row>
    <row r="50" customFormat="false" ht="16.5" hidden="false" customHeight="true" outlineLevel="0" collapsed="false">
      <c r="B50" s="34" t="str">
        <f aca="false">IF($C50="","",ROW()-21)</f>
        <v/>
      </c>
      <c r="C50" s="35"/>
      <c r="D50" s="36" t="str">
        <f aca="false">IF($C50="","",CHOOSE(WEEKDAY($C50,2),"Mo","Di","Mi","Do","Fr","Sa","So"))</f>
        <v/>
      </c>
      <c r="E50" s="37"/>
      <c r="F50" s="37"/>
      <c r="G50" s="38"/>
      <c r="H50" s="38"/>
      <c r="I50" s="39"/>
      <c r="J50" s="40" t="str">
        <f aca="false">IF($C50="","",IF(OR($G50="",$H50=""),0,MOD($H50-$G50,1)))</f>
        <v/>
      </c>
      <c r="K50" s="41" t="str">
        <f aca="false">IF($C50="","",IF(OR($E50="Urlaub",$E50="Krankheit",$E50="Feiertag"),$M50,MAX(0,$J50-$I50/1440)))</f>
        <v/>
      </c>
      <c r="L50" s="42" t="str">
        <f aca="false">IF($C50="","",$K50*24)</f>
        <v/>
      </c>
      <c r="M50" s="40" t="str">
        <f aca="false">IF($C50="","",IF(WEEKDAY($C50,2)&gt;5,0,$L$7))</f>
        <v/>
      </c>
      <c r="N50" s="43" t="str">
        <f aca="false">IF($C50="","",($K50-$M50)*24)</f>
        <v/>
      </c>
      <c r="O50" s="44" t="str">
        <f aca="false">IF($C50="","",ROUND($L50*$L$8+MAX(0,$N50)*$L$8*$L$9,2))</f>
        <v/>
      </c>
      <c r="P50" s="45" t="str">
        <f aca="false">IF($C50="","",IF(OR($G50="",$H50=""),"–",IF($K50&gt;9/24,IF($I50&gt;=$L$12,"eingehalten","Pause zu kurz"),IF($K50&gt;6/24,IF($I50&gt;=$L$11,"eingehalten","Pause zu kurz"),"eingehalten"))))</f>
        <v/>
      </c>
    </row>
    <row r="51" customFormat="false" ht="16.5" hidden="false" customHeight="true" outlineLevel="0" collapsed="false">
      <c r="B51" s="34" t="str">
        <f aca="false">IF($C51="","",ROW()-21)</f>
        <v/>
      </c>
      <c r="C51" s="35"/>
      <c r="D51" s="36" t="str">
        <f aca="false">IF($C51="","",CHOOSE(WEEKDAY($C51,2),"Mo","Di","Mi","Do","Fr","Sa","So"))</f>
        <v/>
      </c>
      <c r="E51" s="37"/>
      <c r="F51" s="37"/>
      <c r="G51" s="38"/>
      <c r="H51" s="38"/>
      <c r="I51" s="39"/>
      <c r="J51" s="40" t="str">
        <f aca="false">IF($C51="","",IF(OR($G51="",$H51=""),0,MOD($H51-$G51,1)))</f>
        <v/>
      </c>
      <c r="K51" s="41" t="str">
        <f aca="false">IF($C51="","",IF(OR($E51="Urlaub",$E51="Krankheit",$E51="Feiertag"),$M51,MAX(0,$J51-$I51/1440)))</f>
        <v/>
      </c>
      <c r="L51" s="42" t="str">
        <f aca="false">IF($C51="","",$K51*24)</f>
        <v/>
      </c>
      <c r="M51" s="40" t="str">
        <f aca="false">IF($C51="","",IF(WEEKDAY($C51,2)&gt;5,0,$L$7))</f>
        <v/>
      </c>
      <c r="N51" s="43" t="str">
        <f aca="false">IF($C51="","",($K51-$M51)*24)</f>
        <v/>
      </c>
      <c r="O51" s="44" t="str">
        <f aca="false">IF($C51="","",ROUND($L51*$L$8+MAX(0,$N51)*$L$8*$L$9,2))</f>
        <v/>
      </c>
      <c r="P51" s="45" t="str">
        <f aca="false">IF($C51="","",IF(OR($G51="",$H51=""),"–",IF($K51&gt;9/24,IF($I51&gt;=$L$12,"eingehalten","Pause zu kurz"),IF($K51&gt;6/24,IF($I51&gt;=$L$11,"eingehalten","Pause zu kurz"),"eingehalten"))))</f>
        <v/>
      </c>
    </row>
    <row r="52" customFormat="false" ht="16.5" hidden="false" customHeight="true" outlineLevel="0" collapsed="false">
      <c r="B52" s="34" t="str">
        <f aca="false">IF($C52="","",ROW()-21)</f>
        <v/>
      </c>
      <c r="C52" s="35"/>
      <c r="D52" s="36" t="str">
        <f aca="false">IF($C52="","",CHOOSE(WEEKDAY($C52,2),"Mo","Di","Mi","Do","Fr","Sa","So"))</f>
        <v/>
      </c>
      <c r="E52" s="37"/>
      <c r="F52" s="37"/>
      <c r="G52" s="38"/>
      <c r="H52" s="38"/>
      <c r="I52" s="39"/>
      <c r="J52" s="40" t="str">
        <f aca="false">IF($C52="","",IF(OR($G52="",$H52=""),0,MOD($H52-$G52,1)))</f>
        <v/>
      </c>
      <c r="K52" s="41" t="str">
        <f aca="false">IF($C52="","",IF(OR($E52="Urlaub",$E52="Krankheit",$E52="Feiertag"),$M52,MAX(0,$J52-$I52/1440)))</f>
        <v/>
      </c>
      <c r="L52" s="42" t="str">
        <f aca="false">IF($C52="","",$K52*24)</f>
        <v/>
      </c>
      <c r="M52" s="40" t="str">
        <f aca="false">IF($C52="","",IF(WEEKDAY($C52,2)&gt;5,0,$L$7))</f>
        <v/>
      </c>
      <c r="N52" s="43" t="str">
        <f aca="false">IF($C52="","",($K52-$M52)*24)</f>
        <v/>
      </c>
      <c r="O52" s="44" t="str">
        <f aca="false">IF($C52="","",ROUND($L52*$L$8+MAX(0,$N52)*$L$8*$L$9,2))</f>
        <v/>
      </c>
      <c r="P52" s="45" t="str">
        <f aca="false">IF($C52="","",IF(OR($G52="",$H52=""),"–",IF($K52&gt;9/24,IF($I52&gt;=$L$12,"eingehalten","Pause zu kurz"),IF($K52&gt;6/24,IF($I52&gt;=$L$11,"eingehalten","Pause zu kurz"),"eingehalten"))))</f>
        <v/>
      </c>
    </row>
    <row r="53" customFormat="false" ht="16.5" hidden="false" customHeight="true" outlineLevel="0" collapsed="false">
      <c r="B53" s="34" t="str">
        <f aca="false">IF($C53="","",ROW()-21)</f>
        <v/>
      </c>
      <c r="C53" s="35"/>
      <c r="D53" s="36" t="str">
        <f aca="false">IF($C53="","",CHOOSE(WEEKDAY($C53,2),"Mo","Di","Mi","Do","Fr","Sa","So"))</f>
        <v/>
      </c>
      <c r="E53" s="37"/>
      <c r="F53" s="37"/>
      <c r="G53" s="38"/>
      <c r="H53" s="38"/>
      <c r="I53" s="39"/>
      <c r="J53" s="40" t="str">
        <f aca="false">IF($C53="","",IF(OR($G53="",$H53=""),0,MOD($H53-$G53,1)))</f>
        <v/>
      </c>
      <c r="K53" s="41" t="str">
        <f aca="false">IF($C53="","",IF(OR($E53="Urlaub",$E53="Krankheit",$E53="Feiertag"),$M53,MAX(0,$J53-$I53/1440)))</f>
        <v/>
      </c>
      <c r="L53" s="42" t="str">
        <f aca="false">IF($C53="","",$K53*24)</f>
        <v/>
      </c>
      <c r="M53" s="40" t="str">
        <f aca="false">IF($C53="","",IF(WEEKDAY($C53,2)&gt;5,0,$L$7))</f>
        <v/>
      </c>
      <c r="N53" s="43" t="str">
        <f aca="false">IF($C53="","",($K53-$M53)*24)</f>
        <v/>
      </c>
      <c r="O53" s="44" t="str">
        <f aca="false">IF($C53="","",ROUND($L53*$L$8+MAX(0,$N53)*$L$8*$L$9,2))</f>
        <v/>
      </c>
      <c r="P53" s="45" t="str">
        <f aca="false">IF($C53="","",IF(OR($G53="",$H53=""),"–",IF($K53&gt;9/24,IF($I53&gt;=$L$12,"eingehalten","Pause zu kurz"),IF($K53&gt;6/24,IF($I53&gt;=$L$11,"eingehalten","Pause zu kurz"),"eingehalten"))))</f>
        <v/>
      </c>
    </row>
    <row r="54" customFormat="false" ht="16.5" hidden="false" customHeight="true" outlineLevel="0" collapsed="false">
      <c r="B54" s="34" t="str">
        <f aca="false">IF($C54="","",ROW()-21)</f>
        <v/>
      </c>
      <c r="C54" s="35"/>
      <c r="D54" s="36" t="str">
        <f aca="false">IF($C54="","",CHOOSE(WEEKDAY($C54,2),"Mo","Di","Mi","Do","Fr","Sa","So"))</f>
        <v/>
      </c>
      <c r="E54" s="37"/>
      <c r="F54" s="37"/>
      <c r="G54" s="38"/>
      <c r="H54" s="38"/>
      <c r="I54" s="39"/>
      <c r="J54" s="40" t="str">
        <f aca="false">IF($C54="","",IF(OR($G54="",$H54=""),0,MOD($H54-$G54,1)))</f>
        <v/>
      </c>
      <c r="K54" s="41" t="str">
        <f aca="false">IF($C54="","",IF(OR($E54="Urlaub",$E54="Krankheit",$E54="Feiertag"),$M54,MAX(0,$J54-$I54/1440)))</f>
        <v/>
      </c>
      <c r="L54" s="42" t="str">
        <f aca="false">IF($C54="","",$K54*24)</f>
        <v/>
      </c>
      <c r="M54" s="40" t="str">
        <f aca="false">IF($C54="","",IF(WEEKDAY($C54,2)&gt;5,0,$L$7))</f>
        <v/>
      </c>
      <c r="N54" s="43" t="str">
        <f aca="false">IF($C54="","",($K54-$M54)*24)</f>
        <v/>
      </c>
      <c r="O54" s="44" t="str">
        <f aca="false">IF($C54="","",ROUND($L54*$L$8+MAX(0,$N54)*$L$8*$L$9,2))</f>
        <v/>
      </c>
      <c r="P54" s="45" t="str">
        <f aca="false">IF($C54="","",IF(OR($G54="",$H54=""),"–",IF($K54&gt;9/24,IF($I54&gt;=$L$12,"eingehalten","Pause zu kurz"),IF($K54&gt;6/24,IF($I54&gt;=$L$11,"eingehalten","Pause zu kurz"),"eingehalten"))))</f>
        <v/>
      </c>
    </row>
    <row r="55" customFormat="false" ht="16.5" hidden="false" customHeight="true" outlineLevel="0" collapsed="false">
      <c r="B55" s="34" t="str">
        <f aca="false">IF($C55="","",ROW()-21)</f>
        <v/>
      </c>
      <c r="C55" s="35"/>
      <c r="D55" s="36" t="str">
        <f aca="false">IF($C55="","",CHOOSE(WEEKDAY($C55,2),"Mo","Di","Mi","Do","Fr","Sa","So"))</f>
        <v/>
      </c>
      <c r="E55" s="37"/>
      <c r="F55" s="37"/>
      <c r="G55" s="38"/>
      <c r="H55" s="38"/>
      <c r="I55" s="39"/>
      <c r="J55" s="40" t="str">
        <f aca="false">IF($C55="","",IF(OR($G55="",$H55=""),0,MOD($H55-$G55,1)))</f>
        <v/>
      </c>
      <c r="K55" s="41" t="str">
        <f aca="false">IF($C55="","",IF(OR($E55="Urlaub",$E55="Krankheit",$E55="Feiertag"),$M55,MAX(0,$J55-$I55/1440)))</f>
        <v/>
      </c>
      <c r="L55" s="42" t="str">
        <f aca="false">IF($C55="","",$K55*24)</f>
        <v/>
      </c>
      <c r="M55" s="40" t="str">
        <f aca="false">IF($C55="","",IF(WEEKDAY($C55,2)&gt;5,0,$L$7))</f>
        <v/>
      </c>
      <c r="N55" s="43" t="str">
        <f aca="false">IF($C55="","",($K55-$M55)*24)</f>
        <v/>
      </c>
      <c r="O55" s="44" t="str">
        <f aca="false">IF($C55="","",ROUND($L55*$L$8+MAX(0,$N55)*$L$8*$L$9,2))</f>
        <v/>
      </c>
      <c r="P55" s="45" t="str">
        <f aca="false">IF($C55="","",IF(OR($G55="",$H55=""),"–",IF($K55&gt;9/24,IF($I55&gt;=$L$12,"eingehalten","Pause zu kurz"),IF($K55&gt;6/24,IF($I55&gt;=$L$11,"eingehalten","Pause zu kurz"),"eingehalten"))))</f>
        <v/>
      </c>
    </row>
    <row r="56" customFormat="false" ht="16.5" hidden="false" customHeight="true" outlineLevel="0" collapsed="false">
      <c r="B56" s="34" t="str">
        <f aca="false">IF($C56="","",ROW()-21)</f>
        <v/>
      </c>
      <c r="C56" s="35"/>
      <c r="D56" s="36" t="str">
        <f aca="false">IF($C56="","",CHOOSE(WEEKDAY($C56,2),"Mo","Di","Mi","Do","Fr","Sa","So"))</f>
        <v/>
      </c>
      <c r="E56" s="37"/>
      <c r="F56" s="37"/>
      <c r="G56" s="38"/>
      <c r="H56" s="38"/>
      <c r="I56" s="39"/>
      <c r="J56" s="40" t="str">
        <f aca="false">IF($C56="","",IF(OR($G56="",$H56=""),0,MOD($H56-$G56,1)))</f>
        <v/>
      </c>
      <c r="K56" s="41" t="str">
        <f aca="false">IF($C56="","",IF(OR($E56="Urlaub",$E56="Krankheit",$E56="Feiertag"),$M56,MAX(0,$J56-$I56/1440)))</f>
        <v/>
      </c>
      <c r="L56" s="42" t="str">
        <f aca="false">IF($C56="","",$K56*24)</f>
        <v/>
      </c>
      <c r="M56" s="40" t="str">
        <f aca="false">IF($C56="","",IF(WEEKDAY($C56,2)&gt;5,0,$L$7))</f>
        <v/>
      </c>
      <c r="N56" s="43" t="str">
        <f aca="false">IF($C56="","",($K56-$M56)*24)</f>
        <v/>
      </c>
      <c r="O56" s="44" t="str">
        <f aca="false">IF($C56="","",ROUND($L56*$L$8+MAX(0,$N56)*$L$8*$L$9,2))</f>
        <v/>
      </c>
      <c r="P56" s="45" t="str">
        <f aca="false">IF($C56="","",IF(OR($G56="",$H56=""),"–",IF($K56&gt;9/24,IF($I56&gt;=$L$12,"eingehalten","Pause zu kurz"),IF($K56&gt;6/24,IF($I56&gt;=$L$11,"eingehalten","Pause zu kurz"),"eingehalten"))))</f>
        <v/>
      </c>
    </row>
    <row r="57" customFormat="false" ht="24" hidden="false" customHeight="true" outlineLevel="0" collapsed="false">
      <c r="B57" s="46" t="s">
        <v>87</v>
      </c>
      <c r="C57" s="46"/>
      <c r="D57" s="46"/>
      <c r="E57" s="46"/>
      <c r="F57" s="46"/>
      <c r="G57" s="46"/>
      <c r="H57" s="46"/>
      <c r="I57" s="47" t="n">
        <f aca="false">SUBTOTAL(109,I22:I56)</f>
        <v>810</v>
      </c>
      <c r="J57" s="48" t="n">
        <f aca="false">SUBTOTAL(109,J22:J56)</f>
        <v>6.90625</v>
      </c>
      <c r="K57" s="48" t="n">
        <f aca="false">SUBTOTAL(109,K22:K56)</f>
        <v>7.34375</v>
      </c>
      <c r="L57" s="49" t="n">
        <f aca="false">SUBTOTAL(109,L22:L56)</f>
        <v>176.25</v>
      </c>
      <c r="M57" s="48" t="n">
        <f aca="false">SUBTOTAL(109,M22:M56)</f>
        <v>7.33333333333333</v>
      </c>
      <c r="N57" s="50" t="n">
        <f aca="false">SUBTOTAL(109,N22:N56)</f>
        <v>0.25</v>
      </c>
      <c r="O57" s="51" t="n">
        <f aca="false">SUBTOTAL(109,O22:O56)</f>
        <v>7618.12</v>
      </c>
      <c r="P57" s="52" t="str">
        <f aca="false">SUBTOTAL(102,$C$22:$C$56)&amp;" Tage"</f>
        <v>23 Tage</v>
      </c>
    </row>
    <row r="58" customFormat="false" ht="9.75" hidden="false" customHeight="true" outlineLevel="0" collapsed="false"/>
    <row r="59" customFormat="false" ht="19.5" hidden="false" customHeight="true" outlineLevel="0" collapsed="false">
      <c r="B59" s="7" t="s">
        <v>88</v>
      </c>
      <c r="C59" s="8" t="s">
        <v>89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</row>
    <row r="60" customFormat="false" ht="25.5" hidden="false" customHeight="true" outlineLevel="0" collapsed="false"/>
    <row r="61" customFormat="false" ht="6" hidden="false" customHeight="true" outlineLevel="0" collapsed="false">
      <c r="B61" s="53"/>
      <c r="C61" s="53"/>
      <c r="D61" s="53"/>
      <c r="E61" s="53"/>
      <c r="G61" s="53"/>
      <c r="H61" s="53"/>
      <c r="I61" s="53"/>
      <c r="J61" s="53"/>
      <c r="M61" s="53"/>
      <c r="N61" s="53"/>
      <c r="O61" s="53"/>
      <c r="P61" s="53"/>
    </row>
    <row r="62" customFormat="false" ht="13.5" hidden="false" customHeight="true" outlineLevel="0" collapsed="false">
      <c r="B62" s="30" t="s">
        <v>90</v>
      </c>
      <c r="C62" s="30"/>
      <c r="D62" s="30"/>
      <c r="E62" s="30"/>
      <c r="G62" s="30" t="s">
        <v>91</v>
      </c>
      <c r="H62" s="30"/>
      <c r="I62" s="30"/>
      <c r="J62" s="30"/>
      <c r="M62" s="30" t="s">
        <v>92</v>
      </c>
      <c r="N62" s="30"/>
      <c r="O62" s="30"/>
      <c r="P62" s="30"/>
    </row>
    <row r="63" customFormat="false" ht="7.5" hidden="false" customHeight="true" outlineLevel="0" collapsed="false"/>
    <row r="64" customFormat="false" ht="27.75" hidden="false" customHeight="true" outlineLevel="0" collapsed="false">
      <c r="B64" s="54" t="s">
        <v>93</v>
      </c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</row>
  </sheetData>
  <autoFilter ref="B21:P56"/>
  <mergeCells count="64">
    <mergeCell ref="B2:L2"/>
    <mergeCell ref="M2:Q2"/>
    <mergeCell ref="B3:L3"/>
    <mergeCell ref="M3:Q3"/>
    <mergeCell ref="C6:P6"/>
    <mergeCell ref="B7:D7"/>
    <mergeCell ref="E7:H7"/>
    <mergeCell ref="I7:K7"/>
    <mergeCell ref="L7:M7"/>
    <mergeCell ref="N7:P7"/>
    <mergeCell ref="B8:D8"/>
    <mergeCell ref="E8:H8"/>
    <mergeCell ref="I8:K8"/>
    <mergeCell ref="L8:M8"/>
    <mergeCell ref="N8:P8"/>
    <mergeCell ref="B9:D9"/>
    <mergeCell ref="E9:H9"/>
    <mergeCell ref="I9:K9"/>
    <mergeCell ref="L9:M9"/>
    <mergeCell ref="N9:P9"/>
    <mergeCell ref="B10:D10"/>
    <mergeCell ref="E10:H10"/>
    <mergeCell ref="I10:K10"/>
    <mergeCell ref="L10:M10"/>
    <mergeCell ref="N10:P10"/>
    <mergeCell ref="B11:D11"/>
    <mergeCell ref="E11:H11"/>
    <mergeCell ref="I11:K11"/>
    <mergeCell ref="L11:M11"/>
    <mergeCell ref="N11:P11"/>
    <mergeCell ref="B12:D12"/>
    <mergeCell ref="E12:H12"/>
    <mergeCell ref="I12:K12"/>
    <mergeCell ref="L12:M12"/>
    <mergeCell ref="N12:P12"/>
    <mergeCell ref="B15:E15"/>
    <mergeCell ref="F15:G15"/>
    <mergeCell ref="H15:J15"/>
    <mergeCell ref="K15:M15"/>
    <mergeCell ref="N15:P15"/>
    <mergeCell ref="B16:E16"/>
    <mergeCell ref="F16:G16"/>
    <mergeCell ref="H16:J16"/>
    <mergeCell ref="K16:M16"/>
    <mergeCell ref="N16:P16"/>
    <mergeCell ref="B17:E17"/>
    <mergeCell ref="F17:G17"/>
    <mergeCell ref="H17:J17"/>
    <mergeCell ref="K17:M17"/>
    <mergeCell ref="N17:P17"/>
    <mergeCell ref="B18:C18"/>
    <mergeCell ref="D18:P18"/>
    <mergeCell ref="C19:P19"/>
    <mergeCell ref="C20:I20"/>
    <mergeCell ref="J20:P20"/>
    <mergeCell ref="B57:H57"/>
    <mergeCell ref="C59:P59"/>
    <mergeCell ref="B61:E61"/>
    <mergeCell ref="G61:J61"/>
    <mergeCell ref="M61:P61"/>
    <mergeCell ref="B62:E62"/>
    <mergeCell ref="G62:J62"/>
    <mergeCell ref="M62:P62"/>
    <mergeCell ref="B64:P64"/>
  </mergeCells>
  <conditionalFormatting sqref="P22:P56">
    <cfRule type="expression" priority="2" aboveAverage="0" equalAverage="0" bottom="0" percent="0" rank="0" text="" dxfId="12">
      <formula>$P22="Pause zu kurz"</formula>
    </cfRule>
  </conditionalFormatting>
  <conditionalFormatting sqref="N22:N56">
    <cfRule type="cellIs" priority="3" operator="lessThan" aboveAverage="0" equalAverage="0" bottom="0" percent="0" rank="0" text="" dxfId="13">
      <formula>0</formula>
    </cfRule>
    <cfRule type="cellIs" priority="4" operator="greaterThan" aboveAverage="0" equalAverage="0" bottom="0" percent="0" rank="0" text="" dxfId="14">
      <formula>0</formula>
    </cfRule>
  </conditionalFormatting>
  <conditionalFormatting sqref="L22:L56">
    <cfRule type="dataBar" priority="5">
      <dataBar showValue="1" minLength="10" maxLength="90">
        <cfvo type="num" val="0"/>
        <cfvo type="num" val="12"/>
        <color rgb="FFAFC6CB"/>
      </dataBar>
      <extLst>
        <ext xmlns:x14="http://schemas.microsoft.com/office/spreadsheetml/2009/9/main" uri="{B025F937-C7B1-47D3-B67F-A62EFF666E3E}">
          <x14:id>{4013EFCE-1D4F-4360-AC22-BE2075983776}</x14:id>
        </ext>
      </extLst>
    </cfRule>
  </conditionalFormatting>
  <conditionalFormatting sqref="B22:P56">
    <cfRule type="expression" priority="6" aboveAverage="0" equalAverage="0" bottom="0" percent="0" rank="0" text="" dxfId="15">
      <formula>AND($C22&lt;&gt;"",WEEKDAY($C22,2)&gt;5)</formula>
    </cfRule>
  </conditionalFormatting>
  <dataValidations count="2">
    <dataValidation allowBlank="true" errorStyle="stop" operator="between" prompt="Bitte aus der Liste wählen. Urlaub, Krankheit und Feiertag werden automatisch mit den Sollstunden gutgeschrieben – Beginn und Ende bleiben dabei leer." promptTitle="Kategorie" showDropDown="false" showErrorMessage="false" showInputMessage="true" sqref="E22:E56" type="list">
      <formula1>"Regelarbeitszeit,Projektarbeit,Mobiles Arbeiten,Dienstreise,Schulung,Bereitschaft,Urlaub,Krankheit,Feiertag,Freizeitausgleich"</formula1>
      <formula2>0</formula2>
    </dataValidation>
    <dataValidation allowBlank="true" error="Bitte eine ganze Zahl zwischen 0 und 480 Minuten eingeben." errorStyle="stop" errorTitle="Ungültiger Wert" operator="between" prompt="Pausendauer in Minuten eintragen (z. B. 45)." promptTitle="Pause" showDropDown="false" showErrorMessage="true" showInputMessage="true" sqref="I22:I56" type="whole">
      <formula1>0</formula1>
      <formula2>480</formula2>
    </dataValidation>
  </dataValidations>
  <printOptions headings="false" gridLines="false" gridLinesSet="true" horizontalCentered="false" verticalCentered="false"/>
  <pageMargins left="0.3" right="0.3" top="0.4" bottom="0.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013EFCE-1D4F-4360-AC22-BE2075983776}">
            <x14:dataBar minLength="10" maxLength="90" axisPosition="none" gradient="true">
              <x14:cfvo type="num">
                <xm:f>0</xm:f>
              </x14:cfvo>
              <x14:cfvo type="num">
                <xm:f>12</xm:f>
              </x14:cfvo>
              <x14:negativeFillColor rgb="FFAFC6CB"/>
              <x14:axisColor rgb="FF000000"/>
            </x14:dataBar>
          </x14:cfRule>
          <xm:sqref>L22:L56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F6330"/>
    <pageSetUpPr fitToPage="true"/>
  </sheetPr>
  <dimension ref="A1:I4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7"/>
    <col collapsed="false" customWidth="true" hidden="false" outlineLevel="0" max="3" min="3" style="0" width="21"/>
    <col collapsed="false" customWidth="true" hidden="false" outlineLevel="0" max="6" min="4" style="0" width="15"/>
    <col collapsed="false" customWidth="true" hidden="false" outlineLevel="0" max="7" min="7" style="0" width="14"/>
    <col collapsed="false" customWidth="true" hidden="false" outlineLevel="0" max="8" min="8" style="0" width="15"/>
    <col collapsed="false" customWidth="true" hidden="false" outlineLevel="0" max="9" min="9" style="0" width="3"/>
    <col collapsed="false" customWidth="true" hidden="false" outlineLevel="0" max="20" min="10" style="0" width="9.51"/>
  </cols>
  <sheetData>
    <row r="1" customFormat="false" ht="6" hidden="false" customHeight="true" outlineLevel="0" collapsed="false"/>
    <row r="2" customFormat="false" ht="30" hidden="false" customHeight="true" outlineLevel="0" collapsed="false">
      <c r="A2" s="1"/>
      <c r="B2" s="2" t="s">
        <v>94</v>
      </c>
      <c r="C2" s="2"/>
      <c r="D2" s="2"/>
      <c r="E2" s="2"/>
      <c r="F2" s="2"/>
      <c r="G2" s="3" t="s">
        <v>1</v>
      </c>
      <c r="H2" s="3"/>
      <c r="I2" s="3"/>
    </row>
    <row r="3" customFormat="false" ht="16.5" hidden="false" customHeight="true" outlineLevel="0" collapsed="false">
      <c r="A3" s="1"/>
      <c r="B3" s="4" t="s">
        <v>95</v>
      </c>
      <c r="C3" s="4"/>
      <c r="D3" s="4"/>
      <c r="E3" s="4"/>
      <c r="F3" s="4"/>
      <c r="G3" s="5" t="s">
        <v>96</v>
      </c>
      <c r="H3" s="5"/>
      <c r="I3" s="5"/>
    </row>
    <row r="4" customFormat="false" ht="4.5" hidden="false" customHeight="true" outlineLevel="0" collapsed="false">
      <c r="A4" s="6"/>
      <c r="B4" s="6"/>
      <c r="C4" s="6"/>
      <c r="D4" s="6"/>
      <c r="E4" s="6"/>
      <c r="F4" s="6"/>
      <c r="G4" s="6"/>
      <c r="H4" s="6"/>
      <c r="I4" s="6"/>
    </row>
    <row r="5" customFormat="false" ht="9" hidden="false" customHeight="true" outlineLevel="0" collapsed="false"/>
    <row r="6" customFormat="false" ht="19.5" hidden="false" customHeight="true" outlineLevel="0" collapsed="false">
      <c r="B6" s="7" t="s">
        <v>4</v>
      </c>
      <c r="C6" s="8" t="s">
        <v>97</v>
      </c>
      <c r="D6" s="8"/>
      <c r="E6" s="8"/>
      <c r="F6" s="8"/>
      <c r="G6" s="8"/>
      <c r="H6" s="8"/>
    </row>
    <row r="7" customFormat="false" ht="27.75" hidden="false" customHeight="true" outlineLevel="0" collapsed="false">
      <c r="B7" s="33" t="s">
        <v>43</v>
      </c>
      <c r="C7" s="33" t="s">
        <v>46</v>
      </c>
      <c r="D7" s="33" t="s">
        <v>98</v>
      </c>
      <c r="E7" s="33" t="s">
        <v>99</v>
      </c>
      <c r="F7" s="33" t="s">
        <v>100</v>
      </c>
      <c r="G7" s="33" t="s">
        <v>101</v>
      </c>
      <c r="H7" s="33" t="s">
        <v>56</v>
      </c>
    </row>
    <row r="8" customFormat="false" ht="16.5" hidden="false" customHeight="true" outlineLevel="0" collapsed="false">
      <c r="B8" s="55" t="n">
        <v>1</v>
      </c>
      <c r="C8" s="56" t="s">
        <v>58</v>
      </c>
      <c r="D8" s="57" t="n">
        <f aca="false">COUNTIF(Stundenerfassung!$E$22:$E$56,$C8)</f>
        <v>9</v>
      </c>
      <c r="E8" s="58" t="n">
        <f aca="false">SUMIF(Stundenerfassung!$E$22:$E$56,$C8,Stundenerfassung!$K$22:$K$56)</f>
        <v>2.91666666666667</v>
      </c>
      <c r="F8" s="59" t="n">
        <f aca="false">$E8*24</f>
        <v>70</v>
      </c>
      <c r="G8" s="60" t="n">
        <f aca="false">IF($F$18=0,0,$F8/$F$18)</f>
        <v>0.397163120567376</v>
      </c>
      <c r="H8" s="61" t="n">
        <f aca="false">SUMIF(Stundenerfassung!$E$22:$E$56,$C8,Stundenerfassung!$O$22:$O$56)</f>
        <v>2977.66</v>
      </c>
    </row>
    <row r="9" customFormat="false" ht="16.5" hidden="false" customHeight="true" outlineLevel="0" collapsed="false">
      <c r="B9" s="45" t="n">
        <v>2</v>
      </c>
      <c r="C9" s="62" t="s">
        <v>60</v>
      </c>
      <c r="D9" s="63" t="n">
        <f aca="false">COUNTIF(Stundenerfassung!$E$22:$E$56,$C9)</f>
        <v>5</v>
      </c>
      <c r="E9" s="41" t="n">
        <f aca="false">SUMIF(Stundenerfassung!$E$22:$E$56,$C9,Stundenerfassung!$K$22:$K$56)</f>
        <v>1.6875</v>
      </c>
      <c r="F9" s="42" t="n">
        <f aca="false">$E9*24</f>
        <v>40.5</v>
      </c>
      <c r="G9" s="64" t="n">
        <f aca="false">IF($F$18=0,0,$F9/$F$18)</f>
        <v>0.229787234042553</v>
      </c>
      <c r="H9" s="44" t="n">
        <f aca="false">SUMIF(Stundenerfassung!$E$22:$E$56,$C9,Stundenerfassung!$O$22:$O$56)</f>
        <v>1811.56</v>
      </c>
    </row>
    <row r="10" customFormat="false" ht="16.5" hidden="false" customHeight="true" outlineLevel="0" collapsed="false">
      <c r="B10" s="55" t="n">
        <v>3</v>
      </c>
      <c r="C10" s="56" t="s">
        <v>71</v>
      </c>
      <c r="D10" s="57" t="n">
        <f aca="false">COUNTIF(Stundenerfassung!$E$22:$E$56,$C10)</f>
        <v>2</v>
      </c>
      <c r="E10" s="58" t="n">
        <f aca="false">SUMIF(Stundenerfassung!$E$22:$E$56,$C10,Stundenerfassung!$K$22:$K$56)</f>
        <v>0.645833333333333</v>
      </c>
      <c r="F10" s="59" t="n">
        <f aca="false">$E10*24</f>
        <v>15.5</v>
      </c>
      <c r="G10" s="60" t="n">
        <f aca="false">IF($F$18=0,0,$F10/$F$18)</f>
        <v>0.0879432624113475</v>
      </c>
      <c r="H10" s="61" t="n">
        <f aca="false">SUMIF(Stundenerfassung!$E$22:$E$56,$C10,Stundenerfassung!$O$22:$O$56)</f>
        <v>658.75</v>
      </c>
    </row>
    <row r="11" customFormat="false" ht="16.5" hidden="false" customHeight="true" outlineLevel="0" collapsed="false">
      <c r="B11" s="45" t="n">
        <v>4</v>
      </c>
      <c r="C11" s="62" t="s">
        <v>68</v>
      </c>
      <c r="D11" s="63" t="n">
        <f aca="false">COUNTIF(Stundenerfassung!$E$22:$E$56,$C11)</f>
        <v>1</v>
      </c>
      <c r="E11" s="41" t="n">
        <f aca="false">SUMIF(Stundenerfassung!$E$22:$E$56,$C11,Stundenerfassung!$K$22:$K$56)</f>
        <v>0.447916666666667</v>
      </c>
      <c r="F11" s="42" t="n">
        <f aca="false">$E11*24</f>
        <v>10.75</v>
      </c>
      <c r="G11" s="64" t="n">
        <f aca="false">IF($F$18=0,0,$F11/$F$18)</f>
        <v>0.0609929078014184</v>
      </c>
      <c r="H11" s="44" t="n">
        <f aca="false">SUMIF(Stundenerfassung!$E$22:$E$56,$C11,Stundenerfassung!$O$22:$O$56)</f>
        <v>486.09</v>
      </c>
    </row>
    <row r="12" customFormat="false" ht="16.5" hidden="false" customHeight="true" outlineLevel="0" collapsed="false">
      <c r="B12" s="55" t="n">
        <v>5</v>
      </c>
      <c r="C12" s="56" t="s">
        <v>65</v>
      </c>
      <c r="D12" s="57" t="n">
        <f aca="false">COUNTIF(Stundenerfassung!$E$22:$E$56,$C12)</f>
        <v>1</v>
      </c>
      <c r="E12" s="58" t="n">
        <f aca="false">SUMIF(Stundenerfassung!$E$22:$E$56,$C12,Stundenerfassung!$K$22:$K$56)</f>
        <v>0.291666666666667</v>
      </c>
      <c r="F12" s="59" t="n">
        <f aca="false">$E12*24</f>
        <v>7</v>
      </c>
      <c r="G12" s="60" t="n">
        <f aca="false">IF($F$18=0,0,$F12/$F$18)</f>
        <v>0.0397163120567376</v>
      </c>
      <c r="H12" s="61" t="n">
        <f aca="false">SUMIF(Stundenerfassung!$E$22:$E$56,$C12,Stundenerfassung!$O$22:$O$56)</f>
        <v>297.5</v>
      </c>
    </row>
    <row r="13" customFormat="false" ht="16.5" hidden="false" customHeight="true" outlineLevel="0" collapsed="false">
      <c r="B13" s="45" t="n">
        <v>6</v>
      </c>
      <c r="C13" s="62" t="s">
        <v>77</v>
      </c>
      <c r="D13" s="63" t="n">
        <f aca="false">COUNTIF(Stundenerfassung!$E$22:$E$56,$C13)</f>
        <v>1</v>
      </c>
      <c r="E13" s="41" t="n">
        <f aca="false">SUMIF(Stundenerfassung!$E$22:$E$56,$C13,Stundenerfassung!$K$22:$K$56)</f>
        <v>0.354166666666667</v>
      </c>
      <c r="F13" s="42" t="n">
        <f aca="false">$E13*24</f>
        <v>8.5</v>
      </c>
      <c r="G13" s="64" t="n">
        <f aca="false">IF($F$18=0,0,$F13/$F$18)</f>
        <v>0.0482269503546099</v>
      </c>
      <c r="H13" s="44" t="n">
        <f aca="false">SUMIF(Stundenerfassung!$E$22:$E$56,$C13,Stundenerfassung!$O$22:$O$56)</f>
        <v>366.56</v>
      </c>
    </row>
    <row r="14" customFormat="false" ht="16.5" hidden="false" customHeight="true" outlineLevel="0" collapsed="false">
      <c r="B14" s="55" t="n">
        <v>7</v>
      </c>
      <c r="C14" s="56" t="s">
        <v>74</v>
      </c>
      <c r="D14" s="57" t="n">
        <f aca="false">COUNTIF(Stundenerfassung!$E$22:$E$56,$C14)</f>
        <v>2</v>
      </c>
      <c r="E14" s="58" t="n">
        <f aca="false">SUMIF(Stundenerfassung!$E$22:$E$56,$C14,Stundenerfassung!$K$22:$K$56)</f>
        <v>0.666666666666667</v>
      </c>
      <c r="F14" s="59" t="n">
        <f aca="false">$E14*24</f>
        <v>16</v>
      </c>
      <c r="G14" s="60" t="n">
        <f aca="false">IF($F$18=0,0,$F14/$F$18)</f>
        <v>0.0907801418439716</v>
      </c>
      <c r="H14" s="61" t="n">
        <f aca="false">SUMIF(Stundenerfassung!$E$22:$E$56,$C14,Stundenerfassung!$O$22:$O$56)</f>
        <v>680</v>
      </c>
    </row>
    <row r="15" customFormat="false" ht="16.5" hidden="false" customHeight="true" outlineLevel="0" collapsed="false">
      <c r="B15" s="45" t="n">
        <v>8</v>
      </c>
      <c r="C15" s="62" t="s">
        <v>79</v>
      </c>
      <c r="D15" s="63" t="n">
        <f aca="false">COUNTIF(Stundenerfassung!$E$22:$E$56,$C15)</f>
        <v>1</v>
      </c>
      <c r="E15" s="41" t="n">
        <f aca="false">SUMIF(Stundenerfassung!$E$22:$E$56,$C15,Stundenerfassung!$K$22:$K$56)</f>
        <v>0.333333333333333</v>
      </c>
      <c r="F15" s="42" t="n">
        <f aca="false">$E15*24</f>
        <v>8</v>
      </c>
      <c r="G15" s="64" t="n">
        <f aca="false">IF($F$18=0,0,$F15/$F$18)</f>
        <v>0.0453900709219858</v>
      </c>
      <c r="H15" s="44" t="n">
        <f aca="false">SUMIF(Stundenerfassung!$E$22:$E$56,$C15,Stundenerfassung!$O$22:$O$56)</f>
        <v>340</v>
      </c>
    </row>
    <row r="16" customFormat="false" ht="16.5" hidden="false" customHeight="true" outlineLevel="0" collapsed="false">
      <c r="B16" s="55" t="n">
        <v>9</v>
      </c>
      <c r="C16" s="56" t="s">
        <v>102</v>
      </c>
      <c r="D16" s="57" t="n">
        <f aca="false">COUNTIF(Stundenerfassung!$E$22:$E$56,$C16)</f>
        <v>0</v>
      </c>
      <c r="E16" s="58" t="n">
        <f aca="false">SUMIF(Stundenerfassung!$E$22:$E$56,$C16,Stundenerfassung!$K$22:$K$56)</f>
        <v>0</v>
      </c>
      <c r="F16" s="59" t="n">
        <f aca="false">$E16*24</f>
        <v>0</v>
      </c>
      <c r="G16" s="60" t="n">
        <f aca="false">IF($F$18=0,0,$F16/$F$18)</f>
        <v>0</v>
      </c>
      <c r="H16" s="61" t="n">
        <f aca="false">SUMIF(Stundenerfassung!$E$22:$E$56,$C16,Stundenerfassung!$O$22:$O$56)</f>
        <v>0</v>
      </c>
    </row>
    <row r="17" customFormat="false" ht="16.5" hidden="false" customHeight="true" outlineLevel="0" collapsed="false">
      <c r="B17" s="45" t="n">
        <v>10</v>
      </c>
      <c r="C17" s="62" t="s">
        <v>83</v>
      </c>
      <c r="D17" s="63" t="n">
        <f aca="false">COUNTIF(Stundenerfassung!$E$22:$E$56,$C17)</f>
        <v>1</v>
      </c>
      <c r="E17" s="41" t="n">
        <f aca="false">SUMIF(Stundenerfassung!$E$22:$E$56,$C17,Stundenerfassung!$K$22:$K$56)</f>
        <v>0</v>
      </c>
      <c r="F17" s="42" t="n">
        <f aca="false">$E17*24</f>
        <v>0</v>
      </c>
      <c r="G17" s="64" t="n">
        <f aca="false">IF($F$18=0,0,$F17/$F$18)</f>
        <v>0</v>
      </c>
      <c r="H17" s="44" t="n">
        <f aca="false">SUMIF(Stundenerfassung!$E$22:$E$56,$C17,Stundenerfassung!$O$22:$O$56)</f>
        <v>0</v>
      </c>
    </row>
    <row r="18" customFormat="false" ht="21.75" hidden="false" customHeight="true" outlineLevel="0" collapsed="false">
      <c r="B18" s="46" t="s">
        <v>103</v>
      </c>
      <c r="C18" s="46"/>
      <c r="D18" s="65" t="n">
        <f aca="false">SUM(D8:D17)</f>
        <v>23</v>
      </c>
      <c r="E18" s="48" t="n">
        <f aca="false">SUM(E8:E17)</f>
        <v>7.34375</v>
      </c>
      <c r="F18" s="49" t="n">
        <f aca="false">SUM(F8:F17)</f>
        <v>176.25</v>
      </c>
      <c r="G18" s="66" t="n">
        <f aca="false">SUM(G8:G17)</f>
        <v>1</v>
      </c>
      <c r="H18" s="51" t="n">
        <f aca="false">SUM(H8:H17)</f>
        <v>7618.12</v>
      </c>
    </row>
    <row r="19" customFormat="false" ht="15" hidden="false" customHeight="true" outlineLevel="0" collapsed="false">
      <c r="B19" s="67" t="s">
        <v>104</v>
      </c>
      <c r="C19" s="67"/>
      <c r="D19" s="67"/>
      <c r="E19" s="67"/>
      <c r="F19" s="67"/>
      <c r="G19" s="67"/>
      <c r="H19" s="67"/>
    </row>
    <row r="20" customFormat="false" ht="19.5" hidden="false" customHeight="true" outlineLevel="0" collapsed="false">
      <c r="B20" s="7" t="s">
        <v>39</v>
      </c>
      <c r="C20" s="8" t="s">
        <v>105</v>
      </c>
      <c r="D20" s="8"/>
      <c r="E20" s="8"/>
      <c r="F20" s="8"/>
      <c r="G20" s="8"/>
      <c r="H20" s="8"/>
    </row>
    <row r="21" customFormat="false" ht="27.75" hidden="false" customHeight="true" outlineLevel="0" collapsed="false">
      <c r="B21" s="33" t="s">
        <v>106</v>
      </c>
      <c r="C21" s="33" t="s">
        <v>107</v>
      </c>
      <c r="D21" s="33" t="s">
        <v>108</v>
      </c>
      <c r="E21" s="33" t="s">
        <v>52</v>
      </c>
      <c r="F21" s="33" t="s">
        <v>53</v>
      </c>
      <c r="G21" s="33" t="s">
        <v>109</v>
      </c>
      <c r="H21" s="33" t="s">
        <v>55</v>
      </c>
    </row>
    <row r="22" customFormat="false" ht="16.5" hidden="false" customHeight="true" outlineLevel="0" collapsed="false">
      <c r="B22" s="68" t="n">
        <f aca="false">IF($C22="","",WEEKNUM($C22,21))</f>
        <v>10</v>
      </c>
      <c r="C22" s="69" t="n">
        <f aca="false">Stundenerfassung!$E$10-WEEKDAY(Stundenerfassung!$E$10,3)</f>
        <v>46083</v>
      </c>
      <c r="D22" s="69" t="n">
        <f aca="false">IF($C22="","",$C22+6)</f>
        <v>46089</v>
      </c>
      <c r="E22" s="58" t="n">
        <f aca="false">IF($C22="","",SUMIFS(Stundenerfassung!$K$22:$K$56,Stundenerfassung!$C$22:$C$56,"&gt;="&amp;$C22,Stundenerfassung!$C$22:$C$56,"&lt;="&amp;$D22))</f>
        <v>1.65625</v>
      </c>
      <c r="F22" s="59" t="n">
        <f aca="false">IF($C22="","",$E22*24)</f>
        <v>39.75</v>
      </c>
      <c r="G22" s="59" t="n">
        <f aca="false">IF($C22="","",SUMIFS(Stundenerfassung!$M$22:$M$56,Stundenerfassung!$C$22:$C$56,"&gt;="&amp;$C22,Stundenerfassung!$C$22:$C$56,"&lt;="&amp;$D22)*24)</f>
        <v>40</v>
      </c>
      <c r="H22" s="70" t="n">
        <f aca="false">IF($C22="","",$F22-$G22)</f>
        <v>-0.25</v>
      </c>
    </row>
    <row r="23" customFormat="false" ht="16.5" hidden="false" customHeight="true" outlineLevel="0" collapsed="false">
      <c r="B23" s="71" t="n">
        <f aca="false">IF($C23="","",WEEKNUM($C23,21))</f>
        <v>11</v>
      </c>
      <c r="C23" s="72" t="n">
        <f aca="false">IF(OR($C22="",$C22+7&gt;Stundenerfassung!$E$11),"",$C22+7)</f>
        <v>46090</v>
      </c>
      <c r="D23" s="72" t="n">
        <f aca="false">IF($C23="","",$C23+6)</f>
        <v>46096</v>
      </c>
      <c r="E23" s="41" t="n">
        <f aca="false">IF($C23="","",SUMIFS(Stundenerfassung!$K$22:$K$56,Stundenerfassung!$C$22:$C$56,"&gt;="&amp;$C23,Stundenerfassung!$C$22:$C$56,"&lt;="&amp;$D23))</f>
        <v>1.90625</v>
      </c>
      <c r="F23" s="42" t="n">
        <f aca="false">IF($C23="","",$E23*24)</f>
        <v>45.75</v>
      </c>
      <c r="G23" s="42" t="n">
        <f aca="false">IF($C23="","",SUMIFS(Stundenerfassung!$M$22:$M$56,Stundenerfassung!$C$22:$C$56,"&gt;="&amp;$C23,Stundenerfassung!$C$22:$C$56,"&lt;="&amp;$D23)*24)</f>
        <v>40</v>
      </c>
      <c r="H23" s="43" t="n">
        <f aca="false">IF($C23="","",$F23-$G23)</f>
        <v>5.75</v>
      </c>
    </row>
    <row r="24" customFormat="false" ht="16.5" hidden="false" customHeight="true" outlineLevel="0" collapsed="false">
      <c r="B24" s="68" t="n">
        <f aca="false">IF($C24="","",WEEKNUM($C24,21))</f>
        <v>12</v>
      </c>
      <c r="C24" s="69" t="n">
        <f aca="false">IF(OR($C23="",$C23+7&gt;Stundenerfassung!$E$11),"",$C23+7)</f>
        <v>46097</v>
      </c>
      <c r="D24" s="69" t="n">
        <f aca="false">IF($C24="","",$C24+6)</f>
        <v>46103</v>
      </c>
      <c r="E24" s="58" t="n">
        <f aca="false">IF($C24="","",SUMIFS(Stundenerfassung!$K$22:$K$56,Stundenerfassung!$C$22:$C$56,"&gt;="&amp;$C24,Stundenerfassung!$C$22:$C$56,"&lt;="&amp;$D24))</f>
        <v>1.73958333333333</v>
      </c>
      <c r="F24" s="59" t="n">
        <f aca="false">IF($C24="","",$E24*24)</f>
        <v>41.75</v>
      </c>
      <c r="G24" s="59" t="n">
        <f aca="false">IF($C24="","",SUMIFS(Stundenerfassung!$M$22:$M$56,Stundenerfassung!$C$22:$C$56,"&gt;="&amp;$C24,Stundenerfassung!$C$22:$C$56,"&lt;="&amp;$D24)*24)</f>
        <v>40</v>
      </c>
      <c r="H24" s="70" t="n">
        <f aca="false">IF($C24="","",$F24-$G24)</f>
        <v>1.75</v>
      </c>
    </row>
    <row r="25" customFormat="false" ht="16.5" hidden="false" customHeight="true" outlineLevel="0" collapsed="false">
      <c r="B25" s="71" t="n">
        <f aca="false">IF($C25="","",WEEKNUM($C25,21))</f>
        <v>13</v>
      </c>
      <c r="C25" s="72" t="n">
        <f aca="false">IF(OR($C24="",$C24+7&gt;Stundenerfassung!$E$11),"",$C24+7)</f>
        <v>46104</v>
      </c>
      <c r="D25" s="72" t="n">
        <f aca="false">IF($C25="","",$C25+6)</f>
        <v>46110</v>
      </c>
      <c r="E25" s="41" t="n">
        <f aca="false">IF($C25="","",SUMIFS(Stundenerfassung!$K$22:$K$56,Stundenerfassung!$C$22:$C$56,"&gt;="&amp;$C25,Stundenerfassung!$C$22:$C$56,"&lt;="&amp;$D25))</f>
        <v>1.36458333333333</v>
      </c>
      <c r="F25" s="42" t="n">
        <f aca="false">IF($C25="","",$E25*24)</f>
        <v>32.75</v>
      </c>
      <c r="G25" s="42" t="n">
        <f aca="false">IF($C25="","",SUMIFS(Stundenerfassung!$M$22:$M$56,Stundenerfassung!$C$22:$C$56,"&gt;="&amp;$C25,Stundenerfassung!$C$22:$C$56,"&lt;="&amp;$D25)*24)</f>
        <v>40</v>
      </c>
      <c r="H25" s="43" t="n">
        <f aca="false">IF($C25="","",$F25-$G25)</f>
        <v>-7.25</v>
      </c>
    </row>
    <row r="26" customFormat="false" ht="16.5" hidden="false" customHeight="true" outlineLevel="0" collapsed="false">
      <c r="B26" s="68" t="n">
        <f aca="false">IF($C26="","",WEEKNUM($C26,21))</f>
        <v>14</v>
      </c>
      <c r="C26" s="69" t="n">
        <f aca="false">IF(OR($C25="",$C25+7&gt;Stundenerfassung!$E$11),"",$C25+7)</f>
        <v>46111</v>
      </c>
      <c r="D26" s="69" t="n">
        <f aca="false">IF($C26="","",$C26+6)</f>
        <v>46117</v>
      </c>
      <c r="E26" s="58" t="n">
        <f aca="false">IF($C26="","",SUMIFS(Stundenerfassung!$K$22:$K$56,Stundenerfassung!$C$22:$C$56,"&gt;="&amp;$C26,Stundenerfassung!$C$22:$C$56,"&lt;="&amp;$D26))</f>
        <v>0.677083333333333</v>
      </c>
      <c r="F26" s="59" t="n">
        <f aca="false">IF($C26="","",$E26*24)</f>
        <v>16.25</v>
      </c>
      <c r="G26" s="59" t="n">
        <f aca="false">IF($C26="","",SUMIFS(Stundenerfassung!$M$22:$M$56,Stundenerfassung!$C$22:$C$56,"&gt;="&amp;$C26,Stundenerfassung!$C$22:$C$56,"&lt;="&amp;$D26)*24)</f>
        <v>16</v>
      </c>
      <c r="H26" s="70" t="n">
        <f aca="false">IF($C26="","",$F26-$G26)</f>
        <v>0.25</v>
      </c>
    </row>
    <row r="27" customFormat="false" ht="16.5" hidden="false" customHeight="true" outlineLevel="0" collapsed="false">
      <c r="B27" s="71" t="str">
        <f aca="false">IF($C27="","",WEEKNUM($C27,21))</f>
        <v/>
      </c>
      <c r="C27" s="72" t="str">
        <f aca="false">IF(OR($C26="",$C26+7&gt;Stundenerfassung!$E$11),"",$C26+7)</f>
        <v/>
      </c>
      <c r="D27" s="72" t="str">
        <f aca="false">IF($C27="","",$C27+6)</f>
        <v/>
      </c>
      <c r="E27" s="41" t="str">
        <f aca="false">IF($C27="","",SUMIFS(Stundenerfassung!$K$22:$K$56,Stundenerfassung!$C$22:$C$56,"&gt;="&amp;$C27,Stundenerfassung!$C$22:$C$56,"&lt;="&amp;$D27))</f>
        <v/>
      </c>
      <c r="F27" s="42" t="str">
        <f aca="false">IF($C27="","",$E27*24)</f>
        <v/>
      </c>
      <c r="G27" s="42" t="str">
        <f aca="false">IF($C27="","",SUMIFS(Stundenerfassung!$M$22:$M$56,Stundenerfassung!$C$22:$C$56,"&gt;="&amp;$C27,Stundenerfassung!$C$22:$C$56,"&lt;="&amp;$D27)*24)</f>
        <v/>
      </c>
      <c r="H27" s="43" t="str">
        <f aca="false">IF($C27="","",$F27-$G27)</f>
        <v/>
      </c>
    </row>
    <row r="28" customFormat="false" ht="21.75" hidden="false" customHeight="true" outlineLevel="0" collapsed="false">
      <c r="B28" s="46" t="s">
        <v>103</v>
      </c>
      <c r="C28" s="46"/>
      <c r="D28" s="46"/>
      <c r="E28" s="48" t="n">
        <f aca="false">SUM(E22:E27)</f>
        <v>7.34375</v>
      </c>
      <c r="F28" s="49" t="n">
        <f aca="false">SUM(F22:F27)</f>
        <v>176.25</v>
      </c>
      <c r="G28" s="49" t="n">
        <f aca="false">SUM(G22:G27)</f>
        <v>176</v>
      </c>
      <c r="H28" s="50" t="n">
        <f aca="false">SUM(H22:H27)</f>
        <v>0.25</v>
      </c>
    </row>
    <row r="29" customFormat="false" ht="9.75" hidden="false" customHeight="true" outlineLevel="0" collapsed="false"/>
    <row r="30" customFormat="false" ht="19.5" hidden="false" customHeight="true" outlineLevel="0" collapsed="false">
      <c r="B30" s="7" t="s">
        <v>88</v>
      </c>
      <c r="C30" s="8" t="s">
        <v>110</v>
      </c>
      <c r="D30" s="8"/>
      <c r="E30" s="8"/>
      <c r="F30" s="8"/>
      <c r="G30" s="8"/>
      <c r="H30" s="8"/>
    </row>
    <row r="31" customFormat="false" ht="18" hidden="false" customHeight="true" outlineLevel="0" collapsed="false">
      <c r="B31" s="73" t="s">
        <v>111</v>
      </c>
      <c r="C31" s="73"/>
      <c r="D31" s="73"/>
      <c r="E31" s="74" t="n">
        <f aca="false">COUNT(Stundenerfassung!$C$22:$C$56)</f>
        <v>23</v>
      </c>
      <c r="F31" s="73" t="s">
        <v>112</v>
      </c>
      <c r="G31" s="73"/>
      <c r="H31" s="75" t="n">
        <f aca="false">SUM(Stundenerfassung!$I$22:$I$56)/1440</f>
        <v>0.5625</v>
      </c>
    </row>
    <row r="32" customFormat="false" ht="18" hidden="false" customHeight="true" outlineLevel="0" collapsed="false">
      <c r="B32" s="73" t="s">
        <v>113</v>
      </c>
      <c r="C32" s="73"/>
      <c r="D32" s="73"/>
      <c r="E32" s="74" t="n">
        <f aca="false">COUNT(Stundenerfassung!$G$22:$G$56)</f>
        <v>19</v>
      </c>
      <c r="F32" s="73" t="s">
        <v>114</v>
      </c>
      <c r="G32" s="73"/>
      <c r="H32" s="74" t="n">
        <f aca="false">COUNTIF(Stundenerfassung!$K$22:$K$56,"&gt;"&amp;(10/24))</f>
        <v>1</v>
      </c>
    </row>
    <row r="33" customFormat="false" ht="18" hidden="false" customHeight="true" outlineLevel="0" collapsed="false">
      <c r="B33" s="73" t="s">
        <v>115</v>
      </c>
      <c r="C33" s="73"/>
      <c r="D33" s="73"/>
      <c r="E33" s="75" t="n">
        <f aca="false">IFERROR(SUM(Stundenerfassung!$K$22:$K$56)/COUNT(Stundenerfassung!$C$22:$C$56),0)</f>
        <v>0.31929347826087</v>
      </c>
      <c r="F33" s="73" t="s">
        <v>116</v>
      </c>
      <c r="G33" s="73"/>
      <c r="H33" s="74" t="n">
        <f aca="false">COUNTIF(Stundenerfassung!$P$22:$P$56,"Pause zu kurz")</f>
        <v>1</v>
      </c>
    </row>
    <row r="34" customFormat="false" ht="18" hidden="false" customHeight="true" outlineLevel="0" collapsed="false">
      <c r="B34" s="73" t="s">
        <v>117</v>
      </c>
      <c r="C34" s="73"/>
      <c r="D34" s="73"/>
      <c r="E34" s="75" t="n">
        <f aca="false">MAX(Stundenerfassung!$K$22:$K$56)</f>
        <v>0.447916666666667</v>
      </c>
      <c r="F34" s="73" t="s">
        <v>118</v>
      </c>
      <c r="G34" s="73"/>
      <c r="H34" s="74" t="n">
        <f aca="false">COUNTIF(Stundenerfassung!$E$22:$E$56,"Urlaub")+COUNTIF(Stundenerfassung!$E$22:$E$56,"Krankheit")</f>
        <v>3</v>
      </c>
    </row>
    <row r="35" customFormat="false" ht="9.75" hidden="false" customHeight="true" outlineLevel="0" collapsed="false"/>
    <row r="36" customFormat="false" ht="19.5" hidden="false" customHeight="true" outlineLevel="0" collapsed="false">
      <c r="B36" s="7" t="s">
        <v>119</v>
      </c>
      <c r="C36" s="8" t="s">
        <v>120</v>
      </c>
      <c r="D36" s="8"/>
      <c r="E36" s="8"/>
      <c r="F36" s="8"/>
      <c r="G36" s="8"/>
      <c r="H36" s="8"/>
    </row>
    <row r="37" customFormat="false" ht="25.5" hidden="false" customHeight="true" outlineLevel="0" collapsed="false">
      <c r="B37" s="76" t="s">
        <v>4</v>
      </c>
      <c r="C37" s="77" t="s">
        <v>121</v>
      </c>
      <c r="D37" s="77"/>
      <c r="E37" s="77"/>
      <c r="F37" s="77"/>
      <c r="G37" s="77"/>
      <c r="H37" s="77"/>
    </row>
    <row r="38" customFormat="false" ht="25.5" hidden="false" customHeight="true" outlineLevel="0" collapsed="false">
      <c r="B38" s="76" t="s">
        <v>39</v>
      </c>
      <c r="C38" s="77" t="s">
        <v>122</v>
      </c>
      <c r="D38" s="77"/>
      <c r="E38" s="77"/>
      <c r="F38" s="77"/>
      <c r="G38" s="77"/>
      <c r="H38" s="77"/>
    </row>
    <row r="39" customFormat="false" ht="25.5" hidden="false" customHeight="true" outlineLevel="0" collapsed="false">
      <c r="B39" s="76" t="s">
        <v>88</v>
      </c>
      <c r="C39" s="77" t="s">
        <v>123</v>
      </c>
      <c r="D39" s="77"/>
      <c r="E39" s="77"/>
      <c r="F39" s="77"/>
      <c r="G39" s="77"/>
      <c r="H39" s="77"/>
    </row>
    <row r="40" customFormat="false" ht="25.5" hidden="false" customHeight="true" outlineLevel="0" collapsed="false">
      <c r="B40" s="76" t="s">
        <v>119</v>
      </c>
      <c r="C40" s="77" t="s">
        <v>124</v>
      </c>
      <c r="D40" s="77"/>
      <c r="E40" s="77"/>
      <c r="F40" s="77"/>
      <c r="G40" s="77"/>
      <c r="H40" s="77"/>
    </row>
    <row r="41" customFormat="false" ht="25.5" hidden="false" customHeight="true" outlineLevel="0" collapsed="false">
      <c r="B41" s="76" t="s">
        <v>125</v>
      </c>
      <c r="C41" s="77" t="s">
        <v>126</v>
      </c>
      <c r="D41" s="77"/>
      <c r="E41" s="77"/>
      <c r="F41" s="77"/>
      <c r="G41" s="77"/>
      <c r="H41" s="77"/>
    </row>
    <row r="42" customFormat="false" ht="25.5" hidden="false" customHeight="true" outlineLevel="0" collapsed="false">
      <c r="B42" s="76" t="s">
        <v>127</v>
      </c>
      <c r="C42" s="77" t="s">
        <v>128</v>
      </c>
      <c r="D42" s="77"/>
      <c r="E42" s="77"/>
      <c r="F42" s="77"/>
      <c r="G42" s="77"/>
      <c r="H42" s="77"/>
    </row>
    <row r="43" customFormat="false" ht="25.5" hidden="false" customHeight="true" outlineLevel="0" collapsed="false">
      <c r="B43" s="76" t="s">
        <v>129</v>
      </c>
      <c r="C43" s="77" t="s">
        <v>130</v>
      </c>
      <c r="D43" s="77"/>
      <c r="E43" s="77"/>
      <c r="F43" s="77"/>
      <c r="G43" s="77"/>
      <c r="H43" s="77"/>
    </row>
    <row r="44" customFormat="false" ht="25.5" hidden="false" customHeight="true" outlineLevel="0" collapsed="false">
      <c r="B44" s="76" t="s">
        <v>131</v>
      </c>
      <c r="C44" s="77" t="s">
        <v>132</v>
      </c>
      <c r="D44" s="77"/>
      <c r="E44" s="77"/>
      <c r="F44" s="77"/>
      <c r="G44" s="77"/>
      <c r="H44" s="77"/>
    </row>
    <row r="45" customFormat="false" ht="7.5" hidden="false" customHeight="true" outlineLevel="0" collapsed="false"/>
    <row r="46" customFormat="false" ht="15.75" hidden="false" customHeight="true" outlineLevel="0" collapsed="false">
      <c r="B46" s="54" t="s">
        <v>133</v>
      </c>
      <c r="C46" s="54"/>
      <c r="D46" s="54"/>
      <c r="E46" s="54"/>
      <c r="F46" s="54"/>
      <c r="G46" s="54"/>
      <c r="H46" s="54"/>
    </row>
  </sheetData>
  <mergeCells count="28">
    <mergeCell ref="B2:F2"/>
    <mergeCell ref="G2:I2"/>
    <mergeCell ref="B3:F3"/>
    <mergeCell ref="G3:I3"/>
    <mergeCell ref="C6:H6"/>
    <mergeCell ref="B18:C18"/>
    <mergeCell ref="B19:H19"/>
    <mergeCell ref="C20:H20"/>
    <mergeCell ref="B28:D28"/>
    <mergeCell ref="C30:H30"/>
    <mergeCell ref="B31:D31"/>
    <mergeCell ref="F31:G31"/>
    <mergeCell ref="B32:D32"/>
    <mergeCell ref="F32:G32"/>
    <mergeCell ref="B33:D33"/>
    <mergeCell ref="F33:G33"/>
    <mergeCell ref="B34:D34"/>
    <mergeCell ref="F34:G34"/>
    <mergeCell ref="C36:H36"/>
    <mergeCell ref="C37:H37"/>
    <mergeCell ref="C38:H38"/>
    <mergeCell ref="C39:H39"/>
    <mergeCell ref="C40:H40"/>
    <mergeCell ref="C41:H41"/>
    <mergeCell ref="C42:H42"/>
    <mergeCell ref="C43:H43"/>
    <mergeCell ref="C44:H44"/>
    <mergeCell ref="B46:H46"/>
  </mergeCells>
  <conditionalFormatting sqref="H22:H27">
    <cfRule type="cellIs" priority="2" operator="lessThan" aboveAverage="0" equalAverage="0" bottom="0" percent="0" rank="0" text="" dxfId="13">
      <formula>0</formula>
    </cfRule>
    <cfRule type="cellIs" priority="3" operator="greaterThan" aboveAverage="0" equalAverage="0" bottom="0" percent="0" rank="0" text="" dxfId="14">
      <formula>0</formula>
    </cfRule>
  </conditionalFormatting>
  <printOptions headings="false" gridLines="false" gridLinesSet="true" horizontalCentered="false" verticalCentered="false"/>
  <pageMargins left="0.3" right="0.3" top="0.4" bottom="0.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2026-07-20T09:30:02Z</dcterms:created>
  <dc:creator>openpyxl</dc:creator>
  <dc:description/>
  <dc:language>en-US</dc:language>
  <cp:lastModifiedBy/>
  <dcterms:modified xsi:type="dcterms:W3CDTF">2026-07-20T09:30:04Z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