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8493EB8C-0F16-4794-960C-110F3EE6814E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Arbeitsnachweis" sheetId="1" r:id="rId1"/>
  </sheets>
  <definedNames>
    <definedName name="_xlnm.Print_Area" localSheetId="0">Arbeitsnachweis!$B$2:$K$52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9" i="1" l="1"/>
  <c r="J48" i="1"/>
  <c r="E48" i="1"/>
  <c r="J47" i="1"/>
  <c r="J46" i="1"/>
  <c r="J45" i="1"/>
  <c r="B41" i="1"/>
  <c r="H40" i="1"/>
  <c r="B40" i="1"/>
  <c r="G40" i="1" s="1"/>
  <c r="I40" i="1" s="1"/>
  <c r="B39" i="1"/>
  <c r="H38" i="1"/>
  <c r="B38" i="1"/>
  <c r="G38" i="1" s="1"/>
  <c r="I38" i="1" s="1"/>
  <c r="B37" i="1"/>
  <c r="C37" i="1" s="1"/>
  <c r="H36" i="1"/>
  <c r="B36" i="1"/>
  <c r="G36" i="1" s="1"/>
  <c r="I36" i="1" s="1"/>
  <c r="C35" i="1"/>
  <c r="B35" i="1"/>
  <c r="H34" i="1"/>
  <c r="B34" i="1"/>
  <c r="G34" i="1" s="1"/>
  <c r="I34" i="1" s="1"/>
  <c r="B33" i="1"/>
  <c r="C33" i="1" s="1"/>
  <c r="H32" i="1"/>
  <c r="B32" i="1"/>
  <c r="G32" i="1" s="1"/>
  <c r="I32" i="1" s="1"/>
  <c r="B31" i="1"/>
  <c r="H30" i="1"/>
  <c r="B30" i="1"/>
  <c r="G30" i="1" s="1"/>
  <c r="I30" i="1" s="1"/>
  <c r="B29" i="1"/>
  <c r="C29" i="1" s="1"/>
  <c r="H28" i="1"/>
  <c r="B28" i="1"/>
  <c r="G28" i="1" s="1"/>
  <c r="I28" i="1" s="1"/>
  <c r="B27" i="1"/>
  <c r="H26" i="1"/>
  <c r="B26" i="1"/>
  <c r="G26" i="1" s="1"/>
  <c r="I26" i="1" s="1"/>
  <c r="B25" i="1"/>
  <c r="G25" i="1" s="1"/>
  <c r="H24" i="1"/>
  <c r="B24" i="1"/>
  <c r="G24" i="1" s="1"/>
  <c r="I24" i="1" s="1"/>
  <c r="B23" i="1"/>
  <c r="H22" i="1"/>
  <c r="B22" i="1"/>
  <c r="G22" i="1" s="1"/>
  <c r="I22" i="1" s="1"/>
  <c r="B21" i="1"/>
  <c r="C21" i="1" s="1"/>
  <c r="H20" i="1"/>
  <c r="B20" i="1"/>
  <c r="G20" i="1" s="1"/>
  <c r="I20" i="1" s="1"/>
  <c r="B19" i="1"/>
  <c r="G19" i="1" s="1"/>
  <c r="H18" i="1"/>
  <c r="B18" i="1"/>
  <c r="B17" i="1"/>
  <c r="H16" i="1"/>
  <c r="B16" i="1"/>
  <c r="G16" i="1" s="1"/>
  <c r="I16" i="1" s="1"/>
  <c r="B15" i="1"/>
  <c r="H14" i="1"/>
  <c r="B14" i="1"/>
  <c r="B13" i="1"/>
  <c r="G13" i="1" s="1"/>
  <c r="H12" i="1"/>
  <c r="B12" i="1"/>
  <c r="G12" i="1" s="1"/>
  <c r="I12" i="1" s="1"/>
  <c r="B11" i="1"/>
  <c r="I2" i="1"/>
  <c r="I15" i="1" l="1"/>
  <c r="I18" i="1"/>
  <c r="C17" i="1"/>
  <c r="C41" i="1"/>
  <c r="G17" i="1"/>
  <c r="I17" i="1" s="1"/>
  <c r="G21" i="1"/>
  <c r="I21" i="1" s="1"/>
  <c r="G29" i="1"/>
  <c r="I29" i="1" s="1"/>
  <c r="G33" i="1"/>
  <c r="I33" i="1" s="1"/>
  <c r="G37" i="1"/>
  <c r="I37" i="1" s="1"/>
  <c r="G41" i="1"/>
  <c r="I41" i="1" s="1"/>
  <c r="H13" i="1"/>
  <c r="I13" i="1" s="1"/>
  <c r="H17" i="1"/>
  <c r="H21" i="1"/>
  <c r="H25" i="1"/>
  <c r="H29" i="1"/>
  <c r="H33" i="1"/>
  <c r="H37" i="1"/>
  <c r="H41" i="1"/>
  <c r="I25" i="1"/>
  <c r="C14" i="1"/>
  <c r="C18" i="1"/>
  <c r="C22" i="1"/>
  <c r="C26" i="1"/>
  <c r="C30" i="1"/>
  <c r="C34" i="1"/>
  <c r="C38" i="1"/>
  <c r="G14" i="1"/>
  <c r="I14" i="1" s="1"/>
  <c r="G18" i="1"/>
  <c r="C25" i="1"/>
  <c r="C13" i="1"/>
  <c r="G15" i="1"/>
  <c r="G23" i="1"/>
  <c r="G27" i="1"/>
  <c r="I27" i="1" s="1"/>
  <c r="G31" i="1"/>
  <c r="G35" i="1"/>
  <c r="I35" i="1" s="1"/>
  <c r="H11" i="1"/>
  <c r="H19" i="1"/>
  <c r="H23" i="1"/>
  <c r="I23" i="1" s="1"/>
  <c r="H27" i="1"/>
  <c r="H31" i="1"/>
  <c r="I31" i="1" s="1"/>
  <c r="H39" i="1"/>
  <c r="G39" i="1" s="1"/>
  <c r="I39" i="1" s="1"/>
  <c r="I19" i="1"/>
  <c r="C11" i="1"/>
  <c r="C15" i="1"/>
  <c r="C19" i="1"/>
  <c r="C23" i="1"/>
  <c r="C27" i="1"/>
  <c r="C31" i="1"/>
  <c r="C39" i="1"/>
  <c r="G11" i="1"/>
  <c r="H15" i="1"/>
  <c r="H35" i="1"/>
  <c r="C12" i="1"/>
  <c r="C16" i="1"/>
  <c r="C20" i="1"/>
  <c r="C24" i="1"/>
  <c r="C28" i="1"/>
  <c r="C32" i="1"/>
  <c r="C36" i="1"/>
  <c r="C40" i="1"/>
  <c r="H42" i="1" l="1"/>
  <c r="E46" i="1" s="1"/>
  <c r="G42" i="1"/>
  <c r="E45" i="1" s="1"/>
  <c r="I11" i="1"/>
  <c r="I42" i="1" s="1"/>
  <c r="E49" i="1" l="1"/>
  <c r="E47" i="1"/>
</calcChain>
</file>

<file path=xl/sharedStrings.xml><?xml version="1.0" encoding="utf-8"?>
<sst xmlns="http://schemas.openxmlformats.org/spreadsheetml/2006/main" count="85" uniqueCount="67">
  <si>
    <t>ARBEITSNACHWEIS</t>
  </si>
  <si>
    <t>AUSFÜLLHINWEISE</t>
  </si>
  <si>
    <t>1.</t>
  </si>
  <si>
    <t>Monat (1–12) und Jahr im Kopfbereich eintragen – Datum und Wochentage werden automatisch erzeugt.</t>
  </si>
  <si>
    <t>2.</t>
  </si>
  <si>
    <t>Nur die hell hinterlegten Felder ausfüllen: Beginn, Ende und Pause im Format hh:mm.</t>
  </si>
  <si>
    <t>Mitarbeiter/in:</t>
  </si>
  <si>
    <t>Lena Vogelsang</t>
  </si>
  <si>
    <t>Firma:</t>
  </si>
  <si>
    <t>Brandtner &amp; Söhne GmbH</t>
  </si>
  <si>
    <t>Soll-Std. / Tag:</t>
  </si>
  <si>
    <t>3.</t>
  </si>
  <si>
    <t>Ist-, Soll- und Differenzstunden berechnet die Tabelle automatisch.</t>
  </si>
  <si>
    <t>Personal-Nr.:</t>
  </si>
  <si>
    <t>PN-0347</t>
  </si>
  <si>
    <t>Monat (1–12):</t>
  </si>
  <si>
    <t>Übertrag Vormonat:</t>
  </si>
  <si>
    <t>4.</t>
  </si>
  <si>
    <t>Bei Abwesenheit das Kürzel wählen – Zeiten bleiben dann leer.</t>
  </si>
  <si>
    <t>Abteilung / Projekt:</t>
  </si>
  <si>
    <t>Vertrieb Innendienst</t>
  </si>
  <si>
    <t>Jahr:</t>
  </si>
  <si>
    <t>Erstellt am:</t>
  </si>
  <si>
    <t>U</t>
  </si>
  <si>
    <t>Urlaub (Soll-Stunden werden gutgeschrieben)</t>
  </si>
  <si>
    <t>Datum</t>
  </si>
  <si>
    <t>Tag</t>
  </si>
  <si>
    <t>Beginn</t>
  </si>
  <si>
    <t>Ende</t>
  </si>
  <si>
    <t>Pause</t>
  </si>
  <si>
    <t>Ist-Std.</t>
  </si>
  <si>
    <t>Soll-Std.</t>
  </si>
  <si>
    <t>+/- Std.</t>
  </si>
  <si>
    <t>Kürzel</t>
  </si>
  <si>
    <t>Tätigkeit / Bemerkung</t>
  </si>
  <si>
    <t>K</t>
  </si>
  <si>
    <t>Krank (Soll-Stunden werden gutgeschrieben)</t>
  </si>
  <si>
    <t>Angebotserstellung, Kundenanfragen</t>
  </si>
  <si>
    <t>F</t>
  </si>
  <si>
    <t>Feiertag (kein Soll an diesem Tag)</t>
  </si>
  <si>
    <t>Projektbesprechung, Angebotskalkulation</t>
  </si>
  <si>
    <t>S</t>
  </si>
  <si>
    <t>Sonstige Abwesenheit (ohne Gutschrift)</t>
  </si>
  <si>
    <t>Kundentermin vor Ort, Nachbereitung</t>
  </si>
  <si>
    <t>Wochenenden werden automatisch grau, Abwesenheitstage beige markiert.</t>
  </si>
  <si>
    <t>Auftragsbearbeitung, Datenpflege</t>
  </si>
  <si>
    <t>Wochenbericht, Ablage</t>
  </si>
  <si>
    <t>Reklamationsbearbeitung, Telefondienst</t>
  </si>
  <si>
    <t>Schulung interne Software</t>
  </si>
  <si>
    <t>Angebotsnachverfolgung, CRM-Pflege</t>
  </si>
  <si>
    <t>Monatsauswertung, Teammeeting</t>
  </si>
  <si>
    <t>Krankmeldung liegt vor</t>
  </si>
  <si>
    <t>Jahresurlaub</t>
  </si>
  <si>
    <t>Summe Monat</t>
  </si>
  <si>
    <t>MONATSÜBERSICHT</t>
  </si>
  <si>
    <t>Ist-Stunden gesamt</t>
  </si>
  <si>
    <t>Gearbeitete Tage</t>
  </si>
  <si>
    <t>Soll-Stunden gesamt</t>
  </si>
  <si>
    <t>Urlaubstage (U)</t>
  </si>
  <si>
    <t>Über- / Minderstunden</t>
  </si>
  <si>
    <t>Krankheitstage (K)</t>
  </si>
  <si>
    <t>Übertrag Vormonat</t>
  </si>
  <si>
    <t>Feiertage (F)</t>
  </si>
  <si>
    <t>Neuer Gleitzeitsaldo</t>
  </si>
  <si>
    <t>Sonstige Tage (S)</t>
  </si>
  <si>
    <t>Datum, Unterschrift Mitarbeiter/in</t>
  </si>
  <si>
    <t>Datum, Unterschrift Arbeitgeber / Vorgesetzte/r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</si>
</sst>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&quot; h&quot;"/>
    <numFmt numFmtId="165" formatCode="\+0.00&quot; h&quot;;\-0.00&quot; h&quot;;0.00&quot; h&quot;"/>
    <numFmt numFmtId="166" formatCode="dd\.mm\.yyyy"/>
    <numFmt numFmtId="167" formatCode="hh:mm"/>
    <numFmt numFmtId="168" formatCode="0.00;[Red]\-0.00"/>
    <numFmt numFmtId="169" formatCode="0.00;\-0.00"/>
    <numFmt numFmtId="170" formatCode="\+0.00&quot; h&quot;;[Red]\-0.00&quot; h&quot;;0.00&quot; h&quot;"/>
  </numFmts>
  <fonts count="1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3"/>
      <color rgb="FFFFFFFF"/>
      <name val="Calibri"/>
      <charset val="1"/>
    </font>
    <font>
      <b/>
      <sz val="11"/>
      <color rgb="FF12474D"/>
      <name val="Calibri"/>
      <charset val="1"/>
    </font>
    <font>
      <b/>
      <sz val="9"/>
      <color rgb="FF12474D"/>
      <name val="Calibri"/>
      <charset val="1"/>
    </font>
    <font>
      <sz val="9"/>
      <color rgb="FF1A2E30"/>
      <name val="Calibri"/>
      <charset val="1"/>
    </font>
    <font>
      <b/>
      <sz val="10"/>
      <color rgb="FF12474D"/>
      <name val="Calibri"/>
      <charset val="1"/>
    </font>
    <font>
      <sz val="10"/>
      <color rgb="FF1A2E30"/>
      <name val="Calibri"/>
      <charset val="1"/>
    </font>
    <font>
      <b/>
      <sz val="9"/>
      <color rgb="FFD9971E"/>
      <name val="Calibri"/>
      <charset val="1"/>
    </font>
    <font>
      <b/>
      <sz val="10"/>
      <color rgb="FFFFFFFF"/>
      <name val="Calibri"/>
      <charset val="1"/>
    </font>
    <font>
      <b/>
      <sz val="10"/>
      <color rgb="FF1A2E30"/>
      <name val="Calibri"/>
      <charset val="1"/>
    </font>
    <font>
      <i/>
      <sz val="9"/>
      <color rgb="FF1A2E3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12474D"/>
        <bgColor rgb="FF1A2E30"/>
      </patternFill>
    </fill>
    <fill>
      <patternFill patternType="solid">
        <fgColor rgb="FFFFF7E6"/>
        <bgColor rgb="FFFBF2DF"/>
      </patternFill>
    </fill>
    <fill>
      <patternFill patternType="solid">
        <fgColor rgb="FF1D6068"/>
        <bgColor rgb="FF12474D"/>
      </patternFill>
    </fill>
    <fill>
      <patternFill patternType="solid">
        <fgColor rgb="FFEAF3F4"/>
        <bgColor rgb="FFDCE9EA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D9971E"/>
      </bottom>
      <diagonal/>
    </border>
    <border>
      <left style="thin">
        <color rgb="FFB9CCCE"/>
      </left>
      <right style="thin">
        <color rgb="FFB9CCCE"/>
      </right>
      <top style="thin">
        <color rgb="FFB9CCCE"/>
      </top>
      <bottom style="thin">
        <color rgb="FFB9CCCE"/>
      </bottom>
      <diagonal/>
    </border>
    <border>
      <left/>
      <right/>
      <top/>
      <bottom style="thin">
        <color rgb="FF1A2E3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1">
    <xf numFmtId="0" fontId="0" fillId="0" borderId="0"/>
  </cellStyleXfs>
  <cellXfs count="39">
    <xf numFmtId="0" fontId="0" fillId="0" borderId="0" xfId="0"/>
    <xf numFmtId="170" fontId="7" fillId="5" borderId="2" xfId="0" applyNumberFormat="1" applyFont="1" applyFill="1" applyBorder="1" applyAlignment="1">
      <alignment horizontal="center" vertical="center"/>
    </xf>
    <xf numFmtId="170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indent="1"/>
    </xf>
    <xf numFmtId="164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right" vertical="center" indent="1"/>
    </xf>
    <xf numFmtId="0" fontId="3" fillId="0" borderId="0" xfId="0" applyFont="1"/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0" borderId="1" xfId="0" applyBorder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4" borderId="2" xfId="0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169" fontId="9" fillId="2" borderId="2" xfId="0" applyNumberFormat="1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0" fillId="0" borderId="3" xfId="0" applyBorder="1"/>
    <xf numFmtId="0" fontId="11" fillId="0" borderId="0" xfId="0" applyFont="1"/>
    <xf numFmtId="170" fontId="6" fillId="5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left" vertical="center"/>
    </xf>
    <xf numFmtId="1" fontId="7" fillId="3" borderId="6" xfId="0" applyNumberFormat="1" applyFont="1" applyFill="1" applyBorder="1" applyAlignment="1">
      <alignment horizontal="left" vertical="center"/>
    </xf>
    <xf numFmtId="1" fontId="7" fillId="3" borderId="7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2">
    <dxf>
      <fill>
        <patternFill>
          <bgColor rgb="FFFBF2DF"/>
        </patternFill>
      </fill>
    </dxf>
    <dxf>
      <fill>
        <patternFill>
          <bgColor rgb="FFDCE9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D6068"/>
      <rgbColor rgb="FFB9CCCE"/>
      <rgbColor rgb="FF808080"/>
      <rgbColor rgb="FF9999FF"/>
      <rgbColor rgb="FF993366"/>
      <rgbColor rgb="FFFFF7E6"/>
      <rgbColor rgb="FFEAF3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9EA"/>
      <rgbColor rgb="FFCCFFCC"/>
      <rgbColor rgb="FFFBF2D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971E"/>
      <rgbColor rgb="FFFF6600"/>
      <rgbColor rgb="FF666699"/>
      <rgbColor rgb="FF969696"/>
      <rgbColor rgb="FF12474D"/>
      <rgbColor rgb="FF339966"/>
      <rgbColor rgb="FF003300"/>
      <rgbColor rgb="FF333300"/>
      <rgbColor rgb="FF993300"/>
      <rgbColor rgb="FF993366"/>
      <rgbColor rgb="FF333399"/>
      <rgbColor rgb="FF1A2E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2"/>
  <sheetViews>
    <sheetView showGridLines="0" tabSelected="1" zoomScaleNormal="100" workbookViewId="0">
      <pane ySplit="10" topLeftCell="A11" activePane="bottomLeft" state="frozen"/>
      <selection pane="bottomLeft" activeCell="K48" sqref="K48"/>
    </sheetView>
  </sheetViews>
  <sheetFormatPr baseColWidth="10" defaultColWidth="8.7109375" defaultRowHeight="15" x14ac:dyDescent="0.25"/>
  <cols>
    <col min="1" max="1" width="1.5703125" customWidth="1"/>
    <col min="2" max="2" width="16.5703125" customWidth="1"/>
    <col min="3" max="3" width="6" customWidth="1"/>
    <col min="4" max="4" width="9" customWidth="1"/>
    <col min="5" max="5" width="12.140625" bestFit="1" customWidth="1"/>
    <col min="6" max="6" width="9" customWidth="1"/>
    <col min="7" max="9" width="9.5703125" customWidth="1"/>
    <col min="10" max="10" width="8" customWidth="1"/>
    <col min="11" max="11" width="42" customWidth="1"/>
    <col min="12" max="12" width="2.42578125" customWidth="1"/>
    <col min="13" max="13" width="14" customWidth="1"/>
    <col min="14" max="14" width="30" customWidth="1"/>
  </cols>
  <sheetData>
    <row r="2" spans="2:14" ht="21.75" customHeight="1" x14ac:dyDescent="0.25">
      <c r="B2" s="11" t="s">
        <v>0</v>
      </c>
      <c r="C2" s="11"/>
      <c r="D2" s="11"/>
      <c r="E2" s="11"/>
      <c r="F2" s="11"/>
      <c r="G2" s="11"/>
      <c r="H2" s="11"/>
      <c r="I2" s="10" t="str">
        <f>"Monat: "&amp;TEXT(F7,"00")&amp;" / "&amp;F8</f>
        <v>Monat: 07 / 2026</v>
      </c>
      <c r="J2" s="10"/>
      <c r="K2" s="10"/>
      <c r="M2" s="9" t="s">
        <v>1</v>
      </c>
      <c r="N2" s="9"/>
    </row>
    <row r="3" spans="2:14" ht="21.75" customHeight="1" x14ac:dyDescent="0.25">
      <c r="B3" s="11"/>
      <c r="C3" s="11"/>
      <c r="D3" s="11"/>
      <c r="E3" s="11"/>
      <c r="F3" s="11"/>
      <c r="G3" s="11"/>
      <c r="H3" s="11"/>
      <c r="I3" s="10"/>
      <c r="J3" s="10"/>
      <c r="K3" s="10"/>
    </row>
    <row r="4" spans="2:14" ht="25.5" customHeight="1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M4" s="13" t="s">
        <v>2</v>
      </c>
      <c r="N4" s="14" t="s">
        <v>3</v>
      </c>
    </row>
    <row r="5" spans="2:14" ht="25.5" customHeight="1" x14ac:dyDescent="0.25">
      <c r="M5" s="13" t="s">
        <v>4</v>
      </c>
      <c r="N5" s="14" t="s">
        <v>5</v>
      </c>
    </row>
    <row r="6" spans="2:14" ht="25.5" customHeight="1" x14ac:dyDescent="0.25">
      <c r="B6" s="30" t="s">
        <v>6</v>
      </c>
      <c r="C6" s="31" t="s">
        <v>7</v>
      </c>
      <c r="D6" s="31"/>
      <c r="E6" s="30" t="s">
        <v>8</v>
      </c>
      <c r="F6" s="31" t="s">
        <v>9</v>
      </c>
      <c r="G6" s="31"/>
      <c r="H6" s="31"/>
      <c r="I6" s="32" t="s">
        <v>10</v>
      </c>
      <c r="J6" s="32"/>
      <c r="K6" s="33">
        <v>8</v>
      </c>
      <c r="M6" s="13" t="s">
        <v>11</v>
      </c>
      <c r="N6" s="14" t="s">
        <v>12</v>
      </c>
    </row>
    <row r="7" spans="2:14" ht="25.5" customHeight="1" x14ac:dyDescent="0.25">
      <c r="B7" s="30" t="s">
        <v>13</v>
      </c>
      <c r="C7" s="31" t="s">
        <v>14</v>
      </c>
      <c r="D7" s="31"/>
      <c r="E7" s="30" t="s">
        <v>15</v>
      </c>
      <c r="F7" s="36">
        <v>7</v>
      </c>
      <c r="G7" s="37"/>
      <c r="H7" s="38"/>
      <c r="I7" s="32" t="s">
        <v>16</v>
      </c>
      <c r="J7" s="32"/>
      <c r="K7" s="34">
        <v>2.5</v>
      </c>
      <c r="M7" s="13" t="s">
        <v>17</v>
      </c>
      <c r="N7" s="14" t="s">
        <v>18</v>
      </c>
    </row>
    <row r="8" spans="2:14" x14ac:dyDescent="0.25">
      <c r="B8" s="30" t="s">
        <v>19</v>
      </c>
      <c r="C8" s="31" t="s">
        <v>20</v>
      </c>
      <c r="D8" s="31"/>
      <c r="E8" s="30" t="s">
        <v>21</v>
      </c>
      <c r="F8" s="36">
        <v>2026</v>
      </c>
      <c r="G8" s="37"/>
      <c r="H8" s="38"/>
      <c r="I8" s="32" t="s">
        <v>22</v>
      </c>
      <c r="J8" s="32"/>
      <c r="K8" s="35">
        <v>46234</v>
      </c>
    </row>
    <row r="9" spans="2:14" ht="15" customHeight="1" x14ac:dyDescent="0.25">
      <c r="M9" s="15" t="s">
        <v>23</v>
      </c>
      <c r="N9" s="14" t="s">
        <v>24</v>
      </c>
    </row>
    <row r="10" spans="2:14" ht="15" customHeight="1" x14ac:dyDescent="0.25"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6" t="s">
        <v>30</v>
      </c>
      <c r="H10" s="16" t="s">
        <v>31</v>
      </c>
      <c r="I10" s="16" t="s">
        <v>32</v>
      </c>
      <c r="J10" s="16" t="s">
        <v>33</v>
      </c>
      <c r="K10" s="16" t="s">
        <v>34</v>
      </c>
      <c r="M10" s="15" t="s">
        <v>35</v>
      </c>
      <c r="N10" s="14" t="s">
        <v>36</v>
      </c>
    </row>
    <row r="11" spans="2:14" ht="15" customHeight="1" x14ac:dyDescent="0.25">
      <c r="B11" s="17">
        <f>IF(1&gt;DAY(EOMONTH(DATE($F$8,$F$7,1),0)),"",DATE($F$8,$F$7,1))</f>
        <v>46204</v>
      </c>
      <c r="C11" s="18" t="str">
        <f t="shared" ref="C11:C41" si="0">IF($B11="","",CHOOSE(WEEKDAY($B11,2),"Mo","Di","Mi","Do","Fr","Sa","So"))</f>
        <v>Mi</v>
      </c>
      <c r="D11" s="19">
        <v>0.33333333333333298</v>
      </c>
      <c r="E11" s="19">
        <v>0.6875</v>
      </c>
      <c r="F11" s="19">
        <v>2.0833333333333301E-2</v>
      </c>
      <c r="G11" s="20">
        <f t="shared" ref="G11:G41" si="1">IF($B11="","",IF(AND(D11&lt;&gt;"",E11&lt;&gt;""),(E11-D11)*24-IF(F11="",0,F11*24),IF(OR(J11="U",J11="K"),H11,0)))</f>
        <v>8.0000000000000089</v>
      </c>
      <c r="H11" s="20">
        <f t="shared" ref="H11:H41" si="2">IF($B11="","",IF(OR(WEEKDAY($B11,2)&gt;5,J11="F"),0,$K$6))</f>
        <v>8</v>
      </c>
      <c r="I11" s="21">
        <f t="shared" ref="I11:I41" si="3">IF($B11="","",G11-H11)</f>
        <v>8.8817841970012523E-15</v>
      </c>
      <c r="J11" s="22"/>
      <c r="K11" s="23" t="s">
        <v>37</v>
      </c>
      <c r="M11" s="15" t="s">
        <v>38</v>
      </c>
      <c r="N11" s="14" t="s">
        <v>39</v>
      </c>
    </row>
    <row r="12" spans="2:14" ht="15" customHeight="1" x14ac:dyDescent="0.25">
      <c r="B12" s="17">
        <f>IF(2&gt;DAY(EOMONTH(DATE($F$8,$F$7,1),0)),"",DATE($F$8,$F$7,2))</f>
        <v>46205</v>
      </c>
      <c r="C12" s="18" t="str">
        <f t="shared" si="0"/>
        <v>Do</v>
      </c>
      <c r="D12" s="19">
        <v>0.32291666666666702</v>
      </c>
      <c r="E12" s="19">
        <v>0.69791666666666696</v>
      </c>
      <c r="F12" s="19">
        <v>3.125E-2</v>
      </c>
      <c r="G12" s="20">
        <f t="shared" si="1"/>
        <v>8.2499999999999982</v>
      </c>
      <c r="H12" s="20">
        <f t="shared" si="2"/>
        <v>8</v>
      </c>
      <c r="I12" s="21">
        <f t="shared" si="3"/>
        <v>0.24999999999999822</v>
      </c>
      <c r="J12" s="22"/>
      <c r="K12" s="23" t="s">
        <v>40</v>
      </c>
      <c r="M12" s="15" t="s">
        <v>41</v>
      </c>
      <c r="N12" s="14" t="s">
        <v>42</v>
      </c>
    </row>
    <row r="13" spans="2:14" ht="16.5" customHeight="1" x14ac:dyDescent="0.25">
      <c r="B13" s="17">
        <f>IF(3&gt;DAY(EOMONTH(DATE($F$8,$F$7,1),0)),"",DATE($F$8,$F$7,3))</f>
        <v>46206</v>
      </c>
      <c r="C13" s="18" t="str">
        <f t="shared" si="0"/>
        <v>Fr</v>
      </c>
      <c r="D13" s="19">
        <v>0.33333333333333298</v>
      </c>
      <c r="E13" s="19">
        <v>0.72916666666666696</v>
      </c>
      <c r="F13" s="19">
        <v>2.0833333333333301E-2</v>
      </c>
      <c r="G13" s="20">
        <f t="shared" si="1"/>
        <v>9.000000000000016</v>
      </c>
      <c r="H13" s="20">
        <f t="shared" si="2"/>
        <v>8</v>
      </c>
      <c r="I13" s="21">
        <f t="shared" si="3"/>
        <v>1.000000000000016</v>
      </c>
      <c r="J13" s="22"/>
      <c r="K13" s="23" t="s">
        <v>43</v>
      </c>
    </row>
    <row r="14" spans="2:14" ht="25.5" customHeight="1" x14ac:dyDescent="0.25">
      <c r="B14" s="17">
        <f>IF(4&gt;DAY(EOMONTH(DATE($F$8,$F$7,1),0)),"",DATE($F$8,$F$7,4))</f>
        <v>46207</v>
      </c>
      <c r="C14" s="18" t="str">
        <f t="shared" si="0"/>
        <v>Sa</v>
      </c>
      <c r="D14" s="19"/>
      <c r="E14" s="19"/>
      <c r="F14" s="19"/>
      <c r="G14" s="20">
        <f t="shared" si="1"/>
        <v>0</v>
      </c>
      <c r="H14" s="20">
        <f t="shared" si="2"/>
        <v>0</v>
      </c>
      <c r="I14" s="21">
        <f t="shared" si="3"/>
        <v>0</v>
      </c>
      <c r="J14" s="22"/>
      <c r="K14" s="23"/>
      <c r="M14" s="13"/>
      <c r="N14" s="14" t="s">
        <v>44</v>
      </c>
    </row>
    <row r="15" spans="2:14" ht="16.5" customHeight="1" x14ac:dyDescent="0.25">
      <c r="B15" s="17">
        <f>IF(5&gt;DAY(EOMONTH(DATE($F$8,$F$7,1),0)),"",DATE($F$8,$F$7,5))</f>
        <v>46208</v>
      </c>
      <c r="C15" s="18" t="str">
        <f t="shared" si="0"/>
        <v>So</v>
      </c>
      <c r="D15" s="19"/>
      <c r="E15" s="19"/>
      <c r="F15" s="19"/>
      <c r="G15" s="20">
        <f t="shared" si="1"/>
        <v>0</v>
      </c>
      <c r="H15" s="20">
        <f t="shared" si="2"/>
        <v>0</v>
      </c>
      <c r="I15" s="21">
        <f t="shared" si="3"/>
        <v>0</v>
      </c>
      <c r="J15" s="22"/>
      <c r="K15" s="23"/>
    </row>
    <row r="16" spans="2:14" ht="16.5" customHeight="1" x14ac:dyDescent="0.25">
      <c r="B16" s="17">
        <f>IF(6&gt;DAY(EOMONTH(DATE($F$8,$F$7,1),0)),"",DATE($F$8,$F$7,6))</f>
        <v>46209</v>
      </c>
      <c r="C16" s="18" t="str">
        <f t="shared" si="0"/>
        <v>Mo</v>
      </c>
      <c r="D16" s="19">
        <v>0.34375</v>
      </c>
      <c r="E16" s="19">
        <v>0.69791666666666696</v>
      </c>
      <c r="F16" s="19">
        <v>2.0833333333333301E-2</v>
      </c>
      <c r="G16" s="20">
        <f t="shared" si="1"/>
        <v>8.0000000000000071</v>
      </c>
      <c r="H16" s="20">
        <f t="shared" si="2"/>
        <v>8</v>
      </c>
      <c r="I16" s="21">
        <f t="shared" si="3"/>
        <v>7.1054273576010019E-15</v>
      </c>
      <c r="J16" s="22"/>
      <c r="K16" s="23" t="s">
        <v>45</v>
      </c>
    </row>
    <row r="17" spans="2:11" ht="16.5" customHeight="1" x14ac:dyDescent="0.25">
      <c r="B17" s="17">
        <f>IF(7&gt;DAY(EOMONTH(DATE($F$8,$F$7,1),0)),"",DATE($F$8,$F$7,7))</f>
        <v>46210</v>
      </c>
      <c r="C17" s="18" t="str">
        <f t="shared" si="0"/>
        <v>Di</v>
      </c>
      <c r="D17" s="19">
        <v>0.33333333333333298</v>
      </c>
      <c r="E17" s="19">
        <v>0.64583333333333304</v>
      </c>
      <c r="F17" s="19">
        <v>2.0833333333333301E-2</v>
      </c>
      <c r="G17" s="20">
        <f t="shared" si="1"/>
        <v>7.0000000000000027</v>
      </c>
      <c r="H17" s="20">
        <f t="shared" si="2"/>
        <v>8</v>
      </c>
      <c r="I17" s="21">
        <f t="shared" si="3"/>
        <v>-0.99999999999999734</v>
      </c>
      <c r="J17" s="22"/>
      <c r="K17" s="23" t="s">
        <v>46</v>
      </c>
    </row>
    <row r="18" spans="2:11" ht="16.5" customHeight="1" x14ac:dyDescent="0.25">
      <c r="B18" s="17">
        <f>IF(8&gt;DAY(EOMONTH(DATE($F$8,$F$7,1),0)),"",DATE($F$8,$F$7,8))</f>
        <v>46211</v>
      </c>
      <c r="C18" s="18" t="str">
        <f t="shared" si="0"/>
        <v>Mi</v>
      </c>
      <c r="D18" s="19">
        <v>0.33333333333333298</v>
      </c>
      <c r="E18" s="19">
        <v>0.6875</v>
      </c>
      <c r="F18" s="19">
        <v>2.0833333333333301E-2</v>
      </c>
      <c r="G18" s="20">
        <f t="shared" si="1"/>
        <v>8.0000000000000089</v>
      </c>
      <c r="H18" s="20">
        <f t="shared" si="2"/>
        <v>8</v>
      </c>
      <c r="I18" s="21">
        <f t="shared" si="3"/>
        <v>8.8817841970012523E-15</v>
      </c>
      <c r="J18" s="22"/>
      <c r="K18" s="23" t="s">
        <v>47</v>
      </c>
    </row>
    <row r="19" spans="2:11" ht="16.5" customHeight="1" x14ac:dyDescent="0.25">
      <c r="B19" s="17">
        <f>IF(9&gt;DAY(EOMONTH(DATE($F$8,$F$7,1),0)),"",DATE($F$8,$F$7,9))</f>
        <v>46212</v>
      </c>
      <c r="C19" s="18" t="str">
        <f t="shared" si="0"/>
        <v>Do</v>
      </c>
      <c r="D19" s="19">
        <v>0.3125</v>
      </c>
      <c r="E19" s="19">
        <v>0.6875</v>
      </c>
      <c r="F19" s="19">
        <v>4.1666666666666699E-2</v>
      </c>
      <c r="G19" s="20">
        <f t="shared" si="1"/>
        <v>7.9999999999999991</v>
      </c>
      <c r="H19" s="20">
        <f t="shared" si="2"/>
        <v>8</v>
      </c>
      <c r="I19" s="21">
        <f t="shared" si="3"/>
        <v>-8.8817841970012523E-16</v>
      </c>
      <c r="J19" s="22"/>
      <c r="K19" s="23" t="s">
        <v>48</v>
      </c>
    </row>
    <row r="20" spans="2:11" ht="16.5" customHeight="1" x14ac:dyDescent="0.25">
      <c r="B20" s="17">
        <f>IF(10&gt;DAY(EOMONTH(DATE($F$8,$F$7,1),0)),"",DATE($F$8,$F$7,10))</f>
        <v>46213</v>
      </c>
      <c r="C20" s="18" t="str">
        <f t="shared" si="0"/>
        <v>Fr</v>
      </c>
      <c r="D20" s="19">
        <v>0.33333333333333298</v>
      </c>
      <c r="E20" s="19">
        <v>0.70833333333333304</v>
      </c>
      <c r="F20" s="19">
        <v>2.0833333333333301E-2</v>
      </c>
      <c r="G20" s="20">
        <f t="shared" si="1"/>
        <v>8.5000000000000018</v>
      </c>
      <c r="H20" s="20">
        <f t="shared" si="2"/>
        <v>8</v>
      </c>
      <c r="I20" s="21">
        <f t="shared" si="3"/>
        <v>0.50000000000000178</v>
      </c>
      <c r="J20" s="22"/>
      <c r="K20" s="23" t="s">
        <v>49</v>
      </c>
    </row>
    <row r="21" spans="2:11" ht="16.5" customHeight="1" x14ac:dyDescent="0.25">
      <c r="B21" s="17">
        <f>IF(11&gt;DAY(EOMONTH(DATE($F$8,$F$7,1),0)),"",DATE($F$8,$F$7,11))</f>
        <v>46214</v>
      </c>
      <c r="C21" s="18" t="str">
        <f t="shared" si="0"/>
        <v>Sa</v>
      </c>
      <c r="D21" s="19"/>
      <c r="E21" s="19"/>
      <c r="F21" s="19"/>
      <c r="G21" s="20">
        <f t="shared" si="1"/>
        <v>0</v>
      </c>
      <c r="H21" s="20">
        <f t="shared" si="2"/>
        <v>0</v>
      </c>
      <c r="I21" s="21">
        <f t="shared" si="3"/>
        <v>0</v>
      </c>
      <c r="J21" s="22"/>
      <c r="K21" s="23"/>
    </row>
    <row r="22" spans="2:11" ht="16.5" customHeight="1" x14ac:dyDescent="0.25">
      <c r="B22" s="17">
        <f>IF(12&gt;DAY(EOMONTH(DATE($F$8,$F$7,1),0)),"",DATE($F$8,$F$7,12))</f>
        <v>46215</v>
      </c>
      <c r="C22" s="18" t="str">
        <f t="shared" si="0"/>
        <v>So</v>
      </c>
      <c r="D22" s="19"/>
      <c r="E22" s="19"/>
      <c r="F22" s="19"/>
      <c r="G22" s="20">
        <f t="shared" si="1"/>
        <v>0</v>
      </c>
      <c r="H22" s="20">
        <f t="shared" si="2"/>
        <v>0</v>
      </c>
      <c r="I22" s="21">
        <f t="shared" si="3"/>
        <v>0</v>
      </c>
      <c r="J22" s="22"/>
      <c r="K22" s="23"/>
    </row>
    <row r="23" spans="2:11" ht="16.5" customHeight="1" x14ac:dyDescent="0.25">
      <c r="B23" s="17">
        <f>IF(13&gt;DAY(EOMONTH(DATE($F$8,$F$7,1),0)),"",DATE($F$8,$F$7,13))</f>
        <v>46216</v>
      </c>
      <c r="C23" s="18" t="str">
        <f t="shared" si="0"/>
        <v>Mo</v>
      </c>
      <c r="D23" s="19">
        <v>0.33333333333333298</v>
      </c>
      <c r="E23" s="19">
        <v>0.6875</v>
      </c>
      <c r="F23" s="19">
        <v>2.0833333333333301E-2</v>
      </c>
      <c r="G23" s="20">
        <f t="shared" si="1"/>
        <v>8.0000000000000089</v>
      </c>
      <c r="H23" s="20">
        <f t="shared" si="2"/>
        <v>8</v>
      </c>
      <c r="I23" s="21">
        <f t="shared" si="3"/>
        <v>8.8817841970012523E-15</v>
      </c>
      <c r="J23" s="22"/>
      <c r="K23" s="23" t="s">
        <v>50</v>
      </c>
    </row>
    <row r="24" spans="2:11" ht="16.5" customHeight="1" x14ac:dyDescent="0.25">
      <c r="B24" s="17">
        <f>IF(14&gt;DAY(EOMONTH(DATE($F$8,$F$7,1),0)),"",DATE($F$8,$F$7,14))</f>
        <v>46217</v>
      </c>
      <c r="C24" s="18" t="str">
        <f t="shared" si="0"/>
        <v>Di</v>
      </c>
      <c r="D24" s="19"/>
      <c r="E24" s="19"/>
      <c r="F24" s="19"/>
      <c r="G24" s="20">
        <f t="shared" si="1"/>
        <v>8</v>
      </c>
      <c r="H24" s="20">
        <f t="shared" si="2"/>
        <v>8</v>
      </c>
      <c r="I24" s="21">
        <f t="shared" si="3"/>
        <v>0</v>
      </c>
      <c r="J24" s="22" t="s">
        <v>35</v>
      </c>
      <c r="K24" s="23" t="s">
        <v>51</v>
      </c>
    </row>
    <row r="25" spans="2:11" ht="16.5" customHeight="1" x14ac:dyDescent="0.25">
      <c r="B25" s="17">
        <f>IF(15&gt;DAY(EOMONTH(DATE($F$8,$F$7,1),0)),"",DATE($F$8,$F$7,15))</f>
        <v>46218</v>
      </c>
      <c r="C25" s="18" t="str">
        <f t="shared" si="0"/>
        <v>Mi</v>
      </c>
      <c r="D25" s="19">
        <v>0.33333333333333298</v>
      </c>
      <c r="E25" s="19">
        <v>0.6875</v>
      </c>
      <c r="F25" s="19">
        <v>2.0833333333333301E-2</v>
      </c>
      <c r="G25" s="20">
        <f t="shared" si="1"/>
        <v>8.0000000000000089</v>
      </c>
      <c r="H25" s="20">
        <f t="shared" si="2"/>
        <v>8</v>
      </c>
      <c r="I25" s="21">
        <f t="shared" si="3"/>
        <v>8.8817841970012523E-15</v>
      </c>
      <c r="J25" s="22"/>
      <c r="K25" s="23" t="s">
        <v>37</v>
      </c>
    </row>
    <row r="26" spans="2:11" ht="16.5" customHeight="1" x14ac:dyDescent="0.25">
      <c r="B26" s="17">
        <f>IF(16&gt;DAY(EOMONTH(DATE($F$8,$F$7,1),0)),"",DATE($F$8,$F$7,16))</f>
        <v>46219</v>
      </c>
      <c r="C26" s="18" t="str">
        <f t="shared" si="0"/>
        <v>Do</v>
      </c>
      <c r="D26" s="19">
        <v>0.32291666666666702</v>
      </c>
      <c r="E26" s="19">
        <v>0.69791666666666696</v>
      </c>
      <c r="F26" s="19">
        <v>3.125E-2</v>
      </c>
      <c r="G26" s="20">
        <f t="shared" si="1"/>
        <v>8.2499999999999982</v>
      </c>
      <c r="H26" s="20">
        <f t="shared" si="2"/>
        <v>8</v>
      </c>
      <c r="I26" s="21">
        <f t="shared" si="3"/>
        <v>0.24999999999999822</v>
      </c>
      <c r="J26" s="22"/>
      <c r="K26" s="23" t="s">
        <v>40</v>
      </c>
    </row>
    <row r="27" spans="2:11" ht="16.5" customHeight="1" x14ac:dyDescent="0.25">
      <c r="B27" s="17">
        <f>IF(17&gt;DAY(EOMONTH(DATE($F$8,$F$7,1),0)),"",DATE($F$8,$F$7,17))</f>
        <v>46220</v>
      </c>
      <c r="C27" s="18" t="str">
        <f t="shared" si="0"/>
        <v>Fr</v>
      </c>
      <c r="D27" s="19">
        <v>0.33333333333333298</v>
      </c>
      <c r="E27" s="19">
        <v>0.72916666666666696</v>
      </c>
      <c r="F27" s="19">
        <v>2.0833333333333301E-2</v>
      </c>
      <c r="G27" s="20">
        <f t="shared" si="1"/>
        <v>9.000000000000016</v>
      </c>
      <c r="H27" s="20">
        <f t="shared" si="2"/>
        <v>8</v>
      </c>
      <c r="I27" s="21">
        <f t="shared" si="3"/>
        <v>1.000000000000016</v>
      </c>
      <c r="J27" s="22"/>
      <c r="K27" s="23" t="s">
        <v>43</v>
      </c>
    </row>
    <row r="28" spans="2:11" ht="16.5" customHeight="1" x14ac:dyDescent="0.25">
      <c r="B28" s="17">
        <f>IF(18&gt;DAY(EOMONTH(DATE($F$8,$F$7,1),0)),"",DATE($F$8,$F$7,18))</f>
        <v>46221</v>
      </c>
      <c r="C28" s="18" t="str">
        <f t="shared" si="0"/>
        <v>Sa</v>
      </c>
      <c r="D28" s="19"/>
      <c r="E28" s="19"/>
      <c r="F28" s="19"/>
      <c r="G28" s="20">
        <f t="shared" si="1"/>
        <v>0</v>
      </c>
      <c r="H28" s="20">
        <f t="shared" si="2"/>
        <v>0</v>
      </c>
      <c r="I28" s="21">
        <f t="shared" si="3"/>
        <v>0</v>
      </c>
      <c r="J28" s="22"/>
      <c r="K28" s="23"/>
    </row>
    <row r="29" spans="2:11" ht="16.5" customHeight="1" x14ac:dyDescent="0.25">
      <c r="B29" s="17">
        <f>IF(19&gt;DAY(EOMONTH(DATE($F$8,$F$7,1),0)),"",DATE($F$8,$F$7,19))</f>
        <v>46222</v>
      </c>
      <c r="C29" s="18" t="str">
        <f t="shared" si="0"/>
        <v>So</v>
      </c>
      <c r="D29" s="19"/>
      <c r="E29" s="19"/>
      <c r="F29" s="19"/>
      <c r="G29" s="20">
        <f t="shared" si="1"/>
        <v>0</v>
      </c>
      <c r="H29" s="20">
        <f t="shared" si="2"/>
        <v>0</v>
      </c>
      <c r="I29" s="21">
        <f t="shared" si="3"/>
        <v>0</v>
      </c>
      <c r="J29" s="22"/>
      <c r="K29" s="23"/>
    </row>
    <row r="30" spans="2:11" ht="16.5" customHeight="1" x14ac:dyDescent="0.25">
      <c r="B30" s="17">
        <f>IF(20&gt;DAY(EOMONTH(DATE($F$8,$F$7,1),0)),"",DATE($F$8,$F$7,20))</f>
        <v>46223</v>
      </c>
      <c r="C30" s="18" t="str">
        <f t="shared" si="0"/>
        <v>Mo</v>
      </c>
      <c r="D30" s="19">
        <v>0.34375</v>
      </c>
      <c r="E30" s="19">
        <v>0.69791666666666696</v>
      </c>
      <c r="F30" s="19">
        <v>2.0833333333333301E-2</v>
      </c>
      <c r="G30" s="20">
        <f t="shared" si="1"/>
        <v>8.0000000000000071</v>
      </c>
      <c r="H30" s="20">
        <f t="shared" si="2"/>
        <v>8</v>
      </c>
      <c r="I30" s="21">
        <f t="shared" si="3"/>
        <v>7.1054273576010019E-15</v>
      </c>
      <c r="J30" s="22"/>
      <c r="K30" s="23" t="s">
        <v>45</v>
      </c>
    </row>
    <row r="31" spans="2:11" ht="16.5" customHeight="1" x14ac:dyDescent="0.25">
      <c r="B31" s="17">
        <f>IF(21&gt;DAY(EOMONTH(DATE($F$8,$F$7,1),0)),"",DATE($F$8,$F$7,21))</f>
        <v>46224</v>
      </c>
      <c r="C31" s="18" t="str">
        <f t="shared" si="0"/>
        <v>Di</v>
      </c>
      <c r="D31" s="19">
        <v>0.33333333333333298</v>
      </c>
      <c r="E31" s="19">
        <v>0.64583333333333304</v>
      </c>
      <c r="F31" s="19">
        <v>2.0833333333333301E-2</v>
      </c>
      <c r="G31" s="20">
        <f t="shared" si="1"/>
        <v>7.0000000000000027</v>
      </c>
      <c r="H31" s="20">
        <f t="shared" si="2"/>
        <v>8</v>
      </c>
      <c r="I31" s="21">
        <f t="shared" si="3"/>
        <v>-0.99999999999999734</v>
      </c>
      <c r="J31" s="22"/>
      <c r="K31" s="23" t="s">
        <v>46</v>
      </c>
    </row>
    <row r="32" spans="2:11" ht="16.5" customHeight="1" x14ac:dyDescent="0.25">
      <c r="B32" s="17">
        <f>IF(22&gt;DAY(EOMONTH(DATE($F$8,$F$7,1),0)),"",DATE($F$8,$F$7,22))</f>
        <v>46225</v>
      </c>
      <c r="C32" s="18" t="str">
        <f t="shared" si="0"/>
        <v>Mi</v>
      </c>
      <c r="D32" s="19">
        <v>0.33333333333333298</v>
      </c>
      <c r="E32" s="19">
        <v>0.6875</v>
      </c>
      <c r="F32" s="19">
        <v>2.0833333333333301E-2</v>
      </c>
      <c r="G32" s="20">
        <f t="shared" si="1"/>
        <v>8.0000000000000089</v>
      </c>
      <c r="H32" s="20">
        <f t="shared" si="2"/>
        <v>8</v>
      </c>
      <c r="I32" s="21">
        <f t="shared" si="3"/>
        <v>8.8817841970012523E-15</v>
      </c>
      <c r="J32" s="22"/>
      <c r="K32" s="23" t="s">
        <v>47</v>
      </c>
    </row>
    <row r="33" spans="2:11" ht="16.5" customHeight="1" x14ac:dyDescent="0.25">
      <c r="B33" s="17">
        <f>IF(23&gt;DAY(EOMONTH(DATE($F$8,$F$7,1),0)),"",DATE($F$8,$F$7,23))</f>
        <v>46226</v>
      </c>
      <c r="C33" s="18" t="str">
        <f t="shared" si="0"/>
        <v>Do</v>
      </c>
      <c r="D33" s="19">
        <v>0.3125</v>
      </c>
      <c r="E33" s="19">
        <v>0.6875</v>
      </c>
      <c r="F33" s="19">
        <v>4.1666666666666699E-2</v>
      </c>
      <c r="G33" s="20">
        <f t="shared" si="1"/>
        <v>7.9999999999999991</v>
      </c>
      <c r="H33" s="20">
        <f t="shared" si="2"/>
        <v>8</v>
      </c>
      <c r="I33" s="21">
        <f t="shared" si="3"/>
        <v>-8.8817841970012523E-16</v>
      </c>
      <c r="J33" s="22"/>
      <c r="K33" s="23" t="s">
        <v>48</v>
      </c>
    </row>
    <row r="34" spans="2:11" ht="16.5" customHeight="1" x14ac:dyDescent="0.25">
      <c r="B34" s="17">
        <f>IF(24&gt;DAY(EOMONTH(DATE($F$8,$F$7,1),0)),"",DATE($F$8,$F$7,24))</f>
        <v>46227</v>
      </c>
      <c r="C34" s="18" t="str">
        <f t="shared" si="0"/>
        <v>Fr</v>
      </c>
      <c r="D34" s="19">
        <v>0.33333333333333298</v>
      </c>
      <c r="E34" s="19">
        <v>0.70833333333333304</v>
      </c>
      <c r="F34" s="19">
        <v>2.0833333333333301E-2</v>
      </c>
      <c r="G34" s="20">
        <f t="shared" si="1"/>
        <v>8.5000000000000018</v>
      </c>
      <c r="H34" s="20">
        <f t="shared" si="2"/>
        <v>8</v>
      </c>
      <c r="I34" s="21">
        <f t="shared" si="3"/>
        <v>0.50000000000000178</v>
      </c>
      <c r="J34" s="22"/>
      <c r="K34" s="23" t="s">
        <v>49</v>
      </c>
    </row>
    <row r="35" spans="2:11" ht="16.5" customHeight="1" x14ac:dyDescent="0.25">
      <c r="B35" s="17">
        <f>IF(25&gt;DAY(EOMONTH(DATE($F$8,$F$7,1),0)),"",DATE($F$8,$F$7,25))</f>
        <v>46228</v>
      </c>
      <c r="C35" s="18" t="str">
        <f t="shared" si="0"/>
        <v>Sa</v>
      </c>
      <c r="D35" s="19"/>
      <c r="E35" s="19"/>
      <c r="F35" s="19"/>
      <c r="G35" s="20">
        <f t="shared" si="1"/>
        <v>0</v>
      </c>
      <c r="H35" s="20">
        <f t="shared" si="2"/>
        <v>0</v>
      </c>
      <c r="I35" s="21">
        <f t="shared" si="3"/>
        <v>0</v>
      </c>
      <c r="J35" s="22"/>
      <c r="K35" s="23"/>
    </row>
    <row r="36" spans="2:11" ht="16.5" customHeight="1" x14ac:dyDescent="0.25">
      <c r="B36" s="17">
        <f>IF(26&gt;DAY(EOMONTH(DATE($F$8,$F$7,1),0)),"",DATE($F$8,$F$7,26))</f>
        <v>46229</v>
      </c>
      <c r="C36" s="18" t="str">
        <f t="shared" si="0"/>
        <v>So</v>
      </c>
      <c r="D36" s="19"/>
      <c r="E36" s="19"/>
      <c r="F36" s="19"/>
      <c r="G36" s="20">
        <f t="shared" si="1"/>
        <v>0</v>
      </c>
      <c r="H36" s="20">
        <f t="shared" si="2"/>
        <v>0</v>
      </c>
      <c r="I36" s="21">
        <f t="shared" si="3"/>
        <v>0</v>
      </c>
      <c r="J36" s="22"/>
      <c r="K36" s="23"/>
    </row>
    <row r="37" spans="2:11" ht="16.5" customHeight="1" x14ac:dyDescent="0.25">
      <c r="B37" s="17">
        <f>IF(27&gt;DAY(EOMONTH(DATE($F$8,$F$7,1),0)),"",DATE($F$8,$F$7,27))</f>
        <v>46230</v>
      </c>
      <c r="C37" s="18" t="str">
        <f t="shared" si="0"/>
        <v>Mo</v>
      </c>
      <c r="D37" s="19"/>
      <c r="E37" s="19"/>
      <c r="F37" s="19"/>
      <c r="G37" s="20">
        <f t="shared" si="1"/>
        <v>8</v>
      </c>
      <c r="H37" s="20">
        <f t="shared" si="2"/>
        <v>8</v>
      </c>
      <c r="I37" s="21">
        <f t="shared" si="3"/>
        <v>0</v>
      </c>
      <c r="J37" s="22" t="s">
        <v>23</v>
      </c>
      <c r="K37" s="23" t="s">
        <v>52</v>
      </c>
    </row>
    <row r="38" spans="2:11" ht="16.5" customHeight="1" x14ac:dyDescent="0.25">
      <c r="B38" s="17">
        <f>IF(28&gt;DAY(EOMONTH(DATE($F$8,$F$7,1),0)),"",DATE($F$8,$F$7,28))</f>
        <v>46231</v>
      </c>
      <c r="C38" s="18" t="str">
        <f t="shared" si="0"/>
        <v>Di</v>
      </c>
      <c r="D38" s="19"/>
      <c r="E38" s="19"/>
      <c r="F38" s="19"/>
      <c r="G38" s="20">
        <f t="shared" si="1"/>
        <v>8</v>
      </c>
      <c r="H38" s="20">
        <f t="shared" si="2"/>
        <v>8</v>
      </c>
      <c r="I38" s="21">
        <f t="shared" si="3"/>
        <v>0</v>
      </c>
      <c r="J38" s="22" t="s">
        <v>23</v>
      </c>
      <c r="K38" s="23" t="s">
        <v>52</v>
      </c>
    </row>
    <row r="39" spans="2:11" ht="16.5" customHeight="1" x14ac:dyDescent="0.25">
      <c r="B39" s="17">
        <f>IF(29&gt;DAY(EOMONTH(DATE($F$8,$F$7,1),0)),"",DATE($F$8,$F$7,29))</f>
        <v>46232</v>
      </c>
      <c r="C39" s="18" t="str">
        <f t="shared" si="0"/>
        <v>Mi</v>
      </c>
      <c r="D39" s="19"/>
      <c r="E39" s="19"/>
      <c r="F39" s="19"/>
      <c r="G39" s="20">
        <f t="shared" si="1"/>
        <v>8</v>
      </c>
      <c r="H39" s="20">
        <f t="shared" si="2"/>
        <v>8</v>
      </c>
      <c r="I39" s="21">
        <f t="shared" si="3"/>
        <v>0</v>
      </c>
      <c r="J39" s="22" t="s">
        <v>23</v>
      </c>
      <c r="K39" s="23" t="s">
        <v>52</v>
      </c>
    </row>
    <row r="40" spans="2:11" ht="16.5" customHeight="1" x14ac:dyDescent="0.25">
      <c r="B40" s="17">
        <f>IF(30&gt;DAY(EOMONTH(DATE($F$8,$F$7,1),0)),"",DATE($F$8,$F$7,30))</f>
        <v>46233</v>
      </c>
      <c r="C40" s="18" t="str">
        <f t="shared" si="0"/>
        <v>Do</v>
      </c>
      <c r="D40" s="19"/>
      <c r="E40" s="19"/>
      <c r="F40" s="19"/>
      <c r="G40" s="20">
        <f t="shared" si="1"/>
        <v>8</v>
      </c>
      <c r="H40" s="20">
        <f t="shared" si="2"/>
        <v>8</v>
      </c>
      <c r="I40" s="21">
        <f t="shared" si="3"/>
        <v>0</v>
      </c>
      <c r="J40" s="22" t="s">
        <v>23</v>
      </c>
      <c r="K40" s="23" t="s">
        <v>52</v>
      </c>
    </row>
    <row r="41" spans="2:11" ht="16.5" customHeight="1" x14ac:dyDescent="0.25">
      <c r="B41" s="17">
        <f>IF(31&gt;DAY(EOMONTH(DATE($F$8,$F$7,1),0)),"",DATE($F$8,$F$7,31))</f>
        <v>46234</v>
      </c>
      <c r="C41" s="18" t="str">
        <f t="shared" si="0"/>
        <v>Fr</v>
      </c>
      <c r="D41" s="19"/>
      <c r="E41" s="19"/>
      <c r="F41" s="19"/>
      <c r="G41" s="20">
        <f t="shared" si="1"/>
        <v>8</v>
      </c>
      <c r="H41" s="20">
        <f t="shared" si="2"/>
        <v>8</v>
      </c>
      <c r="I41" s="21">
        <f t="shared" si="3"/>
        <v>0</v>
      </c>
      <c r="J41" s="22" t="s">
        <v>23</v>
      </c>
      <c r="K41" s="23" t="s">
        <v>52</v>
      </c>
    </row>
    <row r="42" spans="2:11" ht="18.75" customHeight="1" x14ac:dyDescent="0.25">
      <c r="B42" s="8" t="s">
        <v>53</v>
      </c>
      <c r="C42" s="8"/>
      <c r="D42" s="8"/>
      <c r="E42" s="8"/>
      <c r="F42" s="8"/>
      <c r="G42" s="24">
        <f>SUM(G11:G41)</f>
        <v>185.50000000000009</v>
      </c>
      <c r="H42" s="24">
        <f>SUM(H11:H41)</f>
        <v>184</v>
      </c>
      <c r="I42" s="25">
        <f>SUM(I11:I41)</f>
        <v>1.5000000000000941</v>
      </c>
      <c r="J42" s="7"/>
      <c r="K42" s="7"/>
    </row>
    <row r="44" spans="2:11" x14ac:dyDescent="0.25">
      <c r="B44" s="6" t="s">
        <v>54</v>
      </c>
      <c r="C44" s="6"/>
      <c r="D44" s="6"/>
      <c r="E44" s="6"/>
      <c r="F44" s="6"/>
    </row>
    <row r="45" spans="2:11" x14ac:dyDescent="0.25">
      <c r="B45" s="5" t="s">
        <v>55</v>
      </c>
      <c r="C45" s="5"/>
      <c r="D45" s="5"/>
      <c r="E45" s="4">
        <f>G42</f>
        <v>185.50000000000009</v>
      </c>
      <c r="F45" s="4"/>
      <c r="H45" s="5" t="s">
        <v>56</v>
      </c>
      <c r="I45" s="5"/>
      <c r="J45" s="26">
        <f>COUNTIF(D11:D41,"&lt;&gt;")</f>
        <v>17</v>
      </c>
    </row>
    <row r="46" spans="2:11" x14ac:dyDescent="0.25">
      <c r="B46" s="5" t="s">
        <v>57</v>
      </c>
      <c r="C46" s="5"/>
      <c r="D46" s="5"/>
      <c r="E46" s="4">
        <f>H42</f>
        <v>184</v>
      </c>
      <c r="F46" s="4"/>
      <c r="H46" s="5" t="s">
        <v>58</v>
      </c>
      <c r="I46" s="5"/>
      <c r="J46" s="26">
        <f>COUNTIF(J11:J41,"U")</f>
        <v>5</v>
      </c>
    </row>
    <row r="47" spans="2:11" x14ac:dyDescent="0.25">
      <c r="B47" s="3" t="s">
        <v>59</v>
      </c>
      <c r="C47" s="3"/>
      <c r="D47" s="3"/>
      <c r="E47" s="2">
        <f>I42</f>
        <v>1.5000000000000941</v>
      </c>
      <c r="F47" s="2"/>
      <c r="H47" s="5" t="s">
        <v>60</v>
      </c>
      <c r="I47" s="5"/>
      <c r="J47" s="26">
        <f>COUNTIF(J11:J41,"K")</f>
        <v>1</v>
      </c>
    </row>
    <row r="48" spans="2:11" x14ac:dyDescent="0.25">
      <c r="B48" s="5" t="s">
        <v>61</v>
      </c>
      <c r="C48" s="5"/>
      <c r="D48" s="5"/>
      <c r="E48" s="1">
        <f>K7</f>
        <v>2.5</v>
      </c>
      <c r="F48" s="1"/>
      <c r="H48" s="5" t="s">
        <v>62</v>
      </c>
      <c r="I48" s="5"/>
      <c r="J48" s="26">
        <f>COUNTIF(J11:J41,"F")</f>
        <v>0</v>
      </c>
    </row>
    <row r="49" spans="2:11" x14ac:dyDescent="0.25">
      <c r="B49" s="3" t="s">
        <v>63</v>
      </c>
      <c r="C49" s="3"/>
      <c r="D49" s="3"/>
      <c r="E49" s="29">
        <f>I42+K7</f>
        <v>4.0000000000000941</v>
      </c>
      <c r="F49" s="29"/>
      <c r="H49" s="5" t="s">
        <v>64</v>
      </c>
      <c r="I49" s="5"/>
      <c r="J49" s="26">
        <f>COUNTIF(J11:J41,"S")</f>
        <v>0</v>
      </c>
    </row>
    <row r="51" spans="2:11" ht="25.5" customHeight="1" x14ac:dyDescent="0.25">
      <c r="B51" s="27"/>
      <c r="C51" s="27"/>
      <c r="D51" s="27"/>
      <c r="E51" s="27"/>
      <c r="G51" s="27"/>
      <c r="H51" s="27"/>
      <c r="I51" s="27"/>
      <c r="J51" s="27"/>
      <c r="K51" s="27"/>
    </row>
    <row r="52" spans="2:11" x14ac:dyDescent="0.25">
      <c r="B52" s="28" t="s">
        <v>65</v>
      </c>
      <c r="G52" s="28" t="s">
        <v>66</v>
      </c>
    </row>
  </sheetData>
  <mergeCells count="30">
    <mergeCell ref="B49:D49"/>
    <mergeCell ref="E49:F49"/>
    <mergeCell ref="H49:I49"/>
    <mergeCell ref="F7:H7"/>
    <mergeCell ref="F8:H8"/>
    <mergeCell ref="B47:D47"/>
    <mergeCell ref="E47:F47"/>
    <mergeCell ref="H47:I47"/>
    <mergeCell ref="B48:D48"/>
    <mergeCell ref="E48:F48"/>
    <mergeCell ref="H48:I48"/>
    <mergeCell ref="B44:F44"/>
    <mergeCell ref="B45:D45"/>
    <mergeCell ref="E45:F45"/>
    <mergeCell ref="H45:I45"/>
    <mergeCell ref="B46:D46"/>
    <mergeCell ref="E46:F46"/>
    <mergeCell ref="H46:I46"/>
    <mergeCell ref="C7:D7"/>
    <mergeCell ref="I7:J7"/>
    <mergeCell ref="C8:D8"/>
    <mergeCell ref="I8:J8"/>
    <mergeCell ref="B42:F42"/>
    <mergeCell ref="J42:K42"/>
    <mergeCell ref="B2:H3"/>
    <mergeCell ref="I2:K3"/>
    <mergeCell ref="M2:N2"/>
    <mergeCell ref="C6:D6"/>
    <mergeCell ref="F6:H6"/>
    <mergeCell ref="I6:J6"/>
  </mergeCells>
  <conditionalFormatting sqref="B11:K41">
    <cfRule type="expression" dxfId="1" priority="2">
      <formula>AND($B11&lt;&gt;"",WEEKDAY($B11,2)&gt;5)</formula>
    </cfRule>
    <cfRule type="expression" dxfId="0" priority="3">
      <formula>$J11&lt;&gt;""</formula>
    </cfRule>
  </conditionalFormatting>
  <dataValidations disablePrompts="1" count="1">
    <dataValidation type="list" allowBlank="1" showErrorMessage="1" error="Bitte nur U, K, F oder S eintragen." promptTitle="Kürzel" prompt="U = Urlaub · K = Krank · F = Feiertag · S = Sonstige Abwesenheit" sqref="J11:J41" xr:uid="{00000000-0002-0000-0000-000000000000}">
      <formula1>"U,K,F,S"</formula1>
      <formula2>0</formula2>
    </dataValidation>
  </dataValidation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Arbeitsnachweis</vt:lpstr>
      <vt:lpstr>Arbeitsnachweis!Druckbereich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2026-07-23T09:01:47Z</dcterms:created>
  <dcterms:modified xsi:type="dcterms:W3CDTF">2026-07-23T09:11:51Z</dcterms:modified>
  <dc:language>en-US</dc:language>
</cp:coreProperties>
</file>