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1.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_rels/drawing1.xml.rels" ContentType="application/vnd.openxmlformats-package.relationship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Cockpit" sheetId="1" state="visible" r:id="rId3"/>
    <sheet name="Jahresplan" sheetId="2" state="visible" r:id="rId4"/>
    <sheet name="Einstellungen" sheetId="3" state="visible" r:id="rId5"/>
  </sheets>
  <definedNames>
    <definedName function="false" hidden="false" localSheetId="1" name="_xlnm.Print_Titles" vbProcedure="false">Jahresplan!$A:$G</definedName>
    <definedName function="false" hidden="false" name="Faktor" vbProcedure="false">Einstellungen!$E$14:$E$21</definedName>
    <definedName function="false" hidden="false" name="Feiertage" vbProcedure="false">Einstellungen!$D$26:$D$40</definedName>
    <definedName function="false" hidden="false" name="Jahr" vbProcedure="false">Einstellungen!$E$7</definedName>
    <definedName function="false" hidden="false" name="Kuerzel" vbProcedure="false">Einstellungen!$B$14:$B$21</definedName>
    <definedName function="false" hidden="false" name="MaxAbwesend" vbProcedure="false">Einstellungen!$E$9</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<sst xmlns="http://schemas.openxmlformats.org/spreadsheetml/2006/main" count="708" uniqueCount="209">
  <si>
    <t xml:space="preserve">ABWESENHEITSPLANER  ·  COCKPIT</t>
  </si>
  <si>
    <t xml:space="preserve">AUSWERTUNG</t>
  </si>
  <si>
    <t xml:space="preserve">Urlaubskonten, Monatsverteilung und Auslastung – berechnet aus dem Blatt „Jahresplan“</t>
  </si>
  <si>
    <t xml:space="preserve">Keine Eingaben nötig</t>
  </si>
  <si>
    <t xml:space="preserve">ORGANISATION / BEREICH</t>
  </si>
  <si>
    <t xml:space="preserve">PLANUNGSJAHR</t>
  </si>
  <si>
    <t xml:space="preserve">STICHTAG</t>
  </si>
  <si>
    <t xml:space="preserve">GEPLANT FÜR</t>
  </si>
  <si>
    <t xml:space="preserve">Musterorganisation – Standort Nord</t>
  </si>
  <si>
    <t xml:space="preserve">Team- und Urlaubsplanung</t>
  </si>
  <si>
    <t xml:space="preserve">01   KENNZAHLEN</t>
  </si>
  <si>
    <t xml:space="preserve">MITARBEITENDE</t>
  </si>
  <si>
    <t xml:space="preserve">URLAUBSANSPRUCH GESAMT</t>
  </si>
  <si>
    <t xml:space="preserve">VERPLANTE URLAUBSTAGE</t>
  </si>
  <si>
    <t xml:space="preserve">OFFENE RESTTAGE</t>
  </si>
  <si>
    <t xml:space="preserve">Zeilen mit Namen im Jahresplan</t>
  </si>
  <si>
    <t xml:space="preserve">inklusive Resturlaub aus dem Vorjahr</t>
  </si>
  <si>
    <t xml:space="preserve">alle eingetragenen Urlaubskürzel</t>
  </si>
  <si>
    <t xml:space="preserve">noch nicht verplantes Guthaben</t>
  </si>
  <si>
    <t xml:space="preserve">VERPLANUNGSGRAD</t>
  </si>
  <si>
    <t xml:space="preserve">KRANKHEITSTAGE</t>
  </si>
  <si>
    <t xml:space="preserve">HOMEOFFICE-TAGE</t>
  </si>
  <si>
    <t xml:space="preserve">HEUTE ABWESEND</t>
  </si>
  <si>
    <t xml:space="preserve">Urlaub verplant gegenüber Anspruch</t>
  </si>
  <si>
    <t xml:space="preserve">Krankheit und Kind krank</t>
  </si>
  <si>
    <t xml:space="preserve">keine Abwesenheit, nur Arbeitsort</t>
  </si>
  <si>
    <t xml:space="preserve">Stand des heutigen Tages</t>
  </si>
  <si>
    <t xml:space="preserve">02   URLAUBSKONTEN JE MITARBEITENDEN</t>
  </si>
  <si>
    <t xml:space="preserve">Mitarbeitende</t>
  </si>
  <si>
    <t xml:space="preserve">Team</t>
  </si>
  <si>
    <t xml:space="preserve">An-
spruch</t>
  </si>
  <si>
    <t xml:space="preserve">Rest
Vorjahr</t>
  </si>
  <si>
    <t xml:space="preserve">Gesamt</t>
  </si>
  <si>
    <t xml:space="preserve">Ver-
plant</t>
  </si>
  <si>
    <t xml:space="preserve">Genommen
bis heute</t>
  </si>
  <si>
    <t xml:space="preserve">Ver-
fügbar</t>
  </si>
  <si>
    <t xml:space="preserve">Ver-
planung</t>
  </si>
  <si>
    <t xml:space="preserve">Krank-
heit</t>
  </si>
  <si>
    <t xml:space="preserve">Home-
office</t>
  </si>
  <si>
    <t xml:space="preserve">GESAMT</t>
  </si>
  <si>
    <t xml:space="preserve">03   ABWESENHEITEN JE MONAT</t>
  </si>
  <si>
    <t xml:space="preserve">Monat</t>
  </si>
  <si>
    <t xml:space="preserve">U</t>
  </si>
  <si>
    <t xml:space="preserve">H</t>
  </si>
  <si>
    <t xml:space="preserve">K</t>
  </si>
  <si>
    <t xml:space="preserve">KK</t>
  </si>
  <si>
    <t xml:space="preserve">HO</t>
  </si>
  <si>
    <t xml:space="preserve">FB</t>
  </si>
  <si>
    <t xml:space="preserve">SU</t>
  </si>
  <si>
    <t xml:space="preserve">GZ</t>
  </si>
  <si>
    <t xml:space="preserve">Abwesend
gesamt</t>
  </si>
  <si>
    <t xml:space="preserve">Quote</t>
  </si>
  <si>
    <t xml:space="preserve">Januar</t>
  </si>
  <si>
    <t xml:space="preserve">Februar</t>
  </si>
  <si>
    <t xml:space="preserve">März</t>
  </si>
  <si>
    <t xml:space="preserve">April</t>
  </si>
  <si>
    <t xml:space="preserve">Mai</t>
  </si>
  <si>
    <t xml:space="preserve">Juni</t>
  </si>
  <si>
    <t xml:space="preserve">Juli</t>
  </si>
  <si>
    <t xml:space="preserve">August</t>
  </si>
  <si>
    <t xml:space="preserve">September</t>
  </si>
  <si>
    <t xml:space="preserve">Oktober</t>
  </si>
  <si>
    <t xml:space="preserve">November</t>
  </si>
  <si>
    <t xml:space="preserve">Dezember</t>
  </si>
  <si>
    <t xml:space="preserve">JAHR</t>
  </si>
  <si>
    <t xml:space="preserve">04   VERTEILUNG IM JAHRESVERLAUF</t>
  </si>
  <si>
    <t xml:space="preserve">Alle Werte stammen aus dem Blatt „Jahresplan“ und aktualisieren sich mit jedem eingetragenen Kürzel. Blau geschriebene Felder sind Eingabefelder. Die Quote setzt die Abwesenheitstage ins Verhältnis zu den Arbeitstagen des Monats und der Teamgröße.</t>
  </si>
  <si>
    <t xml:space="preserve">ABWESENHEITSPLANER</t>
  </si>
  <si>
    <t xml:space="preserve">Nr.</t>
  </si>
  <si>
    <t xml:space="preserve">Team / Bereich</t>
  </si>
  <si>
    <t xml:space="preserve">Verplant</t>
  </si>
  <si>
    <t xml:space="preserve">Verfügbar</t>
  </si>
  <si>
    <t xml:space="preserve">JANUAR</t>
  </si>
  <si>
    <t xml:space="preserve">FEBRUAR</t>
  </si>
  <si>
    <t xml:space="preserve">MÄRZ</t>
  </si>
  <si>
    <t xml:space="preserve">APRIL</t>
  </si>
  <si>
    <t xml:space="preserve">MAI</t>
  </si>
  <si>
    <t xml:space="preserve">JUNI</t>
  </si>
  <si>
    <t xml:space="preserve">JULI</t>
  </si>
  <si>
    <t xml:space="preserve">AUGUST</t>
  </si>
  <si>
    <t xml:space="preserve">SEPTEMBER</t>
  </si>
  <si>
    <t xml:space="preserve">OKTOBER</t>
  </si>
  <si>
    <t xml:space="preserve">NOVEMBER</t>
  </si>
  <si>
    <t xml:space="preserve">DEZEMBER</t>
  </si>
  <si>
    <t xml:space="preserve">Ahrens, Nele</t>
  </si>
  <si>
    <t xml:space="preserve">Verwaltung</t>
  </si>
  <si>
    <t xml:space="preserve">Brandt, Timo</t>
  </si>
  <si>
    <t xml:space="preserve">Cordes, Freya</t>
  </si>
  <si>
    <t xml:space="preserve">Dietrich, Malte</t>
  </si>
  <si>
    <t xml:space="preserve">Vertrieb</t>
  </si>
  <si>
    <t xml:space="preserve">Engel, Sarah</t>
  </si>
  <si>
    <t xml:space="preserve">Fischer, Jonas</t>
  </si>
  <si>
    <t xml:space="preserve">Groth, Melanie</t>
  </si>
  <si>
    <t xml:space="preserve">Technik</t>
  </si>
  <si>
    <t xml:space="preserve">Haas, Robert</t>
  </si>
  <si>
    <t xml:space="preserve">Iversen, Lina</t>
  </si>
  <si>
    <t xml:space="preserve">Jansen, Pia</t>
  </si>
  <si>
    <t xml:space="preserve">Kundenservice</t>
  </si>
  <si>
    <t xml:space="preserve">Kremer, David</t>
  </si>
  <si>
    <t xml:space="preserve">Lindner, Anna</t>
  </si>
  <si>
    <t xml:space="preserve">Möller, Sven</t>
  </si>
  <si>
    <t xml:space="preserve">Finanzen</t>
  </si>
  <si>
    <t xml:space="preserve">Neumann, Katrin</t>
  </si>
  <si>
    <t xml:space="preserve">Oswald, Felix</t>
  </si>
  <si>
    <t xml:space="preserve">ABWESEND GESAMT (Personen je Tag)</t>
  </si>
  <si>
    <t xml:space="preserve">LEGENDE</t>
  </si>
  <si>
    <t xml:space="preserve">Urlaub   (Faktor 1,0)</t>
  </si>
  <si>
    <t xml:space="preserve">Halber Urlaubstag   (Faktor 0,5)</t>
  </si>
  <si>
    <t xml:space="preserve">Krankheit   (Faktor 0,0)</t>
  </si>
  <si>
    <t xml:space="preserve">Kind krank   (Faktor 0,0)</t>
  </si>
  <si>
    <t xml:space="preserve">Homeoffice   (Faktor 0,0)</t>
  </si>
  <si>
    <t xml:space="preserve">Fortbildung   (Faktor 0,0)</t>
  </si>
  <si>
    <t xml:space="preserve">Sonderurlaub   (Faktor 0,0)</t>
  </si>
  <si>
    <t xml:space="preserve">Zeitausgleich   (Faktor 0,0)</t>
  </si>
  <si>
    <t xml:space="preserve">Wochenende / Feiertag</t>
  </si>
  <si>
    <t xml:space="preserve">werden automatisch grau bzw. sandfarben hinterlegt und nie als Urlaub gezählt.</t>
  </si>
  <si>
    <t xml:space="preserve">Heutiger Tag</t>
  </si>
  <si>
    <t xml:space="preserve">ist im Kalender senkrecht hervorgehoben.</t>
  </si>
  <si>
    <t xml:space="preserve">Graue Spalten</t>
  </si>
  <si>
    <t xml:space="preserve">wie der 31. Februar existieren nicht und sind gesperrt.</t>
  </si>
  <si>
    <t xml:space="preserve">Verplant / Verfügbar</t>
  </si>
  <si>
    <t xml:space="preserve">berechnen sich automatisch aus den Kürzeln und den Faktoren im Blatt „Einstellungen“.</t>
  </si>
  <si>
    <t xml:space="preserve">Weitere Personen</t>
  </si>
  <si>
    <t xml:space="preserve">letzte Zeile kopieren und nach unten einfügen – Formeln und Auswahllisten kommen mit.</t>
  </si>
  <si>
    <t xml:space="preserve">EINSTELLUNGEN &amp; LEGENDE</t>
  </si>
  <si>
    <t xml:space="preserve">Jahr, Abwesenheitsarten, Feiertage und Teams – Grundlage für Planer und Cockpit</t>
  </si>
  <si>
    <t xml:space="preserve">Änderungen wirken sofort in allen Blättern</t>
  </si>
  <si>
    <t xml:space="preserve">01   GRUNDEINSTELLUNGEN</t>
  </si>
  <si>
    <t xml:space="preserve">Planungsjahr</t>
  </si>
  <si>
    <t xml:space="preserve">Steuert Kalender, Wochentage und Feiertage. Jahreswechsel: nur diese Zahl ändern.</t>
  </si>
  <si>
    <t xml:space="preserve">Standard-Urlaubsanspruch (Tage)</t>
  </si>
  <si>
    <t xml:space="preserve">Richtwert für neue Mitarbeitende; im Planer je Person überschreibbar.</t>
  </si>
  <si>
    <t xml:space="preserve">Max. gleichzeitige Abwesenheiten</t>
  </si>
  <si>
    <t xml:space="preserve">Ab diesem Wert markiert der Planer den Tag als Engpass.</t>
  </si>
  <si>
    <t xml:space="preserve">Stichtag der Auswertung</t>
  </si>
  <si>
    <t xml:space="preserve">Wird automatisch gesetzt und im Cockpit für „genommen“ verwendet.</t>
  </si>
  <si>
    <t xml:space="preserve">02   ABWESENHEITSARTEN  (Auswahlliste im Blatt „Jahresplan“)</t>
  </si>
  <si>
    <t xml:space="preserve">Kürzel</t>
  </si>
  <si>
    <t xml:space="preserve">Bezeichnung</t>
  </si>
  <si>
    <t xml:space="preserve">Faktor
Urlaub</t>
  </si>
  <si>
    <t xml:space="preserve">Farbe</t>
  </si>
  <si>
    <t xml:space="preserve">Hinweis</t>
  </si>
  <si>
    <t xml:space="preserve">Urlaub</t>
  </si>
  <si>
    <t xml:space="preserve">Ganzer Urlaubstag, wird vom Urlaubskonto abgezogen.</t>
  </si>
  <si>
    <t xml:space="preserve">Halber Urlaubstag</t>
  </si>
  <si>
    <t xml:space="preserve">Zählt mit dem Faktor 0,5 auf das Urlaubskonto.</t>
  </si>
  <si>
    <t xml:space="preserve">Krankheit</t>
  </si>
  <si>
    <t xml:space="preserve">Arbeitsunfähigkeit mit Nachweis, kein Urlaubsabzug.</t>
  </si>
  <si>
    <t xml:space="preserve">Kind krank</t>
  </si>
  <si>
    <t xml:space="preserve">Betreuung eines erkrankten Kindes.</t>
  </si>
  <si>
    <t xml:space="preserve">Homeoffice</t>
  </si>
  <si>
    <t xml:space="preserve">Anwesend, aber nicht am Standort – keine Abwesenheit.</t>
  </si>
  <si>
    <t xml:space="preserve">Fortbildung</t>
  </si>
  <si>
    <t xml:space="preserve">Schulung, Seminar oder Zertifizierung.</t>
  </si>
  <si>
    <t xml:space="preserve">Sonderurlaub</t>
  </si>
  <si>
    <t xml:space="preserve">Bezahlte Freistellung nach betrieblicher Regelung.</t>
  </si>
  <si>
    <t xml:space="preserve">Zeitausgleich</t>
  </si>
  <si>
    <t xml:space="preserve">Abbau von Gleitzeit- oder Überstunden.</t>
  </si>
  <si>
    <t xml:space="preserve">Faktor 1,0 = voller Urlaubstag · 0,5 = halber Tag · 0,0 = ohne Wirkung auf das Urlaubskonto. Kürzel und Faktoren dürfen angepasst werden – die Zählung im Planer folgt automatisch.</t>
  </si>
  <si>
    <t xml:space="preserve">03   FEIERTAGE  (berechnen sich automatisch aus dem Planungsjahr)</t>
  </si>
  <si>
    <t xml:space="preserve">Feiertag</t>
  </si>
  <si>
    <t xml:space="preserve">Datum</t>
  </si>
  <si>
    <t xml:space="preserve">Wochentag</t>
  </si>
  <si>
    <t xml:space="preserve">Geltung</t>
  </si>
  <si>
    <t xml:space="preserve">Neujahr</t>
  </si>
  <si>
    <t xml:space="preserve">bundesweit</t>
  </si>
  <si>
    <t xml:space="preserve">Karfreitag</t>
  </si>
  <si>
    <t xml:space="preserve">Beweglich, aus dem Osterdatum abgeleitet.</t>
  </si>
  <si>
    <t xml:space="preserve">Ostermontag</t>
  </si>
  <si>
    <t xml:space="preserve">Tag der Arbeit</t>
  </si>
  <si>
    <t xml:space="preserve">Christi Himmelfahrt</t>
  </si>
  <si>
    <t xml:space="preserve">Pfingstmontag</t>
  </si>
  <si>
    <t xml:space="preserve">Tag der Deutschen Einheit</t>
  </si>
  <si>
    <t xml:space="preserve">1. Weihnachtsfeiertag</t>
  </si>
  <si>
    <t xml:space="preserve">2. Weihnachtsfeiertag</t>
  </si>
  <si>
    <t xml:space="preserve">Heilige Drei Könige</t>
  </si>
  <si>
    <t xml:space="preserve">regional</t>
  </si>
  <si>
    <t xml:space="preserve">Nur in einzelnen Bundesländern – bei Bedarf löschen.</t>
  </si>
  <si>
    <t xml:space="preserve">Fronleichnam</t>
  </si>
  <si>
    <t xml:space="preserve">Reformationstag</t>
  </si>
  <si>
    <t xml:space="preserve">Allerheiligen</t>
  </si>
  <si>
    <t xml:space="preserve">Betriebsruhe 1</t>
  </si>
  <si>
    <t xml:space="preserve">betrieblich</t>
  </si>
  <si>
    <t xml:space="preserve">Freie Zeile für Brückentage oder Werksferien.</t>
  </si>
  <si>
    <t xml:space="preserve">Betriebsruhe 2</t>
  </si>
  <si>
    <t xml:space="preserve">Der Planer färbt jeden Tag aus dieser Liste als Feiertag und rechnet ihn nicht als Urlaub. Regionale Zeilen bitte auf das eigene Bundesland anpassen.</t>
  </si>
  <si>
    <t xml:space="preserve">04   TEAMS / BEREICHE  (Auswahlliste Spalte C im Blatt „Jahresplan“)</t>
  </si>
  <si>
    <t xml:space="preserve">Projekte</t>
  </si>
  <si>
    <t xml:space="preserve">Die Teams steuern die Auswertung im Cockpit. Eine Zeile je Team, Schreibweise genau wie im Planer verwenden.
Beim Ergänzen weiterer Teams den Gültigkeitsbereich unter Daten ▸ Datenüberprüfung erweitern.</t>
  </si>
  <si>
    <t xml:space="preserve">05   IN SECHS SCHRITTEN ZUM FERTIGEN PLAN</t>
  </si>
  <si>
    <t xml:space="preserve">Schritt 1</t>
  </si>
  <si>
    <t xml:space="preserve">Jahr prüfen</t>
  </si>
  <si>
    <t xml:space="preserve">Planungsjahr oben eintragen. Kalender, Wochentage und Feiertage stellen sich automatisch um.</t>
  </si>
  <si>
    <t xml:space="preserve">Schritt 2</t>
  </si>
  <si>
    <t xml:space="preserve">Team erfassen</t>
  </si>
  <si>
    <t xml:space="preserve">Im Blatt „Jahresplan“ Name, Team, Urlaubsanspruch und Resturlaub des Vorjahres eintragen.</t>
  </si>
  <si>
    <t xml:space="preserve">Schritt 3</t>
  </si>
  <si>
    <t xml:space="preserve">Abwesenheiten eintragen</t>
  </si>
  <si>
    <t xml:space="preserve">Zelle im Kalender auswählen und Kürzel aus der Liste wählen. Mehrere Tage: Bereich markieren, Kürzel tippen, mit Strg + Eingabe übernehmen.</t>
  </si>
  <si>
    <t xml:space="preserve">Schritt 4</t>
  </si>
  <si>
    <t xml:space="preserve">Engpässe erkennen</t>
  </si>
  <si>
    <t xml:space="preserve">Die Zeile „Abwesend gesamt“ unter dem Kalender färbt sich, sobald zu viele Personen gleichzeitig fehlen.</t>
  </si>
  <si>
    <t xml:space="preserve">Schritt 5</t>
  </si>
  <si>
    <t xml:space="preserve">Konten kontrollieren</t>
  </si>
  <si>
    <t xml:space="preserve">Verplante und verfügbare Urlaubstage stehen links neben jedem Namen und rechnen sich laufend mit.</t>
  </si>
  <si>
    <t xml:space="preserve">Schritt 6</t>
  </si>
  <si>
    <t xml:space="preserve">Auswerten</t>
  </si>
  <si>
    <t xml:space="preserve">Das Blatt „Cockpit“ zeigt Urlaubskonten, Monatsverteilung und Abwesenheitsquote ohne weitere Eingaben.</t>
  </si>
  <si>
    <t xml:space="preserve">Die eingetragenen Personen und Abwesenheiten sind frei erfunden und dienen nur der Veranschaulichung. Vor dem Produktiveinsatz überschreiben – Formeln, Farben und Auswahllisten bleiben erhalten.</t>
  </si>
</sst>
</file>

<file path=xl/styles.xml><?xml version="1.0" encoding="utf-8"?>
<styleSheet xmlns="http://schemas.openxmlformats.org/spreadsheetml/2006/main">
  <numFmts count="9">
    <numFmt numFmtId="164" formatCode="General"/>
    <numFmt numFmtId="165" formatCode="0"/>
    <numFmt numFmtId="166" formatCode="dd\.mm\.yyyy"/>
    <numFmt numFmtId="167" formatCode="0.0&quot; Tage&quot;"/>
    <numFmt numFmtId="168" formatCode="0\ %"/>
    <numFmt numFmtId="169" formatCode="0&quot; Tage&quot;"/>
    <numFmt numFmtId="170" formatCode="0&quot; Personen&quot;"/>
    <numFmt numFmtId="171" formatCode="0.0"/>
    <numFmt numFmtId="172" formatCode="General"/>
  </numFmts>
  <fonts count="52">
    <font>
      <sz val="11"/>
      <color theme="1"/>
      <name val="Calibri"/>
      <family val="2"/>
      <charset val="1"/>
    </font>
    <font>
      <sz val="10"/>
      <name val="Arial"/>
      <family val="0"/>
    </font>
    <font>
      <sz val="10"/>
      <name val="Arial"/>
      <family val="0"/>
    </font>
    <font>
      <sz val="10"/>
      <name val="Arial"/>
      <family val="0"/>
    </font>
    <font>
      <sz val="10"/>
      <color rgb="FF1B2231"/>
      <name val="Calibri"/>
      <family val="0"/>
      <charset val="1"/>
    </font>
    <font>
      <b val="true"/>
      <sz val="17"/>
      <color rgb="FFFFFFFF"/>
      <name val="Calibri"/>
      <family val="0"/>
      <charset val="1"/>
    </font>
    <font>
      <b val="true"/>
      <sz val="10"/>
      <color rgb="FFD9F0E8"/>
      <name val="Calibri"/>
      <family val="0"/>
      <charset val="1"/>
    </font>
    <font>
      <sz val="10"/>
      <color rgb="FFC3CBDA"/>
      <name val="Calibri"/>
      <family val="0"/>
      <charset val="1"/>
    </font>
    <font>
      <sz val="9.5"/>
      <color rgb="FFC3CBDA"/>
      <name val="Calibri"/>
      <family val="0"/>
      <charset val="1"/>
    </font>
    <font>
      <b val="true"/>
      <sz val="8"/>
      <color rgb="FF6C7686"/>
      <name val="Calibri"/>
      <family val="0"/>
      <charset val="1"/>
    </font>
    <font>
      <b val="true"/>
      <sz val="11"/>
      <color rgb="FF0000FF"/>
      <name val="Calibri"/>
      <family val="0"/>
      <charset val="1"/>
    </font>
    <font>
      <b val="true"/>
      <sz val="11"/>
      <color rgb="FF1D2438"/>
      <name val="Calibri"/>
      <family val="0"/>
      <charset val="1"/>
    </font>
    <font>
      <b val="true"/>
      <sz val="10.5"/>
      <color rgb="FF1D2438"/>
      <name val="Calibri"/>
      <family val="0"/>
      <charset val="1"/>
    </font>
    <font>
      <b val="true"/>
      <sz val="19"/>
      <color rgb="FF1D2438"/>
      <name val="Calibri"/>
      <family val="0"/>
      <charset val="1"/>
    </font>
    <font>
      <sz val="8.5"/>
      <color rgb="FF6C7686"/>
      <name val="Calibri"/>
      <family val="0"/>
      <charset val="1"/>
    </font>
    <font>
      <b val="true"/>
      <sz val="9"/>
      <color rgb="FFFFFFFF"/>
      <name val="Calibri"/>
      <family val="0"/>
      <charset val="1"/>
    </font>
    <font>
      <b val="true"/>
      <sz val="9.5"/>
      <color rgb="FF1D2438"/>
      <name val="Calibri"/>
      <family val="0"/>
      <charset val="1"/>
    </font>
    <font>
      <sz val="9.5"/>
      <color rgb="FF1B2231"/>
      <name val="Calibri"/>
      <family val="0"/>
      <charset val="1"/>
    </font>
    <font>
      <b val="true"/>
      <sz val="9.5"/>
      <color rgb="FFFFFFFF"/>
      <name val="Calibri"/>
      <family val="0"/>
      <charset val="1"/>
    </font>
    <font>
      <b val="true"/>
      <sz val="9.5"/>
      <color rgb="FF1B2231"/>
      <name val="Calibri"/>
      <family val="0"/>
      <charset val="1"/>
    </font>
    <font>
      <i val="true"/>
      <sz val="9"/>
      <color rgb="FF6C7686"/>
      <name val="Calibri"/>
      <family val="0"/>
      <charset val="1"/>
    </font>
    <font>
      <b val="true"/>
      <sz val="18"/>
      <color rgb="FF000000"/>
      <name val="Calibri"/>
      <family val="2"/>
    </font>
    <font>
      <sz val="10"/>
      <color rgb="FF000000"/>
      <name val="Calibri"/>
      <family val="2"/>
    </font>
    <font>
      <sz val="8"/>
      <color rgb="FF6C7686"/>
      <name val="Calibri"/>
      <family val="0"/>
      <charset val="1"/>
    </font>
    <font>
      <sz val="7.5"/>
      <color rgb="FF6C7686"/>
      <name val="Calibri"/>
      <family val="0"/>
      <charset val="1"/>
    </font>
    <font>
      <b val="true"/>
      <sz val="9"/>
      <color rgb="FF1D2438"/>
      <name val="Calibri"/>
      <family val="0"/>
      <charset val="1"/>
    </font>
    <font>
      <b val="true"/>
      <sz val="9"/>
      <color rgb="FF6C7686"/>
      <name val="Calibri"/>
      <family val="0"/>
      <charset val="1"/>
    </font>
    <font>
      <b val="true"/>
      <sz val="10"/>
      <color rgb="FF1D2438"/>
      <name val="Calibri"/>
      <family val="0"/>
      <charset val="1"/>
    </font>
    <font>
      <b val="true"/>
      <sz val="9"/>
      <color rgb="FF1B2231"/>
      <name val="Calibri"/>
      <family val="0"/>
      <charset val="1"/>
    </font>
    <font>
      <b val="true"/>
      <sz val="9"/>
      <color rgb="FF16624B"/>
      <name val="Calibri"/>
      <family val="0"/>
      <charset val="1"/>
    </font>
    <font>
      <b val="true"/>
      <sz val="9"/>
      <color rgb="FF2A4E86"/>
      <name val="Calibri"/>
      <family val="0"/>
      <charset val="1"/>
    </font>
    <font>
      <b val="true"/>
      <sz val="9"/>
      <color rgb="FF94362B"/>
      <name val="Calibri"/>
      <family val="0"/>
      <charset val="1"/>
    </font>
    <font>
      <b val="true"/>
      <sz val="9"/>
      <color rgb="FF4B3B8C"/>
      <name val="Calibri"/>
      <family val="0"/>
      <charset val="1"/>
    </font>
    <font>
      <b val="true"/>
      <sz val="9"/>
      <color rgb="FF495467"/>
      <name val="Calibri"/>
      <family val="0"/>
      <charset val="1"/>
    </font>
    <font>
      <b val="true"/>
      <sz val="9"/>
      <color rgb="FF876711"/>
      <name val="Calibri"/>
      <family val="0"/>
      <charset val="1"/>
    </font>
    <font>
      <b val="true"/>
      <sz val="9"/>
      <color rgb="FF97591A"/>
      <name val="Calibri"/>
      <family val="0"/>
      <charset val="1"/>
    </font>
    <font>
      <b val="true"/>
      <sz val="10"/>
      <color rgb="FFFFFFFF"/>
      <name val="Calibri"/>
      <family val="0"/>
      <charset val="1"/>
    </font>
    <font>
      <b val="true"/>
      <sz val="8.5"/>
      <color rgb="FF1D2438"/>
      <name val="Calibri"/>
      <family val="0"/>
      <charset val="1"/>
    </font>
    <font>
      <sz val="9"/>
      <color rgb="FF1B2231"/>
      <name val="Calibri"/>
      <family val="0"/>
      <charset val="1"/>
    </font>
    <font>
      <b val="true"/>
      <sz val="9"/>
      <color rgb="FF48546F"/>
      <name val="Calibri"/>
      <family val="0"/>
      <charset val="1"/>
    </font>
    <font>
      <sz val="9"/>
      <color rgb="FF6C7686"/>
      <name val="Calibri"/>
      <family val="0"/>
      <charset val="1"/>
    </font>
    <font>
      <b val="true"/>
      <sz val="10"/>
      <color rgb="FF16624B"/>
      <name val="Calibri"/>
      <family val="0"/>
      <charset val="1"/>
    </font>
    <font>
      <sz val="10"/>
      <color rgb="FF1D2438"/>
      <name val="Calibri"/>
      <family val="0"/>
      <charset val="1"/>
    </font>
    <font>
      <b val="true"/>
      <sz val="10"/>
      <color rgb="FF0000FF"/>
      <name val="Calibri"/>
      <family val="0"/>
      <charset val="1"/>
    </font>
    <font>
      <b val="true"/>
      <sz val="10"/>
      <color rgb="FF94362B"/>
      <name val="Calibri"/>
      <family val="0"/>
      <charset val="1"/>
    </font>
    <font>
      <b val="true"/>
      <sz val="10"/>
      <color rgb="FF97591A"/>
      <name val="Calibri"/>
      <family val="0"/>
      <charset val="1"/>
    </font>
    <font>
      <b val="true"/>
      <sz val="10"/>
      <color rgb="FF2A4E86"/>
      <name val="Calibri"/>
      <family val="0"/>
      <charset val="1"/>
    </font>
    <font>
      <b val="true"/>
      <sz val="10"/>
      <color rgb="FF4B3B8C"/>
      <name val="Calibri"/>
      <family val="0"/>
      <charset val="1"/>
    </font>
    <font>
      <b val="true"/>
      <sz val="10"/>
      <color rgb="FF876711"/>
      <name val="Calibri"/>
      <family val="0"/>
      <charset val="1"/>
    </font>
    <font>
      <b val="true"/>
      <sz val="10"/>
      <color rgb="FF495467"/>
      <name val="Calibri"/>
      <family val="0"/>
      <charset val="1"/>
    </font>
    <font>
      <sz val="9.5"/>
      <color rgb="FF6C7686"/>
      <name val="Calibri"/>
      <family val="0"/>
      <charset val="1"/>
    </font>
    <font>
      <sz val="10"/>
      <color rgb="FF0000FF"/>
      <name val="Calibri"/>
      <family val="0"/>
      <charset val="1"/>
    </font>
  </fonts>
  <fills count="17">
    <fill>
      <patternFill patternType="none"/>
    </fill>
    <fill>
      <patternFill patternType="gray125"/>
    </fill>
    <fill>
      <patternFill patternType="solid">
        <fgColor rgb="FFFFFFFF"/>
        <bgColor rgb="FFF4F6F8"/>
      </patternFill>
    </fill>
    <fill>
      <patternFill patternType="solid">
        <fgColor rgb="FF2FA98C"/>
        <bgColor rgb="FF6C7686"/>
      </patternFill>
    </fill>
    <fill>
      <patternFill patternType="solid">
        <fgColor rgb="FF1D2438"/>
        <bgColor rgb="FF1B2231"/>
      </patternFill>
    </fill>
    <fill>
      <patternFill patternType="solid">
        <fgColor rgb="FF2C3552"/>
        <bgColor rgb="FF1D2438"/>
      </patternFill>
    </fill>
    <fill>
      <patternFill patternType="solid">
        <fgColor rgb="FFF4F6F8"/>
        <bgColor rgb="FFEDEFF3"/>
      </patternFill>
    </fill>
    <fill>
      <patternFill patternType="solid">
        <fgColor rgb="FF48546F"/>
        <bgColor rgb="FF495467"/>
      </patternFill>
    </fill>
    <fill>
      <patternFill patternType="solid">
        <fgColor rgb="FFE9EDF2"/>
        <bgColor rgb="FFEDEFF3"/>
      </patternFill>
    </fill>
    <fill>
      <patternFill patternType="solid">
        <fgColor rgb="FFC9E6DA"/>
        <bgColor rgb="FFD2D8E0"/>
      </patternFill>
    </fill>
    <fill>
      <patternFill patternType="solid">
        <fgColor rgb="FFE6F3EC"/>
        <bgColor rgb="FFE9EDF2"/>
      </patternFill>
    </fill>
    <fill>
      <patternFill patternType="solid">
        <fgColor rgb="FFF6D6D2"/>
        <bgColor rgb="FFFAE3D2"/>
      </patternFill>
    </fill>
    <fill>
      <patternFill patternType="solid">
        <fgColor rgb="FFFAE3D2"/>
        <bgColor rgb="FFFAE7C8"/>
      </patternFill>
    </fill>
    <fill>
      <patternFill patternType="solid">
        <fgColor rgb="FFD9E3F5"/>
        <bgColor rgb="FFE1E5EB"/>
      </patternFill>
    </fill>
    <fill>
      <patternFill patternType="solid">
        <fgColor rgb="FFE2DDF2"/>
        <bgColor rgb="FFE1E5EB"/>
      </patternFill>
    </fill>
    <fill>
      <patternFill patternType="solid">
        <fgColor rgb="FFFAEFC8"/>
        <bgColor rgb="FFFAE7C8"/>
      </patternFill>
    </fill>
    <fill>
      <patternFill patternType="solid">
        <fgColor rgb="FFE1E5EB"/>
        <bgColor rgb="FFD9E3F5"/>
      </patternFill>
    </fill>
  </fills>
  <borders count="18">
    <border diagonalUp="false" diagonalDown="false">
      <left/>
      <right/>
      <top/>
      <bottom/>
      <diagonal/>
    </border>
    <border diagonalUp="false" diagonalDown="false">
      <left/>
      <right/>
      <top/>
      <bottom style="medium">
        <color rgb="FF2FA98C"/>
      </bottom>
      <diagonal/>
    </border>
    <border diagonalUp="false" diagonalDown="false">
      <left style="thick">
        <color rgb="FF2FA98C"/>
      </left>
      <right/>
      <top/>
      <bottom/>
      <diagonal/>
    </border>
    <border diagonalUp="false" diagonalDown="false">
      <left/>
      <right/>
      <top style="medium">
        <color rgb="FF1D2438"/>
      </top>
      <bottom/>
      <diagonal/>
    </border>
    <border diagonalUp="false" diagonalDown="false">
      <left/>
      <right/>
      <top/>
      <bottom style="thin">
        <color rgb="FFD2D8E0"/>
      </bottom>
      <diagonal/>
    </border>
    <border diagonalUp="false" diagonalDown="false">
      <left/>
      <right style="thin">
        <color rgb="FF48546F"/>
      </right>
      <top/>
      <bottom style="medium">
        <color rgb="FF2FA98C"/>
      </bottom>
      <diagonal/>
    </border>
    <border diagonalUp="false" diagonalDown="false">
      <left style="medium">
        <color rgb="FFFFFFFF"/>
      </left>
      <right/>
      <top/>
      <bottom style="medium">
        <color rgb="FF2FA98C"/>
      </bottom>
      <diagonal/>
    </border>
    <border diagonalUp="false" diagonalDown="false">
      <left style="medium">
        <color rgb="FFFFFFFF"/>
      </left>
      <right/>
      <top/>
      <bottom style="hair">
        <color rgb="FFD2D8E0"/>
      </bottom>
      <diagonal/>
    </border>
    <border diagonalUp="false" diagonalDown="false">
      <left style="thin">
        <color rgb="FFD2D8E0"/>
      </left>
      <right/>
      <top/>
      <bottom style="hair">
        <color rgb="FFD2D8E0"/>
      </bottom>
      <diagonal/>
    </border>
    <border diagonalUp="false" diagonalDown="false">
      <left style="medium">
        <color rgb="FFFFFFFF"/>
      </left>
      <right/>
      <top/>
      <bottom/>
      <diagonal/>
    </border>
    <border diagonalUp="false" diagonalDown="false">
      <left style="thin">
        <color rgb="FFD2D8E0"/>
      </left>
      <right/>
      <top/>
      <bottom/>
      <diagonal/>
    </border>
    <border diagonalUp="false" diagonalDown="false">
      <left style="thin">
        <color rgb="FFD2D8E0"/>
      </left>
      <right/>
      <top/>
      <bottom style="medium">
        <color rgb="FF2FA98C"/>
      </bottom>
      <diagonal/>
    </border>
    <border diagonalUp="false" diagonalDown="false">
      <left/>
      <right style="thin">
        <color rgb="FFD2D8E0"/>
      </right>
      <top/>
      <bottom style="thin">
        <color rgb="FFD2D8E0"/>
      </bottom>
      <diagonal/>
    </border>
    <border diagonalUp="false" diagonalDown="false">
      <left/>
      <right style="medium">
        <color rgb="FF48546F"/>
      </right>
      <top/>
      <bottom style="thin">
        <color rgb="FFD2D8E0"/>
      </bottom>
      <diagonal/>
    </border>
    <border diagonalUp="false" diagonalDown="false">
      <left style="medium">
        <color rgb="FFA9B2C0"/>
      </left>
      <right/>
      <top/>
      <bottom style="hair">
        <color rgb="FFD2D8E0"/>
      </bottom>
      <diagonal/>
    </border>
    <border diagonalUp="false" diagonalDown="false">
      <left style="hair">
        <color rgb="FFD2D8E0"/>
      </left>
      <right/>
      <top/>
      <bottom style="hair">
        <color rgb="FFD2D8E0"/>
      </bottom>
      <diagonal/>
    </border>
    <border diagonalUp="false" diagonalDown="false">
      <left style="hair">
        <color rgb="FFD2D8E0"/>
      </left>
      <right/>
      <top style="thin">
        <color rgb="FF48546F"/>
      </top>
      <bottom/>
      <diagonal/>
    </border>
    <border diagonalUp="false" diagonalDown="false">
      <left style="thin">
        <color rgb="FFD2D8E0"/>
      </left>
      <right style="thin">
        <color rgb="FFD2D8E0"/>
      </right>
      <top style="thin">
        <color rgb="FFD2D8E0"/>
      </top>
      <bottom style="thin">
        <color rgb="FFD2D8E0"/>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22">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2" borderId="0" xfId="0" applyFont="false" applyBorder="false" applyAlignment="false" applyProtection="false">
      <alignment horizontal="general" vertical="bottom" textRotation="0" wrapText="false" indent="0" shrinkToFit="false"/>
      <protection locked="true" hidden="false"/>
    </xf>
    <xf numFmtId="164" fontId="4" fillId="3" borderId="0" xfId="0" applyFont="true" applyBorder="false" applyAlignment="true" applyProtection="false">
      <alignment horizontal="general" vertical="center" textRotation="0" wrapText="false" indent="0" shrinkToFit="false"/>
      <protection locked="true" hidden="false"/>
    </xf>
    <xf numFmtId="164" fontId="5" fillId="4" borderId="0" xfId="0" applyFont="true" applyBorder="false" applyAlignment="true" applyProtection="false">
      <alignment horizontal="general" vertical="center" textRotation="0" wrapText="false" indent="1" shrinkToFit="false"/>
      <protection locked="true" hidden="false"/>
    </xf>
    <xf numFmtId="164" fontId="0" fillId="4" borderId="0" xfId="0" applyFont="false" applyBorder="false" applyAlignment="false" applyProtection="false">
      <alignment horizontal="general" vertical="bottom" textRotation="0" wrapText="false" indent="0" shrinkToFit="false"/>
      <protection locked="true" hidden="false"/>
    </xf>
    <xf numFmtId="164" fontId="6" fillId="4" borderId="0" xfId="0" applyFont="true" applyBorder="true" applyAlignment="true" applyProtection="false">
      <alignment horizontal="right" vertical="center" textRotation="0" wrapText="false" indent="0" shrinkToFit="false"/>
      <protection locked="true" hidden="false"/>
    </xf>
    <xf numFmtId="164" fontId="7" fillId="5" borderId="0" xfId="0" applyFont="true" applyBorder="false" applyAlignment="true" applyProtection="false">
      <alignment horizontal="general" vertical="center" textRotation="0" wrapText="false" indent="1" shrinkToFit="false"/>
      <protection locked="true" hidden="false"/>
    </xf>
    <xf numFmtId="164" fontId="0" fillId="5" borderId="0" xfId="0" applyFont="false" applyBorder="false" applyAlignment="false" applyProtection="false">
      <alignment horizontal="general" vertical="bottom" textRotation="0" wrapText="false" indent="0" shrinkToFit="false"/>
      <protection locked="true" hidden="false"/>
    </xf>
    <xf numFmtId="164" fontId="8" fillId="5" borderId="0" xfId="0" applyFont="true" applyBorder="true" applyAlignment="true" applyProtection="false">
      <alignment horizontal="right" vertical="center" textRotation="0" wrapText="false" indent="0" shrinkToFit="false"/>
      <protection locked="true" hidden="false"/>
    </xf>
    <xf numFmtId="164" fontId="0" fillId="3" borderId="0" xfId="0" applyFont="false" applyBorder="false" applyAlignment="false" applyProtection="false">
      <alignment horizontal="general" vertical="bottom" textRotation="0" wrapText="false" indent="0" shrinkToFit="false"/>
      <protection locked="true" hidden="false"/>
    </xf>
    <xf numFmtId="164" fontId="9" fillId="0" borderId="0" xfId="0" applyFont="true" applyBorder="true" applyAlignment="true" applyProtection="false">
      <alignment horizontal="general" vertical="center" textRotation="0" wrapText="false" indent="1" shrinkToFit="false"/>
      <protection locked="true" hidden="false"/>
    </xf>
    <xf numFmtId="164" fontId="10" fillId="6" borderId="1" xfId="0" applyFont="true" applyBorder="true" applyAlignment="true" applyProtection="false">
      <alignment horizontal="left" vertical="center" textRotation="0" wrapText="false" indent="1" shrinkToFit="false"/>
      <protection locked="true" hidden="false"/>
    </xf>
    <xf numFmtId="165" fontId="11" fillId="6" borderId="1" xfId="0" applyFont="true" applyBorder="true" applyAlignment="true" applyProtection="false">
      <alignment horizontal="left" vertical="center" textRotation="0" wrapText="false" indent="1" shrinkToFit="false"/>
      <protection locked="true" hidden="false"/>
    </xf>
    <xf numFmtId="166" fontId="11" fillId="6" borderId="1" xfId="0" applyFont="true" applyBorder="true" applyAlignment="true" applyProtection="false">
      <alignment horizontal="left" vertical="center" textRotation="0" wrapText="false" indent="1" shrinkToFit="false"/>
      <protection locked="true" hidden="false"/>
    </xf>
    <xf numFmtId="164" fontId="12" fillId="0" borderId="2" xfId="0" applyFont="true" applyBorder="true" applyAlignment="true" applyProtection="false">
      <alignment horizontal="general" vertical="center" textRotation="0" wrapText="false" indent="1" shrinkToFit="false"/>
      <protection locked="true" hidden="false"/>
    </xf>
    <xf numFmtId="164" fontId="0" fillId="0" borderId="0" xfId="0" applyFont="false" applyBorder="true" applyAlignment="false" applyProtection="false">
      <alignment horizontal="general" vertical="bottom" textRotation="0" wrapText="false" indent="0" shrinkToFit="false"/>
      <protection locked="true" hidden="false"/>
    </xf>
    <xf numFmtId="164" fontId="9" fillId="2" borderId="3" xfId="0" applyFont="true" applyBorder="true" applyAlignment="true" applyProtection="false">
      <alignment horizontal="left" vertical="center" textRotation="0" wrapText="false" indent="1" shrinkToFit="false"/>
      <protection locked="true" hidden="false"/>
    </xf>
    <xf numFmtId="165" fontId="13" fillId="2" borderId="0" xfId="0" applyFont="true" applyBorder="true" applyAlignment="true" applyProtection="false">
      <alignment horizontal="left" vertical="center" textRotation="0" wrapText="false" indent="1" shrinkToFit="false"/>
      <protection locked="true" hidden="false"/>
    </xf>
    <xf numFmtId="167" fontId="13" fillId="2" borderId="0" xfId="0" applyFont="true" applyBorder="true" applyAlignment="true" applyProtection="false">
      <alignment horizontal="left" vertical="center" textRotation="0" wrapText="false" indent="1" shrinkToFit="false"/>
      <protection locked="true" hidden="false"/>
    </xf>
    <xf numFmtId="164" fontId="14" fillId="2" borderId="4" xfId="0" applyFont="true" applyBorder="true" applyAlignment="true" applyProtection="false">
      <alignment horizontal="left" vertical="center" textRotation="0" wrapText="false" indent="1" shrinkToFit="false"/>
      <protection locked="true" hidden="false"/>
    </xf>
    <xf numFmtId="168" fontId="13" fillId="2" borderId="0" xfId="0" applyFont="true" applyBorder="true" applyAlignment="true" applyProtection="false">
      <alignment horizontal="left" vertical="center" textRotation="0" wrapText="false" indent="1" shrinkToFit="false"/>
      <protection locked="true" hidden="false"/>
    </xf>
    <xf numFmtId="169" fontId="13" fillId="2" borderId="0" xfId="0" applyFont="true" applyBorder="true" applyAlignment="true" applyProtection="false">
      <alignment horizontal="left" vertical="center" textRotation="0" wrapText="false" indent="1" shrinkToFit="false"/>
      <protection locked="true" hidden="false"/>
    </xf>
    <xf numFmtId="170" fontId="13" fillId="2" borderId="0" xfId="0" applyFont="true" applyBorder="true" applyAlignment="true" applyProtection="false">
      <alignment horizontal="left" vertical="center" textRotation="0" wrapText="false" indent="1" shrinkToFit="false"/>
      <protection locked="true" hidden="false"/>
    </xf>
    <xf numFmtId="164" fontId="15" fillId="4" borderId="1" xfId="0" applyFont="true" applyBorder="true" applyAlignment="true" applyProtection="false">
      <alignment horizontal="left" vertical="center" textRotation="0" wrapText="true" indent="1" shrinkToFit="false"/>
      <protection locked="true" hidden="false"/>
    </xf>
    <xf numFmtId="164" fontId="15" fillId="4" borderId="1" xfId="0" applyFont="true" applyBorder="true" applyAlignment="true" applyProtection="false">
      <alignment horizontal="center" vertical="center" textRotation="0" wrapText="true" indent="0" shrinkToFit="false"/>
      <protection locked="true" hidden="false"/>
    </xf>
    <xf numFmtId="164" fontId="16" fillId="2" borderId="4" xfId="0" applyFont="true" applyBorder="true" applyAlignment="true" applyProtection="false">
      <alignment horizontal="left" vertical="center" textRotation="0" wrapText="false" indent="1" shrinkToFit="false"/>
      <protection locked="true" hidden="false"/>
    </xf>
    <xf numFmtId="164" fontId="17" fillId="2" borderId="4" xfId="0" applyFont="true" applyBorder="true" applyAlignment="true" applyProtection="false">
      <alignment horizontal="left" vertical="center" textRotation="0" wrapText="false" indent="1" shrinkToFit="false"/>
      <protection locked="true" hidden="false"/>
    </xf>
    <xf numFmtId="171" fontId="17" fillId="2" borderId="4" xfId="0" applyFont="true" applyBorder="true" applyAlignment="true" applyProtection="false">
      <alignment horizontal="center" vertical="center" textRotation="0" wrapText="false" indent="0" shrinkToFit="false"/>
      <protection locked="true" hidden="false"/>
    </xf>
    <xf numFmtId="171" fontId="16" fillId="2" borderId="4" xfId="0" applyFont="true" applyBorder="true" applyAlignment="true" applyProtection="false">
      <alignment horizontal="center" vertical="center" textRotation="0" wrapText="false" indent="0" shrinkToFit="false"/>
      <protection locked="true" hidden="false"/>
    </xf>
    <xf numFmtId="168" fontId="17" fillId="2" borderId="4" xfId="0" applyFont="true" applyBorder="true" applyAlignment="true" applyProtection="false">
      <alignment horizontal="center" vertical="center" textRotation="0" wrapText="false" indent="0" shrinkToFit="false"/>
      <protection locked="true" hidden="false"/>
    </xf>
    <xf numFmtId="165" fontId="17" fillId="2" borderId="4" xfId="0" applyFont="true" applyBorder="true" applyAlignment="true" applyProtection="false">
      <alignment horizontal="center" vertical="center" textRotation="0" wrapText="false" indent="0" shrinkToFit="false"/>
      <protection locked="true" hidden="false"/>
    </xf>
    <xf numFmtId="164" fontId="16" fillId="6" borderId="4" xfId="0" applyFont="true" applyBorder="true" applyAlignment="true" applyProtection="false">
      <alignment horizontal="left" vertical="center" textRotation="0" wrapText="false" indent="1" shrinkToFit="false"/>
      <protection locked="true" hidden="false"/>
    </xf>
    <xf numFmtId="164" fontId="17" fillId="6" borderId="4" xfId="0" applyFont="true" applyBorder="true" applyAlignment="true" applyProtection="false">
      <alignment horizontal="left" vertical="center" textRotation="0" wrapText="false" indent="1" shrinkToFit="false"/>
      <protection locked="true" hidden="false"/>
    </xf>
    <xf numFmtId="171" fontId="17" fillId="6" borderId="4" xfId="0" applyFont="true" applyBorder="true" applyAlignment="true" applyProtection="false">
      <alignment horizontal="center" vertical="center" textRotation="0" wrapText="false" indent="0" shrinkToFit="false"/>
      <protection locked="true" hidden="false"/>
    </xf>
    <xf numFmtId="171" fontId="16" fillId="6" borderId="4" xfId="0" applyFont="true" applyBorder="true" applyAlignment="true" applyProtection="false">
      <alignment horizontal="center" vertical="center" textRotation="0" wrapText="false" indent="0" shrinkToFit="false"/>
      <protection locked="true" hidden="false"/>
    </xf>
    <xf numFmtId="168" fontId="17" fillId="6" borderId="4" xfId="0" applyFont="true" applyBorder="true" applyAlignment="true" applyProtection="false">
      <alignment horizontal="center" vertical="center" textRotation="0" wrapText="false" indent="0" shrinkToFit="false"/>
      <protection locked="true" hidden="false"/>
    </xf>
    <xf numFmtId="165" fontId="17" fillId="6" borderId="4" xfId="0" applyFont="true" applyBorder="true" applyAlignment="true" applyProtection="false">
      <alignment horizontal="center" vertical="center" textRotation="0" wrapText="false" indent="0" shrinkToFit="false"/>
      <protection locked="true" hidden="false"/>
    </xf>
    <xf numFmtId="164" fontId="18" fillId="4" borderId="0" xfId="0" applyFont="true" applyBorder="true" applyAlignment="true" applyProtection="false">
      <alignment horizontal="left" vertical="center" textRotation="0" wrapText="false" indent="1" shrinkToFit="false"/>
      <protection locked="true" hidden="false"/>
    </xf>
    <xf numFmtId="171" fontId="18" fillId="4" borderId="0" xfId="0" applyFont="true" applyBorder="false" applyAlignment="true" applyProtection="false">
      <alignment horizontal="center" vertical="center" textRotation="0" wrapText="false" indent="0" shrinkToFit="false"/>
      <protection locked="true" hidden="false"/>
    </xf>
    <xf numFmtId="168" fontId="18" fillId="4" borderId="0" xfId="0" applyFont="true" applyBorder="false" applyAlignment="true" applyProtection="false">
      <alignment horizontal="center" vertical="center" textRotation="0" wrapText="false" indent="0" shrinkToFit="false"/>
      <protection locked="true" hidden="false"/>
    </xf>
    <xf numFmtId="165" fontId="18" fillId="4" borderId="0" xfId="0" applyFont="true" applyBorder="false" applyAlignment="true" applyProtection="false">
      <alignment horizontal="center" vertical="center" textRotation="0" wrapText="false" indent="0" shrinkToFit="false"/>
      <protection locked="true" hidden="false"/>
    </xf>
    <xf numFmtId="171" fontId="19" fillId="2" borderId="4" xfId="0" applyFont="true" applyBorder="true" applyAlignment="true" applyProtection="false">
      <alignment horizontal="center" vertical="center" textRotation="0" wrapText="false" indent="0" shrinkToFit="false"/>
      <protection locked="true" hidden="false"/>
    </xf>
    <xf numFmtId="168" fontId="19" fillId="2" borderId="4" xfId="0" applyFont="true" applyBorder="true" applyAlignment="true" applyProtection="false">
      <alignment horizontal="center" vertical="center" textRotation="0" wrapText="false" indent="0" shrinkToFit="false"/>
      <protection locked="true" hidden="false"/>
    </xf>
    <xf numFmtId="171" fontId="19" fillId="6" borderId="4" xfId="0" applyFont="true" applyBorder="true" applyAlignment="true" applyProtection="false">
      <alignment horizontal="center" vertical="center" textRotation="0" wrapText="false" indent="0" shrinkToFit="false"/>
      <protection locked="true" hidden="false"/>
    </xf>
    <xf numFmtId="168" fontId="19" fillId="6" borderId="4" xfId="0" applyFont="true" applyBorder="true" applyAlignment="true" applyProtection="false">
      <alignment horizontal="center" vertical="center" textRotation="0" wrapText="false" indent="0" shrinkToFit="false"/>
      <protection locked="true" hidden="false"/>
    </xf>
    <xf numFmtId="164" fontId="20" fillId="0" borderId="0" xfId="0" applyFont="true" applyBorder="true" applyAlignment="true" applyProtection="false">
      <alignment horizontal="general" vertical="center" textRotation="0" wrapText="true" indent="0" shrinkToFit="false"/>
      <protection locked="true" hidden="false"/>
    </xf>
    <xf numFmtId="166" fontId="23" fillId="0" borderId="0" xfId="0" applyFont="true" applyBorder="false" applyAlignment="false" applyProtection="false">
      <alignment horizontal="general" vertical="bottom" textRotation="0" wrapText="false" indent="0" shrinkToFit="false"/>
      <protection locked="true" hidden="false"/>
    </xf>
    <xf numFmtId="164" fontId="18" fillId="4" borderId="5" xfId="0" applyFont="true" applyBorder="true" applyAlignment="true" applyProtection="false">
      <alignment horizontal="center" vertical="center" textRotation="0" wrapText="true" indent="0" shrinkToFit="false"/>
      <protection locked="true" hidden="false"/>
    </xf>
    <xf numFmtId="164" fontId="18" fillId="5" borderId="6" xfId="0" applyFont="true" applyBorder="true" applyAlignment="true" applyProtection="false">
      <alignment horizontal="center" vertical="center" textRotation="0" wrapText="false" indent="0" shrinkToFit="false"/>
      <protection locked="true" hidden="false"/>
    </xf>
    <xf numFmtId="164" fontId="18" fillId="7" borderId="6" xfId="0" applyFont="true" applyBorder="true" applyAlignment="true" applyProtection="false">
      <alignment horizontal="center" vertical="center" textRotation="0" wrapText="false" indent="0" shrinkToFit="false"/>
      <protection locked="true" hidden="false"/>
    </xf>
    <xf numFmtId="164" fontId="24" fillId="8" borderId="7" xfId="0" applyFont="true" applyBorder="true" applyAlignment="true" applyProtection="false">
      <alignment horizontal="center" vertical="center" textRotation="0" wrapText="false" indent="0" shrinkToFit="false"/>
      <protection locked="true" hidden="false"/>
    </xf>
    <xf numFmtId="164" fontId="24" fillId="8" borderId="8" xfId="0" applyFont="true" applyBorder="true" applyAlignment="true" applyProtection="false">
      <alignment horizontal="center" vertical="center" textRotation="0" wrapText="false" indent="0" shrinkToFit="false"/>
      <protection locked="true" hidden="false"/>
    </xf>
    <xf numFmtId="172" fontId="25" fillId="2" borderId="9" xfId="0" applyFont="true" applyBorder="true" applyAlignment="true" applyProtection="false">
      <alignment horizontal="center" vertical="center" textRotation="0" wrapText="false" indent="0" shrinkToFit="false"/>
      <protection locked="true" hidden="false"/>
    </xf>
    <xf numFmtId="172" fontId="25" fillId="2" borderId="10" xfId="0" applyFont="true" applyBorder="true" applyAlignment="true" applyProtection="false">
      <alignment horizontal="center" vertical="center" textRotation="0" wrapText="false" indent="0" shrinkToFit="false"/>
      <protection locked="true" hidden="false"/>
    </xf>
    <xf numFmtId="164" fontId="24" fillId="2" borderId="6" xfId="0" applyFont="true" applyBorder="true" applyAlignment="true" applyProtection="false">
      <alignment horizontal="center" vertical="center" textRotation="0" wrapText="false" indent="0" shrinkToFit="false"/>
      <protection locked="true" hidden="false"/>
    </xf>
    <xf numFmtId="164" fontId="24" fillId="2" borderId="11" xfId="0" applyFont="true" applyBorder="true" applyAlignment="true" applyProtection="false">
      <alignment horizontal="center" vertical="center" textRotation="0" wrapText="false" indent="0" shrinkToFit="false"/>
      <protection locked="true" hidden="false"/>
    </xf>
    <xf numFmtId="164" fontId="26" fillId="2" borderId="12" xfId="0" applyFont="true" applyBorder="true" applyAlignment="true" applyProtection="false">
      <alignment horizontal="center" vertical="center" textRotation="0" wrapText="false" indent="0" shrinkToFit="false"/>
      <protection locked="true" hidden="false"/>
    </xf>
    <xf numFmtId="164" fontId="27" fillId="2" borderId="12" xfId="0" applyFont="true" applyBorder="true" applyAlignment="true" applyProtection="false">
      <alignment horizontal="left" vertical="center" textRotation="0" wrapText="false" indent="1" shrinkToFit="false"/>
      <protection locked="true" hidden="false"/>
    </xf>
    <xf numFmtId="164" fontId="4" fillId="2" borderId="12" xfId="0" applyFont="true" applyBorder="true" applyAlignment="true" applyProtection="false">
      <alignment horizontal="left" vertical="center" textRotation="0" wrapText="false" indent="1" shrinkToFit="false"/>
      <protection locked="true" hidden="false"/>
    </xf>
    <xf numFmtId="171" fontId="4" fillId="2" borderId="12" xfId="0" applyFont="true" applyBorder="true" applyAlignment="true" applyProtection="false">
      <alignment horizontal="center" vertical="center" textRotation="0" wrapText="false" indent="0" shrinkToFit="false"/>
      <protection locked="true" hidden="false"/>
    </xf>
    <xf numFmtId="171" fontId="4" fillId="6" borderId="12" xfId="0" applyFont="true" applyBorder="true" applyAlignment="true" applyProtection="false">
      <alignment horizontal="center" vertical="center" textRotation="0" wrapText="false" indent="0" shrinkToFit="false"/>
      <protection locked="true" hidden="false"/>
    </xf>
    <xf numFmtId="171" fontId="27" fillId="6" borderId="13" xfId="0" applyFont="true" applyBorder="true" applyAlignment="true" applyProtection="false">
      <alignment horizontal="center" vertical="center" textRotation="0" wrapText="false" indent="0" shrinkToFit="false"/>
      <protection locked="true" hidden="false"/>
    </xf>
    <xf numFmtId="164" fontId="28" fillId="0" borderId="14" xfId="0" applyFont="true" applyBorder="true" applyAlignment="true" applyProtection="false">
      <alignment horizontal="center" vertical="center" textRotation="0" wrapText="false" indent="0" shrinkToFit="false"/>
      <protection locked="true" hidden="false"/>
    </xf>
    <xf numFmtId="164" fontId="28" fillId="0" borderId="15" xfId="0" applyFont="true" applyBorder="true" applyAlignment="true" applyProtection="false">
      <alignment horizontal="center" vertical="center" textRotation="0" wrapText="false" indent="0" shrinkToFit="false"/>
      <protection locked="true" hidden="false"/>
    </xf>
    <xf numFmtId="164" fontId="29" fillId="0" borderId="15" xfId="0" applyFont="true" applyBorder="true" applyAlignment="true" applyProtection="false">
      <alignment horizontal="center" vertical="center" textRotation="0" wrapText="false" indent="0" shrinkToFit="false"/>
      <protection locked="true" hidden="false"/>
    </xf>
    <xf numFmtId="164" fontId="30" fillId="0" borderId="15" xfId="0" applyFont="true" applyBorder="true" applyAlignment="true" applyProtection="false">
      <alignment horizontal="center" vertical="center" textRotation="0" wrapText="false" indent="0" shrinkToFit="false"/>
      <protection locked="true" hidden="false"/>
    </xf>
    <xf numFmtId="164" fontId="29" fillId="0" borderId="14" xfId="0" applyFont="true" applyBorder="true" applyAlignment="true" applyProtection="false">
      <alignment horizontal="center" vertical="center" textRotation="0" wrapText="false" indent="0" shrinkToFit="false"/>
      <protection locked="true" hidden="false"/>
    </xf>
    <xf numFmtId="164" fontId="31" fillId="0" borderId="15" xfId="0" applyFont="true" applyBorder="true" applyAlignment="true" applyProtection="false">
      <alignment horizontal="center" vertical="center" textRotation="0" wrapText="false" indent="0" shrinkToFit="false"/>
      <protection locked="true" hidden="false"/>
    </xf>
    <xf numFmtId="164" fontId="32" fillId="0" borderId="15" xfId="0" applyFont="true" applyBorder="true" applyAlignment="true" applyProtection="false">
      <alignment horizontal="center" vertical="center" textRotation="0" wrapText="false" indent="0" shrinkToFit="false"/>
      <protection locked="true" hidden="false"/>
    </xf>
    <xf numFmtId="164" fontId="33" fillId="0" borderId="15" xfId="0" applyFont="true" applyBorder="true" applyAlignment="true" applyProtection="false">
      <alignment horizontal="center" vertical="center" textRotation="0" wrapText="false" indent="0" shrinkToFit="false"/>
      <protection locked="true" hidden="false"/>
    </xf>
    <xf numFmtId="164" fontId="34" fillId="0" borderId="15" xfId="0" applyFont="true" applyBorder="true" applyAlignment="true" applyProtection="false">
      <alignment horizontal="center" vertical="center" textRotation="0" wrapText="false" indent="0" shrinkToFit="false"/>
      <protection locked="true" hidden="false"/>
    </xf>
    <xf numFmtId="164" fontId="35" fillId="0" borderId="15" xfId="0" applyFont="true" applyBorder="true" applyAlignment="true" applyProtection="false">
      <alignment horizontal="center" vertical="center" textRotation="0" wrapText="false" indent="0" shrinkToFit="false"/>
      <protection locked="true" hidden="false"/>
    </xf>
    <xf numFmtId="164" fontId="31" fillId="0" borderId="14" xfId="0" applyFont="true" applyBorder="true" applyAlignment="true" applyProtection="false">
      <alignment horizontal="center" vertical="center" textRotation="0" wrapText="false" indent="0" shrinkToFit="false"/>
      <protection locked="true" hidden="false"/>
    </xf>
    <xf numFmtId="171" fontId="36" fillId="4" borderId="0" xfId="0" applyFont="true" applyBorder="false" applyAlignment="true" applyProtection="false">
      <alignment horizontal="center" vertical="center" textRotation="0" wrapText="false" indent="0" shrinkToFit="false"/>
      <protection locked="true" hidden="false"/>
    </xf>
    <xf numFmtId="164" fontId="37" fillId="8" borderId="16" xfId="0" applyFont="true" applyBorder="true" applyAlignment="true" applyProtection="false">
      <alignment horizontal="center" vertical="center" textRotation="0" wrapText="false" indent="0" shrinkToFit="false"/>
      <protection locked="true" hidden="false"/>
    </xf>
    <xf numFmtId="164" fontId="16" fillId="0" borderId="0" xfId="0" applyFont="true" applyBorder="false" applyAlignment="true" applyProtection="false">
      <alignment horizontal="general" vertical="center" textRotation="0" wrapText="false" indent="0" shrinkToFit="false"/>
      <protection locked="true" hidden="false"/>
    </xf>
    <xf numFmtId="164" fontId="29" fillId="9" borderId="17" xfId="0" applyFont="true" applyBorder="true" applyAlignment="true" applyProtection="false">
      <alignment horizontal="center" vertical="center" textRotation="0" wrapText="false" indent="0" shrinkToFit="false"/>
      <protection locked="true" hidden="false"/>
    </xf>
    <xf numFmtId="164" fontId="38" fillId="0" borderId="0" xfId="0" applyFont="true" applyBorder="true" applyAlignment="true" applyProtection="false">
      <alignment horizontal="general" vertical="center" textRotation="0" wrapText="false" indent="1" shrinkToFit="false"/>
      <protection locked="true" hidden="false"/>
    </xf>
    <xf numFmtId="164" fontId="29" fillId="10" borderId="17" xfId="0" applyFont="true" applyBorder="true" applyAlignment="true" applyProtection="false">
      <alignment horizontal="center" vertical="center" textRotation="0" wrapText="false" indent="0" shrinkToFit="false"/>
      <protection locked="true" hidden="false"/>
    </xf>
    <xf numFmtId="164" fontId="31" fillId="11" borderId="17" xfId="0" applyFont="true" applyBorder="true" applyAlignment="true" applyProtection="false">
      <alignment horizontal="center" vertical="center" textRotation="0" wrapText="false" indent="0" shrinkToFit="false"/>
      <protection locked="true" hidden="false"/>
    </xf>
    <xf numFmtId="164" fontId="35" fillId="12" borderId="17" xfId="0" applyFont="true" applyBorder="true" applyAlignment="true" applyProtection="false">
      <alignment horizontal="center" vertical="center" textRotation="0" wrapText="false" indent="0" shrinkToFit="false"/>
      <protection locked="true" hidden="false"/>
    </xf>
    <xf numFmtId="164" fontId="30" fillId="13" borderId="17" xfId="0" applyFont="true" applyBorder="true" applyAlignment="true" applyProtection="false">
      <alignment horizontal="center" vertical="center" textRotation="0" wrapText="false" indent="0" shrinkToFit="false"/>
      <protection locked="true" hidden="false"/>
    </xf>
    <xf numFmtId="164" fontId="32" fillId="14" borderId="17" xfId="0" applyFont="true" applyBorder="true" applyAlignment="true" applyProtection="false">
      <alignment horizontal="center" vertical="center" textRotation="0" wrapText="false" indent="0" shrinkToFit="false"/>
      <protection locked="true" hidden="false"/>
    </xf>
    <xf numFmtId="164" fontId="34" fillId="15" borderId="17" xfId="0" applyFont="true" applyBorder="true" applyAlignment="true" applyProtection="false">
      <alignment horizontal="center" vertical="center" textRotation="0" wrapText="false" indent="0" shrinkToFit="false"/>
      <protection locked="true" hidden="false"/>
    </xf>
    <xf numFmtId="164" fontId="33" fillId="16" borderId="17" xfId="0" applyFont="true" applyBorder="true" applyAlignment="true" applyProtection="false">
      <alignment horizontal="center" vertical="center" textRotation="0" wrapText="false" indent="0" shrinkToFit="false"/>
      <protection locked="true" hidden="false"/>
    </xf>
    <xf numFmtId="164" fontId="39" fillId="0" borderId="0" xfId="0" applyFont="true" applyBorder="true" applyAlignment="true" applyProtection="false">
      <alignment horizontal="general" vertical="center" textRotation="0" wrapText="false" indent="0" shrinkToFit="false"/>
      <protection locked="true" hidden="false"/>
    </xf>
    <xf numFmtId="164" fontId="40" fillId="0" borderId="0" xfId="0" applyFont="true" applyBorder="true" applyAlignment="true" applyProtection="false">
      <alignment horizontal="general" vertical="center" textRotation="0" wrapText="false" indent="0" shrinkToFit="false"/>
      <protection locked="true" hidden="false"/>
    </xf>
    <xf numFmtId="164" fontId="27" fillId="6" borderId="17" xfId="0" applyFont="true" applyBorder="true" applyAlignment="true" applyProtection="false">
      <alignment horizontal="left" vertical="center" textRotation="0" wrapText="false" indent="1" shrinkToFit="false"/>
      <protection locked="true" hidden="false"/>
    </xf>
    <xf numFmtId="165" fontId="10" fillId="2" borderId="17" xfId="0" applyFont="true" applyBorder="true" applyAlignment="true" applyProtection="false">
      <alignment horizontal="center" vertical="center" textRotation="0" wrapText="false" indent="0" shrinkToFit="false"/>
      <protection locked="true" hidden="false"/>
    </xf>
    <xf numFmtId="164" fontId="40" fillId="0" borderId="4" xfId="0" applyFont="true" applyBorder="true" applyAlignment="true" applyProtection="false">
      <alignment horizontal="left" vertical="center" textRotation="0" wrapText="true" indent="1" shrinkToFit="false"/>
      <protection locked="true" hidden="false"/>
    </xf>
    <xf numFmtId="171" fontId="10" fillId="2" borderId="17" xfId="0" applyFont="true" applyBorder="true" applyAlignment="true" applyProtection="false">
      <alignment horizontal="center" vertical="center" textRotation="0" wrapText="false" indent="0" shrinkToFit="false"/>
      <protection locked="true" hidden="false"/>
    </xf>
    <xf numFmtId="166" fontId="10" fillId="2" borderId="17" xfId="0" applyFont="true" applyBorder="true" applyAlignment="true" applyProtection="false">
      <alignment horizontal="center" vertical="center" textRotation="0" wrapText="false" indent="0" shrinkToFit="false"/>
      <protection locked="true" hidden="false"/>
    </xf>
    <xf numFmtId="164" fontId="15" fillId="4" borderId="0" xfId="0" applyFont="true" applyBorder="false" applyAlignment="true" applyProtection="false">
      <alignment horizontal="center" vertical="center" textRotation="0" wrapText="true" indent="0" shrinkToFit="false"/>
      <protection locked="true" hidden="false"/>
    </xf>
    <xf numFmtId="164" fontId="15" fillId="4" borderId="0" xfId="0" applyFont="true" applyBorder="true" applyAlignment="true" applyProtection="false">
      <alignment horizontal="center" vertical="center" textRotation="0" wrapText="true" indent="0" shrinkToFit="false"/>
      <protection locked="true" hidden="false"/>
    </xf>
    <xf numFmtId="164" fontId="41" fillId="9" borderId="17" xfId="0" applyFont="true" applyBorder="true" applyAlignment="true" applyProtection="false">
      <alignment horizontal="center" vertical="center" textRotation="0" wrapText="false" indent="0" shrinkToFit="false"/>
      <protection locked="true" hidden="false"/>
    </xf>
    <xf numFmtId="164" fontId="42" fillId="2" borderId="17" xfId="0" applyFont="true" applyBorder="true" applyAlignment="true" applyProtection="false">
      <alignment horizontal="left" vertical="center" textRotation="0" wrapText="false" indent="1" shrinkToFit="false"/>
      <protection locked="true" hidden="false"/>
    </xf>
    <xf numFmtId="171" fontId="43" fillId="2" borderId="17" xfId="0" applyFont="true" applyBorder="true" applyAlignment="true" applyProtection="false">
      <alignment horizontal="center" vertical="center" textRotation="0" wrapText="false" indent="0" shrinkToFit="false"/>
      <protection locked="true" hidden="false"/>
    </xf>
    <xf numFmtId="164" fontId="4" fillId="9" borderId="17" xfId="0" applyFont="true" applyBorder="true" applyAlignment="true" applyProtection="false">
      <alignment horizontal="general" vertical="center" textRotation="0" wrapText="false" indent="0" shrinkToFit="false"/>
      <protection locked="true" hidden="false"/>
    </xf>
    <xf numFmtId="164" fontId="40" fillId="2" borderId="17" xfId="0" applyFont="true" applyBorder="true" applyAlignment="true" applyProtection="false">
      <alignment horizontal="left" vertical="center" textRotation="0" wrapText="true" indent="1" shrinkToFit="false"/>
      <protection locked="true" hidden="false"/>
    </xf>
    <xf numFmtId="164" fontId="41" fillId="10" borderId="17" xfId="0" applyFont="true" applyBorder="true" applyAlignment="true" applyProtection="false">
      <alignment horizontal="center" vertical="center" textRotation="0" wrapText="false" indent="0" shrinkToFit="false"/>
      <protection locked="true" hidden="false"/>
    </xf>
    <xf numFmtId="164" fontId="4" fillId="10" borderId="17" xfId="0" applyFont="true" applyBorder="true" applyAlignment="true" applyProtection="false">
      <alignment horizontal="general" vertical="center" textRotation="0" wrapText="false" indent="0" shrinkToFit="false"/>
      <protection locked="true" hidden="false"/>
    </xf>
    <xf numFmtId="164" fontId="44" fillId="11" borderId="17" xfId="0" applyFont="true" applyBorder="true" applyAlignment="true" applyProtection="false">
      <alignment horizontal="center" vertical="center" textRotation="0" wrapText="false" indent="0" shrinkToFit="false"/>
      <protection locked="true" hidden="false"/>
    </xf>
    <xf numFmtId="164" fontId="4" fillId="11" borderId="17" xfId="0" applyFont="true" applyBorder="true" applyAlignment="true" applyProtection="false">
      <alignment horizontal="general" vertical="center" textRotation="0" wrapText="false" indent="0" shrinkToFit="false"/>
      <protection locked="true" hidden="false"/>
    </xf>
    <xf numFmtId="164" fontId="45" fillId="12" borderId="17" xfId="0" applyFont="true" applyBorder="true" applyAlignment="true" applyProtection="false">
      <alignment horizontal="center" vertical="center" textRotation="0" wrapText="false" indent="0" shrinkToFit="false"/>
      <protection locked="true" hidden="false"/>
    </xf>
    <xf numFmtId="164" fontId="4" fillId="12" borderId="17" xfId="0" applyFont="true" applyBorder="true" applyAlignment="true" applyProtection="false">
      <alignment horizontal="general" vertical="center" textRotation="0" wrapText="false" indent="0" shrinkToFit="false"/>
      <protection locked="true" hidden="false"/>
    </xf>
    <xf numFmtId="164" fontId="46" fillId="13" borderId="17" xfId="0" applyFont="true" applyBorder="true" applyAlignment="true" applyProtection="false">
      <alignment horizontal="center" vertical="center" textRotation="0" wrapText="false" indent="0" shrinkToFit="false"/>
      <protection locked="true" hidden="false"/>
    </xf>
    <xf numFmtId="164" fontId="4" fillId="13" borderId="17" xfId="0" applyFont="true" applyBorder="true" applyAlignment="true" applyProtection="false">
      <alignment horizontal="general" vertical="center" textRotation="0" wrapText="false" indent="0" shrinkToFit="false"/>
      <protection locked="true" hidden="false"/>
    </xf>
    <xf numFmtId="164" fontId="47" fillId="14" borderId="17" xfId="0" applyFont="true" applyBorder="true" applyAlignment="true" applyProtection="false">
      <alignment horizontal="center" vertical="center" textRotation="0" wrapText="false" indent="0" shrinkToFit="false"/>
      <protection locked="true" hidden="false"/>
    </xf>
    <xf numFmtId="164" fontId="4" fillId="14" borderId="17" xfId="0" applyFont="true" applyBorder="true" applyAlignment="true" applyProtection="false">
      <alignment horizontal="general" vertical="center" textRotation="0" wrapText="false" indent="0" shrinkToFit="false"/>
      <protection locked="true" hidden="false"/>
    </xf>
    <xf numFmtId="164" fontId="48" fillId="15" borderId="17" xfId="0" applyFont="true" applyBorder="true" applyAlignment="true" applyProtection="false">
      <alignment horizontal="center" vertical="center" textRotation="0" wrapText="false" indent="0" shrinkToFit="false"/>
      <protection locked="true" hidden="false"/>
    </xf>
    <xf numFmtId="164" fontId="4" fillId="15" borderId="17" xfId="0" applyFont="true" applyBorder="true" applyAlignment="true" applyProtection="false">
      <alignment horizontal="general" vertical="center" textRotation="0" wrapText="false" indent="0" shrinkToFit="false"/>
      <protection locked="true" hidden="false"/>
    </xf>
    <xf numFmtId="164" fontId="49" fillId="16" borderId="17" xfId="0" applyFont="true" applyBorder="true" applyAlignment="true" applyProtection="false">
      <alignment horizontal="center" vertical="center" textRotation="0" wrapText="false" indent="0" shrinkToFit="false"/>
      <protection locked="true" hidden="false"/>
    </xf>
    <xf numFmtId="164" fontId="4" fillId="16" borderId="17" xfId="0" applyFont="true" applyBorder="true" applyAlignment="true" applyProtection="false">
      <alignment horizontal="general" vertical="center" textRotation="0" wrapText="false" indent="0" shrinkToFit="false"/>
      <protection locked="true" hidden="false"/>
    </xf>
    <xf numFmtId="164" fontId="15" fillId="4" borderId="0" xfId="0" applyFont="true" applyBorder="true" applyAlignment="true" applyProtection="false">
      <alignment horizontal="left" vertical="center" textRotation="0" wrapText="false" indent="1" shrinkToFit="false"/>
      <protection locked="true" hidden="false"/>
    </xf>
    <xf numFmtId="164" fontId="15" fillId="4" borderId="0" xfId="0" applyFont="true" applyBorder="false" applyAlignment="true" applyProtection="false">
      <alignment horizontal="center" vertical="center" textRotation="0" wrapText="false" indent="0" shrinkToFit="false"/>
      <protection locked="true" hidden="false"/>
    </xf>
    <xf numFmtId="166" fontId="4" fillId="2" borderId="17" xfId="0" applyFont="true" applyBorder="true" applyAlignment="true" applyProtection="false">
      <alignment horizontal="center" vertical="center" textRotation="0" wrapText="false" indent="0" shrinkToFit="false"/>
      <protection locked="true" hidden="false"/>
    </xf>
    <xf numFmtId="164" fontId="50" fillId="2" borderId="17" xfId="0" applyFont="true" applyBorder="true" applyAlignment="true" applyProtection="false">
      <alignment horizontal="center" vertical="center" textRotation="0" wrapText="false" indent="0" shrinkToFit="false"/>
      <protection locked="true" hidden="false"/>
    </xf>
    <xf numFmtId="164" fontId="40" fillId="2" borderId="17" xfId="0" applyFont="true" applyBorder="true" applyAlignment="true" applyProtection="false">
      <alignment horizontal="center" vertical="center" textRotation="0" wrapText="false" indent="0" shrinkToFit="false"/>
      <protection locked="true" hidden="false"/>
    </xf>
    <xf numFmtId="166" fontId="51" fillId="6" borderId="17" xfId="0" applyFont="true" applyBorder="true" applyAlignment="true" applyProtection="false">
      <alignment horizontal="center" vertical="center" textRotation="0" wrapText="false" indent="0" shrinkToFit="false"/>
      <protection locked="true" hidden="false"/>
    </xf>
    <xf numFmtId="164" fontId="40" fillId="6" borderId="17" xfId="0" applyFont="true" applyBorder="true" applyAlignment="true" applyProtection="false">
      <alignment horizontal="left" vertical="top" textRotation="0" wrapText="true" indent="1" shrinkToFit="false"/>
      <protection locked="true" hidden="false"/>
    </xf>
    <xf numFmtId="164" fontId="15" fillId="7" borderId="17" xfId="0" applyFont="true" applyBorder="true" applyAlignment="true" applyProtection="false">
      <alignment horizontal="center" vertical="center" textRotation="0" wrapText="false" indent="0" shrinkToFit="false"/>
      <protection locked="true" hidden="false"/>
    </xf>
    <xf numFmtId="164" fontId="17" fillId="2" borderId="17" xfId="0" applyFont="true" applyBorder="true" applyAlignment="true" applyProtection="false">
      <alignment horizontal="left" vertical="center" textRotation="0" wrapText="true" indent="1"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17">
    <dxf>
      <font>
        <name val="Calibri"/>
        <charset val="1"/>
        <family val="0"/>
        <b val="1"/>
        <color rgb="FF94362B"/>
        <sz val="9"/>
      </font>
      <fill>
        <patternFill>
          <bgColor rgb="FFF3C9C2"/>
        </patternFill>
      </fill>
    </dxf>
    <dxf>
      <border diagonalUp="false" diagonalDown="false">
        <left style="medium">
          <color rgb="FF2FA98C"/>
        </left>
        <right style="medium">
          <color rgb="FF2FA98C"/>
        </right>
        <top/>
        <bottom/>
        <diagonal/>
      </border>
    </dxf>
    <dxf>
      <font>
        <name val="Calibri"/>
        <charset val="1"/>
        <family val="0"/>
        <b val="1"/>
        <color rgb="FF16624B"/>
        <sz val="9"/>
      </font>
      <fill>
        <patternFill>
          <bgColor rgb="FFC9E6DA"/>
        </patternFill>
      </fill>
    </dxf>
    <dxf>
      <font>
        <name val="Calibri"/>
        <charset val="1"/>
        <family val="0"/>
        <b val="1"/>
        <color rgb="FF16624B"/>
        <sz val="9"/>
      </font>
      <fill>
        <patternFill>
          <bgColor rgb="FFE6F3EC"/>
        </patternFill>
      </fill>
    </dxf>
    <dxf>
      <font>
        <name val="Calibri"/>
        <charset val="1"/>
        <family val="0"/>
        <b val="1"/>
        <color rgb="FF94362B"/>
        <sz val="9"/>
      </font>
      <fill>
        <patternFill>
          <bgColor rgb="FFF6D6D2"/>
        </patternFill>
      </fill>
    </dxf>
    <dxf>
      <font>
        <name val="Calibri"/>
        <charset val="1"/>
        <family val="0"/>
        <b val="1"/>
        <color rgb="FF97591A"/>
        <sz val="9"/>
      </font>
      <fill>
        <patternFill>
          <bgColor rgb="FFFAE3D2"/>
        </patternFill>
      </fill>
    </dxf>
    <dxf>
      <font>
        <name val="Calibri"/>
        <charset val="1"/>
        <family val="0"/>
        <b val="1"/>
        <color rgb="FF2A4E86"/>
        <sz val="9"/>
      </font>
      <fill>
        <patternFill>
          <bgColor rgb="FFD9E3F5"/>
        </patternFill>
      </fill>
    </dxf>
    <dxf>
      <font>
        <name val="Calibri"/>
        <charset val="1"/>
        <family val="0"/>
        <b val="1"/>
        <color rgb="FF4B3B8C"/>
        <sz val="9"/>
      </font>
      <fill>
        <patternFill>
          <bgColor rgb="FFE2DDF2"/>
        </patternFill>
      </fill>
    </dxf>
    <dxf>
      <font>
        <name val="Calibri"/>
        <charset val="1"/>
        <family val="0"/>
        <b val="1"/>
        <color rgb="FF876711"/>
        <sz val="9"/>
      </font>
      <fill>
        <patternFill>
          <bgColor rgb="FFFAEFC8"/>
        </patternFill>
      </fill>
    </dxf>
    <dxf>
      <font>
        <name val="Calibri"/>
        <charset val="1"/>
        <family val="0"/>
        <b val="1"/>
        <color rgb="FF495467"/>
        <sz val="9"/>
      </font>
      <fill>
        <patternFill>
          <bgColor rgb="FFE1E5EB"/>
        </patternFill>
      </fill>
    </dxf>
    <dxf>
      <font>
        <name val="Calibri"/>
        <charset val="1"/>
        <family val="0"/>
        <color rgb="FF9AA3B2"/>
        <sz val="9"/>
      </font>
      <fill>
        <patternFill>
          <bgColor rgb="FF9AA3B2"/>
        </patternFill>
      </fill>
    </dxf>
    <dxf>
      <font>
        <name val="Calibri"/>
        <charset val="1"/>
        <family val="0"/>
        <b val="1"/>
        <color rgb="FF94362B"/>
        <sz val="8"/>
      </font>
      <fill>
        <patternFill>
          <bgColor rgb="FFF3C9C2"/>
        </patternFill>
      </fill>
    </dxf>
    <dxf>
      <font>
        <name val="Calibri"/>
        <charset val="1"/>
        <family val="0"/>
        <b val="1"/>
        <color rgb="FF8A6B12"/>
        <sz val="8"/>
      </font>
      <fill>
        <patternFill>
          <bgColor rgb="FFFAE7C8"/>
        </patternFill>
      </fill>
    </dxf>
    <dxf>
      <fill>
        <patternFill>
          <bgColor rgb="FFEFE6D8"/>
        </patternFill>
      </fill>
    </dxf>
    <dxf>
      <fill>
        <patternFill>
          <bgColor rgb="FFEDEFF3"/>
        </patternFill>
      </fill>
    </dxf>
    <dxf>
      <font>
        <name val="Calibri"/>
        <charset val="1"/>
        <family val="0"/>
        <b val="1"/>
        <color rgb="FF94362B"/>
        <sz val="10"/>
      </font>
      <fill>
        <patternFill>
          <bgColor rgb="FFF3C9C2"/>
        </patternFill>
      </fill>
    </dxf>
    <dxf>
      <font>
        <name val="Calibri"/>
        <charset val="1"/>
        <family val="0"/>
        <b val="1"/>
        <color rgb="FF6C7686"/>
        <sz val="10"/>
      </font>
    </dxf>
  </dxfs>
  <colors>
    <indexedColors>
      <rgbColor rgb="FF000000"/>
      <rgbColor rgb="FFFFFFFF"/>
      <rgbColor rgb="FFFF0000"/>
      <rgbColor rgb="FF00FF00"/>
      <rgbColor rgb="FF0000FF"/>
      <rgbColor rgb="FFEFE6D8"/>
      <rgbColor rgb="FFFF00FF"/>
      <rgbColor rgb="FF00FFFF"/>
      <rgbColor rgb="FF800000"/>
      <rgbColor rgb="FF008000"/>
      <rgbColor rgb="FF000080"/>
      <rgbColor rgb="FF8A6B12"/>
      <rgbColor rgb="FF800080"/>
      <rgbColor rgb="FF16624B"/>
      <rgbColor rgb="FFC3CBDA"/>
      <rgbColor rgb="FF878787"/>
      <rgbColor rgb="FFA9B2C0"/>
      <rgbColor rgb="FF97591A"/>
      <rgbColor rgb="FFFAEFC8"/>
      <rgbColor rgb="FFD9F0E8"/>
      <rgbColor rgb="FF660066"/>
      <rgbColor rgb="FFE1E5EB"/>
      <rgbColor rgb="FF2A4E86"/>
      <rgbColor rgb="FFD2D8E0"/>
      <rgbColor rgb="FF000080"/>
      <rgbColor rgb="FFFF00FF"/>
      <rgbColor rgb="FFEDEFF3"/>
      <rgbColor rgb="FF00FFFF"/>
      <rgbColor rgb="FF800080"/>
      <rgbColor rgb="FF800000"/>
      <rgbColor rgb="FF495467"/>
      <rgbColor rgb="FF0000FF"/>
      <rgbColor rgb="FF00CCFF"/>
      <rgbColor rgb="FFE6F3EC"/>
      <rgbColor rgb="FFC9E6DA"/>
      <rgbColor rgb="FFFAE7C8"/>
      <rgbColor rgb="FFD9D9D9"/>
      <rgbColor rgb="FFF6D6D2"/>
      <rgbColor rgb="FFE2DDF2"/>
      <rgbColor rgb="FFF3C9C2"/>
      <rgbColor rgb="FF48546F"/>
      <rgbColor rgb="FFF4F6F8"/>
      <rgbColor rgb="FFD9E3F5"/>
      <rgbColor rgb="FFFAE3D2"/>
      <rgbColor rgb="FFE9EDF2"/>
      <rgbColor rgb="FFFF6600"/>
      <rgbColor rgb="FF6C7686"/>
      <rgbColor rgb="FF9AA3B2"/>
      <rgbColor rgb="FF1D2438"/>
      <rgbColor rgb="FF2FA98C"/>
      <rgbColor rgb="FF003300"/>
      <rgbColor rgb="FF1B2231"/>
      <rgbColor rgb="FF94362B"/>
      <rgbColor rgb="FF876711"/>
      <rgbColor rgb="FF4B3B8C"/>
      <rgbColor rgb="FF2C3552"/>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sharedStrings" Target="sharedStrings.xml"/>
</Relationships>
</file>

<file path=xl/charts/chart1.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sz="1800" spc="-1" strike="noStrike">
                <a:solidFill>
                  <a:srgbClr val="000000"/>
                </a:solidFill>
                <a:latin typeface="Calibri"/>
              </a:defRPr>
            </a:pPr>
            <a:r>
              <a:rPr b="1" sz="1800" spc="-1" strike="noStrike">
                <a:solidFill>
                  <a:srgbClr val="000000"/>
                </a:solidFill>
                <a:latin typeface="Calibri"/>
              </a:rPr>
              <a:t>Abwesenheitstage je Monat</a:t>
            </a:r>
          </a:p>
        </c:rich>
      </c:tx>
      <c:overlay val="0"/>
      <c:spPr>
        <a:noFill/>
        <a:ln w="0">
          <a:noFill/>
        </a:ln>
      </c:spPr>
    </c:title>
    <c:autoTitleDeleted val="0"/>
    <c:plotArea>
      <c:barChart>
        <c:barDir val="col"/>
        <c:grouping val="stacked"/>
        <c:varyColors val="0"/>
        <c:ser>
          <c:idx val="0"/>
          <c:order val="0"/>
          <c:tx>
            <c:strRef>
              <c:f>Cockpit!D38</c:f>
              <c:strCache>
                <c:ptCount val="1"/>
                <c:pt idx="0">
                  <c:v>U</c:v>
                </c:pt>
              </c:strCache>
            </c:strRef>
          </c:tx>
          <c:spPr>
            <a:solidFill>
              <a:srgbClr val="c9e6da"/>
            </a:solidFill>
            <a:ln w="6120">
              <a:solidFill>
                <a:srgbClr val="16624b"/>
              </a:solidFill>
              <a:round/>
            </a:ln>
          </c:spPr>
          <c:invertIfNegative val="0"/>
          <c:dLbls>
            <c:txPr>
              <a:bodyPr wrap="none"/>
              <a:lstStyle/>
              <a:p>
                <a:pPr>
                  <a:defRPr b="0" sz="1000" spc="-1" strike="noStrike">
                    <a:latin typeface="Arial"/>
                  </a:defRPr>
                </a:pPr>
              </a:p>
            </c:txP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Cockpit!$B$39:$B$50</c:f>
              <c:strCache>
                <c:ptCount val="12"/>
                <c:pt idx="0">
                  <c:v>Januar</c:v>
                </c:pt>
                <c:pt idx="1">
                  <c:v>Februar</c:v>
                </c:pt>
                <c:pt idx="2">
                  <c:v>März</c:v>
                </c:pt>
                <c:pt idx="3">
                  <c:v>April</c:v>
                </c:pt>
                <c:pt idx="4">
                  <c:v>Mai</c:v>
                </c:pt>
                <c:pt idx="5">
                  <c:v>Juni</c:v>
                </c:pt>
                <c:pt idx="6">
                  <c:v>Juli</c:v>
                </c:pt>
                <c:pt idx="7">
                  <c:v>August</c:v>
                </c:pt>
                <c:pt idx="8">
                  <c:v>September</c:v>
                </c:pt>
                <c:pt idx="9">
                  <c:v>Oktober</c:v>
                </c:pt>
                <c:pt idx="10">
                  <c:v>November</c:v>
                </c:pt>
                <c:pt idx="11">
                  <c:v>Dezember</c:v>
                </c:pt>
              </c:strCache>
            </c:strRef>
          </c:cat>
          <c:val>
            <c:numRef>
              <c:f>Cockpit!$D$39:$D$50</c:f>
              <c:numCache>
                <c:formatCode>0</c:formatCode>
                <c:ptCount val="12"/>
                <c:pt idx="0">
                  <c:v>20</c:v>
                </c:pt>
                <c:pt idx="1">
                  <c:v>25</c:v>
                </c:pt>
                <c:pt idx="2">
                  <c:v>24</c:v>
                </c:pt>
                <c:pt idx="3">
                  <c:v>9</c:v>
                </c:pt>
                <c:pt idx="4">
                  <c:v>0</c:v>
                </c:pt>
                <c:pt idx="5">
                  <c:v>0</c:v>
                </c:pt>
                <c:pt idx="6">
                  <c:v>70</c:v>
                </c:pt>
                <c:pt idx="7">
                  <c:v>97</c:v>
                </c:pt>
                <c:pt idx="8">
                  <c:v>11</c:v>
                </c:pt>
                <c:pt idx="9">
                  <c:v>42</c:v>
                </c:pt>
                <c:pt idx="10">
                  <c:v>25</c:v>
                </c:pt>
                <c:pt idx="11">
                  <c:v>71</c:v>
                </c:pt>
              </c:numCache>
            </c:numRef>
          </c:val>
        </c:ser>
        <c:ser>
          <c:idx val="1"/>
          <c:order val="1"/>
          <c:tx>
            <c:strRef>
              <c:f>Cockpit!E38</c:f>
              <c:strCache>
                <c:ptCount val="1"/>
                <c:pt idx="0">
                  <c:v>H</c:v>
                </c:pt>
              </c:strCache>
            </c:strRef>
          </c:tx>
          <c:spPr>
            <a:solidFill>
              <a:srgbClr val="e6f3ec"/>
            </a:solidFill>
            <a:ln w="6120">
              <a:solidFill>
                <a:srgbClr val="16624b"/>
              </a:solidFill>
              <a:round/>
            </a:ln>
          </c:spPr>
          <c:invertIfNegative val="0"/>
          <c:dLbls>
            <c:txPr>
              <a:bodyPr wrap="none"/>
              <a:lstStyle/>
              <a:p>
                <a:pPr>
                  <a:defRPr b="0" sz="1000" spc="-1" strike="noStrike">
                    <a:latin typeface="Arial"/>
                  </a:defRPr>
                </a:pPr>
              </a:p>
            </c:txP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Cockpit!$B$39:$B$50</c:f>
              <c:strCache>
                <c:ptCount val="12"/>
                <c:pt idx="0">
                  <c:v>Januar</c:v>
                </c:pt>
                <c:pt idx="1">
                  <c:v>Februar</c:v>
                </c:pt>
                <c:pt idx="2">
                  <c:v>März</c:v>
                </c:pt>
                <c:pt idx="3">
                  <c:v>April</c:v>
                </c:pt>
                <c:pt idx="4">
                  <c:v>Mai</c:v>
                </c:pt>
                <c:pt idx="5">
                  <c:v>Juni</c:v>
                </c:pt>
                <c:pt idx="6">
                  <c:v>Juli</c:v>
                </c:pt>
                <c:pt idx="7">
                  <c:v>August</c:v>
                </c:pt>
                <c:pt idx="8">
                  <c:v>September</c:v>
                </c:pt>
                <c:pt idx="9">
                  <c:v>Oktober</c:v>
                </c:pt>
                <c:pt idx="10">
                  <c:v>November</c:v>
                </c:pt>
                <c:pt idx="11">
                  <c:v>Dezember</c:v>
                </c:pt>
              </c:strCache>
            </c:strRef>
          </c:cat>
          <c:val>
            <c:numRef>
              <c:f>Cockpit!$E$39:$E$50</c:f>
              <c:numCache>
                <c:formatCode>0</c:formatCode>
                <c:ptCount val="12"/>
                <c:pt idx="0">
                  <c:v>0</c:v>
                </c:pt>
                <c:pt idx="1">
                  <c:v>0</c:v>
                </c:pt>
                <c:pt idx="2">
                  <c:v>0</c:v>
                </c:pt>
                <c:pt idx="3">
                  <c:v>1</c:v>
                </c:pt>
                <c:pt idx="4">
                  <c:v>1</c:v>
                </c:pt>
                <c:pt idx="5">
                  <c:v>1</c:v>
                </c:pt>
                <c:pt idx="6">
                  <c:v>0</c:v>
                </c:pt>
                <c:pt idx="7">
                  <c:v>0</c:v>
                </c:pt>
                <c:pt idx="8">
                  <c:v>1</c:v>
                </c:pt>
                <c:pt idx="9">
                  <c:v>0</c:v>
                </c:pt>
                <c:pt idx="10">
                  <c:v>0</c:v>
                </c:pt>
                <c:pt idx="11">
                  <c:v>0</c:v>
                </c:pt>
              </c:numCache>
            </c:numRef>
          </c:val>
        </c:ser>
        <c:ser>
          <c:idx val="2"/>
          <c:order val="2"/>
          <c:tx>
            <c:strRef>
              <c:f>Cockpit!F38</c:f>
              <c:strCache>
                <c:ptCount val="1"/>
                <c:pt idx="0">
                  <c:v>K</c:v>
                </c:pt>
              </c:strCache>
            </c:strRef>
          </c:tx>
          <c:spPr>
            <a:solidFill>
              <a:srgbClr val="f6d6d2"/>
            </a:solidFill>
            <a:ln w="6120">
              <a:solidFill>
                <a:srgbClr val="94362b"/>
              </a:solidFill>
              <a:round/>
            </a:ln>
          </c:spPr>
          <c:invertIfNegative val="0"/>
          <c:dLbls>
            <c:txPr>
              <a:bodyPr wrap="none"/>
              <a:lstStyle/>
              <a:p>
                <a:pPr>
                  <a:defRPr b="0" sz="1000" spc="-1" strike="noStrike">
                    <a:latin typeface="Arial"/>
                  </a:defRPr>
                </a:pPr>
              </a:p>
            </c:txP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Cockpit!$B$39:$B$50</c:f>
              <c:strCache>
                <c:ptCount val="12"/>
                <c:pt idx="0">
                  <c:v>Januar</c:v>
                </c:pt>
                <c:pt idx="1">
                  <c:v>Februar</c:v>
                </c:pt>
                <c:pt idx="2">
                  <c:v>März</c:v>
                </c:pt>
                <c:pt idx="3">
                  <c:v>April</c:v>
                </c:pt>
                <c:pt idx="4">
                  <c:v>Mai</c:v>
                </c:pt>
                <c:pt idx="5">
                  <c:v>Juni</c:v>
                </c:pt>
                <c:pt idx="6">
                  <c:v>Juli</c:v>
                </c:pt>
                <c:pt idx="7">
                  <c:v>August</c:v>
                </c:pt>
                <c:pt idx="8">
                  <c:v>September</c:v>
                </c:pt>
                <c:pt idx="9">
                  <c:v>Oktober</c:v>
                </c:pt>
                <c:pt idx="10">
                  <c:v>November</c:v>
                </c:pt>
                <c:pt idx="11">
                  <c:v>Dezember</c:v>
                </c:pt>
              </c:strCache>
            </c:strRef>
          </c:cat>
          <c:val>
            <c:numRef>
              <c:f>Cockpit!$F$39:$F$50</c:f>
              <c:numCache>
                <c:formatCode>0</c:formatCode>
                <c:ptCount val="12"/>
                <c:pt idx="0">
                  <c:v>0</c:v>
                </c:pt>
                <c:pt idx="1">
                  <c:v>3</c:v>
                </c:pt>
                <c:pt idx="2">
                  <c:v>3</c:v>
                </c:pt>
                <c:pt idx="3">
                  <c:v>4</c:v>
                </c:pt>
                <c:pt idx="4">
                  <c:v>4</c:v>
                </c:pt>
                <c:pt idx="5">
                  <c:v>0</c:v>
                </c:pt>
                <c:pt idx="6">
                  <c:v>0</c:v>
                </c:pt>
                <c:pt idx="7">
                  <c:v>0</c:v>
                </c:pt>
                <c:pt idx="8">
                  <c:v>0</c:v>
                </c:pt>
                <c:pt idx="9">
                  <c:v>2</c:v>
                </c:pt>
                <c:pt idx="10">
                  <c:v>0</c:v>
                </c:pt>
                <c:pt idx="11">
                  <c:v>0</c:v>
                </c:pt>
              </c:numCache>
            </c:numRef>
          </c:val>
        </c:ser>
        <c:ser>
          <c:idx val="3"/>
          <c:order val="3"/>
          <c:tx>
            <c:strRef>
              <c:f>Cockpit!G38</c:f>
              <c:strCache>
                <c:ptCount val="1"/>
                <c:pt idx="0">
                  <c:v>KK</c:v>
                </c:pt>
              </c:strCache>
            </c:strRef>
          </c:tx>
          <c:spPr>
            <a:solidFill>
              <a:srgbClr val="fae3d2"/>
            </a:solidFill>
            <a:ln w="6120">
              <a:solidFill>
                <a:srgbClr val="97591a"/>
              </a:solidFill>
              <a:round/>
            </a:ln>
          </c:spPr>
          <c:invertIfNegative val="0"/>
          <c:dLbls>
            <c:txPr>
              <a:bodyPr wrap="none"/>
              <a:lstStyle/>
              <a:p>
                <a:pPr>
                  <a:defRPr b="0" sz="1000" spc="-1" strike="noStrike">
                    <a:latin typeface="Arial"/>
                  </a:defRPr>
                </a:pPr>
              </a:p>
            </c:txP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Cockpit!$B$39:$B$50</c:f>
              <c:strCache>
                <c:ptCount val="12"/>
                <c:pt idx="0">
                  <c:v>Januar</c:v>
                </c:pt>
                <c:pt idx="1">
                  <c:v>Februar</c:v>
                </c:pt>
                <c:pt idx="2">
                  <c:v>März</c:v>
                </c:pt>
                <c:pt idx="3">
                  <c:v>April</c:v>
                </c:pt>
                <c:pt idx="4">
                  <c:v>Mai</c:v>
                </c:pt>
                <c:pt idx="5">
                  <c:v>Juni</c:v>
                </c:pt>
                <c:pt idx="6">
                  <c:v>Juli</c:v>
                </c:pt>
                <c:pt idx="7">
                  <c:v>August</c:v>
                </c:pt>
                <c:pt idx="8">
                  <c:v>September</c:v>
                </c:pt>
                <c:pt idx="9">
                  <c:v>Oktober</c:v>
                </c:pt>
                <c:pt idx="10">
                  <c:v>November</c:v>
                </c:pt>
                <c:pt idx="11">
                  <c:v>Dezember</c:v>
                </c:pt>
              </c:strCache>
            </c:strRef>
          </c:cat>
          <c:val>
            <c:numRef>
              <c:f>Cockpit!$G$39:$G$50</c:f>
              <c:numCache>
                <c:formatCode>0</c:formatCode>
                <c:ptCount val="12"/>
                <c:pt idx="0">
                  <c:v>0</c:v>
                </c:pt>
                <c:pt idx="1">
                  <c:v>0</c:v>
                </c:pt>
                <c:pt idx="2">
                  <c:v>0</c:v>
                </c:pt>
                <c:pt idx="3">
                  <c:v>0</c:v>
                </c:pt>
                <c:pt idx="4">
                  <c:v>1</c:v>
                </c:pt>
                <c:pt idx="5">
                  <c:v>1</c:v>
                </c:pt>
                <c:pt idx="6">
                  <c:v>1</c:v>
                </c:pt>
                <c:pt idx="7">
                  <c:v>0</c:v>
                </c:pt>
                <c:pt idx="8">
                  <c:v>0</c:v>
                </c:pt>
                <c:pt idx="9">
                  <c:v>0</c:v>
                </c:pt>
                <c:pt idx="10">
                  <c:v>1</c:v>
                </c:pt>
                <c:pt idx="11">
                  <c:v>0</c:v>
                </c:pt>
              </c:numCache>
            </c:numRef>
          </c:val>
        </c:ser>
        <c:ser>
          <c:idx val="4"/>
          <c:order val="4"/>
          <c:tx>
            <c:strRef>
              <c:f>Cockpit!H38</c:f>
              <c:strCache>
                <c:ptCount val="1"/>
                <c:pt idx="0">
                  <c:v>HO</c:v>
                </c:pt>
              </c:strCache>
            </c:strRef>
          </c:tx>
          <c:spPr>
            <a:solidFill>
              <a:srgbClr val="d9e3f5"/>
            </a:solidFill>
            <a:ln w="6120">
              <a:solidFill>
                <a:srgbClr val="2a4e86"/>
              </a:solidFill>
              <a:round/>
            </a:ln>
          </c:spPr>
          <c:invertIfNegative val="0"/>
          <c:dLbls>
            <c:txPr>
              <a:bodyPr wrap="none"/>
              <a:lstStyle/>
              <a:p>
                <a:pPr>
                  <a:defRPr b="0" sz="1000" spc="-1" strike="noStrike">
                    <a:latin typeface="Arial"/>
                  </a:defRPr>
                </a:pPr>
              </a:p>
            </c:txP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Cockpit!$B$39:$B$50</c:f>
              <c:strCache>
                <c:ptCount val="12"/>
                <c:pt idx="0">
                  <c:v>Januar</c:v>
                </c:pt>
                <c:pt idx="1">
                  <c:v>Februar</c:v>
                </c:pt>
                <c:pt idx="2">
                  <c:v>März</c:v>
                </c:pt>
                <c:pt idx="3">
                  <c:v>April</c:v>
                </c:pt>
                <c:pt idx="4">
                  <c:v>Mai</c:v>
                </c:pt>
                <c:pt idx="5">
                  <c:v>Juni</c:v>
                </c:pt>
                <c:pt idx="6">
                  <c:v>Juli</c:v>
                </c:pt>
                <c:pt idx="7">
                  <c:v>August</c:v>
                </c:pt>
                <c:pt idx="8">
                  <c:v>September</c:v>
                </c:pt>
                <c:pt idx="9">
                  <c:v>Oktober</c:v>
                </c:pt>
                <c:pt idx="10">
                  <c:v>November</c:v>
                </c:pt>
                <c:pt idx="11">
                  <c:v>Dezember</c:v>
                </c:pt>
              </c:strCache>
            </c:strRef>
          </c:cat>
          <c:val>
            <c:numRef>
              <c:f>Cockpit!$H$39:$H$50</c:f>
              <c:numCache>
                <c:formatCode>0</c:formatCode>
                <c:ptCount val="12"/>
                <c:pt idx="0">
                  <c:v>0</c:v>
                </c:pt>
                <c:pt idx="1">
                  <c:v>0</c:v>
                </c:pt>
                <c:pt idx="2">
                  <c:v>1</c:v>
                </c:pt>
                <c:pt idx="3">
                  <c:v>1</c:v>
                </c:pt>
                <c:pt idx="4">
                  <c:v>0</c:v>
                </c:pt>
                <c:pt idx="5">
                  <c:v>3</c:v>
                </c:pt>
                <c:pt idx="6">
                  <c:v>1</c:v>
                </c:pt>
                <c:pt idx="7">
                  <c:v>0</c:v>
                </c:pt>
                <c:pt idx="8">
                  <c:v>3</c:v>
                </c:pt>
                <c:pt idx="9">
                  <c:v>0</c:v>
                </c:pt>
                <c:pt idx="10">
                  <c:v>2</c:v>
                </c:pt>
                <c:pt idx="11">
                  <c:v>0</c:v>
                </c:pt>
              </c:numCache>
            </c:numRef>
          </c:val>
        </c:ser>
        <c:ser>
          <c:idx val="5"/>
          <c:order val="5"/>
          <c:tx>
            <c:strRef>
              <c:f>Cockpit!I38</c:f>
              <c:strCache>
                <c:ptCount val="1"/>
                <c:pt idx="0">
                  <c:v>FB</c:v>
                </c:pt>
              </c:strCache>
            </c:strRef>
          </c:tx>
          <c:spPr>
            <a:solidFill>
              <a:srgbClr val="e2ddf2"/>
            </a:solidFill>
            <a:ln w="6120">
              <a:solidFill>
                <a:srgbClr val="4b3b8c"/>
              </a:solidFill>
              <a:round/>
            </a:ln>
          </c:spPr>
          <c:invertIfNegative val="0"/>
          <c:dLbls>
            <c:txPr>
              <a:bodyPr wrap="none"/>
              <a:lstStyle/>
              <a:p>
                <a:pPr>
                  <a:defRPr b="0" sz="1000" spc="-1" strike="noStrike">
                    <a:latin typeface="Arial"/>
                  </a:defRPr>
                </a:pPr>
              </a:p>
            </c:txP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Cockpit!$B$39:$B$50</c:f>
              <c:strCache>
                <c:ptCount val="12"/>
                <c:pt idx="0">
                  <c:v>Januar</c:v>
                </c:pt>
                <c:pt idx="1">
                  <c:v>Februar</c:v>
                </c:pt>
                <c:pt idx="2">
                  <c:v>März</c:v>
                </c:pt>
                <c:pt idx="3">
                  <c:v>April</c:v>
                </c:pt>
                <c:pt idx="4">
                  <c:v>Mai</c:v>
                </c:pt>
                <c:pt idx="5">
                  <c:v>Juni</c:v>
                </c:pt>
                <c:pt idx="6">
                  <c:v>Juli</c:v>
                </c:pt>
                <c:pt idx="7">
                  <c:v>August</c:v>
                </c:pt>
                <c:pt idx="8">
                  <c:v>September</c:v>
                </c:pt>
                <c:pt idx="9">
                  <c:v>Oktober</c:v>
                </c:pt>
                <c:pt idx="10">
                  <c:v>November</c:v>
                </c:pt>
                <c:pt idx="11">
                  <c:v>Dezember</c:v>
                </c:pt>
              </c:strCache>
            </c:strRef>
          </c:cat>
          <c:val>
            <c:numRef>
              <c:f>Cockpit!$I$39:$I$50</c:f>
              <c:numCache>
                <c:formatCode>0</c:formatCode>
                <c:ptCount val="12"/>
                <c:pt idx="0">
                  <c:v>0</c:v>
                </c:pt>
                <c:pt idx="1">
                  <c:v>0</c:v>
                </c:pt>
                <c:pt idx="2">
                  <c:v>2</c:v>
                </c:pt>
                <c:pt idx="3">
                  <c:v>0</c:v>
                </c:pt>
                <c:pt idx="4">
                  <c:v>2</c:v>
                </c:pt>
                <c:pt idx="5">
                  <c:v>0</c:v>
                </c:pt>
                <c:pt idx="6">
                  <c:v>0</c:v>
                </c:pt>
                <c:pt idx="7">
                  <c:v>0</c:v>
                </c:pt>
                <c:pt idx="8">
                  <c:v>9</c:v>
                </c:pt>
                <c:pt idx="9">
                  <c:v>2</c:v>
                </c:pt>
                <c:pt idx="10">
                  <c:v>0</c:v>
                </c:pt>
                <c:pt idx="11">
                  <c:v>0</c:v>
                </c:pt>
              </c:numCache>
            </c:numRef>
          </c:val>
        </c:ser>
        <c:ser>
          <c:idx val="6"/>
          <c:order val="6"/>
          <c:tx>
            <c:strRef>
              <c:f>Cockpit!J38</c:f>
              <c:strCache>
                <c:ptCount val="1"/>
                <c:pt idx="0">
                  <c:v>SU</c:v>
                </c:pt>
              </c:strCache>
            </c:strRef>
          </c:tx>
          <c:spPr>
            <a:solidFill>
              <a:srgbClr val="faefc8"/>
            </a:solidFill>
            <a:ln w="6120">
              <a:solidFill>
                <a:srgbClr val="876711"/>
              </a:solidFill>
              <a:round/>
            </a:ln>
          </c:spPr>
          <c:invertIfNegative val="0"/>
          <c:dLbls>
            <c:txPr>
              <a:bodyPr wrap="none"/>
              <a:lstStyle/>
              <a:p>
                <a:pPr>
                  <a:defRPr b="0" sz="1000" spc="-1" strike="noStrike">
                    <a:latin typeface="Arial"/>
                  </a:defRPr>
                </a:pPr>
              </a:p>
            </c:txP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Cockpit!$B$39:$B$50</c:f>
              <c:strCache>
                <c:ptCount val="12"/>
                <c:pt idx="0">
                  <c:v>Januar</c:v>
                </c:pt>
                <c:pt idx="1">
                  <c:v>Februar</c:v>
                </c:pt>
                <c:pt idx="2">
                  <c:v>März</c:v>
                </c:pt>
                <c:pt idx="3">
                  <c:v>April</c:v>
                </c:pt>
                <c:pt idx="4">
                  <c:v>Mai</c:v>
                </c:pt>
                <c:pt idx="5">
                  <c:v>Juni</c:v>
                </c:pt>
                <c:pt idx="6">
                  <c:v>Juli</c:v>
                </c:pt>
                <c:pt idx="7">
                  <c:v>August</c:v>
                </c:pt>
                <c:pt idx="8">
                  <c:v>September</c:v>
                </c:pt>
                <c:pt idx="9">
                  <c:v>Oktober</c:v>
                </c:pt>
                <c:pt idx="10">
                  <c:v>November</c:v>
                </c:pt>
                <c:pt idx="11">
                  <c:v>Dezember</c:v>
                </c:pt>
              </c:strCache>
            </c:strRef>
          </c:cat>
          <c:val>
            <c:numRef>
              <c:f>Cockpit!$J$39:$J$50</c:f>
              <c:numCache>
                <c:formatCode>0</c:formatCode>
                <c:ptCount val="12"/>
                <c:pt idx="0">
                  <c:v>0</c:v>
                </c:pt>
                <c:pt idx="1">
                  <c:v>1</c:v>
                </c:pt>
                <c:pt idx="2">
                  <c:v>0</c:v>
                </c:pt>
                <c:pt idx="3">
                  <c:v>1</c:v>
                </c:pt>
                <c:pt idx="4">
                  <c:v>0</c:v>
                </c:pt>
                <c:pt idx="5">
                  <c:v>0</c:v>
                </c:pt>
                <c:pt idx="6">
                  <c:v>0</c:v>
                </c:pt>
                <c:pt idx="7">
                  <c:v>0</c:v>
                </c:pt>
                <c:pt idx="8">
                  <c:v>0</c:v>
                </c:pt>
                <c:pt idx="9">
                  <c:v>0</c:v>
                </c:pt>
                <c:pt idx="10">
                  <c:v>0</c:v>
                </c:pt>
                <c:pt idx="11">
                  <c:v>0</c:v>
                </c:pt>
              </c:numCache>
            </c:numRef>
          </c:val>
        </c:ser>
        <c:ser>
          <c:idx val="7"/>
          <c:order val="7"/>
          <c:tx>
            <c:strRef>
              <c:f>Cockpit!K38</c:f>
              <c:strCache>
                <c:ptCount val="1"/>
                <c:pt idx="0">
                  <c:v>GZ</c:v>
                </c:pt>
              </c:strCache>
            </c:strRef>
          </c:tx>
          <c:spPr>
            <a:solidFill>
              <a:srgbClr val="e1e5eb"/>
            </a:solidFill>
            <a:ln w="6120">
              <a:solidFill>
                <a:srgbClr val="495467"/>
              </a:solidFill>
              <a:round/>
            </a:ln>
          </c:spPr>
          <c:invertIfNegative val="0"/>
          <c:dLbls>
            <c:txPr>
              <a:bodyPr wrap="none"/>
              <a:lstStyle/>
              <a:p>
                <a:pPr>
                  <a:defRPr b="0" sz="1000" spc="-1" strike="noStrike">
                    <a:latin typeface="Arial"/>
                  </a:defRPr>
                </a:pPr>
              </a:p>
            </c:txP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Cockpit!$B$39:$B$50</c:f>
              <c:strCache>
                <c:ptCount val="12"/>
                <c:pt idx="0">
                  <c:v>Januar</c:v>
                </c:pt>
                <c:pt idx="1">
                  <c:v>Februar</c:v>
                </c:pt>
                <c:pt idx="2">
                  <c:v>März</c:v>
                </c:pt>
                <c:pt idx="3">
                  <c:v>April</c:v>
                </c:pt>
                <c:pt idx="4">
                  <c:v>Mai</c:v>
                </c:pt>
                <c:pt idx="5">
                  <c:v>Juni</c:v>
                </c:pt>
                <c:pt idx="6">
                  <c:v>Juli</c:v>
                </c:pt>
                <c:pt idx="7">
                  <c:v>August</c:v>
                </c:pt>
                <c:pt idx="8">
                  <c:v>September</c:v>
                </c:pt>
                <c:pt idx="9">
                  <c:v>Oktober</c:v>
                </c:pt>
                <c:pt idx="10">
                  <c:v>November</c:v>
                </c:pt>
                <c:pt idx="11">
                  <c:v>Dezember</c:v>
                </c:pt>
              </c:strCache>
            </c:strRef>
          </c:cat>
          <c:val>
            <c:numRef>
              <c:f>Cockpit!$K$39:$K$50</c:f>
              <c:numCache>
                <c:formatCode>0</c:formatCode>
                <c:ptCount val="12"/>
                <c:pt idx="0">
                  <c:v>0</c:v>
                </c:pt>
                <c:pt idx="1">
                  <c:v>0</c:v>
                </c:pt>
                <c:pt idx="2">
                  <c:v>1</c:v>
                </c:pt>
                <c:pt idx="3">
                  <c:v>1</c:v>
                </c:pt>
                <c:pt idx="4">
                  <c:v>2</c:v>
                </c:pt>
                <c:pt idx="5">
                  <c:v>2</c:v>
                </c:pt>
                <c:pt idx="6">
                  <c:v>0</c:v>
                </c:pt>
                <c:pt idx="7">
                  <c:v>0</c:v>
                </c:pt>
                <c:pt idx="8">
                  <c:v>0</c:v>
                </c:pt>
                <c:pt idx="9">
                  <c:v>0</c:v>
                </c:pt>
                <c:pt idx="10">
                  <c:v>0</c:v>
                </c:pt>
                <c:pt idx="11">
                  <c:v>0</c:v>
                </c:pt>
              </c:numCache>
            </c:numRef>
          </c:val>
        </c:ser>
        <c:gapWidth val="60"/>
        <c:overlap val="100"/>
        <c:axId val="86631127"/>
        <c:axId val="90643546"/>
      </c:barChart>
      <c:catAx>
        <c:axId val="86631127"/>
        <c:scaling>
          <c:orientation val="minMax"/>
        </c:scaling>
        <c:delete val="0"/>
        <c:axPos val="b"/>
        <c:numFmt formatCode="General" sourceLinked="1"/>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90643546"/>
        <c:crosses val="autoZero"/>
        <c:auto val="1"/>
        <c:lblAlgn val="ctr"/>
        <c:lblOffset val="100"/>
        <c:noMultiLvlLbl val="0"/>
      </c:catAx>
      <c:valAx>
        <c:axId val="90643546"/>
        <c:scaling>
          <c:orientation val="minMax"/>
        </c:scaling>
        <c:delete val="0"/>
        <c:axPos val="l"/>
        <c:majorGridlines>
          <c:spPr>
            <a:ln w="9360">
              <a:solidFill>
                <a:srgbClr val="878787"/>
              </a:solidFill>
              <a:round/>
            </a:ln>
          </c:spPr>
        </c:majorGridlines>
        <c:numFmt formatCode="0" sourceLinked="1"/>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86631127"/>
        <c:crosses val="autoZero"/>
        <c:crossBetween val="between"/>
      </c:valAx>
      <c:spPr>
        <a:noFill/>
        <a:ln w="0">
          <a:noFill/>
        </a:ln>
      </c:spPr>
    </c:plotArea>
    <c:legend>
      <c:legendPos val="r"/>
      <c:overlay val="0"/>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charts/chart2.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sz="1800" spc="-1" strike="noStrike">
                <a:solidFill>
                  <a:srgbClr val="000000"/>
                </a:solidFill>
                <a:latin typeface="Calibri"/>
              </a:defRPr>
            </a:pPr>
            <a:r>
              <a:rPr b="1" sz="1800" spc="-1" strike="noStrike">
                <a:solidFill>
                  <a:srgbClr val="000000"/>
                </a:solidFill>
                <a:latin typeface="Calibri"/>
              </a:rPr>
              <a:t>Noch verfügbare Urlaubstage je Person</a:t>
            </a:r>
          </a:p>
        </c:rich>
      </c:tx>
      <c:overlay val="0"/>
      <c:spPr>
        <a:noFill/>
        <a:ln w="0">
          <a:noFill/>
        </a:ln>
      </c:spPr>
    </c:title>
    <c:autoTitleDeleted val="0"/>
    <c:plotArea>
      <c:barChart>
        <c:barDir val="bar"/>
        <c:grouping val="clustered"/>
        <c:varyColors val="0"/>
        <c:ser>
          <c:idx val="0"/>
          <c:order val="0"/>
          <c:tx>
            <c:strRef>
              <c:f>Cockpit!J19</c:f>
              <c:strCache>
                <c:ptCount val="1"/>
                <c:pt idx="0">
                  <c:v>Ver-
fügbar</c:v>
                </c:pt>
              </c:strCache>
            </c:strRef>
          </c:tx>
          <c:spPr>
            <a:solidFill>
              <a:srgbClr val="2fa98c"/>
            </a:solidFill>
            <a:ln w="0">
              <a:solidFill>
                <a:srgbClr val="2fa98c"/>
              </a:solidFill>
            </a:ln>
          </c:spPr>
          <c:invertIfNegative val="0"/>
          <c:dLbls>
            <c:txPr>
              <a:bodyPr wrap="square"/>
              <a:lstStyle/>
              <a:p>
                <a:pPr>
                  <a:defRPr b="0" sz="1000" spc="-1" strike="noStrike">
                    <a:solidFill>
                      <a:srgbClr val="000000"/>
                    </a:solidFill>
                    <a:latin typeface="Calibri"/>
                  </a:defRPr>
                </a:pPr>
              </a:p>
            </c:txPr>
            <c:dLblPos val="outEnd"/>
            <c:showLegendKey val="1"/>
            <c:showVal val="1"/>
            <c:showCatName val="1"/>
            <c:showSerName val="1"/>
            <c:showPercent val="0"/>
            <c:separator>; </c:separator>
            <c:showLeaderLines val="1"/>
            <c:extLst>
              <c:ext xmlns:c15="http://schemas.microsoft.com/office/drawing/2012/chart" uri="{CE6537A1-D6FC-4f65-9D91-7224C49458BB}">
                <c15:showLeaderLines val="1"/>
              </c:ext>
            </c:extLst>
          </c:dLbls>
          <c:cat>
            <c:strRef>
              <c:f>Cockpit!$B$20:$B$34</c:f>
              <c:strCache>
                <c:ptCount val="15"/>
                <c:pt idx="0">
                  <c:v>Ahrens, Nele</c:v>
                </c:pt>
                <c:pt idx="1">
                  <c:v>Brandt, Timo</c:v>
                </c:pt>
                <c:pt idx="2">
                  <c:v>Cordes, Freya</c:v>
                </c:pt>
                <c:pt idx="3">
                  <c:v>Dietrich, Malte</c:v>
                </c:pt>
                <c:pt idx="4">
                  <c:v>Engel, Sarah</c:v>
                </c:pt>
                <c:pt idx="5">
                  <c:v>Fischer, Jonas</c:v>
                </c:pt>
                <c:pt idx="6">
                  <c:v>Groth, Melanie</c:v>
                </c:pt>
                <c:pt idx="7">
                  <c:v>Haas, Robert</c:v>
                </c:pt>
                <c:pt idx="8">
                  <c:v>Iversen, Lina</c:v>
                </c:pt>
                <c:pt idx="9">
                  <c:v>Jansen, Pia</c:v>
                </c:pt>
                <c:pt idx="10">
                  <c:v>Kremer, David</c:v>
                </c:pt>
                <c:pt idx="11">
                  <c:v>Lindner, Anna</c:v>
                </c:pt>
                <c:pt idx="12">
                  <c:v>Möller, Sven</c:v>
                </c:pt>
                <c:pt idx="13">
                  <c:v>Neumann, Katrin</c:v>
                </c:pt>
                <c:pt idx="14">
                  <c:v>Oswald, Felix</c:v>
                </c:pt>
              </c:strCache>
            </c:strRef>
          </c:cat>
          <c:val>
            <c:numRef>
              <c:f>Cockpit!$J$20:$J$34</c:f>
              <c:numCache>
                <c:formatCode>0.0</c:formatCode>
                <c:ptCount val="15"/>
                <c:pt idx="0">
                  <c:v>2.5</c:v>
                </c:pt>
                <c:pt idx="1">
                  <c:v>7</c:v>
                </c:pt>
                <c:pt idx="2">
                  <c:v>5</c:v>
                </c:pt>
                <c:pt idx="3">
                  <c:v>2</c:v>
                </c:pt>
                <c:pt idx="4">
                  <c:v>1</c:v>
                </c:pt>
                <c:pt idx="5">
                  <c:v>8</c:v>
                </c:pt>
                <c:pt idx="6">
                  <c:v>3</c:v>
                </c:pt>
                <c:pt idx="7">
                  <c:v>7</c:v>
                </c:pt>
                <c:pt idx="8">
                  <c:v>4.5</c:v>
                </c:pt>
                <c:pt idx="9">
                  <c:v>3</c:v>
                </c:pt>
                <c:pt idx="10">
                  <c:v>3</c:v>
                </c:pt>
                <c:pt idx="11">
                  <c:v>9.5</c:v>
                </c:pt>
                <c:pt idx="12">
                  <c:v>3.5</c:v>
                </c:pt>
                <c:pt idx="13">
                  <c:v>6</c:v>
                </c:pt>
                <c:pt idx="14">
                  <c:v>8</c:v>
                </c:pt>
              </c:numCache>
            </c:numRef>
          </c:val>
        </c:ser>
        <c:gapWidth val="45"/>
        <c:overlap val="0"/>
        <c:axId val="16480614"/>
        <c:axId val="37673927"/>
      </c:barChart>
      <c:catAx>
        <c:axId val="16480614"/>
        <c:scaling>
          <c:orientation val="minMax"/>
        </c:scaling>
        <c:delete val="0"/>
        <c:axPos val="b"/>
        <c:numFmt formatCode="General" sourceLinked="1"/>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37673927"/>
        <c:crosses val="autoZero"/>
        <c:auto val="1"/>
        <c:lblAlgn val="ctr"/>
        <c:lblOffset val="100"/>
        <c:noMultiLvlLbl val="0"/>
      </c:catAx>
      <c:valAx>
        <c:axId val="37673927"/>
        <c:scaling>
          <c:orientation val="minMax"/>
        </c:scaling>
        <c:delete val="0"/>
        <c:axPos val="l"/>
        <c:majorGridlines>
          <c:spPr>
            <a:ln w="9360">
              <a:solidFill>
                <a:srgbClr val="878787"/>
              </a:solidFill>
              <a:round/>
            </a:ln>
          </c:spPr>
        </c:majorGridlines>
        <c:numFmt formatCode="0.0" sourceLinked="1"/>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16480614"/>
        <c:crosses val="autoZero"/>
        <c:crossBetween val="between"/>
      </c:valAx>
      <c:spPr>
        <a:noFill/>
        <a:ln w="0">
          <a:noFill/>
        </a:ln>
      </c:spPr>
    </c:plotArea>
    <c:plotVisOnly val="1"/>
    <c:dispBlanksAs val="gap"/>
  </c:chart>
  <c:spPr>
    <a:solidFill>
      <a:srgbClr val="ffffff"/>
    </a:solidFill>
    <a:ln w="9360">
      <a:solidFill>
        <a:srgbClr val="d9d9d9"/>
      </a:solidFill>
      <a:round/>
    </a:ln>
  </c:spPr>
</c:chartSpace>
</file>

<file path=xl/drawings/_rels/drawing1.xml.rels><?xml version="1.0" encoding="UTF-8"?>
<Relationships xmlns="http://schemas.openxmlformats.org/package/2006/relationships"><Relationship Id="rId1" Type="http://schemas.openxmlformats.org/officeDocument/2006/relationships/chart" Target="../charts/chart1.xml"/><Relationship Id="rId2" Type="http://schemas.openxmlformats.org/officeDocument/2006/relationships/chart" Target="../charts/chart2.xml"/>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0</xdr:colOff>
      <xdr:row>53</xdr:row>
      <xdr:rowOff>0</xdr:rowOff>
    </xdr:from>
    <xdr:to>
      <xdr:col>6</xdr:col>
      <xdr:colOff>770040</xdr:colOff>
      <xdr:row>70</xdr:row>
      <xdr:rowOff>145080</xdr:rowOff>
    </xdr:to>
    <xdr:graphicFrame>
      <xdr:nvGraphicFramePr>
        <xdr:cNvPr id="0" name="Chart 1"/>
        <xdr:cNvGraphicFramePr/>
      </xdr:nvGraphicFramePr>
      <xdr:xfrm>
        <a:off x="176400" y="12173040"/>
        <a:ext cx="5111640" cy="338364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7</xdr:col>
      <xdr:colOff>0</xdr:colOff>
      <xdr:row>53</xdr:row>
      <xdr:rowOff>0</xdr:rowOff>
    </xdr:from>
    <xdr:to>
      <xdr:col>12</xdr:col>
      <xdr:colOff>777960</xdr:colOff>
      <xdr:row>70</xdr:row>
      <xdr:rowOff>145080</xdr:rowOff>
    </xdr:to>
    <xdr:graphicFrame>
      <xdr:nvGraphicFramePr>
        <xdr:cNvPr id="1" name="Chart 2"/>
        <xdr:cNvGraphicFramePr/>
      </xdr:nvGraphicFramePr>
      <xdr:xfrm>
        <a:off x="5384880" y="12173040"/>
        <a:ext cx="5111640" cy="338364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48546F"/>
    <pageSetUpPr fitToPage="true"/>
  </sheetPr>
  <dimension ref="A1:N74"/>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5"/>
    <col collapsed="false" customWidth="true" hidden="false" outlineLevel="0" max="3" min="2" style="0" width="12"/>
    <col collapsed="false" customWidth="true" hidden="false" outlineLevel="0" max="4" min="4" style="0" width="13"/>
    <col collapsed="false" customWidth="true" hidden="false" outlineLevel="0" max="13" min="5" style="0" width="12.3"/>
    <col collapsed="false" customWidth="true" hidden="false" outlineLevel="0" max="14" min="14" style="0" width="2.5"/>
  </cols>
  <sheetData>
    <row r="1" customFormat="false" ht="9.75" hidden="false" customHeight="true" outlineLevel="0" collapsed="false">
      <c r="A1" s="1"/>
      <c r="B1" s="1"/>
      <c r="C1" s="1"/>
      <c r="D1" s="1"/>
      <c r="E1" s="1"/>
      <c r="F1" s="1"/>
      <c r="G1" s="1"/>
      <c r="H1" s="1"/>
      <c r="I1" s="1"/>
      <c r="J1" s="1"/>
      <c r="K1" s="1"/>
      <c r="L1" s="1"/>
      <c r="M1" s="1"/>
      <c r="N1" s="1"/>
    </row>
    <row r="2" customFormat="false" ht="30.75" hidden="false" customHeight="true" outlineLevel="0" collapsed="false">
      <c r="A2" s="2"/>
      <c r="B2" s="3" t="s">
        <v>0</v>
      </c>
      <c r="C2" s="4"/>
      <c r="D2" s="4"/>
      <c r="E2" s="4"/>
      <c r="F2" s="4"/>
      <c r="G2" s="4"/>
      <c r="H2" s="4"/>
      <c r="I2" s="4"/>
      <c r="J2" s="5" t="s">
        <v>1</v>
      </c>
      <c r="K2" s="5"/>
      <c r="L2" s="5"/>
      <c r="M2" s="5"/>
      <c r="N2" s="5"/>
    </row>
    <row r="3" customFormat="false" ht="18" hidden="false" customHeight="true" outlineLevel="0" collapsed="false">
      <c r="A3" s="2"/>
      <c r="B3" s="6" t="s">
        <v>2</v>
      </c>
      <c r="C3" s="7"/>
      <c r="D3" s="7"/>
      <c r="E3" s="7"/>
      <c r="F3" s="7"/>
      <c r="G3" s="7"/>
      <c r="H3" s="7"/>
      <c r="I3" s="7"/>
      <c r="J3" s="8" t="s">
        <v>3</v>
      </c>
      <c r="K3" s="8"/>
      <c r="L3" s="8"/>
      <c r="M3" s="8"/>
      <c r="N3" s="8"/>
    </row>
    <row r="4" customFormat="false" ht="4.5" hidden="false" customHeight="true" outlineLevel="0" collapsed="false">
      <c r="A4" s="9"/>
      <c r="B4" s="9"/>
      <c r="C4" s="9"/>
      <c r="D4" s="9"/>
      <c r="E4" s="9"/>
      <c r="F4" s="9"/>
      <c r="G4" s="9"/>
      <c r="H4" s="9"/>
      <c r="I4" s="9"/>
      <c r="J4" s="9"/>
      <c r="K4" s="9"/>
      <c r="L4" s="9"/>
      <c r="M4" s="9"/>
      <c r="N4" s="9"/>
    </row>
    <row r="6" customFormat="false" ht="13.5" hidden="false" customHeight="true" outlineLevel="0" collapsed="false">
      <c r="B6" s="10" t="s">
        <v>4</v>
      </c>
      <c r="C6" s="10"/>
      <c r="D6" s="10"/>
      <c r="E6" s="10" t="s">
        <v>5</v>
      </c>
      <c r="F6" s="10"/>
      <c r="G6" s="10"/>
      <c r="H6" s="10" t="s">
        <v>6</v>
      </c>
      <c r="I6" s="10"/>
      <c r="J6" s="10"/>
      <c r="K6" s="10" t="s">
        <v>7</v>
      </c>
      <c r="L6" s="10"/>
      <c r="M6" s="10"/>
    </row>
    <row r="7" customFormat="false" ht="22.5" hidden="false" customHeight="true" outlineLevel="0" collapsed="false">
      <c r="B7" s="11" t="s">
        <v>8</v>
      </c>
      <c r="C7" s="11"/>
      <c r="D7" s="11"/>
      <c r="E7" s="12" t="n">
        <f aca="false">Einstellungen!$E$7</f>
        <v>2026</v>
      </c>
      <c r="F7" s="12"/>
      <c r="G7" s="12"/>
      <c r="H7" s="13" t="n">
        <f aca="true">TODAY()</f>
        <v>46225</v>
      </c>
      <c r="I7" s="13"/>
      <c r="J7" s="13"/>
      <c r="K7" s="11" t="s">
        <v>9</v>
      </c>
      <c r="L7" s="11"/>
      <c r="M7" s="11"/>
    </row>
    <row r="9" customFormat="false" ht="21" hidden="false" customHeight="true" outlineLevel="0" collapsed="false">
      <c r="B9" s="14" t="s">
        <v>10</v>
      </c>
      <c r="C9" s="15"/>
      <c r="D9" s="15"/>
      <c r="E9" s="15"/>
      <c r="F9" s="15"/>
      <c r="G9" s="15"/>
      <c r="H9" s="15"/>
      <c r="I9" s="15"/>
      <c r="J9" s="15"/>
      <c r="K9" s="15"/>
      <c r="L9" s="15"/>
      <c r="M9" s="15"/>
    </row>
    <row r="10" customFormat="false" ht="15.75" hidden="false" customHeight="true" outlineLevel="0" collapsed="false">
      <c r="B10" s="16" t="s">
        <v>11</v>
      </c>
      <c r="C10" s="16"/>
      <c r="D10" s="16"/>
      <c r="E10" s="16" t="s">
        <v>12</v>
      </c>
      <c r="F10" s="16"/>
      <c r="G10" s="16"/>
      <c r="H10" s="16" t="s">
        <v>13</v>
      </c>
      <c r="I10" s="16"/>
      <c r="J10" s="16"/>
      <c r="K10" s="16" t="s">
        <v>14</v>
      </c>
      <c r="L10" s="16"/>
      <c r="M10" s="16"/>
    </row>
    <row r="11" customFormat="false" ht="27.75" hidden="false" customHeight="true" outlineLevel="0" collapsed="false">
      <c r="B11" s="17" t="n">
        <f aca="false">COUNTIF(Jahresplan!$B$10:$B$29,"?*")</f>
        <v>15</v>
      </c>
      <c r="C11" s="17"/>
      <c r="D11" s="17"/>
      <c r="E11" s="18" t="n">
        <f aca="false">SUM(Jahresplan!$D$10:$D$29)+SUM(Jahresplan!$E$10:$E$29)</f>
        <v>469</v>
      </c>
      <c r="F11" s="18"/>
      <c r="G11" s="18"/>
      <c r="H11" s="18" t="n">
        <f aca="false">SUM(Jahresplan!$F$10:$F$29)</f>
        <v>396</v>
      </c>
      <c r="I11" s="18"/>
      <c r="J11" s="18"/>
      <c r="K11" s="18" t="n">
        <f aca="false">SUM(Jahresplan!$G$10:$G$29)</f>
        <v>73</v>
      </c>
      <c r="L11" s="18"/>
      <c r="M11" s="18"/>
    </row>
    <row r="12" customFormat="false" ht="13.5" hidden="false" customHeight="true" outlineLevel="0" collapsed="false">
      <c r="B12" s="19" t="s">
        <v>15</v>
      </c>
      <c r="C12" s="19"/>
      <c r="D12" s="19"/>
      <c r="E12" s="19" t="s">
        <v>16</v>
      </c>
      <c r="F12" s="19"/>
      <c r="G12" s="19"/>
      <c r="H12" s="19" t="s">
        <v>17</v>
      </c>
      <c r="I12" s="19"/>
      <c r="J12" s="19"/>
      <c r="K12" s="19" t="s">
        <v>18</v>
      </c>
      <c r="L12" s="19"/>
      <c r="M12" s="19"/>
    </row>
    <row r="14" customFormat="false" ht="15.75" hidden="false" customHeight="true" outlineLevel="0" collapsed="false">
      <c r="B14" s="16" t="s">
        <v>19</v>
      </c>
      <c r="C14" s="16"/>
      <c r="D14" s="16"/>
      <c r="E14" s="16" t="s">
        <v>20</v>
      </c>
      <c r="F14" s="16"/>
      <c r="G14" s="16"/>
      <c r="H14" s="16" t="s">
        <v>21</v>
      </c>
      <c r="I14" s="16"/>
      <c r="J14" s="16"/>
      <c r="K14" s="16" t="s">
        <v>22</v>
      </c>
      <c r="L14" s="16"/>
      <c r="M14" s="16"/>
    </row>
    <row r="15" customFormat="false" ht="27.75" hidden="false" customHeight="true" outlineLevel="0" collapsed="false">
      <c r="B15" s="20" t="n">
        <f aca="false">IFERROR(SUM(Jahresplan!$F$10:$F$29)/(SUM(Jahresplan!$D$10:$D$29)+SUM(Jahresplan!$E$10:$E$29)),0)</f>
        <v>0.844349680170576</v>
      </c>
      <c r="C15" s="20"/>
      <c r="D15" s="20"/>
      <c r="E15" s="21" t="n">
        <f aca="false">COUNTIF(Jahresplan!$H$10:$NO$29,"K")+COUNTIF(Jahresplan!$H$10:$NO$29,"KK")</f>
        <v>20</v>
      </c>
      <c r="F15" s="21"/>
      <c r="G15" s="21"/>
      <c r="H15" s="21" t="n">
        <f aca="false">COUNTIF(Jahresplan!$H$10:$NO$29,"HO")</f>
        <v>11</v>
      </c>
      <c r="I15" s="21"/>
      <c r="J15" s="21"/>
      <c r="K15" s="22" t="n">
        <f aca="true">IFERROR(COUNTA(INDEX(Jahresplan!$H$10:$NO$29,0,MATCH(TODAY(),Jahresplan!$H$5:$NO$5,0)))-COUNTIF(INDEX(Jahresplan!$H$10:$NO$29,0,MATCH(TODAY(),Jahresplan!$H$5:$NO$5,0)),"HO"),0)</f>
        <v>5</v>
      </c>
      <c r="L15" s="22"/>
      <c r="M15" s="22"/>
    </row>
    <row r="16" customFormat="false" ht="13.5" hidden="false" customHeight="true" outlineLevel="0" collapsed="false">
      <c r="B16" s="19" t="s">
        <v>23</v>
      </c>
      <c r="C16" s="19"/>
      <c r="D16" s="19"/>
      <c r="E16" s="19" t="s">
        <v>24</v>
      </c>
      <c r="F16" s="19"/>
      <c r="G16" s="19"/>
      <c r="H16" s="19" t="s">
        <v>25</v>
      </c>
      <c r="I16" s="19"/>
      <c r="J16" s="19"/>
      <c r="K16" s="19" t="s">
        <v>26</v>
      </c>
      <c r="L16" s="19"/>
      <c r="M16" s="19"/>
    </row>
    <row r="18" customFormat="false" ht="21" hidden="false" customHeight="true" outlineLevel="0" collapsed="false">
      <c r="B18" s="14" t="s">
        <v>27</v>
      </c>
      <c r="C18" s="15"/>
      <c r="D18" s="15"/>
      <c r="E18" s="15"/>
      <c r="F18" s="15"/>
      <c r="G18" s="15"/>
      <c r="H18" s="15"/>
      <c r="I18" s="15"/>
      <c r="J18" s="15"/>
      <c r="K18" s="15"/>
      <c r="L18" s="15"/>
      <c r="M18" s="15"/>
    </row>
    <row r="19" customFormat="false" ht="31.5" hidden="false" customHeight="true" outlineLevel="0" collapsed="false">
      <c r="B19" s="23" t="s">
        <v>28</v>
      </c>
      <c r="C19" s="23"/>
      <c r="D19" s="23" t="s">
        <v>29</v>
      </c>
      <c r="E19" s="24" t="s">
        <v>30</v>
      </c>
      <c r="F19" s="24" t="s">
        <v>31</v>
      </c>
      <c r="G19" s="24" t="s">
        <v>32</v>
      </c>
      <c r="H19" s="24" t="s">
        <v>33</v>
      </c>
      <c r="I19" s="24" t="s">
        <v>34</v>
      </c>
      <c r="J19" s="24" t="s">
        <v>35</v>
      </c>
      <c r="K19" s="24" t="s">
        <v>36</v>
      </c>
      <c r="L19" s="24" t="s">
        <v>37</v>
      </c>
      <c r="M19" s="24" t="s">
        <v>38</v>
      </c>
    </row>
    <row r="20" customFormat="false" ht="18" hidden="false" customHeight="true" outlineLevel="0" collapsed="false">
      <c r="B20" s="25" t="str">
        <f aca="false">Jahresplan!$B$10</f>
        <v>Ahrens, Nele</v>
      </c>
      <c r="C20" s="25"/>
      <c r="D20" s="26" t="str">
        <f aca="false">Jahresplan!$C$10</f>
        <v>Verwaltung</v>
      </c>
      <c r="E20" s="27" t="n">
        <f aca="false">Jahresplan!$D$10</f>
        <v>30</v>
      </c>
      <c r="F20" s="27" t="n">
        <f aca="false">Jahresplan!$E$10</f>
        <v>3</v>
      </c>
      <c r="G20" s="27" t="n">
        <f aca="false">$E20+$F20</f>
        <v>33</v>
      </c>
      <c r="H20" s="27" t="n">
        <f aca="false">Jahresplan!$F$10</f>
        <v>30.5</v>
      </c>
      <c r="I20" s="27" t="n">
        <f aca="true">SUMPRODUCT((Jahresplan!$H$5:$NO$5&lt;&gt;"")*(Jahresplan!$H$5:$NO$5&lt;=TODAY())*(Jahresplan!$H$10:$NO$10="U"))+0.5*SUMPRODUCT((Jahresplan!$H$5:$NO$5&lt;&gt;"")*(Jahresplan!$H$5:$NO$5&lt;=TODAY())*(Jahresplan!$H$10:$NO$10="H"))</f>
        <v>17</v>
      </c>
      <c r="J20" s="28" t="n">
        <f aca="false">Jahresplan!$G$10</f>
        <v>2.5</v>
      </c>
      <c r="K20" s="29" t="n">
        <f aca="false">IFERROR($H20/$G20,"")</f>
        <v>0.924242424242424</v>
      </c>
      <c r="L20" s="30" t="n">
        <f aca="false">COUNTIF(Jahresplan!$H$10:$NO$10,"K")+COUNTIF(Jahresplan!$H$10:$NO$10,"KK")</f>
        <v>2</v>
      </c>
      <c r="M20" s="30" t="n">
        <f aca="false">COUNTIF(Jahresplan!$H$10:$NO$10,"HO")</f>
        <v>1</v>
      </c>
    </row>
    <row r="21" customFormat="false" ht="18" hidden="false" customHeight="true" outlineLevel="0" collapsed="false">
      <c r="B21" s="31" t="str">
        <f aca="false">Jahresplan!$B$11</f>
        <v>Brandt, Timo</v>
      </c>
      <c r="C21" s="31"/>
      <c r="D21" s="32" t="str">
        <f aca="false">Jahresplan!$C$11</f>
        <v>Verwaltung</v>
      </c>
      <c r="E21" s="33" t="n">
        <f aca="false">Jahresplan!$D$11</f>
        <v>30</v>
      </c>
      <c r="F21" s="33" t="n">
        <f aca="false">Jahresplan!$E$11</f>
        <v>0</v>
      </c>
      <c r="G21" s="33" t="n">
        <f aca="false">$E21+$F21</f>
        <v>30</v>
      </c>
      <c r="H21" s="33" t="n">
        <f aca="false">Jahresplan!$F$11</f>
        <v>23</v>
      </c>
      <c r="I21" s="33" t="n">
        <f aca="true">SUMPRODUCT((Jahresplan!$H$5:$NO$5&lt;&gt;"")*(Jahresplan!$H$5:$NO$5&lt;=TODAY())*(Jahresplan!$H$11:$NO$11="U"))+0.5*SUMPRODUCT((Jahresplan!$H$5:$NO$5&lt;&gt;"")*(Jahresplan!$H$5:$NO$5&lt;=TODAY())*(Jahresplan!$H$11:$NO$11="H"))</f>
        <v>15</v>
      </c>
      <c r="J21" s="34" t="n">
        <f aca="false">Jahresplan!$G$11</f>
        <v>7</v>
      </c>
      <c r="K21" s="35" t="n">
        <f aca="false">IFERROR($H21/$G21,"")</f>
        <v>0.766666666666667</v>
      </c>
      <c r="L21" s="36" t="n">
        <f aca="false">COUNTIF(Jahresplan!$H$11:$NO$11,"K")+COUNTIF(Jahresplan!$H$11:$NO$11,"KK")</f>
        <v>3</v>
      </c>
      <c r="M21" s="36" t="n">
        <f aca="false">COUNTIF(Jahresplan!$H$11:$NO$11,"HO")</f>
        <v>1</v>
      </c>
    </row>
    <row r="22" customFormat="false" ht="18" hidden="false" customHeight="true" outlineLevel="0" collapsed="false">
      <c r="B22" s="25" t="str">
        <f aca="false">Jahresplan!$B$12</f>
        <v>Cordes, Freya</v>
      </c>
      <c r="C22" s="25"/>
      <c r="D22" s="26" t="str">
        <f aca="false">Jahresplan!$C$12</f>
        <v>Verwaltung</v>
      </c>
      <c r="E22" s="27" t="n">
        <f aca="false">Jahresplan!$D$12</f>
        <v>28</v>
      </c>
      <c r="F22" s="27" t="n">
        <f aca="false">Jahresplan!$E$12</f>
        <v>5</v>
      </c>
      <c r="G22" s="27" t="n">
        <f aca="false">$E22+$F22</f>
        <v>33</v>
      </c>
      <c r="H22" s="27" t="n">
        <f aca="false">Jahresplan!$F$12</f>
        <v>28</v>
      </c>
      <c r="I22" s="27" t="n">
        <f aca="true">SUMPRODUCT((Jahresplan!$H$5:$NO$5&lt;&gt;"")*(Jahresplan!$H$5:$NO$5&lt;=TODAY())*(Jahresplan!$H$12:$NO$12="U"))+0.5*SUMPRODUCT((Jahresplan!$H$5:$NO$5&lt;&gt;"")*(Jahresplan!$H$5:$NO$5&lt;=TODAY())*(Jahresplan!$H$12:$NO$12="H"))</f>
        <v>5</v>
      </c>
      <c r="J22" s="28" t="n">
        <f aca="false">Jahresplan!$G$12</f>
        <v>5</v>
      </c>
      <c r="K22" s="29" t="n">
        <f aca="false">IFERROR($H22/$G22,"")</f>
        <v>0.848484848484849</v>
      </c>
      <c r="L22" s="30" t="n">
        <f aca="false">COUNTIF(Jahresplan!$H$12:$NO$12,"K")+COUNTIF(Jahresplan!$H$12:$NO$12,"KK")</f>
        <v>1</v>
      </c>
      <c r="M22" s="30" t="n">
        <f aca="false">COUNTIF(Jahresplan!$H$12:$NO$12,"HO")</f>
        <v>1</v>
      </c>
    </row>
    <row r="23" customFormat="false" ht="18" hidden="false" customHeight="true" outlineLevel="0" collapsed="false">
      <c r="B23" s="31" t="str">
        <f aca="false">Jahresplan!$B$13</f>
        <v>Dietrich, Malte</v>
      </c>
      <c r="C23" s="31"/>
      <c r="D23" s="32" t="str">
        <f aca="false">Jahresplan!$C$13</f>
        <v>Vertrieb</v>
      </c>
      <c r="E23" s="33" t="n">
        <f aca="false">Jahresplan!$D$13</f>
        <v>30</v>
      </c>
      <c r="F23" s="33" t="n">
        <f aca="false">Jahresplan!$E$13</f>
        <v>2</v>
      </c>
      <c r="G23" s="33" t="n">
        <f aca="false">$E23+$F23</f>
        <v>32</v>
      </c>
      <c r="H23" s="33" t="n">
        <f aca="false">Jahresplan!$F$13</f>
        <v>30</v>
      </c>
      <c r="I23" s="33" t="n">
        <f aca="true">SUMPRODUCT((Jahresplan!$H$5:$NO$5&lt;&gt;"")*(Jahresplan!$H$5:$NO$5&lt;=TODAY())*(Jahresplan!$H$13:$NO$13="U"))+0.5*SUMPRODUCT((Jahresplan!$H$5:$NO$5&lt;&gt;"")*(Jahresplan!$H$5:$NO$5&lt;=TODAY())*(Jahresplan!$H$13:$NO$13="H"))</f>
        <v>8</v>
      </c>
      <c r="J23" s="34" t="n">
        <f aca="false">Jahresplan!$G$13</f>
        <v>2</v>
      </c>
      <c r="K23" s="35" t="n">
        <f aca="false">IFERROR($H23/$G23,"")</f>
        <v>0.9375</v>
      </c>
      <c r="L23" s="36" t="n">
        <f aca="false">COUNTIF(Jahresplan!$H$13:$NO$13,"K")+COUNTIF(Jahresplan!$H$13:$NO$13,"KK")</f>
        <v>0</v>
      </c>
      <c r="M23" s="36" t="n">
        <f aca="false">COUNTIF(Jahresplan!$H$13:$NO$13,"HO")</f>
        <v>0</v>
      </c>
    </row>
    <row r="24" customFormat="false" ht="18" hidden="false" customHeight="true" outlineLevel="0" collapsed="false">
      <c r="B24" s="25" t="str">
        <f aca="false">Jahresplan!$B$14</f>
        <v>Engel, Sarah</v>
      </c>
      <c r="C24" s="25"/>
      <c r="D24" s="26" t="str">
        <f aca="false">Jahresplan!$C$14</f>
        <v>Vertrieb</v>
      </c>
      <c r="E24" s="27" t="n">
        <f aca="false">Jahresplan!$D$14</f>
        <v>30</v>
      </c>
      <c r="F24" s="27" t="n">
        <f aca="false">Jahresplan!$E$14</f>
        <v>0</v>
      </c>
      <c r="G24" s="27" t="n">
        <f aca="false">$E24+$F24</f>
        <v>30</v>
      </c>
      <c r="H24" s="27" t="n">
        <f aca="false">Jahresplan!$F$14</f>
        <v>29</v>
      </c>
      <c r="I24" s="27" t="n">
        <f aca="true">SUMPRODUCT((Jahresplan!$H$5:$NO$5&lt;&gt;"")*(Jahresplan!$H$5:$NO$5&lt;=TODAY())*(Jahresplan!$H$14:$NO$14="U"))+0.5*SUMPRODUCT((Jahresplan!$H$5:$NO$5&lt;&gt;"")*(Jahresplan!$H$5:$NO$5&lt;=TODAY())*(Jahresplan!$H$14:$NO$14="H"))</f>
        <v>5</v>
      </c>
      <c r="J24" s="28" t="n">
        <f aca="false">Jahresplan!$G$14</f>
        <v>1</v>
      </c>
      <c r="K24" s="29" t="n">
        <f aca="false">IFERROR($H24/$G24,"")</f>
        <v>0.966666666666667</v>
      </c>
      <c r="L24" s="30" t="n">
        <f aca="false">COUNTIF(Jahresplan!$H$14:$NO$14,"K")+COUNTIF(Jahresplan!$H$14:$NO$14,"KK")</f>
        <v>2</v>
      </c>
      <c r="M24" s="30" t="n">
        <f aca="false">COUNTIF(Jahresplan!$H$14:$NO$14,"HO")</f>
        <v>1</v>
      </c>
    </row>
    <row r="25" customFormat="false" ht="18" hidden="false" customHeight="true" outlineLevel="0" collapsed="false">
      <c r="B25" s="31" t="str">
        <f aca="false">Jahresplan!$B$15</f>
        <v>Fischer, Jonas</v>
      </c>
      <c r="C25" s="31"/>
      <c r="D25" s="32" t="str">
        <f aca="false">Jahresplan!$C$15</f>
        <v>Vertrieb</v>
      </c>
      <c r="E25" s="33" t="n">
        <f aca="false">Jahresplan!$D$15</f>
        <v>27</v>
      </c>
      <c r="F25" s="33" t="n">
        <f aca="false">Jahresplan!$E$15</f>
        <v>4</v>
      </c>
      <c r="G25" s="33" t="n">
        <f aca="false">$E25+$F25</f>
        <v>31</v>
      </c>
      <c r="H25" s="33" t="n">
        <f aca="false">Jahresplan!$F$15</f>
        <v>23</v>
      </c>
      <c r="I25" s="33" t="n">
        <f aca="true">SUMPRODUCT((Jahresplan!$H$5:$NO$5&lt;&gt;"")*(Jahresplan!$H$5:$NO$5&lt;=TODAY())*(Jahresplan!$H$15:$NO$15="U"))+0.5*SUMPRODUCT((Jahresplan!$H$5:$NO$5&lt;&gt;"")*(Jahresplan!$H$5:$NO$5&lt;=TODAY())*(Jahresplan!$H$15:$NO$15="H"))</f>
        <v>5</v>
      </c>
      <c r="J25" s="34" t="n">
        <f aca="false">Jahresplan!$G$15</f>
        <v>8</v>
      </c>
      <c r="K25" s="35" t="n">
        <f aca="false">IFERROR($H25/$G25,"")</f>
        <v>0.741935483870968</v>
      </c>
      <c r="L25" s="36" t="n">
        <f aca="false">COUNTIF(Jahresplan!$H$15:$NO$15,"K")+COUNTIF(Jahresplan!$H$15:$NO$15,"KK")</f>
        <v>1</v>
      </c>
      <c r="M25" s="36" t="n">
        <f aca="false">COUNTIF(Jahresplan!$H$15:$NO$15,"HO")</f>
        <v>1</v>
      </c>
    </row>
    <row r="26" customFormat="false" ht="18" hidden="false" customHeight="true" outlineLevel="0" collapsed="false">
      <c r="B26" s="25" t="str">
        <f aca="false">Jahresplan!$B$16</f>
        <v>Groth, Melanie</v>
      </c>
      <c r="C26" s="25"/>
      <c r="D26" s="26" t="str">
        <f aca="false">Jahresplan!$C$16</f>
        <v>Technik</v>
      </c>
      <c r="E26" s="27" t="n">
        <f aca="false">Jahresplan!$D$16</f>
        <v>30</v>
      </c>
      <c r="F26" s="27" t="n">
        <f aca="false">Jahresplan!$E$16</f>
        <v>6</v>
      </c>
      <c r="G26" s="27" t="n">
        <f aca="false">$E26+$F26</f>
        <v>36</v>
      </c>
      <c r="H26" s="27" t="n">
        <f aca="false">Jahresplan!$F$16</f>
        <v>33</v>
      </c>
      <c r="I26" s="27" t="n">
        <f aca="true">SUMPRODUCT((Jahresplan!$H$5:$NO$5&lt;&gt;"")*(Jahresplan!$H$5:$NO$5&lt;=TODAY())*(Jahresplan!$H$16:$NO$16="U"))+0.5*SUMPRODUCT((Jahresplan!$H$5:$NO$5&lt;&gt;"")*(Jahresplan!$H$5:$NO$5&lt;=TODAY())*(Jahresplan!$H$16:$NO$16="H"))</f>
        <v>18</v>
      </c>
      <c r="J26" s="28" t="n">
        <f aca="false">Jahresplan!$G$16</f>
        <v>3</v>
      </c>
      <c r="K26" s="29" t="n">
        <f aca="false">IFERROR($H26/$G26,"")</f>
        <v>0.916666666666667</v>
      </c>
      <c r="L26" s="30" t="n">
        <f aca="false">COUNTIF(Jahresplan!$H$16:$NO$16,"K")+COUNTIF(Jahresplan!$H$16:$NO$16,"KK")</f>
        <v>0</v>
      </c>
      <c r="M26" s="30" t="n">
        <f aca="false">COUNTIF(Jahresplan!$H$16:$NO$16,"HO")</f>
        <v>1</v>
      </c>
    </row>
    <row r="27" customFormat="false" ht="18" hidden="false" customHeight="true" outlineLevel="0" collapsed="false">
      <c r="B27" s="31" t="str">
        <f aca="false">Jahresplan!$B$17</f>
        <v>Haas, Robert</v>
      </c>
      <c r="C27" s="31"/>
      <c r="D27" s="32" t="str">
        <f aca="false">Jahresplan!$C$17</f>
        <v>Technik</v>
      </c>
      <c r="E27" s="33" t="n">
        <f aca="false">Jahresplan!$D$17</f>
        <v>30</v>
      </c>
      <c r="F27" s="33" t="n">
        <f aca="false">Jahresplan!$E$17</f>
        <v>0</v>
      </c>
      <c r="G27" s="33" t="n">
        <f aca="false">$E27+$F27</f>
        <v>30</v>
      </c>
      <c r="H27" s="33" t="n">
        <f aca="false">Jahresplan!$F$17</f>
        <v>23</v>
      </c>
      <c r="I27" s="33" t="n">
        <f aca="true">SUMPRODUCT((Jahresplan!$H$5:$NO$5&lt;&gt;"")*(Jahresplan!$H$5:$NO$5&lt;=TODAY())*(Jahresplan!$H$17:$NO$17="U"))+0.5*SUMPRODUCT((Jahresplan!$H$5:$NO$5&lt;&gt;"")*(Jahresplan!$H$5:$NO$5&lt;=TODAY())*(Jahresplan!$H$17:$NO$17="H"))</f>
        <v>5</v>
      </c>
      <c r="J27" s="34" t="n">
        <f aca="false">Jahresplan!$G$17</f>
        <v>7</v>
      </c>
      <c r="K27" s="35" t="n">
        <f aca="false">IFERROR($H27/$G27,"")</f>
        <v>0.766666666666667</v>
      </c>
      <c r="L27" s="36" t="n">
        <f aca="false">COUNTIF(Jahresplan!$H$17:$NO$17,"K")+COUNTIF(Jahresplan!$H$17:$NO$17,"KK")</f>
        <v>3</v>
      </c>
      <c r="M27" s="36" t="n">
        <f aca="false">COUNTIF(Jahresplan!$H$17:$NO$17,"HO")</f>
        <v>0</v>
      </c>
    </row>
    <row r="28" customFormat="false" ht="18" hidden="false" customHeight="true" outlineLevel="0" collapsed="false">
      <c r="B28" s="25" t="str">
        <f aca="false">Jahresplan!$B$18</f>
        <v>Iversen, Lina</v>
      </c>
      <c r="C28" s="25"/>
      <c r="D28" s="26" t="str">
        <f aca="false">Jahresplan!$C$18</f>
        <v>Technik</v>
      </c>
      <c r="E28" s="27" t="n">
        <f aca="false">Jahresplan!$D$18</f>
        <v>25</v>
      </c>
      <c r="F28" s="27" t="n">
        <f aca="false">Jahresplan!$E$18</f>
        <v>3</v>
      </c>
      <c r="G28" s="27" t="n">
        <f aca="false">$E28+$F28</f>
        <v>28</v>
      </c>
      <c r="H28" s="27" t="n">
        <f aca="false">Jahresplan!$F$18</f>
        <v>23.5</v>
      </c>
      <c r="I28" s="27" t="n">
        <f aca="true">SUMPRODUCT((Jahresplan!$H$5:$NO$5&lt;&gt;"")*(Jahresplan!$H$5:$NO$5&lt;=TODAY())*(Jahresplan!$H$18:$NO$18="U"))+0.5*SUMPRODUCT((Jahresplan!$H$5:$NO$5&lt;&gt;"")*(Jahresplan!$H$5:$NO$5&lt;=TODAY())*(Jahresplan!$H$18:$NO$18="H"))</f>
        <v>5.5</v>
      </c>
      <c r="J28" s="28" t="n">
        <f aca="false">Jahresplan!$G$18</f>
        <v>4.5</v>
      </c>
      <c r="K28" s="29" t="n">
        <f aca="false">IFERROR($H28/$G28,"")</f>
        <v>0.839285714285714</v>
      </c>
      <c r="L28" s="30" t="n">
        <f aca="false">COUNTIF(Jahresplan!$H$18:$NO$18,"K")+COUNTIF(Jahresplan!$H$18:$NO$18,"KK")</f>
        <v>1</v>
      </c>
      <c r="M28" s="30" t="n">
        <f aca="false">COUNTIF(Jahresplan!$H$18:$NO$18,"HO")</f>
        <v>1</v>
      </c>
    </row>
    <row r="29" customFormat="false" ht="18" hidden="false" customHeight="true" outlineLevel="0" collapsed="false">
      <c r="B29" s="31" t="str">
        <f aca="false">Jahresplan!$B$19</f>
        <v>Jansen, Pia</v>
      </c>
      <c r="C29" s="31"/>
      <c r="D29" s="32" t="str">
        <f aca="false">Jahresplan!$C$19</f>
        <v>Kundenservice</v>
      </c>
      <c r="E29" s="33" t="n">
        <f aca="false">Jahresplan!$D$19</f>
        <v>30</v>
      </c>
      <c r="F29" s="33" t="n">
        <f aca="false">Jahresplan!$E$19</f>
        <v>1</v>
      </c>
      <c r="G29" s="33" t="n">
        <f aca="false">$E29+$F29</f>
        <v>31</v>
      </c>
      <c r="H29" s="33" t="n">
        <f aca="false">Jahresplan!$F$19</f>
        <v>28</v>
      </c>
      <c r="I29" s="33" t="n">
        <f aca="true">SUMPRODUCT((Jahresplan!$H$5:$NO$5&lt;&gt;"")*(Jahresplan!$H$5:$NO$5&lt;=TODAY())*(Jahresplan!$H$19:$NO$19="U"))+0.5*SUMPRODUCT((Jahresplan!$H$5:$NO$5&lt;&gt;"")*(Jahresplan!$H$5:$NO$5&lt;=TODAY())*(Jahresplan!$H$19:$NO$19="H"))</f>
        <v>5</v>
      </c>
      <c r="J29" s="34" t="n">
        <f aca="false">Jahresplan!$G$19</f>
        <v>3</v>
      </c>
      <c r="K29" s="35" t="n">
        <f aca="false">IFERROR($H29/$G29,"")</f>
        <v>0.903225806451613</v>
      </c>
      <c r="L29" s="36" t="n">
        <f aca="false">COUNTIF(Jahresplan!$H$19:$NO$19,"K")+COUNTIF(Jahresplan!$H$19:$NO$19,"KK")</f>
        <v>2</v>
      </c>
      <c r="M29" s="36" t="n">
        <f aca="false">COUNTIF(Jahresplan!$H$19:$NO$19,"HO")</f>
        <v>0</v>
      </c>
    </row>
    <row r="30" customFormat="false" ht="18" hidden="false" customHeight="true" outlineLevel="0" collapsed="false">
      <c r="B30" s="25" t="str">
        <f aca="false">Jahresplan!$B$20</f>
        <v>Kremer, David</v>
      </c>
      <c r="C30" s="25"/>
      <c r="D30" s="26" t="str">
        <f aca="false">Jahresplan!$C$20</f>
        <v>Kundenservice</v>
      </c>
      <c r="E30" s="27" t="n">
        <f aca="false">Jahresplan!$D$20</f>
        <v>28</v>
      </c>
      <c r="F30" s="27" t="n">
        <f aca="false">Jahresplan!$E$20</f>
        <v>0</v>
      </c>
      <c r="G30" s="27" t="n">
        <f aca="false">$E30+$F30</f>
        <v>28</v>
      </c>
      <c r="H30" s="27" t="n">
        <f aca="false">Jahresplan!$F$20</f>
        <v>25</v>
      </c>
      <c r="I30" s="27" t="n">
        <f aca="true">SUMPRODUCT((Jahresplan!$H$5:$NO$5&lt;&gt;"")*(Jahresplan!$H$5:$NO$5&lt;=TODAY())*(Jahresplan!$H$20:$NO$20="U"))+0.5*SUMPRODUCT((Jahresplan!$H$5:$NO$5&lt;&gt;"")*(Jahresplan!$H$5:$NO$5&lt;=TODAY())*(Jahresplan!$H$20:$NO$20="H"))</f>
        <v>13</v>
      </c>
      <c r="J30" s="28" t="n">
        <f aca="false">Jahresplan!$G$20</f>
        <v>3</v>
      </c>
      <c r="K30" s="29" t="n">
        <f aca="false">IFERROR($H30/$G30,"")</f>
        <v>0.892857142857143</v>
      </c>
      <c r="L30" s="30" t="n">
        <f aca="false">COUNTIF(Jahresplan!$H$20:$NO$20,"K")+COUNTIF(Jahresplan!$H$20:$NO$20,"KK")</f>
        <v>0</v>
      </c>
      <c r="M30" s="30" t="n">
        <f aca="false">COUNTIF(Jahresplan!$H$20:$NO$20,"HO")</f>
        <v>1</v>
      </c>
    </row>
    <row r="31" customFormat="false" ht="18" hidden="false" customHeight="true" outlineLevel="0" collapsed="false">
      <c r="B31" s="31" t="str">
        <f aca="false">Jahresplan!$B$21</f>
        <v>Lindner, Anna</v>
      </c>
      <c r="C31" s="31"/>
      <c r="D31" s="32" t="str">
        <f aca="false">Jahresplan!$C$21</f>
        <v>Kundenservice</v>
      </c>
      <c r="E31" s="33" t="n">
        <f aca="false">Jahresplan!$D$21</f>
        <v>30</v>
      </c>
      <c r="F31" s="33" t="n">
        <f aca="false">Jahresplan!$E$21</f>
        <v>4</v>
      </c>
      <c r="G31" s="33" t="n">
        <f aca="false">$E31+$F31</f>
        <v>34</v>
      </c>
      <c r="H31" s="33" t="n">
        <f aca="false">Jahresplan!$F$21</f>
        <v>24.5</v>
      </c>
      <c r="I31" s="33" t="n">
        <f aca="true">SUMPRODUCT((Jahresplan!$H$5:$NO$5&lt;&gt;"")*(Jahresplan!$H$5:$NO$5&lt;=TODAY())*(Jahresplan!$H$21:$NO$21="U"))+0.5*SUMPRODUCT((Jahresplan!$H$5:$NO$5&lt;&gt;"")*(Jahresplan!$H$5:$NO$5&lt;=TODAY())*(Jahresplan!$H$21:$NO$21="H"))</f>
        <v>5.5</v>
      </c>
      <c r="J31" s="34" t="n">
        <f aca="false">Jahresplan!$G$21</f>
        <v>9.5</v>
      </c>
      <c r="K31" s="35" t="n">
        <f aca="false">IFERROR($H31/$G31,"")</f>
        <v>0.720588235294118</v>
      </c>
      <c r="L31" s="36" t="n">
        <f aca="false">COUNTIF(Jahresplan!$H$21:$NO$21,"K")+COUNTIF(Jahresplan!$H$21:$NO$21,"KK")</f>
        <v>2</v>
      </c>
      <c r="M31" s="36" t="n">
        <f aca="false">COUNTIF(Jahresplan!$H$21:$NO$21,"HO")</f>
        <v>1</v>
      </c>
    </row>
    <row r="32" customFormat="false" ht="18" hidden="false" customHeight="true" outlineLevel="0" collapsed="false">
      <c r="B32" s="25" t="str">
        <f aca="false">Jahresplan!$B$22</f>
        <v>Möller, Sven</v>
      </c>
      <c r="C32" s="25"/>
      <c r="D32" s="26" t="str">
        <f aca="false">Jahresplan!$C$22</f>
        <v>Finanzen</v>
      </c>
      <c r="E32" s="27" t="n">
        <f aca="false">Jahresplan!$D$22</f>
        <v>30</v>
      </c>
      <c r="F32" s="27" t="n">
        <f aca="false">Jahresplan!$E$22</f>
        <v>2</v>
      </c>
      <c r="G32" s="27" t="n">
        <f aca="false">$E32+$F32</f>
        <v>32</v>
      </c>
      <c r="H32" s="27" t="n">
        <f aca="false">Jahresplan!$F$22</f>
        <v>28.5</v>
      </c>
      <c r="I32" s="27" t="n">
        <f aca="true">SUMPRODUCT((Jahresplan!$H$5:$NO$5&lt;&gt;"")*(Jahresplan!$H$5:$NO$5&lt;=TODAY())*(Jahresplan!$H$22:$NO$22="U"))+0.5*SUMPRODUCT((Jahresplan!$H$5:$NO$5&lt;&gt;"")*(Jahresplan!$H$5:$NO$5&lt;=TODAY())*(Jahresplan!$H$22:$NO$22="H"))</f>
        <v>8.5</v>
      </c>
      <c r="J32" s="28" t="n">
        <f aca="false">Jahresplan!$G$22</f>
        <v>3.5</v>
      </c>
      <c r="K32" s="29" t="n">
        <f aca="false">IFERROR($H32/$G32,"")</f>
        <v>0.890625</v>
      </c>
      <c r="L32" s="30" t="n">
        <f aca="false">COUNTIF(Jahresplan!$H$22:$NO$22,"K")+COUNTIF(Jahresplan!$H$22:$NO$22,"KK")</f>
        <v>0</v>
      </c>
      <c r="M32" s="30" t="n">
        <f aca="false">COUNTIF(Jahresplan!$H$22:$NO$22,"HO")</f>
        <v>1</v>
      </c>
    </row>
    <row r="33" customFormat="false" ht="18" hidden="false" customHeight="true" outlineLevel="0" collapsed="false">
      <c r="B33" s="31" t="str">
        <f aca="false">Jahresplan!$B$23</f>
        <v>Neumann, Katrin</v>
      </c>
      <c r="C33" s="31"/>
      <c r="D33" s="32" t="str">
        <f aca="false">Jahresplan!$C$23</f>
        <v>Finanzen</v>
      </c>
      <c r="E33" s="33" t="n">
        <f aca="false">Jahresplan!$D$23</f>
        <v>30</v>
      </c>
      <c r="F33" s="33" t="n">
        <f aca="false">Jahresplan!$E$23</f>
        <v>0</v>
      </c>
      <c r="G33" s="33" t="n">
        <f aca="false">$E33+$F33</f>
        <v>30</v>
      </c>
      <c r="H33" s="33" t="n">
        <f aca="false">Jahresplan!$F$23</f>
        <v>24</v>
      </c>
      <c r="I33" s="33" t="n">
        <f aca="true">SUMPRODUCT((Jahresplan!$H$5:$NO$5&lt;&gt;"")*(Jahresplan!$H$5:$NO$5&lt;=TODAY())*(Jahresplan!$H$23:$NO$23="U"))+0.5*SUMPRODUCT((Jahresplan!$H$5:$NO$5&lt;&gt;"")*(Jahresplan!$H$5:$NO$5&lt;=TODAY())*(Jahresplan!$H$23:$NO$23="H"))</f>
        <v>5</v>
      </c>
      <c r="J33" s="34" t="n">
        <f aca="false">Jahresplan!$G$23</f>
        <v>6</v>
      </c>
      <c r="K33" s="35" t="n">
        <f aca="false">IFERROR($H33/$G33,"")</f>
        <v>0.8</v>
      </c>
      <c r="L33" s="36" t="n">
        <f aca="false">COUNTIF(Jahresplan!$H$23:$NO$23,"K")+COUNTIF(Jahresplan!$H$23:$NO$23,"KK")</f>
        <v>2</v>
      </c>
      <c r="M33" s="36" t="n">
        <f aca="false">COUNTIF(Jahresplan!$H$23:$NO$23,"HO")</f>
        <v>0</v>
      </c>
    </row>
    <row r="34" customFormat="false" ht="18" hidden="false" customHeight="true" outlineLevel="0" collapsed="false">
      <c r="B34" s="25" t="str">
        <f aca="false">Jahresplan!$B$24</f>
        <v>Oswald, Felix</v>
      </c>
      <c r="C34" s="25"/>
      <c r="D34" s="26" t="str">
        <f aca="false">Jahresplan!$C$24</f>
        <v>Finanzen</v>
      </c>
      <c r="E34" s="27" t="n">
        <f aca="false">Jahresplan!$D$24</f>
        <v>26</v>
      </c>
      <c r="F34" s="27" t="n">
        <f aca="false">Jahresplan!$E$24</f>
        <v>5</v>
      </c>
      <c r="G34" s="27" t="n">
        <f aca="false">$E34+$F34</f>
        <v>31</v>
      </c>
      <c r="H34" s="27" t="n">
        <f aca="false">Jahresplan!$F$24</f>
        <v>23</v>
      </c>
      <c r="I34" s="27" t="n">
        <f aca="true">SUMPRODUCT((Jahresplan!$H$5:$NO$5&lt;&gt;"")*(Jahresplan!$H$5:$NO$5&lt;=TODAY())*(Jahresplan!$H$24:$NO$24="U"))+0.5*SUMPRODUCT((Jahresplan!$H$5:$NO$5&lt;&gt;"")*(Jahresplan!$H$5:$NO$5&lt;=TODAY())*(Jahresplan!$H$24:$NO$24="H"))</f>
        <v>4</v>
      </c>
      <c r="J34" s="28" t="n">
        <f aca="false">Jahresplan!$G$24</f>
        <v>8</v>
      </c>
      <c r="K34" s="29" t="n">
        <f aca="false">IFERROR($H34/$G34,"")</f>
        <v>0.741935483870968</v>
      </c>
      <c r="L34" s="30" t="n">
        <f aca="false">COUNTIF(Jahresplan!$H$24:$NO$24,"K")+COUNTIF(Jahresplan!$H$24:$NO$24,"KK")</f>
        <v>1</v>
      </c>
      <c r="M34" s="30" t="n">
        <f aca="false">COUNTIF(Jahresplan!$H$24:$NO$24,"HO")</f>
        <v>1</v>
      </c>
    </row>
    <row r="35" customFormat="false" ht="21" hidden="false" customHeight="true" outlineLevel="0" collapsed="false">
      <c r="B35" s="37" t="s">
        <v>39</v>
      </c>
      <c r="C35" s="37"/>
      <c r="D35" s="37"/>
      <c r="E35" s="38" t="n">
        <f aca="false">SUM(E20:E34)</f>
        <v>434</v>
      </c>
      <c r="F35" s="38" t="n">
        <f aca="false">SUM(F20:F34)</f>
        <v>35</v>
      </c>
      <c r="G35" s="38" t="n">
        <f aca="false">SUM(G20:G34)</f>
        <v>469</v>
      </c>
      <c r="H35" s="38" t="n">
        <f aca="false">SUM(H20:H34)</f>
        <v>396</v>
      </c>
      <c r="I35" s="38" t="n">
        <f aca="false">SUM(I20:I34)</f>
        <v>124.5</v>
      </c>
      <c r="J35" s="38" t="n">
        <f aca="false">SUM(J20:J34)</f>
        <v>73</v>
      </c>
      <c r="K35" s="39" t="n">
        <f aca="false">IFERROR($H35/$G35,"")</f>
        <v>0.844349680170576</v>
      </c>
      <c r="L35" s="40" t="n">
        <f aca="false">SUM(L20:L34)</f>
        <v>20</v>
      </c>
      <c r="M35" s="40" t="n">
        <f aca="false">SUM(M20:M34)</f>
        <v>11</v>
      </c>
    </row>
    <row r="37" customFormat="false" ht="21" hidden="false" customHeight="true" outlineLevel="0" collapsed="false">
      <c r="B37" s="14" t="s">
        <v>40</v>
      </c>
      <c r="C37" s="15"/>
      <c r="D37" s="15"/>
      <c r="E37" s="15"/>
      <c r="F37" s="15"/>
      <c r="G37" s="15"/>
      <c r="H37" s="15"/>
      <c r="I37" s="15"/>
      <c r="J37" s="15"/>
      <c r="K37" s="15"/>
      <c r="L37" s="15"/>
      <c r="M37" s="15"/>
    </row>
    <row r="38" customFormat="false" ht="30" hidden="false" customHeight="true" outlineLevel="0" collapsed="false">
      <c r="B38" s="23" t="s">
        <v>41</v>
      </c>
      <c r="C38" s="23"/>
      <c r="D38" s="24" t="s">
        <v>42</v>
      </c>
      <c r="E38" s="24" t="s">
        <v>43</v>
      </c>
      <c r="F38" s="24" t="s">
        <v>44</v>
      </c>
      <c r="G38" s="24" t="s">
        <v>45</v>
      </c>
      <c r="H38" s="24" t="s">
        <v>46</v>
      </c>
      <c r="I38" s="24" t="s">
        <v>47</v>
      </c>
      <c r="J38" s="24" t="s">
        <v>48</v>
      </c>
      <c r="K38" s="24" t="s">
        <v>49</v>
      </c>
      <c r="L38" s="24" t="s">
        <v>50</v>
      </c>
      <c r="M38" s="24" t="s">
        <v>51</v>
      </c>
    </row>
    <row r="39" customFormat="false" ht="16.5" hidden="false" customHeight="true" outlineLevel="0" collapsed="false">
      <c r="B39" s="25" t="s">
        <v>52</v>
      </c>
      <c r="C39" s="25"/>
      <c r="D39" s="30" t="n">
        <f aca="false">COUNTIF(Jahresplan!$H$10:$AL$29,"U")</f>
        <v>20</v>
      </c>
      <c r="E39" s="30" t="n">
        <f aca="false">COUNTIF(Jahresplan!$H$10:$AL$29,"H")</f>
        <v>0</v>
      </c>
      <c r="F39" s="30" t="n">
        <f aca="false">COUNTIF(Jahresplan!$H$10:$AL$29,"K")</f>
        <v>0</v>
      </c>
      <c r="G39" s="30" t="n">
        <f aca="false">COUNTIF(Jahresplan!$H$10:$AL$29,"KK")</f>
        <v>0</v>
      </c>
      <c r="H39" s="30" t="n">
        <f aca="false">COUNTIF(Jahresplan!$H$10:$AL$29,"HO")</f>
        <v>0</v>
      </c>
      <c r="I39" s="30" t="n">
        <f aca="false">COUNTIF(Jahresplan!$H$10:$AL$29,"FB")</f>
        <v>0</v>
      </c>
      <c r="J39" s="30" t="n">
        <f aca="false">COUNTIF(Jahresplan!$H$10:$AL$29,"SU")</f>
        <v>0</v>
      </c>
      <c r="K39" s="30" t="n">
        <f aca="false">COUNTIF(Jahresplan!$H$10:$AL$29,"GZ")</f>
        <v>0</v>
      </c>
      <c r="L39" s="41" t="n">
        <f aca="false">$D39+0.5*$E39+$F39+$G39+$I39+$J39+$K39</f>
        <v>20</v>
      </c>
      <c r="M39" s="42" t="n">
        <f aca="false">IFERROR($L39/(NETWORKDAYS(DATE(Einstellungen!$E$7,1,1),EOMONTH(DATE(Einstellungen!$E$7,1,1),0),Feiertage)*COUNTIF(Jahresplan!$B$10:$B$29,"?*")),"")</f>
        <v>0.0666666666666667</v>
      </c>
    </row>
    <row r="40" customFormat="false" ht="16.5" hidden="false" customHeight="true" outlineLevel="0" collapsed="false">
      <c r="B40" s="31" t="s">
        <v>53</v>
      </c>
      <c r="C40" s="31"/>
      <c r="D40" s="36" t="n">
        <f aca="false">COUNTIF(Jahresplan!$AM$10:$BQ$29,"U")</f>
        <v>25</v>
      </c>
      <c r="E40" s="36" t="n">
        <f aca="false">COUNTIF(Jahresplan!$AM$10:$BQ$29,"H")</f>
        <v>0</v>
      </c>
      <c r="F40" s="36" t="n">
        <f aca="false">COUNTIF(Jahresplan!$AM$10:$BQ$29,"K")</f>
        <v>3</v>
      </c>
      <c r="G40" s="36" t="n">
        <f aca="false">COUNTIF(Jahresplan!$AM$10:$BQ$29,"KK")</f>
        <v>0</v>
      </c>
      <c r="H40" s="36" t="n">
        <f aca="false">COUNTIF(Jahresplan!$AM$10:$BQ$29,"HO")</f>
        <v>0</v>
      </c>
      <c r="I40" s="36" t="n">
        <f aca="false">COUNTIF(Jahresplan!$AM$10:$BQ$29,"FB")</f>
        <v>0</v>
      </c>
      <c r="J40" s="36" t="n">
        <f aca="false">COUNTIF(Jahresplan!$AM$10:$BQ$29,"SU")</f>
        <v>1</v>
      </c>
      <c r="K40" s="36" t="n">
        <f aca="false">COUNTIF(Jahresplan!$AM$10:$BQ$29,"GZ")</f>
        <v>0</v>
      </c>
      <c r="L40" s="43" t="n">
        <f aca="false">$D40+0.5*$E40+$F40+$G40+$I40+$J40+$K40</f>
        <v>29</v>
      </c>
      <c r="M40" s="44" t="n">
        <f aca="false">IFERROR($L40/(NETWORKDAYS(DATE(Einstellungen!$E$7,2,1),EOMONTH(DATE(Einstellungen!$E$7,2,1),0),Feiertage)*COUNTIF(Jahresplan!$B$10:$B$29,"?*")),"")</f>
        <v>0.0966666666666667</v>
      </c>
    </row>
    <row r="41" customFormat="false" ht="16.5" hidden="false" customHeight="true" outlineLevel="0" collapsed="false">
      <c r="B41" s="25" t="s">
        <v>54</v>
      </c>
      <c r="C41" s="25"/>
      <c r="D41" s="30" t="n">
        <f aca="false">COUNTIF(Jahresplan!$BR$10:$CV$29,"U")</f>
        <v>24</v>
      </c>
      <c r="E41" s="30" t="n">
        <f aca="false">COUNTIF(Jahresplan!$BR$10:$CV$29,"H")</f>
        <v>0</v>
      </c>
      <c r="F41" s="30" t="n">
        <f aca="false">COUNTIF(Jahresplan!$BR$10:$CV$29,"K")</f>
        <v>3</v>
      </c>
      <c r="G41" s="30" t="n">
        <f aca="false">COUNTIF(Jahresplan!$BR$10:$CV$29,"KK")</f>
        <v>0</v>
      </c>
      <c r="H41" s="30" t="n">
        <f aca="false">COUNTIF(Jahresplan!$BR$10:$CV$29,"HO")</f>
        <v>1</v>
      </c>
      <c r="I41" s="30" t="n">
        <f aca="false">COUNTIF(Jahresplan!$BR$10:$CV$29,"FB")</f>
        <v>2</v>
      </c>
      <c r="J41" s="30" t="n">
        <f aca="false">COUNTIF(Jahresplan!$BR$10:$CV$29,"SU")</f>
        <v>0</v>
      </c>
      <c r="K41" s="30" t="n">
        <f aca="false">COUNTIF(Jahresplan!$BR$10:$CV$29,"GZ")</f>
        <v>1</v>
      </c>
      <c r="L41" s="41" t="n">
        <f aca="false">$D41+0.5*$E41+$F41+$G41+$I41+$J41+$K41</f>
        <v>30</v>
      </c>
      <c r="M41" s="42" t="n">
        <f aca="false">IFERROR($L41/(NETWORKDAYS(DATE(Einstellungen!$E$7,3,1),EOMONTH(DATE(Einstellungen!$E$7,3,1),0),Feiertage)*COUNTIF(Jahresplan!$B$10:$B$29,"?*")),"")</f>
        <v>0.0909090909090909</v>
      </c>
    </row>
    <row r="42" customFormat="false" ht="16.5" hidden="false" customHeight="true" outlineLevel="0" collapsed="false">
      <c r="B42" s="31" t="s">
        <v>55</v>
      </c>
      <c r="C42" s="31"/>
      <c r="D42" s="36" t="n">
        <f aca="false">COUNTIF(Jahresplan!$CW$10:$EA$29,"U")</f>
        <v>9</v>
      </c>
      <c r="E42" s="36" t="n">
        <f aca="false">COUNTIF(Jahresplan!$CW$10:$EA$29,"H")</f>
        <v>1</v>
      </c>
      <c r="F42" s="36" t="n">
        <f aca="false">COUNTIF(Jahresplan!$CW$10:$EA$29,"K")</f>
        <v>4</v>
      </c>
      <c r="G42" s="36" t="n">
        <f aca="false">COUNTIF(Jahresplan!$CW$10:$EA$29,"KK")</f>
        <v>0</v>
      </c>
      <c r="H42" s="36" t="n">
        <f aca="false">COUNTIF(Jahresplan!$CW$10:$EA$29,"HO")</f>
        <v>1</v>
      </c>
      <c r="I42" s="36" t="n">
        <f aca="false">COUNTIF(Jahresplan!$CW$10:$EA$29,"FB")</f>
        <v>0</v>
      </c>
      <c r="J42" s="36" t="n">
        <f aca="false">COUNTIF(Jahresplan!$CW$10:$EA$29,"SU")</f>
        <v>1</v>
      </c>
      <c r="K42" s="36" t="n">
        <f aca="false">COUNTIF(Jahresplan!$CW$10:$EA$29,"GZ")</f>
        <v>1</v>
      </c>
      <c r="L42" s="43" t="n">
        <f aca="false">$D42+0.5*$E42+$F42+$G42+$I42+$J42+$K42</f>
        <v>15.5</v>
      </c>
      <c r="M42" s="44" t="n">
        <f aca="false">IFERROR($L42/(NETWORKDAYS(DATE(Einstellungen!$E$7,4,1),EOMONTH(DATE(Einstellungen!$E$7,4,1),0),Feiertage)*COUNTIF(Jahresplan!$B$10:$B$29,"?*")),"")</f>
        <v>0.0516666666666667</v>
      </c>
    </row>
    <row r="43" customFormat="false" ht="16.5" hidden="false" customHeight="true" outlineLevel="0" collapsed="false">
      <c r="B43" s="25" t="s">
        <v>56</v>
      </c>
      <c r="C43" s="25"/>
      <c r="D43" s="30" t="n">
        <f aca="false">COUNTIF(Jahresplan!$EB$10:$FF$29,"U")</f>
        <v>0</v>
      </c>
      <c r="E43" s="30" t="n">
        <f aca="false">COUNTIF(Jahresplan!$EB$10:$FF$29,"H")</f>
        <v>1</v>
      </c>
      <c r="F43" s="30" t="n">
        <f aca="false">COUNTIF(Jahresplan!$EB$10:$FF$29,"K")</f>
        <v>4</v>
      </c>
      <c r="G43" s="30" t="n">
        <f aca="false">COUNTIF(Jahresplan!$EB$10:$FF$29,"KK")</f>
        <v>1</v>
      </c>
      <c r="H43" s="30" t="n">
        <f aca="false">COUNTIF(Jahresplan!$EB$10:$FF$29,"HO")</f>
        <v>0</v>
      </c>
      <c r="I43" s="30" t="n">
        <f aca="false">COUNTIF(Jahresplan!$EB$10:$FF$29,"FB")</f>
        <v>2</v>
      </c>
      <c r="J43" s="30" t="n">
        <f aca="false">COUNTIF(Jahresplan!$EB$10:$FF$29,"SU")</f>
        <v>0</v>
      </c>
      <c r="K43" s="30" t="n">
        <f aca="false">COUNTIF(Jahresplan!$EB$10:$FF$29,"GZ")</f>
        <v>2</v>
      </c>
      <c r="L43" s="41" t="n">
        <f aca="false">$D43+0.5*$E43+$F43+$G43+$I43+$J43+$K43</f>
        <v>9.5</v>
      </c>
      <c r="M43" s="42" t="n">
        <f aca="false">IFERROR($L43/(NETWORKDAYS(DATE(Einstellungen!$E$7,5,1),EOMONTH(DATE(Einstellungen!$E$7,5,1),0),Feiertage)*COUNTIF(Jahresplan!$B$10:$B$29,"?*")),"")</f>
        <v>0.0351851851851852</v>
      </c>
    </row>
    <row r="44" customFormat="false" ht="16.5" hidden="false" customHeight="true" outlineLevel="0" collapsed="false">
      <c r="B44" s="31" t="s">
        <v>57</v>
      </c>
      <c r="C44" s="31"/>
      <c r="D44" s="36" t="n">
        <f aca="false">COUNTIF(Jahresplan!$FG$10:$GK$29,"U")</f>
        <v>0</v>
      </c>
      <c r="E44" s="36" t="n">
        <f aca="false">COUNTIF(Jahresplan!$FG$10:$GK$29,"H")</f>
        <v>1</v>
      </c>
      <c r="F44" s="36" t="n">
        <f aca="false">COUNTIF(Jahresplan!$FG$10:$GK$29,"K")</f>
        <v>0</v>
      </c>
      <c r="G44" s="36" t="n">
        <f aca="false">COUNTIF(Jahresplan!$FG$10:$GK$29,"KK")</f>
        <v>1</v>
      </c>
      <c r="H44" s="36" t="n">
        <f aca="false">COUNTIF(Jahresplan!$FG$10:$GK$29,"HO")</f>
        <v>3</v>
      </c>
      <c r="I44" s="36" t="n">
        <f aca="false">COUNTIF(Jahresplan!$FG$10:$GK$29,"FB")</f>
        <v>0</v>
      </c>
      <c r="J44" s="36" t="n">
        <f aca="false">COUNTIF(Jahresplan!$FG$10:$GK$29,"SU")</f>
        <v>0</v>
      </c>
      <c r="K44" s="36" t="n">
        <f aca="false">COUNTIF(Jahresplan!$FG$10:$GK$29,"GZ")</f>
        <v>2</v>
      </c>
      <c r="L44" s="43" t="n">
        <f aca="false">$D44+0.5*$E44+$F44+$G44+$I44+$J44+$K44</f>
        <v>3.5</v>
      </c>
      <c r="M44" s="44" t="n">
        <f aca="false">IFERROR($L44/(NETWORKDAYS(DATE(Einstellungen!$E$7,6,1),EOMONTH(DATE(Einstellungen!$E$7,6,1),0),Feiertage)*COUNTIF(Jahresplan!$B$10:$B$29,"?*")),"")</f>
        <v>0.0111111111111111</v>
      </c>
    </row>
    <row r="45" customFormat="false" ht="16.5" hidden="false" customHeight="true" outlineLevel="0" collapsed="false">
      <c r="B45" s="25" t="s">
        <v>58</v>
      </c>
      <c r="C45" s="25"/>
      <c r="D45" s="30" t="n">
        <f aca="false">COUNTIF(Jahresplan!$GL$10:$HP$29,"U")</f>
        <v>70</v>
      </c>
      <c r="E45" s="30" t="n">
        <f aca="false">COUNTIF(Jahresplan!$GL$10:$HP$29,"H")</f>
        <v>0</v>
      </c>
      <c r="F45" s="30" t="n">
        <f aca="false">COUNTIF(Jahresplan!$GL$10:$HP$29,"K")</f>
        <v>0</v>
      </c>
      <c r="G45" s="30" t="n">
        <f aca="false">COUNTIF(Jahresplan!$GL$10:$HP$29,"KK")</f>
        <v>1</v>
      </c>
      <c r="H45" s="30" t="n">
        <f aca="false">COUNTIF(Jahresplan!$GL$10:$HP$29,"HO")</f>
        <v>1</v>
      </c>
      <c r="I45" s="30" t="n">
        <f aca="false">COUNTIF(Jahresplan!$GL$10:$HP$29,"FB")</f>
        <v>0</v>
      </c>
      <c r="J45" s="30" t="n">
        <f aca="false">COUNTIF(Jahresplan!$GL$10:$HP$29,"SU")</f>
        <v>0</v>
      </c>
      <c r="K45" s="30" t="n">
        <f aca="false">COUNTIF(Jahresplan!$GL$10:$HP$29,"GZ")</f>
        <v>0</v>
      </c>
      <c r="L45" s="41" t="n">
        <f aca="false">$D45+0.5*$E45+$F45+$G45+$I45+$J45+$K45</f>
        <v>71</v>
      </c>
      <c r="M45" s="42" t="n">
        <f aca="false">IFERROR($L45/(NETWORKDAYS(DATE(Einstellungen!$E$7,7,1),EOMONTH(DATE(Einstellungen!$E$7,7,1),0),Feiertage)*COUNTIF(Jahresplan!$B$10:$B$29,"?*")),"")</f>
        <v>0.205797101449275</v>
      </c>
    </row>
    <row r="46" customFormat="false" ht="16.5" hidden="false" customHeight="true" outlineLevel="0" collapsed="false">
      <c r="B46" s="31" t="s">
        <v>59</v>
      </c>
      <c r="C46" s="31"/>
      <c r="D46" s="36" t="n">
        <f aca="false">COUNTIF(Jahresplan!$HQ$10:$IU$29,"U")</f>
        <v>97</v>
      </c>
      <c r="E46" s="36" t="n">
        <f aca="false">COUNTIF(Jahresplan!$HQ$10:$IU$29,"H")</f>
        <v>0</v>
      </c>
      <c r="F46" s="36" t="n">
        <f aca="false">COUNTIF(Jahresplan!$HQ$10:$IU$29,"K")</f>
        <v>0</v>
      </c>
      <c r="G46" s="36" t="n">
        <f aca="false">COUNTIF(Jahresplan!$HQ$10:$IU$29,"KK")</f>
        <v>0</v>
      </c>
      <c r="H46" s="36" t="n">
        <f aca="false">COUNTIF(Jahresplan!$HQ$10:$IU$29,"HO")</f>
        <v>0</v>
      </c>
      <c r="I46" s="36" t="n">
        <f aca="false">COUNTIF(Jahresplan!$HQ$10:$IU$29,"FB")</f>
        <v>0</v>
      </c>
      <c r="J46" s="36" t="n">
        <f aca="false">COUNTIF(Jahresplan!$HQ$10:$IU$29,"SU")</f>
        <v>0</v>
      </c>
      <c r="K46" s="36" t="n">
        <f aca="false">COUNTIF(Jahresplan!$HQ$10:$IU$29,"GZ")</f>
        <v>0</v>
      </c>
      <c r="L46" s="43" t="n">
        <f aca="false">$D46+0.5*$E46+$F46+$G46+$I46+$J46+$K46</f>
        <v>97</v>
      </c>
      <c r="M46" s="44" t="n">
        <f aca="false">IFERROR($L46/(NETWORKDAYS(DATE(Einstellungen!$E$7,8,1),EOMONTH(DATE(Einstellungen!$E$7,8,1),0),Feiertage)*COUNTIF(Jahresplan!$B$10:$B$29,"?*")),"")</f>
        <v>0.307936507936508</v>
      </c>
    </row>
    <row r="47" customFormat="false" ht="16.5" hidden="false" customHeight="true" outlineLevel="0" collapsed="false">
      <c r="B47" s="25" t="s">
        <v>60</v>
      </c>
      <c r="C47" s="25"/>
      <c r="D47" s="30" t="n">
        <f aca="false">COUNTIF(Jahresplan!$IV$10:$JZ$29,"U")</f>
        <v>11</v>
      </c>
      <c r="E47" s="30" t="n">
        <f aca="false">COUNTIF(Jahresplan!$IV$10:$JZ$29,"H")</f>
        <v>1</v>
      </c>
      <c r="F47" s="30" t="n">
        <f aca="false">COUNTIF(Jahresplan!$IV$10:$JZ$29,"K")</f>
        <v>0</v>
      </c>
      <c r="G47" s="30" t="n">
        <f aca="false">COUNTIF(Jahresplan!$IV$10:$JZ$29,"KK")</f>
        <v>0</v>
      </c>
      <c r="H47" s="30" t="n">
        <f aca="false">COUNTIF(Jahresplan!$IV$10:$JZ$29,"HO")</f>
        <v>3</v>
      </c>
      <c r="I47" s="30" t="n">
        <f aca="false">COUNTIF(Jahresplan!$IV$10:$JZ$29,"FB")</f>
        <v>9</v>
      </c>
      <c r="J47" s="30" t="n">
        <f aca="false">COUNTIF(Jahresplan!$IV$10:$JZ$29,"SU")</f>
        <v>0</v>
      </c>
      <c r="K47" s="30" t="n">
        <f aca="false">COUNTIF(Jahresplan!$IV$10:$JZ$29,"GZ")</f>
        <v>0</v>
      </c>
      <c r="L47" s="41" t="n">
        <f aca="false">$D47+0.5*$E47+$F47+$G47+$I47+$J47+$K47</f>
        <v>20.5</v>
      </c>
      <c r="M47" s="42" t="n">
        <f aca="false">IFERROR($L47/(NETWORKDAYS(DATE(Einstellungen!$E$7,9,1),EOMONTH(DATE(Einstellungen!$E$7,9,1),0),Feiertage)*COUNTIF(Jahresplan!$B$10:$B$29,"?*")),"")</f>
        <v>0.0621212121212121</v>
      </c>
    </row>
    <row r="48" customFormat="false" ht="16.5" hidden="false" customHeight="true" outlineLevel="0" collapsed="false">
      <c r="B48" s="31" t="s">
        <v>61</v>
      </c>
      <c r="C48" s="31"/>
      <c r="D48" s="36" t="n">
        <f aca="false">COUNTIF(Jahresplan!$KA$10:$LE$29,"U")</f>
        <v>42</v>
      </c>
      <c r="E48" s="36" t="n">
        <f aca="false">COUNTIF(Jahresplan!$KA$10:$LE$29,"H")</f>
        <v>0</v>
      </c>
      <c r="F48" s="36" t="n">
        <f aca="false">COUNTIF(Jahresplan!$KA$10:$LE$29,"K")</f>
        <v>2</v>
      </c>
      <c r="G48" s="36" t="n">
        <f aca="false">COUNTIF(Jahresplan!$KA$10:$LE$29,"KK")</f>
        <v>0</v>
      </c>
      <c r="H48" s="36" t="n">
        <f aca="false">COUNTIF(Jahresplan!$KA$10:$LE$29,"HO")</f>
        <v>0</v>
      </c>
      <c r="I48" s="36" t="n">
        <f aca="false">COUNTIF(Jahresplan!$KA$10:$LE$29,"FB")</f>
        <v>2</v>
      </c>
      <c r="J48" s="36" t="n">
        <f aca="false">COUNTIF(Jahresplan!$KA$10:$LE$29,"SU")</f>
        <v>0</v>
      </c>
      <c r="K48" s="36" t="n">
        <f aca="false">COUNTIF(Jahresplan!$KA$10:$LE$29,"GZ")</f>
        <v>0</v>
      </c>
      <c r="L48" s="43" t="n">
        <f aca="false">$D48+0.5*$E48+$F48+$G48+$I48+$J48+$K48</f>
        <v>46</v>
      </c>
      <c r="M48" s="44" t="n">
        <f aca="false">IFERROR($L48/(NETWORKDAYS(DATE(Einstellungen!$E$7,10,1),EOMONTH(DATE(Einstellungen!$E$7,10,1),0),Feiertage)*COUNTIF(Jahresplan!$B$10:$B$29,"?*")),"")</f>
        <v>0.139393939393939</v>
      </c>
    </row>
    <row r="49" customFormat="false" ht="16.5" hidden="false" customHeight="true" outlineLevel="0" collapsed="false">
      <c r="B49" s="25" t="s">
        <v>62</v>
      </c>
      <c r="C49" s="25"/>
      <c r="D49" s="30" t="n">
        <f aca="false">COUNTIF(Jahresplan!$LF$10:$MJ$29,"U")</f>
        <v>25</v>
      </c>
      <c r="E49" s="30" t="n">
        <f aca="false">COUNTIF(Jahresplan!$LF$10:$MJ$29,"H")</f>
        <v>0</v>
      </c>
      <c r="F49" s="30" t="n">
        <f aca="false">COUNTIF(Jahresplan!$LF$10:$MJ$29,"K")</f>
        <v>0</v>
      </c>
      <c r="G49" s="30" t="n">
        <f aca="false">COUNTIF(Jahresplan!$LF$10:$MJ$29,"KK")</f>
        <v>1</v>
      </c>
      <c r="H49" s="30" t="n">
        <f aca="false">COUNTIF(Jahresplan!$LF$10:$MJ$29,"HO")</f>
        <v>2</v>
      </c>
      <c r="I49" s="30" t="n">
        <f aca="false">COUNTIF(Jahresplan!$LF$10:$MJ$29,"FB")</f>
        <v>0</v>
      </c>
      <c r="J49" s="30" t="n">
        <f aca="false">COUNTIF(Jahresplan!$LF$10:$MJ$29,"SU")</f>
        <v>0</v>
      </c>
      <c r="K49" s="30" t="n">
        <f aca="false">COUNTIF(Jahresplan!$LF$10:$MJ$29,"GZ")</f>
        <v>0</v>
      </c>
      <c r="L49" s="41" t="n">
        <f aca="false">$D49+0.5*$E49+$F49+$G49+$I49+$J49+$K49</f>
        <v>26</v>
      </c>
      <c r="M49" s="42" t="n">
        <f aca="false">IFERROR($L49/(NETWORKDAYS(DATE(Einstellungen!$E$7,11,1),EOMONTH(DATE(Einstellungen!$E$7,11,1),0),Feiertage)*COUNTIF(Jahresplan!$B$10:$B$29,"?*")),"")</f>
        <v>0.0825396825396825</v>
      </c>
    </row>
    <row r="50" customFormat="false" ht="16.5" hidden="false" customHeight="true" outlineLevel="0" collapsed="false">
      <c r="B50" s="31" t="s">
        <v>63</v>
      </c>
      <c r="C50" s="31"/>
      <c r="D50" s="36" t="n">
        <f aca="false">COUNTIF(Jahresplan!$MK$10:$NO$29,"U")</f>
        <v>71</v>
      </c>
      <c r="E50" s="36" t="n">
        <f aca="false">COUNTIF(Jahresplan!$MK$10:$NO$29,"H")</f>
        <v>0</v>
      </c>
      <c r="F50" s="36" t="n">
        <f aca="false">COUNTIF(Jahresplan!$MK$10:$NO$29,"K")</f>
        <v>0</v>
      </c>
      <c r="G50" s="36" t="n">
        <f aca="false">COUNTIF(Jahresplan!$MK$10:$NO$29,"KK")</f>
        <v>0</v>
      </c>
      <c r="H50" s="36" t="n">
        <f aca="false">COUNTIF(Jahresplan!$MK$10:$NO$29,"HO")</f>
        <v>0</v>
      </c>
      <c r="I50" s="36" t="n">
        <f aca="false">COUNTIF(Jahresplan!$MK$10:$NO$29,"FB")</f>
        <v>0</v>
      </c>
      <c r="J50" s="36" t="n">
        <f aca="false">COUNTIF(Jahresplan!$MK$10:$NO$29,"SU")</f>
        <v>0</v>
      </c>
      <c r="K50" s="36" t="n">
        <f aca="false">COUNTIF(Jahresplan!$MK$10:$NO$29,"GZ")</f>
        <v>0</v>
      </c>
      <c r="L50" s="43" t="n">
        <f aca="false">$D50+0.5*$E50+$F50+$G50+$I50+$J50+$K50</f>
        <v>71</v>
      </c>
      <c r="M50" s="44" t="n">
        <f aca="false">IFERROR($L50/(NETWORKDAYS(DATE(Einstellungen!$E$7,12,1),EOMONTH(DATE(Einstellungen!$E$7,12,1),0),Feiertage)*COUNTIF(Jahresplan!$B$10:$B$29,"?*")),"")</f>
        <v>0.215151515151515</v>
      </c>
    </row>
    <row r="51" customFormat="false" ht="21" hidden="false" customHeight="true" outlineLevel="0" collapsed="false">
      <c r="B51" s="37" t="s">
        <v>64</v>
      </c>
      <c r="C51" s="37"/>
      <c r="D51" s="40" t="n">
        <f aca="false">SUM(D39:D50)</f>
        <v>394</v>
      </c>
      <c r="E51" s="40" t="n">
        <f aca="false">SUM(E39:E50)</f>
        <v>4</v>
      </c>
      <c r="F51" s="40" t="n">
        <f aca="false">SUM(F39:F50)</f>
        <v>16</v>
      </c>
      <c r="G51" s="40" t="n">
        <f aca="false">SUM(G39:G50)</f>
        <v>4</v>
      </c>
      <c r="H51" s="40" t="n">
        <f aca="false">SUM(H39:H50)</f>
        <v>11</v>
      </c>
      <c r="I51" s="40" t="n">
        <f aca="false">SUM(I39:I50)</f>
        <v>15</v>
      </c>
      <c r="J51" s="40" t="n">
        <f aca="false">SUM(J39:J50)</f>
        <v>2</v>
      </c>
      <c r="K51" s="40" t="n">
        <f aca="false">SUM(K39:K50)</f>
        <v>6</v>
      </c>
      <c r="L51" s="38" t="n">
        <f aca="false">SUM(L39:L50)</f>
        <v>439</v>
      </c>
      <c r="M51" s="39" t="n">
        <f aca="false">IFERROR($L51/(NETWORKDAYS(DATE(Einstellungen!$E$7,1,1),DATE(Einstellungen!$E$7,12,31),Feiertage)*COUNTIF(Jahresplan!$B$10:$B$29,"?*")),"")</f>
        <v>0.116137566137566</v>
      </c>
    </row>
    <row r="53" customFormat="false" ht="21" hidden="false" customHeight="true" outlineLevel="0" collapsed="false">
      <c r="B53" s="14" t="s">
        <v>65</v>
      </c>
      <c r="C53" s="15"/>
      <c r="D53" s="15"/>
      <c r="E53" s="15"/>
      <c r="F53" s="15"/>
      <c r="G53" s="15"/>
      <c r="H53" s="15"/>
      <c r="I53" s="15"/>
      <c r="J53" s="15"/>
      <c r="K53" s="15"/>
      <c r="L53" s="15"/>
      <c r="M53" s="15"/>
    </row>
    <row r="74" customFormat="false" ht="27.75" hidden="false" customHeight="true" outlineLevel="0" collapsed="false">
      <c r="B74" s="45" t="s">
        <v>66</v>
      </c>
      <c r="C74" s="45"/>
      <c r="D74" s="45"/>
      <c r="E74" s="45"/>
      <c r="F74" s="45"/>
      <c r="G74" s="45"/>
      <c r="H74" s="45"/>
      <c r="I74" s="45"/>
      <c r="J74" s="45"/>
      <c r="K74" s="45"/>
      <c r="L74" s="45"/>
      <c r="M74" s="45"/>
    </row>
  </sheetData>
  <mergeCells count="66">
    <mergeCell ref="J2:N2"/>
    <mergeCell ref="J3:N3"/>
    <mergeCell ref="B6:D6"/>
    <mergeCell ref="E6:G6"/>
    <mergeCell ref="H6:J6"/>
    <mergeCell ref="K6:M6"/>
    <mergeCell ref="B7:D7"/>
    <mergeCell ref="E7:G7"/>
    <mergeCell ref="H7:J7"/>
    <mergeCell ref="K7:M7"/>
    <mergeCell ref="B10:D10"/>
    <mergeCell ref="E10:G10"/>
    <mergeCell ref="H10:J10"/>
    <mergeCell ref="K10:M10"/>
    <mergeCell ref="B11:D11"/>
    <mergeCell ref="E11:G11"/>
    <mergeCell ref="H11:J11"/>
    <mergeCell ref="K11:M11"/>
    <mergeCell ref="B12:D12"/>
    <mergeCell ref="E12:G12"/>
    <mergeCell ref="H12:J12"/>
    <mergeCell ref="K12:M12"/>
    <mergeCell ref="B14:D14"/>
    <mergeCell ref="E14:G14"/>
    <mergeCell ref="H14:J14"/>
    <mergeCell ref="K14:M14"/>
    <mergeCell ref="B15:D15"/>
    <mergeCell ref="E15:G15"/>
    <mergeCell ref="H15:J15"/>
    <mergeCell ref="K15:M15"/>
    <mergeCell ref="B16:D16"/>
    <mergeCell ref="E16:G16"/>
    <mergeCell ref="H16:J16"/>
    <mergeCell ref="K16:M16"/>
    <mergeCell ref="B19:C19"/>
    <mergeCell ref="B20:C20"/>
    <mergeCell ref="B21:C21"/>
    <mergeCell ref="B22:C22"/>
    <mergeCell ref="B23:C23"/>
    <mergeCell ref="B24:C24"/>
    <mergeCell ref="B25:C25"/>
    <mergeCell ref="B26:C26"/>
    <mergeCell ref="B27:C27"/>
    <mergeCell ref="B28:C28"/>
    <mergeCell ref="B29:C29"/>
    <mergeCell ref="B30:C30"/>
    <mergeCell ref="B31:C31"/>
    <mergeCell ref="B32:C32"/>
    <mergeCell ref="B33:C33"/>
    <mergeCell ref="B34:C34"/>
    <mergeCell ref="B35:D35"/>
    <mergeCell ref="B38:C38"/>
    <mergeCell ref="B39:C39"/>
    <mergeCell ref="B40:C40"/>
    <mergeCell ref="B41:C41"/>
    <mergeCell ref="B42:C42"/>
    <mergeCell ref="B43:C43"/>
    <mergeCell ref="B44:C44"/>
    <mergeCell ref="B45:C45"/>
    <mergeCell ref="B46:C46"/>
    <mergeCell ref="B47:C47"/>
    <mergeCell ref="B48:C48"/>
    <mergeCell ref="B49:C49"/>
    <mergeCell ref="B50:C50"/>
    <mergeCell ref="B51:C51"/>
    <mergeCell ref="B74:M74"/>
  </mergeCells>
  <conditionalFormatting sqref="K20:K34">
    <cfRule type="dataBar" priority="2">
      <dataBar showValue="1" minLength="10" maxLength="90">
        <cfvo type="num" val="0"/>
        <cfvo type="num" val="1"/>
        <color rgb="FF2FA98C"/>
      </dataBar>
      <extLst>
        <ext xmlns:x14="http://schemas.microsoft.com/office/spreadsheetml/2009/9/main" uri="{B025F937-C7B1-47D3-B67F-A62EFF666E3E}">
          <x14:id>{67B75067-3593-4255-AD80-6C4065937E6F}</x14:id>
        </ext>
      </extLst>
    </cfRule>
  </conditionalFormatting>
  <conditionalFormatting sqref="J20:J34">
    <cfRule type="cellIs" priority="3" operator="lessThan" aboveAverage="0" equalAverage="0" bottom="0" percent="0" rank="0" text="" dxfId="0">
      <formula>0</formula>
    </cfRule>
  </conditionalFormatting>
  <conditionalFormatting sqref="L39:L50">
    <cfRule type="dataBar" priority="4">
      <dataBar showValue="1" minLength="10" maxLength="90">
        <cfvo type="num" val="0"/>
        <cfvo type="max" val="0"/>
        <color rgb="FF48546F"/>
      </dataBar>
      <extLst>
        <ext xmlns:x14="http://schemas.microsoft.com/office/spreadsheetml/2009/9/main" uri="{B025F937-C7B1-47D3-B67F-A62EFF666E3E}">
          <x14:id>{DEA03AFA-87A3-48D3-B16D-18873269BE65}</x14:id>
        </ext>
      </extLst>
    </cfRule>
  </conditionalFormatting>
  <conditionalFormatting sqref="M39:M50">
    <cfRule type="cellIs" priority="5" operator="greaterThanOrEqual" aboveAverage="0" equalAverage="0" bottom="0" percent="0" rank="0" text="" dxfId="0">
      <formula>0.15</formula>
    </cfRule>
  </conditionalFormatting>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portrait" blackAndWhite="false" draft="false" cellComments="none" horizontalDpi="300" verticalDpi="300" copies="1"/>
  <headerFooter differentFirst="false" differentOddEven="false">
    <oddHeader/>
    <oddFooter/>
  </headerFooter>
  <drawing r:id="rId1"/>
  <extLst>
    <ext xmlns:x14="http://schemas.microsoft.com/office/spreadsheetml/2009/9/main" uri="{78C0D931-6437-407d-A8EE-F0AAD7539E65}">
      <x14:conditionalFormattings>
        <x14:conditionalFormatting xmlns:xm="http://schemas.microsoft.com/office/excel/2006/main">
          <x14:cfRule type="dataBar" id="{67B75067-3593-4255-AD80-6C4065937E6F}">
            <x14:dataBar minLength="10" maxLength="90" axisPosition="none" gradient="true">
              <x14:cfvo type="num">
                <xm:f>0</xm:f>
              </x14:cfvo>
              <x14:cfvo type="num">
                <xm:f>1</xm:f>
              </x14:cfvo>
              <x14:negativeFillColor rgb="FF2FA98C"/>
              <x14:axisColor rgb="FF000000"/>
            </x14:dataBar>
          </x14:cfRule>
          <xm:sqref>K20:K34</xm:sqref>
        </x14:conditionalFormatting>
        <x14:conditionalFormatting xmlns:xm="http://schemas.microsoft.com/office/excel/2006/main">
          <x14:cfRule type="dataBar" id="{DEA03AFA-87A3-48D3-B16D-18873269BE65}">
            <x14:dataBar minLength="10" maxLength="90" axisPosition="none" gradient="true">
              <x14:cfvo type="num">
                <xm:f>0</xm:f>
              </x14:cfvo>
              <x14:cfvo type="max"/>
              <x14:negativeFillColor rgb="FF48546F"/>
              <x14:axisColor rgb="FF000000"/>
            </x14:dataBar>
          </x14:cfRule>
          <xm:sqref>L39:L50</xm:sqref>
        </x14:conditionalFormatting>
      </x14:conditionalFormatting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1D2438"/>
    <pageSetUpPr fitToPage="true"/>
  </sheetPr>
  <dimension ref="A1:NO43"/>
  <sheetViews>
    <sheetView showFormulas="false" showGridLines="false" showRowColHeaders="true" showZeros="true" rightToLeft="false" tabSelected="false" showOutlineSymbols="true" defaultGridColor="true" view="normal" topLeftCell="A1" colorId="64" zoomScale="85" zoomScaleNormal="85" zoomScalePageLayoutView="100" workbookViewId="0">
      <pane xSplit="7" ySplit="9" topLeftCell="H10" activePane="bottomRight" state="frozen"/>
      <selection pane="topLeft" activeCell="A1" activeCellId="0" sqref="A1"/>
      <selection pane="topRight" activeCell="H1" activeCellId="0" sqref="H1"/>
      <selection pane="bottomLeft" activeCell="A10" activeCellId="0" sqref="A10"/>
      <selection pane="bottomRight" activeCell="A1" activeCellId="0" sqref="A1"/>
    </sheetView>
  </sheetViews>
  <sheetFormatPr defaultColWidth="8.6796875" defaultRowHeight="15" zeroHeight="false" outlineLevelRow="0" outlineLevelCol="0"/>
  <cols>
    <col collapsed="false" customWidth="true" hidden="false" outlineLevel="0" max="1" min="1" style="0" width="5"/>
    <col collapsed="false" customWidth="true" hidden="false" outlineLevel="0" max="2" min="2" style="0" width="23"/>
    <col collapsed="false" customWidth="true" hidden="false" outlineLevel="0" max="3" min="3" style="0" width="15"/>
    <col collapsed="false" customWidth="true" hidden="false" outlineLevel="0" max="6" min="4" style="0" width="9"/>
    <col collapsed="false" customWidth="true" hidden="false" outlineLevel="0" max="7" min="7" style="0" width="10"/>
    <col collapsed="false" customWidth="true" hidden="false" outlineLevel="0" max="379" min="8" style="0" width="3.3"/>
  </cols>
  <sheetData>
    <row r="1" customFormat="false" ht="9.75" hidden="false" customHeight="true" outlineLevel="0" collapsed="false">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c r="IW1" s="1"/>
      <c r="IX1" s="1"/>
      <c r="IY1" s="1"/>
      <c r="IZ1" s="1"/>
      <c r="JA1" s="1"/>
      <c r="JB1" s="1"/>
      <c r="JC1" s="1"/>
      <c r="JD1" s="1"/>
      <c r="JE1" s="1"/>
      <c r="JF1" s="1"/>
      <c r="JG1" s="1"/>
      <c r="JH1" s="1"/>
      <c r="JI1" s="1"/>
      <c r="JJ1" s="1"/>
      <c r="JK1" s="1"/>
      <c r="JL1" s="1"/>
      <c r="JM1" s="1"/>
      <c r="JN1" s="1"/>
      <c r="JO1" s="1"/>
      <c r="JP1" s="1"/>
      <c r="JQ1" s="1"/>
      <c r="JR1" s="1"/>
      <c r="JS1" s="1"/>
      <c r="JT1" s="1"/>
      <c r="JU1" s="1"/>
      <c r="JV1" s="1"/>
      <c r="JW1" s="1"/>
      <c r="JX1" s="1"/>
      <c r="JY1" s="1"/>
      <c r="JZ1" s="1"/>
      <c r="KA1" s="1"/>
      <c r="KB1" s="1"/>
      <c r="KC1" s="1"/>
      <c r="KD1" s="1"/>
      <c r="KE1" s="1"/>
      <c r="KF1" s="1"/>
      <c r="KG1" s="1"/>
      <c r="KH1" s="1"/>
      <c r="KI1" s="1"/>
      <c r="KJ1" s="1"/>
      <c r="KK1" s="1"/>
      <c r="KL1" s="1"/>
      <c r="KM1" s="1"/>
      <c r="KN1" s="1"/>
      <c r="KO1" s="1"/>
      <c r="KP1" s="1"/>
      <c r="KQ1" s="1"/>
      <c r="KR1" s="1"/>
      <c r="KS1" s="1"/>
      <c r="KT1" s="1"/>
      <c r="KU1" s="1"/>
      <c r="KV1" s="1"/>
      <c r="KW1" s="1"/>
      <c r="KX1" s="1"/>
      <c r="KY1" s="1"/>
      <c r="KZ1" s="1"/>
      <c r="LA1" s="1"/>
      <c r="LB1" s="1"/>
      <c r="LC1" s="1"/>
      <c r="LD1" s="1"/>
      <c r="LE1" s="1"/>
      <c r="LF1" s="1"/>
      <c r="LG1" s="1"/>
      <c r="LH1" s="1"/>
      <c r="LI1" s="1"/>
      <c r="LJ1" s="1"/>
      <c r="LK1" s="1"/>
      <c r="LL1" s="1"/>
      <c r="LM1" s="1"/>
      <c r="LN1" s="1"/>
      <c r="LO1" s="1"/>
      <c r="LP1" s="1"/>
      <c r="LQ1" s="1"/>
      <c r="LR1" s="1"/>
      <c r="LS1" s="1"/>
      <c r="LT1" s="1"/>
      <c r="LU1" s="1"/>
      <c r="LV1" s="1"/>
      <c r="LW1" s="1"/>
      <c r="LX1" s="1"/>
      <c r="LY1" s="1"/>
      <c r="LZ1" s="1"/>
      <c r="MA1" s="1"/>
      <c r="MB1" s="1"/>
      <c r="MC1" s="1"/>
      <c r="MD1" s="1"/>
      <c r="ME1" s="1"/>
      <c r="MF1" s="1"/>
      <c r="MG1" s="1"/>
      <c r="MH1" s="1"/>
      <c r="MI1" s="1"/>
      <c r="MJ1" s="1"/>
      <c r="MK1" s="1"/>
      <c r="ML1" s="1"/>
      <c r="MM1" s="1"/>
      <c r="MN1" s="1"/>
      <c r="MO1" s="1"/>
      <c r="MP1" s="1"/>
      <c r="MQ1" s="1"/>
      <c r="MR1" s="1"/>
      <c r="MS1" s="1"/>
      <c r="MT1" s="1"/>
      <c r="MU1" s="1"/>
      <c r="MV1" s="1"/>
      <c r="MW1" s="1"/>
      <c r="MX1" s="1"/>
      <c r="MY1" s="1"/>
      <c r="MZ1" s="1"/>
      <c r="NA1" s="1"/>
      <c r="NB1" s="1"/>
      <c r="NC1" s="1"/>
      <c r="ND1" s="1"/>
      <c r="NE1" s="1"/>
      <c r="NF1" s="1"/>
      <c r="NG1" s="1"/>
      <c r="NH1" s="1"/>
      <c r="NI1" s="1"/>
      <c r="NJ1" s="1"/>
      <c r="NK1" s="1"/>
      <c r="NL1" s="1"/>
      <c r="NM1" s="1"/>
      <c r="NN1" s="1"/>
      <c r="NO1" s="1"/>
    </row>
    <row r="2" customFormat="false" ht="30.75" hidden="false" customHeight="true" outlineLevel="0" collapsed="false">
      <c r="A2" s="2"/>
      <c r="B2" s="3" t="s">
        <v>67</v>
      </c>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c r="II2" s="4"/>
      <c r="IJ2" s="4"/>
      <c r="IK2" s="4"/>
      <c r="IL2" s="4"/>
      <c r="IM2" s="4"/>
      <c r="IN2" s="4"/>
      <c r="IO2" s="4"/>
      <c r="IP2" s="4"/>
      <c r="IQ2" s="4"/>
      <c r="IR2" s="4"/>
      <c r="IS2" s="4"/>
      <c r="IT2" s="4"/>
      <c r="IU2" s="4"/>
      <c r="IV2" s="4"/>
      <c r="IW2" s="4"/>
      <c r="IX2" s="4"/>
      <c r="IY2" s="4"/>
      <c r="IZ2" s="4"/>
      <c r="JA2" s="4"/>
      <c r="JB2" s="4"/>
      <c r="JC2" s="4"/>
      <c r="JD2" s="4"/>
      <c r="JE2" s="4"/>
      <c r="JF2" s="4"/>
      <c r="JG2" s="4"/>
      <c r="JH2" s="4"/>
      <c r="JI2" s="4"/>
      <c r="JJ2" s="4"/>
      <c r="JK2" s="4"/>
      <c r="JL2" s="4"/>
      <c r="JM2" s="4"/>
      <c r="JN2" s="4"/>
      <c r="JO2" s="4"/>
      <c r="JP2" s="4"/>
      <c r="JQ2" s="4"/>
      <c r="JR2" s="4"/>
      <c r="JS2" s="4"/>
      <c r="JT2" s="4"/>
      <c r="JU2" s="4"/>
      <c r="JV2" s="4"/>
      <c r="JW2" s="4"/>
      <c r="JX2" s="4"/>
      <c r="JY2" s="4"/>
      <c r="JZ2" s="4"/>
      <c r="KA2" s="4"/>
      <c r="KB2" s="4"/>
      <c r="KC2" s="4"/>
      <c r="KD2" s="4"/>
      <c r="KE2" s="4"/>
      <c r="KF2" s="4"/>
      <c r="KG2" s="4"/>
      <c r="KH2" s="4"/>
      <c r="KI2" s="4"/>
      <c r="KJ2" s="4"/>
      <c r="KK2" s="4"/>
      <c r="KL2" s="4"/>
      <c r="KM2" s="4"/>
      <c r="KN2" s="4"/>
      <c r="KO2" s="4"/>
      <c r="KP2" s="4"/>
      <c r="KQ2" s="4"/>
      <c r="KR2" s="4"/>
      <c r="KS2" s="4"/>
      <c r="KT2" s="4"/>
      <c r="KU2" s="4"/>
      <c r="KV2" s="4"/>
      <c r="KW2" s="4"/>
      <c r="KX2" s="4"/>
      <c r="KY2" s="4"/>
      <c r="KZ2" s="4"/>
      <c r="LA2" s="4"/>
      <c r="LB2" s="4"/>
      <c r="LC2" s="4"/>
      <c r="LD2" s="4"/>
      <c r="LE2" s="4"/>
      <c r="LF2" s="4"/>
      <c r="LG2" s="4"/>
      <c r="LH2" s="4"/>
      <c r="LI2" s="4"/>
      <c r="LJ2" s="4"/>
      <c r="LK2" s="4"/>
      <c r="LL2" s="4"/>
      <c r="LM2" s="4"/>
      <c r="LN2" s="4"/>
      <c r="LO2" s="4"/>
      <c r="LP2" s="4"/>
      <c r="LQ2" s="4"/>
      <c r="LR2" s="4"/>
      <c r="LS2" s="4"/>
      <c r="LT2" s="4"/>
      <c r="LU2" s="4"/>
      <c r="LV2" s="4"/>
      <c r="LW2" s="4"/>
      <c r="LX2" s="4"/>
      <c r="LY2" s="4"/>
      <c r="LZ2" s="4"/>
      <c r="MA2" s="4"/>
      <c r="MB2" s="4"/>
      <c r="MC2" s="4"/>
      <c r="MD2" s="4"/>
      <c r="ME2" s="4"/>
      <c r="MF2" s="4"/>
      <c r="MG2" s="4"/>
      <c r="MH2" s="4"/>
      <c r="MI2" s="4"/>
      <c r="MJ2" s="4"/>
      <c r="MK2" s="4"/>
      <c r="ML2" s="4"/>
      <c r="MM2" s="4"/>
      <c r="MN2" s="4"/>
      <c r="MO2" s="4"/>
      <c r="MP2" s="4"/>
      <c r="MQ2" s="4"/>
      <c r="MR2" s="4"/>
      <c r="MS2" s="4"/>
      <c r="MT2" s="4"/>
      <c r="MU2" s="4"/>
      <c r="MV2" s="4"/>
      <c r="MW2" s="4"/>
      <c r="MX2" s="4"/>
      <c r="MY2" s="4"/>
      <c r="MZ2" s="4"/>
      <c r="NA2" s="4"/>
      <c r="NB2" s="4"/>
      <c r="NC2" s="4"/>
      <c r="ND2" s="4"/>
      <c r="NE2" s="4"/>
      <c r="NF2" s="4"/>
      <c r="NG2" s="4"/>
      <c r="NH2" s="4"/>
      <c r="NI2" s="4"/>
      <c r="NJ2" s="4"/>
      <c r="NK2" s="4"/>
      <c r="NL2" s="4"/>
      <c r="NM2" s="4"/>
      <c r="NN2" s="4"/>
      <c r="NO2" s="4"/>
    </row>
    <row r="3" customFormat="false" ht="18" hidden="false" customHeight="true" outlineLevel="0" collapsed="false">
      <c r="A3" s="2"/>
      <c r="B3" s="6" t="str">
        <f aca="false">"Jahresübersicht je Mitarbeitenden  ·  Planungsjahr "&amp;Einstellungen!$E$7&amp;"  ·  Wochenenden und Feiertage werden automatisch erkannt"</f>
        <v>Jahresübersicht je Mitarbeitenden  ·  Planungsjahr 2026  ·  Wochenenden und Feiertage werden automatisch erkannt</v>
      </c>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7"/>
      <c r="CW3" s="7"/>
      <c r="CX3" s="7"/>
      <c r="CY3" s="7"/>
      <c r="CZ3" s="7"/>
      <c r="DA3" s="7"/>
      <c r="DB3" s="7"/>
      <c r="DC3" s="7"/>
      <c r="DD3" s="7"/>
      <c r="DE3" s="7"/>
      <c r="DF3" s="7"/>
      <c r="DG3" s="7"/>
      <c r="DH3" s="7"/>
      <c r="DI3" s="7"/>
      <c r="DJ3" s="7"/>
      <c r="DK3" s="7"/>
      <c r="DL3" s="7"/>
      <c r="DM3" s="7"/>
      <c r="DN3" s="7"/>
      <c r="DO3" s="7"/>
      <c r="DP3" s="7"/>
      <c r="DQ3" s="7"/>
      <c r="DR3" s="7"/>
      <c r="DS3" s="7"/>
      <c r="DT3" s="7"/>
      <c r="DU3" s="7"/>
      <c r="DV3" s="7"/>
      <c r="DW3" s="7"/>
      <c r="DX3" s="7"/>
      <c r="DY3" s="7"/>
      <c r="DZ3" s="7"/>
      <c r="EA3" s="7"/>
      <c r="EB3" s="7"/>
      <c r="EC3" s="7"/>
      <c r="ED3" s="7"/>
      <c r="EE3" s="7"/>
      <c r="EF3" s="7"/>
      <c r="EG3" s="7"/>
      <c r="EH3" s="7"/>
      <c r="EI3" s="7"/>
      <c r="EJ3" s="7"/>
      <c r="EK3" s="7"/>
      <c r="EL3" s="7"/>
      <c r="EM3" s="7"/>
      <c r="EN3" s="7"/>
      <c r="EO3" s="7"/>
      <c r="EP3" s="7"/>
      <c r="EQ3" s="7"/>
      <c r="ER3" s="7"/>
      <c r="ES3" s="7"/>
      <c r="ET3" s="7"/>
      <c r="EU3" s="7"/>
      <c r="EV3" s="7"/>
      <c r="EW3" s="7"/>
      <c r="EX3" s="7"/>
      <c r="EY3" s="7"/>
      <c r="EZ3" s="7"/>
      <c r="FA3" s="7"/>
      <c r="FB3" s="7"/>
      <c r="FC3" s="7"/>
      <c r="FD3" s="7"/>
      <c r="FE3" s="7"/>
      <c r="FF3" s="7"/>
      <c r="FG3" s="7"/>
      <c r="FH3" s="7"/>
      <c r="FI3" s="7"/>
      <c r="FJ3" s="7"/>
      <c r="FK3" s="7"/>
      <c r="FL3" s="7"/>
      <c r="FM3" s="7"/>
      <c r="FN3" s="7"/>
      <c r="FO3" s="7"/>
      <c r="FP3" s="7"/>
      <c r="FQ3" s="7"/>
      <c r="FR3" s="7"/>
      <c r="FS3" s="7"/>
      <c r="FT3" s="7"/>
      <c r="FU3" s="7"/>
      <c r="FV3" s="7"/>
      <c r="FW3" s="7"/>
      <c r="FX3" s="7"/>
      <c r="FY3" s="7"/>
      <c r="FZ3" s="7"/>
      <c r="GA3" s="7"/>
      <c r="GB3" s="7"/>
      <c r="GC3" s="7"/>
      <c r="GD3" s="7"/>
      <c r="GE3" s="7"/>
      <c r="GF3" s="7"/>
      <c r="GG3" s="7"/>
      <c r="GH3" s="7"/>
      <c r="GI3" s="7"/>
      <c r="GJ3" s="7"/>
      <c r="GK3" s="7"/>
      <c r="GL3" s="7"/>
      <c r="GM3" s="7"/>
      <c r="GN3" s="7"/>
      <c r="GO3" s="7"/>
      <c r="GP3" s="7"/>
      <c r="GQ3" s="7"/>
      <c r="GR3" s="7"/>
      <c r="GS3" s="7"/>
      <c r="GT3" s="7"/>
      <c r="GU3" s="7"/>
      <c r="GV3" s="7"/>
      <c r="GW3" s="7"/>
      <c r="GX3" s="7"/>
      <c r="GY3" s="7"/>
      <c r="GZ3" s="7"/>
      <c r="HA3" s="7"/>
      <c r="HB3" s="7"/>
      <c r="HC3" s="7"/>
      <c r="HD3" s="7"/>
      <c r="HE3" s="7"/>
      <c r="HF3" s="7"/>
      <c r="HG3" s="7"/>
      <c r="HH3" s="7"/>
      <c r="HI3" s="7"/>
      <c r="HJ3" s="7"/>
      <c r="HK3" s="7"/>
      <c r="HL3" s="7"/>
      <c r="HM3" s="7"/>
      <c r="HN3" s="7"/>
      <c r="HO3" s="7"/>
      <c r="HP3" s="7"/>
      <c r="HQ3" s="7"/>
      <c r="HR3" s="7"/>
      <c r="HS3" s="7"/>
      <c r="HT3" s="7"/>
      <c r="HU3" s="7"/>
      <c r="HV3" s="7"/>
      <c r="HW3" s="7"/>
      <c r="HX3" s="7"/>
      <c r="HY3" s="7"/>
      <c r="HZ3" s="7"/>
      <c r="IA3" s="7"/>
      <c r="IB3" s="7"/>
      <c r="IC3" s="7"/>
      <c r="ID3" s="7"/>
      <c r="IE3" s="7"/>
      <c r="IF3" s="7"/>
      <c r="IG3" s="7"/>
      <c r="IH3" s="7"/>
      <c r="II3" s="7"/>
      <c r="IJ3" s="7"/>
      <c r="IK3" s="7"/>
      <c r="IL3" s="7"/>
      <c r="IM3" s="7"/>
      <c r="IN3" s="7"/>
      <c r="IO3" s="7"/>
      <c r="IP3" s="7"/>
      <c r="IQ3" s="7"/>
      <c r="IR3" s="7"/>
      <c r="IS3" s="7"/>
      <c r="IT3" s="7"/>
      <c r="IU3" s="7"/>
      <c r="IV3" s="7"/>
      <c r="IW3" s="7"/>
      <c r="IX3" s="7"/>
      <c r="IY3" s="7"/>
      <c r="IZ3" s="7"/>
      <c r="JA3" s="7"/>
      <c r="JB3" s="7"/>
      <c r="JC3" s="7"/>
      <c r="JD3" s="7"/>
      <c r="JE3" s="7"/>
      <c r="JF3" s="7"/>
      <c r="JG3" s="7"/>
      <c r="JH3" s="7"/>
      <c r="JI3" s="7"/>
      <c r="JJ3" s="7"/>
      <c r="JK3" s="7"/>
      <c r="JL3" s="7"/>
      <c r="JM3" s="7"/>
      <c r="JN3" s="7"/>
      <c r="JO3" s="7"/>
      <c r="JP3" s="7"/>
      <c r="JQ3" s="7"/>
      <c r="JR3" s="7"/>
      <c r="JS3" s="7"/>
      <c r="JT3" s="7"/>
      <c r="JU3" s="7"/>
      <c r="JV3" s="7"/>
      <c r="JW3" s="7"/>
      <c r="JX3" s="7"/>
      <c r="JY3" s="7"/>
      <c r="JZ3" s="7"/>
      <c r="KA3" s="7"/>
      <c r="KB3" s="7"/>
      <c r="KC3" s="7"/>
      <c r="KD3" s="7"/>
      <c r="KE3" s="7"/>
      <c r="KF3" s="7"/>
      <c r="KG3" s="7"/>
      <c r="KH3" s="7"/>
      <c r="KI3" s="7"/>
      <c r="KJ3" s="7"/>
      <c r="KK3" s="7"/>
      <c r="KL3" s="7"/>
      <c r="KM3" s="7"/>
      <c r="KN3" s="7"/>
      <c r="KO3" s="7"/>
      <c r="KP3" s="7"/>
      <c r="KQ3" s="7"/>
      <c r="KR3" s="7"/>
      <c r="KS3" s="7"/>
      <c r="KT3" s="7"/>
      <c r="KU3" s="7"/>
      <c r="KV3" s="7"/>
      <c r="KW3" s="7"/>
      <c r="KX3" s="7"/>
      <c r="KY3" s="7"/>
      <c r="KZ3" s="7"/>
      <c r="LA3" s="7"/>
      <c r="LB3" s="7"/>
      <c r="LC3" s="7"/>
      <c r="LD3" s="7"/>
      <c r="LE3" s="7"/>
      <c r="LF3" s="7"/>
      <c r="LG3" s="7"/>
      <c r="LH3" s="7"/>
      <c r="LI3" s="7"/>
      <c r="LJ3" s="7"/>
      <c r="LK3" s="7"/>
      <c r="LL3" s="7"/>
      <c r="LM3" s="7"/>
      <c r="LN3" s="7"/>
      <c r="LO3" s="7"/>
      <c r="LP3" s="7"/>
      <c r="LQ3" s="7"/>
      <c r="LR3" s="7"/>
      <c r="LS3" s="7"/>
      <c r="LT3" s="7"/>
      <c r="LU3" s="7"/>
      <c r="LV3" s="7"/>
      <c r="LW3" s="7"/>
      <c r="LX3" s="7"/>
      <c r="LY3" s="7"/>
      <c r="LZ3" s="7"/>
      <c r="MA3" s="7"/>
      <c r="MB3" s="7"/>
      <c r="MC3" s="7"/>
      <c r="MD3" s="7"/>
      <c r="ME3" s="7"/>
      <c r="MF3" s="7"/>
      <c r="MG3" s="7"/>
      <c r="MH3" s="7"/>
      <c r="MI3" s="7"/>
      <c r="MJ3" s="7"/>
      <c r="MK3" s="7"/>
      <c r="ML3" s="7"/>
      <c r="MM3" s="7"/>
      <c r="MN3" s="7"/>
      <c r="MO3" s="7"/>
      <c r="MP3" s="7"/>
      <c r="MQ3" s="7"/>
      <c r="MR3" s="7"/>
      <c r="MS3" s="7"/>
      <c r="MT3" s="7"/>
      <c r="MU3" s="7"/>
      <c r="MV3" s="7"/>
      <c r="MW3" s="7"/>
      <c r="MX3" s="7"/>
      <c r="MY3" s="7"/>
      <c r="MZ3" s="7"/>
      <c r="NA3" s="7"/>
      <c r="NB3" s="7"/>
      <c r="NC3" s="7"/>
      <c r="ND3" s="7"/>
      <c r="NE3" s="7"/>
      <c r="NF3" s="7"/>
      <c r="NG3" s="7"/>
      <c r="NH3" s="7"/>
      <c r="NI3" s="7"/>
      <c r="NJ3" s="7"/>
      <c r="NK3" s="7"/>
      <c r="NL3" s="7"/>
      <c r="NM3" s="7"/>
      <c r="NN3" s="7"/>
      <c r="NO3" s="7"/>
    </row>
    <row r="4" customFormat="false" ht="4.5" hidden="false" customHeight="true" outlineLevel="0" collapsed="false">
      <c r="A4" s="9"/>
      <c r="B4" s="9"/>
      <c r="C4" s="9"/>
      <c r="D4" s="9"/>
      <c r="E4" s="9"/>
      <c r="F4" s="9"/>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c r="BF4" s="9"/>
      <c r="BG4" s="9"/>
      <c r="BH4" s="9"/>
      <c r="BI4" s="9"/>
      <c r="BJ4" s="9"/>
      <c r="BK4" s="9"/>
      <c r="BL4" s="9"/>
      <c r="BM4" s="9"/>
      <c r="BN4" s="9"/>
      <c r="BO4" s="9"/>
      <c r="BP4" s="9"/>
      <c r="BQ4" s="9"/>
      <c r="BR4" s="9"/>
      <c r="BS4" s="9"/>
      <c r="BT4" s="9"/>
      <c r="BU4" s="9"/>
      <c r="BV4" s="9"/>
      <c r="BW4" s="9"/>
      <c r="BX4" s="9"/>
      <c r="BY4" s="9"/>
      <c r="BZ4" s="9"/>
      <c r="CA4" s="9"/>
      <c r="CB4" s="9"/>
      <c r="CC4" s="9"/>
      <c r="CD4" s="9"/>
      <c r="CE4" s="9"/>
      <c r="CF4" s="9"/>
      <c r="CG4" s="9"/>
      <c r="CH4" s="9"/>
      <c r="CI4" s="9"/>
      <c r="CJ4" s="9"/>
      <c r="CK4" s="9"/>
      <c r="CL4" s="9"/>
      <c r="CM4" s="9"/>
      <c r="CN4" s="9"/>
      <c r="CO4" s="9"/>
      <c r="CP4" s="9"/>
      <c r="CQ4" s="9"/>
      <c r="CR4" s="9"/>
      <c r="CS4" s="9"/>
      <c r="CT4" s="9"/>
      <c r="CU4" s="9"/>
      <c r="CV4" s="9"/>
      <c r="CW4" s="9"/>
      <c r="CX4" s="9"/>
      <c r="CY4" s="9"/>
      <c r="CZ4" s="9"/>
      <c r="DA4" s="9"/>
      <c r="DB4" s="9"/>
      <c r="DC4" s="9"/>
      <c r="DD4" s="9"/>
      <c r="DE4" s="9"/>
      <c r="DF4" s="9"/>
      <c r="DG4" s="9"/>
      <c r="DH4" s="9"/>
      <c r="DI4" s="9"/>
      <c r="DJ4" s="9"/>
      <c r="DK4" s="9"/>
      <c r="DL4" s="9"/>
      <c r="DM4" s="9"/>
      <c r="DN4" s="9"/>
      <c r="DO4" s="9"/>
      <c r="DP4" s="9"/>
      <c r="DQ4" s="9"/>
      <c r="DR4" s="9"/>
      <c r="DS4" s="9"/>
      <c r="DT4" s="9"/>
      <c r="DU4" s="9"/>
      <c r="DV4" s="9"/>
      <c r="DW4" s="9"/>
      <c r="DX4" s="9"/>
      <c r="DY4" s="9"/>
      <c r="DZ4" s="9"/>
      <c r="EA4" s="9"/>
      <c r="EB4" s="9"/>
      <c r="EC4" s="9"/>
      <c r="ED4" s="9"/>
      <c r="EE4" s="9"/>
      <c r="EF4" s="9"/>
      <c r="EG4" s="9"/>
      <c r="EH4" s="9"/>
      <c r="EI4" s="9"/>
      <c r="EJ4" s="9"/>
      <c r="EK4" s="9"/>
      <c r="EL4" s="9"/>
      <c r="EM4" s="9"/>
      <c r="EN4" s="9"/>
      <c r="EO4" s="9"/>
      <c r="EP4" s="9"/>
      <c r="EQ4" s="9"/>
      <c r="ER4" s="9"/>
      <c r="ES4" s="9"/>
      <c r="ET4" s="9"/>
      <c r="EU4" s="9"/>
      <c r="EV4" s="9"/>
      <c r="EW4" s="9"/>
      <c r="EX4" s="9"/>
      <c r="EY4" s="9"/>
      <c r="EZ4" s="9"/>
      <c r="FA4" s="9"/>
      <c r="FB4" s="9"/>
      <c r="FC4" s="9"/>
      <c r="FD4" s="9"/>
      <c r="FE4" s="9"/>
      <c r="FF4" s="9"/>
      <c r="FG4" s="9"/>
      <c r="FH4" s="9"/>
      <c r="FI4" s="9"/>
      <c r="FJ4" s="9"/>
      <c r="FK4" s="9"/>
      <c r="FL4" s="9"/>
      <c r="FM4" s="9"/>
      <c r="FN4" s="9"/>
      <c r="FO4" s="9"/>
      <c r="FP4" s="9"/>
      <c r="FQ4" s="9"/>
      <c r="FR4" s="9"/>
      <c r="FS4" s="9"/>
      <c r="FT4" s="9"/>
      <c r="FU4" s="9"/>
      <c r="FV4" s="9"/>
      <c r="FW4" s="9"/>
      <c r="FX4" s="9"/>
      <c r="FY4" s="9"/>
      <c r="FZ4" s="9"/>
      <c r="GA4" s="9"/>
      <c r="GB4" s="9"/>
      <c r="GC4" s="9"/>
      <c r="GD4" s="9"/>
      <c r="GE4" s="9"/>
      <c r="GF4" s="9"/>
      <c r="GG4" s="9"/>
      <c r="GH4" s="9"/>
      <c r="GI4" s="9"/>
      <c r="GJ4" s="9"/>
      <c r="GK4" s="9"/>
      <c r="GL4" s="9"/>
      <c r="GM4" s="9"/>
      <c r="GN4" s="9"/>
      <c r="GO4" s="9"/>
      <c r="GP4" s="9"/>
      <c r="GQ4" s="9"/>
      <c r="GR4" s="9"/>
      <c r="GS4" s="9"/>
      <c r="GT4" s="9"/>
      <c r="GU4" s="9"/>
      <c r="GV4" s="9"/>
      <c r="GW4" s="9"/>
      <c r="GX4" s="9"/>
      <c r="GY4" s="9"/>
      <c r="GZ4" s="9"/>
      <c r="HA4" s="9"/>
      <c r="HB4" s="9"/>
      <c r="HC4" s="9"/>
      <c r="HD4" s="9"/>
      <c r="HE4" s="9"/>
      <c r="HF4" s="9"/>
      <c r="HG4" s="9"/>
      <c r="HH4" s="9"/>
      <c r="HI4" s="9"/>
      <c r="HJ4" s="9"/>
      <c r="HK4" s="9"/>
      <c r="HL4" s="9"/>
      <c r="HM4" s="9"/>
      <c r="HN4" s="9"/>
      <c r="HO4" s="9"/>
      <c r="HP4" s="9"/>
      <c r="HQ4" s="9"/>
      <c r="HR4" s="9"/>
      <c r="HS4" s="9"/>
      <c r="HT4" s="9"/>
      <c r="HU4" s="9"/>
      <c r="HV4" s="9"/>
      <c r="HW4" s="9"/>
      <c r="HX4" s="9"/>
      <c r="HY4" s="9"/>
      <c r="HZ4" s="9"/>
      <c r="IA4" s="9"/>
      <c r="IB4" s="9"/>
      <c r="IC4" s="9"/>
      <c r="ID4" s="9"/>
      <c r="IE4" s="9"/>
      <c r="IF4" s="9"/>
      <c r="IG4" s="9"/>
      <c r="IH4" s="9"/>
      <c r="II4" s="9"/>
      <c r="IJ4" s="9"/>
      <c r="IK4" s="9"/>
      <c r="IL4" s="9"/>
      <c r="IM4" s="9"/>
      <c r="IN4" s="9"/>
      <c r="IO4" s="9"/>
      <c r="IP4" s="9"/>
      <c r="IQ4" s="9"/>
      <c r="IR4" s="9"/>
      <c r="IS4" s="9"/>
      <c r="IT4" s="9"/>
      <c r="IU4" s="9"/>
      <c r="IV4" s="9"/>
      <c r="IW4" s="9"/>
      <c r="IX4" s="9"/>
      <c r="IY4" s="9"/>
      <c r="IZ4" s="9"/>
      <c r="JA4" s="9"/>
      <c r="JB4" s="9"/>
      <c r="JC4" s="9"/>
      <c r="JD4" s="9"/>
      <c r="JE4" s="9"/>
      <c r="JF4" s="9"/>
      <c r="JG4" s="9"/>
      <c r="JH4" s="9"/>
      <c r="JI4" s="9"/>
      <c r="JJ4" s="9"/>
      <c r="JK4" s="9"/>
      <c r="JL4" s="9"/>
      <c r="JM4" s="9"/>
      <c r="JN4" s="9"/>
      <c r="JO4" s="9"/>
      <c r="JP4" s="9"/>
      <c r="JQ4" s="9"/>
      <c r="JR4" s="9"/>
      <c r="JS4" s="9"/>
      <c r="JT4" s="9"/>
      <c r="JU4" s="9"/>
      <c r="JV4" s="9"/>
      <c r="JW4" s="9"/>
      <c r="JX4" s="9"/>
      <c r="JY4" s="9"/>
      <c r="JZ4" s="9"/>
      <c r="KA4" s="9"/>
      <c r="KB4" s="9"/>
      <c r="KC4" s="9"/>
      <c r="KD4" s="9"/>
      <c r="KE4" s="9"/>
      <c r="KF4" s="9"/>
      <c r="KG4" s="9"/>
      <c r="KH4" s="9"/>
      <c r="KI4" s="9"/>
      <c r="KJ4" s="9"/>
      <c r="KK4" s="9"/>
      <c r="KL4" s="9"/>
      <c r="KM4" s="9"/>
      <c r="KN4" s="9"/>
      <c r="KO4" s="9"/>
      <c r="KP4" s="9"/>
      <c r="KQ4" s="9"/>
      <c r="KR4" s="9"/>
      <c r="KS4" s="9"/>
      <c r="KT4" s="9"/>
      <c r="KU4" s="9"/>
      <c r="KV4" s="9"/>
      <c r="KW4" s="9"/>
      <c r="KX4" s="9"/>
      <c r="KY4" s="9"/>
      <c r="KZ4" s="9"/>
      <c r="LA4" s="9"/>
      <c r="LB4" s="9"/>
      <c r="LC4" s="9"/>
      <c r="LD4" s="9"/>
      <c r="LE4" s="9"/>
      <c r="LF4" s="9"/>
      <c r="LG4" s="9"/>
      <c r="LH4" s="9"/>
      <c r="LI4" s="9"/>
      <c r="LJ4" s="9"/>
      <c r="LK4" s="9"/>
      <c r="LL4" s="9"/>
      <c r="LM4" s="9"/>
      <c r="LN4" s="9"/>
      <c r="LO4" s="9"/>
      <c r="LP4" s="9"/>
      <c r="LQ4" s="9"/>
      <c r="LR4" s="9"/>
      <c r="LS4" s="9"/>
      <c r="LT4" s="9"/>
      <c r="LU4" s="9"/>
      <c r="LV4" s="9"/>
      <c r="LW4" s="9"/>
      <c r="LX4" s="9"/>
      <c r="LY4" s="9"/>
      <c r="LZ4" s="9"/>
      <c r="MA4" s="9"/>
      <c r="MB4" s="9"/>
      <c r="MC4" s="9"/>
      <c r="MD4" s="9"/>
      <c r="ME4" s="9"/>
      <c r="MF4" s="9"/>
      <c r="MG4" s="9"/>
      <c r="MH4" s="9"/>
      <c r="MI4" s="9"/>
      <c r="MJ4" s="9"/>
      <c r="MK4" s="9"/>
      <c r="ML4" s="9"/>
      <c r="MM4" s="9"/>
      <c r="MN4" s="9"/>
      <c r="MO4" s="9"/>
      <c r="MP4" s="9"/>
      <c r="MQ4" s="9"/>
      <c r="MR4" s="9"/>
      <c r="MS4" s="9"/>
      <c r="MT4" s="9"/>
      <c r="MU4" s="9"/>
      <c r="MV4" s="9"/>
      <c r="MW4" s="9"/>
      <c r="MX4" s="9"/>
      <c r="MY4" s="9"/>
      <c r="MZ4" s="9"/>
      <c r="NA4" s="9"/>
      <c r="NB4" s="9"/>
      <c r="NC4" s="9"/>
      <c r="ND4" s="9"/>
      <c r="NE4" s="9"/>
      <c r="NF4" s="9"/>
      <c r="NG4" s="9"/>
      <c r="NH4" s="9"/>
      <c r="NI4" s="9"/>
      <c r="NJ4" s="9"/>
      <c r="NK4" s="9"/>
      <c r="NL4" s="9"/>
      <c r="NM4" s="9"/>
      <c r="NN4" s="9"/>
      <c r="NO4" s="9"/>
    </row>
    <row r="5" customFormat="false" ht="7.5" hidden="true" customHeight="true" outlineLevel="0" collapsed="false">
      <c r="H5" s="46" t="n">
        <f aca="false">IF(DAY(DATE(Einstellungen!$E$7,1,1))&lt;&gt;1,"",DATE(Einstellungen!$E$7,1,1))</f>
        <v>46023</v>
      </c>
      <c r="I5" s="46" t="n">
        <f aca="false">IF(DAY(DATE(Einstellungen!$E$7,1,2))&lt;&gt;2,"",DATE(Einstellungen!$E$7,1,2))</f>
        <v>46024</v>
      </c>
      <c r="J5" s="46" t="n">
        <f aca="false">IF(DAY(DATE(Einstellungen!$E$7,1,3))&lt;&gt;3,"",DATE(Einstellungen!$E$7,1,3))</f>
        <v>46025</v>
      </c>
      <c r="K5" s="46" t="n">
        <f aca="false">IF(DAY(DATE(Einstellungen!$E$7,1,4))&lt;&gt;4,"",DATE(Einstellungen!$E$7,1,4))</f>
        <v>46026</v>
      </c>
      <c r="L5" s="46" t="n">
        <f aca="false">IF(DAY(DATE(Einstellungen!$E$7,1,5))&lt;&gt;5,"",DATE(Einstellungen!$E$7,1,5))</f>
        <v>46027</v>
      </c>
      <c r="M5" s="46" t="n">
        <f aca="false">IF(DAY(DATE(Einstellungen!$E$7,1,6))&lt;&gt;6,"",DATE(Einstellungen!$E$7,1,6))</f>
        <v>46028</v>
      </c>
      <c r="N5" s="46" t="n">
        <f aca="false">IF(DAY(DATE(Einstellungen!$E$7,1,7))&lt;&gt;7,"",DATE(Einstellungen!$E$7,1,7))</f>
        <v>46029</v>
      </c>
      <c r="O5" s="46" t="n">
        <f aca="false">IF(DAY(DATE(Einstellungen!$E$7,1,8))&lt;&gt;8,"",DATE(Einstellungen!$E$7,1,8))</f>
        <v>46030</v>
      </c>
      <c r="P5" s="46" t="n">
        <f aca="false">IF(DAY(DATE(Einstellungen!$E$7,1,9))&lt;&gt;9,"",DATE(Einstellungen!$E$7,1,9))</f>
        <v>46031</v>
      </c>
      <c r="Q5" s="46" t="n">
        <f aca="false">IF(DAY(DATE(Einstellungen!$E$7,1,10))&lt;&gt;10,"",DATE(Einstellungen!$E$7,1,10))</f>
        <v>46032</v>
      </c>
      <c r="R5" s="46" t="n">
        <f aca="false">IF(DAY(DATE(Einstellungen!$E$7,1,11))&lt;&gt;11,"",DATE(Einstellungen!$E$7,1,11))</f>
        <v>46033</v>
      </c>
      <c r="S5" s="46" t="n">
        <f aca="false">IF(DAY(DATE(Einstellungen!$E$7,1,12))&lt;&gt;12,"",DATE(Einstellungen!$E$7,1,12))</f>
        <v>46034</v>
      </c>
      <c r="T5" s="46" t="n">
        <f aca="false">IF(DAY(DATE(Einstellungen!$E$7,1,13))&lt;&gt;13,"",DATE(Einstellungen!$E$7,1,13))</f>
        <v>46035</v>
      </c>
      <c r="U5" s="46" t="n">
        <f aca="false">IF(DAY(DATE(Einstellungen!$E$7,1,14))&lt;&gt;14,"",DATE(Einstellungen!$E$7,1,14))</f>
        <v>46036</v>
      </c>
      <c r="V5" s="46" t="n">
        <f aca="false">IF(DAY(DATE(Einstellungen!$E$7,1,15))&lt;&gt;15,"",DATE(Einstellungen!$E$7,1,15))</f>
        <v>46037</v>
      </c>
      <c r="W5" s="46" t="n">
        <f aca="false">IF(DAY(DATE(Einstellungen!$E$7,1,16))&lt;&gt;16,"",DATE(Einstellungen!$E$7,1,16))</f>
        <v>46038</v>
      </c>
      <c r="X5" s="46" t="n">
        <f aca="false">IF(DAY(DATE(Einstellungen!$E$7,1,17))&lt;&gt;17,"",DATE(Einstellungen!$E$7,1,17))</f>
        <v>46039</v>
      </c>
      <c r="Y5" s="46" t="n">
        <f aca="false">IF(DAY(DATE(Einstellungen!$E$7,1,18))&lt;&gt;18,"",DATE(Einstellungen!$E$7,1,18))</f>
        <v>46040</v>
      </c>
      <c r="Z5" s="46" t="n">
        <f aca="false">IF(DAY(DATE(Einstellungen!$E$7,1,19))&lt;&gt;19,"",DATE(Einstellungen!$E$7,1,19))</f>
        <v>46041</v>
      </c>
      <c r="AA5" s="46" t="n">
        <f aca="false">IF(DAY(DATE(Einstellungen!$E$7,1,20))&lt;&gt;20,"",DATE(Einstellungen!$E$7,1,20))</f>
        <v>46042</v>
      </c>
      <c r="AB5" s="46" t="n">
        <f aca="false">IF(DAY(DATE(Einstellungen!$E$7,1,21))&lt;&gt;21,"",DATE(Einstellungen!$E$7,1,21))</f>
        <v>46043</v>
      </c>
      <c r="AC5" s="46" t="n">
        <f aca="false">IF(DAY(DATE(Einstellungen!$E$7,1,22))&lt;&gt;22,"",DATE(Einstellungen!$E$7,1,22))</f>
        <v>46044</v>
      </c>
      <c r="AD5" s="46" t="n">
        <f aca="false">IF(DAY(DATE(Einstellungen!$E$7,1,23))&lt;&gt;23,"",DATE(Einstellungen!$E$7,1,23))</f>
        <v>46045</v>
      </c>
      <c r="AE5" s="46" t="n">
        <f aca="false">IF(DAY(DATE(Einstellungen!$E$7,1,24))&lt;&gt;24,"",DATE(Einstellungen!$E$7,1,24))</f>
        <v>46046</v>
      </c>
      <c r="AF5" s="46" t="n">
        <f aca="false">IF(DAY(DATE(Einstellungen!$E$7,1,25))&lt;&gt;25,"",DATE(Einstellungen!$E$7,1,25))</f>
        <v>46047</v>
      </c>
      <c r="AG5" s="46" t="n">
        <f aca="false">IF(DAY(DATE(Einstellungen!$E$7,1,26))&lt;&gt;26,"",DATE(Einstellungen!$E$7,1,26))</f>
        <v>46048</v>
      </c>
      <c r="AH5" s="46" t="n">
        <f aca="false">IF(DAY(DATE(Einstellungen!$E$7,1,27))&lt;&gt;27,"",DATE(Einstellungen!$E$7,1,27))</f>
        <v>46049</v>
      </c>
      <c r="AI5" s="46" t="n">
        <f aca="false">IF(DAY(DATE(Einstellungen!$E$7,1,28))&lt;&gt;28,"",DATE(Einstellungen!$E$7,1,28))</f>
        <v>46050</v>
      </c>
      <c r="AJ5" s="46" t="n">
        <f aca="false">IF(DAY(DATE(Einstellungen!$E$7,1,29))&lt;&gt;29,"",DATE(Einstellungen!$E$7,1,29))</f>
        <v>46051</v>
      </c>
      <c r="AK5" s="46" t="n">
        <f aca="false">IF(DAY(DATE(Einstellungen!$E$7,1,30))&lt;&gt;30,"",DATE(Einstellungen!$E$7,1,30))</f>
        <v>46052</v>
      </c>
      <c r="AL5" s="46" t="n">
        <f aca="false">IF(DAY(DATE(Einstellungen!$E$7,1,31))&lt;&gt;31,"",DATE(Einstellungen!$E$7,1,31))</f>
        <v>46053</v>
      </c>
      <c r="AM5" s="46" t="n">
        <f aca="false">IF(DAY(DATE(Einstellungen!$E$7,2,1))&lt;&gt;1,"",DATE(Einstellungen!$E$7,2,1))</f>
        <v>46054</v>
      </c>
      <c r="AN5" s="46" t="n">
        <f aca="false">IF(DAY(DATE(Einstellungen!$E$7,2,2))&lt;&gt;2,"",DATE(Einstellungen!$E$7,2,2))</f>
        <v>46055</v>
      </c>
      <c r="AO5" s="46" t="n">
        <f aca="false">IF(DAY(DATE(Einstellungen!$E$7,2,3))&lt;&gt;3,"",DATE(Einstellungen!$E$7,2,3))</f>
        <v>46056</v>
      </c>
      <c r="AP5" s="46" t="n">
        <f aca="false">IF(DAY(DATE(Einstellungen!$E$7,2,4))&lt;&gt;4,"",DATE(Einstellungen!$E$7,2,4))</f>
        <v>46057</v>
      </c>
      <c r="AQ5" s="46" t="n">
        <f aca="false">IF(DAY(DATE(Einstellungen!$E$7,2,5))&lt;&gt;5,"",DATE(Einstellungen!$E$7,2,5))</f>
        <v>46058</v>
      </c>
      <c r="AR5" s="46" t="n">
        <f aca="false">IF(DAY(DATE(Einstellungen!$E$7,2,6))&lt;&gt;6,"",DATE(Einstellungen!$E$7,2,6))</f>
        <v>46059</v>
      </c>
      <c r="AS5" s="46" t="n">
        <f aca="false">IF(DAY(DATE(Einstellungen!$E$7,2,7))&lt;&gt;7,"",DATE(Einstellungen!$E$7,2,7))</f>
        <v>46060</v>
      </c>
      <c r="AT5" s="46" t="n">
        <f aca="false">IF(DAY(DATE(Einstellungen!$E$7,2,8))&lt;&gt;8,"",DATE(Einstellungen!$E$7,2,8))</f>
        <v>46061</v>
      </c>
      <c r="AU5" s="46" t="n">
        <f aca="false">IF(DAY(DATE(Einstellungen!$E$7,2,9))&lt;&gt;9,"",DATE(Einstellungen!$E$7,2,9))</f>
        <v>46062</v>
      </c>
      <c r="AV5" s="46" t="n">
        <f aca="false">IF(DAY(DATE(Einstellungen!$E$7,2,10))&lt;&gt;10,"",DATE(Einstellungen!$E$7,2,10))</f>
        <v>46063</v>
      </c>
      <c r="AW5" s="46" t="n">
        <f aca="false">IF(DAY(DATE(Einstellungen!$E$7,2,11))&lt;&gt;11,"",DATE(Einstellungen!$E$7,2,11))</f>
        <v>46064</v>
      </c>
      <c r="AX5" s="46" t="n">
        <f aca="false">IF(DAY(DATE(Einstellungen!$E$7,2,12))&lt;&gt;12,"",DATE(Einstellungen!$E$7,2,12))</f>
        <v>46065</v>
      </c>
      <c r="AY5" s="46" t="n">
        <f aca="false">IF(DAY(DATE(Einstellungen!$E$7,2,13))&lt;&gt;13,"",DATE(Einstellungen!$E$7,2,13))</f>
        <v>46066</v>
      </c>
      <c r="AZ5" s="46" t="n">
        <f aca="false">IF(DAY(DATE(Einstellungen!$E$7,2,14))&lt;&gt;14,"",DATE(Einstellungen!$E$7,2,14))</f>
        <v>46067</v>
      </c>
      <c r="BA5" s="46" t="n">
        <f aca="false">IF(DAY(DATE(Einstellungen!$E$7,2,15))&lt;&gt;15,"",DATE(Einstellungen!$E$7,2,15))</f>
        <v>46068</v>
      </c>
      <c r="BB5" s="46" t="n">
        <f aca="false">IF(DAY(DATE(Einstellungen!$E$7,2,16))&lt;&gt;16,"",DATE(Einstellungen!$E$7,2,16))</f>
        <v>46069</v>
      </c>
      <c r="BC5" s="46" t="n">
        <f aca="false">IF(DAY(DATE(Einstellungen!$E$7,2,17))&lt;&gt;17,"",DATE(Einstellungen!$E$7,2,17))</f>
        <v>46070</v>
      </c>
      <c r="BD5" s="46" t="n">
        <f aca="false">IF(DAY(DATE(Einstellungen!$E$7,2,18))&lt;&gt;18,"",DATE(Einstellungen!$E$7,2,18))</f>
        <v>46071</v>
      </c>
      <c r="BE5" s="46" t="n">
        <f aca="false">IF(DAY(DATE(Einstellungen!$E$7,2,19))&lt;&gt;19,"",DATE(Einstellungen!$E$7,2,19))</f>
        <v>46072</v>
      </c>
      <c r="BF5" s="46" t="n">
        <f aca="false">IF(DAY(DATE(Einstellungen!$E$7,2,20))&lt;&gt;20,"",DATE(Einstellungen!$E$7,2,20))</f>
        <v>46073</v>
      </c>
      <c r="BG5" s="46" t="n">
        <f aca="false">IF(DAY(DATE(Einstellungen!$E$7,2,21))&lt;&gt;21,"",DATE(Einstellungen!$E$7,2,21))</f>
        <v>46074</v>
      </c>
      <c r="BH5" s="46" t="n">
        <f aca="false">IF(DAY(DATE(Einstellungen!$E$7,2,22))&lt;&gt;22,"",DATE(Einstellungen!$E$7,2,22))</f>
        <v>46075</v>
      </c>
      <c r="BI5" s="46" t="n">
        <f aca="false">IF(DAY(DATE(Einstellungen!$E$7,2,23))&lt;&gt;23,"",DATE(Einstellungen!$E$7,2,23))</f>
        <v>46076</v>
      </c>
      <c r="BJ5" s="46" t="n">
        <f aca="false">IF(DAY(DATE(Einstellungen!$E$7,2,24))&lt;&gt;24,"",DATE(Einstellungen!$E$7,2,24))</f>
        <v>46077</v>
      </c>
      <c r="BK5" s="46" t="n">
        <f aca="false">IF(DAY(DATE(Einstellungen!$E$7,2,25))&lt;&gt;25,"",DATE(Einstellungen!$E$7,2,25))</f>
        <v>46078</v>
      </c>
      <c r="BL5" s="46" t="n">
        <f aca="false">IF(DAY(DATE(Einstellungen!$E$7,2,26))&lt;&gt;26,"",DATE(Einstellungen!$E$7,2,26))</f>
        <v>46079</v>
      </c>
      <c r="BM5" s="46" t="n">
        <f aca="false">IF(DAY(DATE(Einstellungen!$E$7,2,27))&lt;&gt;27,"",DATE(Einstellungen!$E$7,2,27))</f>
        <v>46080</v>
      </c>
      <c r="BN5" s="46" t="n">
        <f aca="false">IF(DAY(DATE(Einstellungen!$E$7,2,28))&lt;&gt;28,"",DATE(Einstellungen!$E$7,2,28))</f>
        <v>46081</v>
      </c>
      <c r="BO5" s="46" t="str">
        <f aca="false">IF(DAY(DATE(Einstellungen!$E$7,2,29))&lt;&gt;29,"",DATE(Einstellungen!$E$7,2,29))</f>
        <v/>
      </c>
      <c r="BP5" s="46" t="str">
        <f aca="false">IF(DAY(DATE(Einstellungen!$E$7,2,30))&lt;&gt;30,"",DATE(Einstellungen!$E$7,2,30))</f>
        <v/>
      </c>
      <c r="BQ5" s="46" t="str">
        <f aca="false">IF(DAY(DATE(Einstellungen!$E$7,2,31))&lt;&gt;31,"",DATE(Einstellungen!$E$7,2,31))</f>
        <v/>
      </c>
      <c r="BR5" s="46" t="n">
        <f aca="false">IF(DAY(DATE(Einstellungen!$E$7,3,1))&lt;&gt;1,"",DATE(Einstellungen!$E$7,3,1))</f>
        <v>46082</v>
      </c>
      <c r="BS5" s="46" t="n">
        <f aca="false">IF(DAY(DATE(Einstellungen!$E$7,3,2))&lt;&gt;2,"",DATE(Einstellungen!$E$7,3,2))</f>
        <v>46083</v>
      </c>
      <c r="BT5" s="46" t="n">
        <f aca="false">IF(DAY(DATE(Einstellungen!$E$7,3,3))&lt;&gt;3,"",DATE(Einstellungen!$E$7,3,3))</f>
        <v>46084</v>
      </c>
      <c r="BU5" s="46" t="n">
        <f aca="false">IF(DAY(DATE(Einstellungen!$E$7,3,4))&lt;&gt;4,"",DATE(Einstellungen!$E$7,3,4))</f>
        <v>46085</v>
      </c>
      <c r="BV5" s="46" t="n">
        <f aca="false">IF(DAY(DATE(Einstellungen!$E$7,3,5))&lt;&gt;5,"",DATE(Einstellungen!$E$7,3,5))</f>
        <v>46086</v>
      </c>
      <c r="BW5" s="46" t="n">
        <f aca="false">IF(DAY(DATE(Einstellungen!$E$7,3,6))&lt;&gt;6,"",DATE(Einstellungen!$E$7,3,6))</f>
        <v>46087</v>
      </c>
      <c r="BX5" s="46" t="n">
        <f aca="false">IF(DAY(DATE(Einstellungen!$E$7,3,7))&lt;&gt;7,"",DATE(Einstellungen!$E$7,3,7))</f>
        <v>46088</v>
      </c>
      <c r="BY5" s="46" t="n">
        <f aca="false">IF(DAY(DATE(Einstellungen!$E$7,3,8))&lt;&gt;8,"",DATE(Einstellungen!$E$7,3,8))</f>
        <v>46089</v>
      </c>
      <c r="BZ5" s="46" t="n">
        <f aca="false">IF(DAY(DATE(Einstellungen!$E$7,3,9))&lt;&gt;9,"",DATE(Einstellungen!$E$7,3,9))</f>
        <v>46090</v>
      </c>
      <c r="CA5" s="46" t="n">
        <f aca="false">IF(DAY(DATE(Einstellungen!$E$7,3,10))&lt;&gt;10,"",DATE(Einstellungen!$E$7,3,10))</f>
        <v>46091</v>
      </c>
      <c r="CB5" s="46" t="n">
        <f aca="false">IF(DAY(DATE(Einstellungen!$E$7,3,11))&lt;&gt;11,"",DATE(Einstellungen!$E$7,3,11))</f>
        <v>46092</v>
      </c>
      <c r="CC5" s="46" t="n">
        <f aca="false">IF(DAY(DATE(Einstellungen!$E$7,3,12))&lt;&gt;12,"",DATE(Einstellungen!$E$7,3,12))</f>
        <v>46093</v>
      </c>
      <c r="CD5" s="46" t="n">
        <f aca="false">IF(DAY(DATE(Einstellungen!$E$7,3,13))&lt;&gt;13,"",DATE(Einstellungen!$E$7,3,13))</f>
        <v>46094</v>
      </c>
      <c r="CE5" s="46" t="n">
        <f aca="false">IF(DAY(DATE(Einstellungen!$E$7,3,14))&lt;&gt;14,"",DATE(Einstellungen!$E$7,3,14))</f>
        <v>46095</v>
      </c>
      <c r="CF5" s="46" t="n">
        <f aca="false">IF(DAY(DATE(Einstellungen!$E$7,3,15))&lt;&gt;15,"",DATE(Einstellungen!$E$7,3,15))</f>
        <v>46096</v>
      </c>
      <c r="CG5" s="46" t="n">
        <f aca="false">IF(DAY(DATE(Einstellungen!$E$7,3,16))&lt;&gt;16,"",DATE(Einstellungen!$E$7,3,16))</f>
        <v>46097</v>
      </c>
      <c r="CH5" s="46" t="n">
        <f aca="false">IF(DAY(DATE(Einstellungen!$E$7,3,17))&lt;&gt;17,"",DATE(Einstellungen!$E$7,3,17))</f>
        <v>46098</v>
      </c>
      <c r="CI5" s="46" t="n">
        <f aca="false">IF(DAY(DATE(Einstellungen!$E$7,3,18))&lt;&gt;18,"",DATE(Einstellungen!$E$7,3,18))</f>
        <v>46099</v>
      </c>
      <c r="CJ5" s="46" t="n">
        <f aca="false">IF(DAY(DATE(Einstellungen!$E$7,3,19))&lt;&gt;19,"",DATE(Einstellungen!$E$7,3,19))</f>
        <v>46100</v>
      </c>
      <c r="CK5" s="46" t="n">
        <f aca="false">IF(DAY(DATE(Einstellungen!$E$7,3,20))&lt;&gt;20,"",DATE(Einstellungen!$E$7,3,20))</f>
        <v>46101</v>
      </c>
      <c r="CL5" s="46" t="n">
        <f aca="false">IF(DAY(DATE(Einstellungen!$E$7,3,21))&lt;&gt;21,"",DATE(Einstellungen!$E$7,3,21))</f>
        <v>46102</v>
      </c>
      <c r="CM5" s="46" t="n">
        <f aca="false">IF(DAY(DATE(Einstellungen!$E$7,3,22))&lt;&gt;22,"",DATE(Einstellungen!$E$7,3,22))</f>
        <v>46103</v>
      </c>
      <c r="CN5" s="46" t="n">
        <f aca="false">IF(DAY(DATE(Einstellungen!$E$7,3,23))&lt;&gt;23,"",DATE(Einstellungen!$E$7,3,23))</f>
        <v>46104</v>
      </c>
      <c r="CO5" s="46" t="n">
        <f aca="false">IF(DAY(DATE(Einstellungen!$E$7,3,24))&lt;&gt;24,"",DATE(Einstellungen!$E$7,3,24))</f>
        <v>46105</v>
      </c>
      <c r="CP5" s="46" t="n">
        <f aca="false">IF(DAY(DATE(Einstellungen!$E$7,3,25))&lt;&gt;25,"",DATE(Einstellungen!$E$7,3,25))</f>
        <v>46106</v>
      </c>
      <c r="CQ5" s="46" t="n">
        <f aca="false">IF(DAY(DATE(Einstellungen!$E$7,3,26))&lt;&gt;26,"",DATE(Einstellungen!$E$7,3,26))</f>
        <v>46107</v>
      </c>
      <c r="CR5" s="46" t="n">
        <f aca="false">IF(DAY(DATE(Einstellungen!$E$7,3,27))&lt;&gt;27,"",DATE(Einstellungen!$E$7,3,27))</f>
        <v>46108</v>
      </c>
      <c r="CS5" s="46" t="n">
        <f aca="false">IF(DAY(DATE(Einstellungen!$E$7,3,28))&lt;&gt;28,"",DATE(Einstellungen!$E$7,3,28))</f>
        <v>46109</v>
      </c>
      <c r="CT5" s="46" t="n">
        <f aca="false">IF(DAY(DATE(Einstellungen!$E$7,3,29))&lt;&gt;29,"",DATE(Einstellungen!$E$7,3,29))</f>
        <v>46110</v>
      </c>
      <c r="CU5" s="46" t="n">
        <f aca="false">IF(DAY(DATE(Einstellungen!$E$7,3,30))&lt;&gt;30,"",DATE(Einstellungen!$E$7,3,30))</f>
        <v>46111</v>
      </c>
      <c r="CV5" s="46" t="n">
        <f aca="false">IF(DAY(DATE(Einstellungen!$E$7,3,31))&lt;&gt;31,"",DATE(Einstellungen!$E$7,3,31))</f>
        <v>46112</v>
      </c>
      <c r="CW5" s="46" t="n">
        <f aca="false">IF(DAY(DATE(Einstellungen!$E$7,4,1))&lt;&gt;1,"",DATE(Einstellungen!$E$7,4,1))</f>
        <v>46113</v>
      </c>
      <c r="CX5" s="46" t="n">
        <f aca="false">IF(DAY(DATE(Einstellungen!$E$7,4,2))&lt;&gt;2,"",DATE(Einstellungen!$E$7,4,2))</f>
        <v>46114</v>
      </c>
      <c r="CY5" s="46" t="n">
        <f aca="false">IF(DAY(DATE(Einstellungen!$E$7,4,3))&lt;&gt;3,"",DATE(Einstellungen!$E$7,4,3))</f>
        <v>46115</v>
      </c>
      <c r="CZ5" s="46" t="n">
        <f aca="false">IF(DAY(DATE(Einstellungen!$E$7,4,4))&lt;&gt;4,"",DATE(Einstellungen!$E$7,4,4))</f>
        <v>46116</v>
      </c>
      <c r="DA5" s="46" t="n">
        <f aca="false">IF(DAY(DATE(Einstellungen!$E$7,4,5))&lt;&gt;5,"",DATE(Einstellungen!$E$7,4,5))</f>
        <v>46117</v>
      </c>
      <c r="DB5" s="46" t="n">
        <f aca="false">IF(DAY(DATE(Einstellungen!$E$7,4,6))&lt;&gt;6,"",DATE(Einstellungen!$E$7,4,6))</f>
        <v>46118</v>
      </c>
      <c r="DC5" s="46" t="n">
        <f aca="false">IF(DAY(DATE(Einstellungen!$E$7,4,7))&lt;&gt;7,"",DATE(Einstellungen!$E$7,4,7))</f>
        <v>46119</v>
      </c>
      <c r="DD5" s="46" t="n">
        <f aca="false">IF(DAY(DATE(Einstellungen!$E$7,4,8))&lt;&gt;8,"",DATE(Einstellungen!$E$7,4,8))</f>
        <v>46120</v>
      </c>
      <c r="DE5" s="46" t="n">
        <f aca="false">IF(DAY(DATE(Einstellungen!$E$7,4,9))&lt;&gt;9,"",DATE(Einstellungen!$E$7,4,9))</f>
        <v>46121</v>
      </c>
      <c r="DF5" s="46" t="n">
        <f aca="false">IF(DAY(DATE(Einstellungen!$E$7,4,10))&lt;&gt;10,"",DATE(Einstellungen!$E$7,4,10))</f>
        <v>46122</v>
      </c>
      <c r="DG5" s="46" t="n">
        <f aca="false">IF(DAY(DATE(Einstellungen!$E$7,4,11))&lt;&gt;11,"",DATE(Einstellungen!$E$7,4,11))</f>
        <v>46123</v>
      </c>
      <c r="DH5" s="46" t="n">
        <f aca="false">IF(DAY(DATE(Einstellungen!$E$7,4,12))&lt;&gt;12,"",DATE(Einstellungen!$E$7,4,12))</f>
        <v>46124</v>
      </c>
      <c r="DI5" s="46" t="n">
        <f aca="false">IF(DAY(DATE(Einstellungen!$E$7,4,13))&lt;&gt;13,"",DATE(Einstellungen!$E$7,4,13))</f>
        <v>46125</v>
      </c>
      <c r="DJ5" s="46" t="n">
        <f aca="false">IF(DAY(DATE(Einstellungen!$E$7,4,14))&lt;&gt;14,"",DATE(Einstellungen!$E$7,4,14))</f>
        <v>46126</v>
      </c>
      <c r="DK5" s="46" t="n">
        <f aca="false">IF(DAY(DATE(Einstellungen!$E$7,4,15))&lt;&gt;15,"",DATE(Einstellungen!$E$7,4,15))</f>
        <v>46127</v>
      </c>
      <c r="DL5" s="46" t="n">
        <f aca="false">IF(DAY(DATE(Einstellungen!$E$7,4,16))&lt;&gt;16,"",DATE(Einstellungen!$E$7,4,16))</f>
        <v>46128</v>
      </c>
      <c r="DM5" s="46" t="n">
        <f aca="false">IF(DAY(DATE(Einstellungen!$E$7,4,17))&lt;&gt;17,"",DATE(Einstellungen!$E$7,4,17))</f>
        <v>46129</v>
      </c>
      <c r="DN5" s="46" t="n">
        <f aca="false">IF(DAY(DATE(Einstellungen!$E$7,4,18))&lt;&gt;18,"",DATE(Einstellungen!$E$7,4,18))</f>
        <v>46130</v>
      </c>
      <c r="DO5" s="46" t="n">
        <f aca="false">IF(DAY(DATE(Einstellungen!$E$7,4,19))&lt;&gt;19,"",DATE(Einstellungen!$E$7,4,19))</f>
        <v>46131</v>
      </c>
      <c r="DP5" s="46" t="n">
        <f aca="false">IF(DAY(DATE(Einstellungen!$E$7,4,20))&lt;&gt;20,"",DATE(Einstellungen!$E$7,4,20))</f>
        <v>46132</v>
      </c>
      <c r="DQ5" s="46" t="n">
        <f aca="false">IF(DAY(DATE(Einstellungen!$E$7,4,21))&lt;&gt;21,"",DATE(Einstellungen!$E$7,4,21))</f>
        <v>46133</v>
      </c>
      <c r="DR5" s="46" t="n">
        <f aca="false">IF(DAY(DATE(Einstellungen!$E$7,4,22))&lt;&gt;22,"",DATE(Einstellungen!$E$7,4,22))</f>
        <v>46134</v>
      </c>
      <c r="DS5" s="46" t="n">
        <f aca="false">IF(DAY(DATE(Einstellungen!$E$7,4,23))&lt;&gt;23,"",DATE(Einstellungen!$E$7,4,23))</f>
        <v>46135</v>
      </c>
      <c r="DT5" s="46" t="n">
        <f aca="false">IF(DAY(DATE(Einstellungen!$E$7,4,24))&lt;&gt;24,"",DATE(Einstellungen!$E$7,4,24))</f>
        <v>46136</v>
      </c>
      <c r="DU5" s="46" t="n">
        <f aca="false">IF(DAY(DATE(Einstellungen!$E$7,4,25))&lt;&gt;25,"",DATE(Einstellungen!$E$7,4,25))</f>
        <v>46137</v>
      </c>
      <c r="DV5" s="46" t="n">
        <f aca="false">IF(DAY(DATE(Einstellungen!$E$7,4,26))&lt;&gt;26,"",DATE(Einstellungen!$E$7,4,26))</f>
        <v>46138</v>
      </c>
      <c r="DW5" s="46" t="n">
        <f aca="false">IF(DAY(DATE(Einstellungen!$E$7,4,27))&lt;&gt;27,"",DATE(Einstellungen!$E$7,4,27))</f>
        <v>46139</v>
      </c>
      <c r="DX5" s="46" t="n">
        <f aca="false">IF(DAY(DATE(Einstellungen!$E$7,4,28))&lt;&gt;28,"",DATE(Einstellungen!$E$7,4,28))</f>
        <v>46140</v>
      </c>
      <c r="DY5" s="46" t="n">
        <f aca="false">IF(DAY(DATE(Einstellungen!$E$7,4,29))&lt;&gt;29,"",DATE(Einstellungen!$E$7,4,29))</f>
        <v>46141</v>
      </c>
      <c r="DZ5" s="46" t="n">
        <f aca="false">IF(DAY(DATE(Einstellungen!$E$7,4,30))&lt;&gt;30,"",DATE(Einstellungen!$E$7,4,30))</f>
        <v>46142</v>
      </c>
      <c r="EA5" s="46" t="str">
        <f aca="false">IF(DAY(DATE(Einstellungen!$E$7,4,31))&lt;&gt;31,"",DATE(Einstellungen!$E$7,4,31))</f>
        <v/>
      </c>
      <c r="EB5" s="46" t="n">
        <f aca="false">IF(DAY(DATE(Einstellungen!$E$7,5,1))&lt;&gt;1,"",DATE(Einstellungen!$E$7,5,1))</f>
        <v>46143</v>
      </c>
      <c r="EC5" s="46" t="n">
        <f aca="false">IF(DAY(DATE(Einstellungen!$E$7,5,2))&lt;&gt;2,"",DATE(Einstellungen!$E$7,5,2))</f>
        <v>46144</v>
      </c>
      <c r="ED5" s="46" t="n">
        <f aca="false">IF(DAY(DATE(Einstellungen!$E$7,5,3))&lt;&gt;3,"",DATE(Einstellungen!$E$7,5,3))</f>
        <v>46145</v>
      </c>
      <c r="EE5" s="46" t="n">
        <f aca="false">IF(DAY(DATE(Einstellungen!$E$7,5,4))&lt;&gt;4,"",DATE(Einstellungen!$E$7,5,4))</f>
        <v>46146</v>
      </c>
      <c r="EF5" s="46" t="n">
        <f aca="false">IF(DAY(DATE(Einstellungen!$E$7,5,5))&lt;&gt;5,"",DATE(Einstellungen!$E$7,5,5))</f>
        <v>46147</v>
      </c>
      <c r="EG5" s="46" t="n">
        <f aca="false">IF(DAY(DATE(Einstellungen!$E$7,5,6))&lt;&gt;6,"",DATE(Einstellungen!$E$7,5,6))</f>
        <v>46148</v>
      </c>
      <c r="EH5" s="46" t="n">
        <f aca="false">IF(DAY(DATE(Einstellungen!$E$7,5,7))&lt;&gt;7,"",DATE(Einstellungen!$E$7,5,7))</f>
        <v>46149</v>
      </c>
      <c r="EI5" s="46" t="n">
        <f aca="false">IF(DAY(DATE(Einstellungen!$E$7,5,8))&lt;&gt;8,"",DATE(Einstellungen!$E$7,5,8))</f>
        <v>46150</v>
      </c>
      <c r="EJ5" s="46" t="n">
        <f aca="false">IF(DAY(DATE(Einstellungen!$E$7,5,9))&lt;&gt;9,"",DATE(Einstellungen!$E$7,5,9))</f>
        <v>46151</v>
      </c>
      <c r="EK5" s="46" t="n">
        <f aca="false">IF(DAY(DATE(Einstellungen!$E$7,5,10))&lt;&gt;10,"",DATE(Einstellungen!$E$7,5,10))</f>
        <v>46152</v>
      </c>
      <c r="EL5" s="46" t="n">
        <f aca="false">IF(DAY(DATE(Einstellungen!$E$7,5,11))&lt;&gt;11,"",DATE(Einstellungen!$E$7,5,11))</f>
        <v>46153</v>
      </c>
      <c r="EM5" s="46" t="n">
        <f aca="false">IF(DAY(DATE(Einstellungen!$E$7,5,12))&lt;&gt;12,"",DATE(Einstellungen!$E$7,5,12))</f>
        <v>46154</v>
      </c>
      <c r="EN5" s="46" t="n">
        <f aca="false">IF(DAY(DATE(Einstellungen!$E$7,5,13))&lt;&gt;13,"",DATE(Einstellungen!$E$7,5,13))</f>
        <v>46155</v>
      </c>
      <c r="EO5" s="46" t="n">
        <f aca="false">IF(DAY(DATE(Einstellungen!$E$7,5,14))&lt;&gt;14,"",DATE(Einstellungen!$E$7,5,14))</f>
        <v>46156</v>
      </c>
      <c r="EP5" s="46" t="n">
        <f aca="false">IF(DAY(DATE(Einstellungen!$E$7,5,15))&lt;&gt;15,"",DATE(Einstellungen!$E$7,5,15))</f>
        <v>46157</v>
      </c>
      <c r="EQ5" s="46" t="n">
        <f aca="false">IF(DAY(DATE(Einstellungen!$E$7,5,16))&lt;&gt;16,"",DATE(Einstellungen!$E$7,5,16))</f>
        <v>46158</v>
      </c>
      <c r="ER5" s="46" t="n">
        <f aca="false">IF(DAY(DATE(Einstellungen!$E$7,5,17))&lt;&gt;17,"",DATE(Einstellungen!$E$7,5,17))</f>
        <v>46159</v>
      </c>
      <c r="ES5" s="46" t="n">
        <f aca="false">IF(DAY(DATE(Einstellungen!$E$7,5,18))&lt;&gt;18,"",DATE(Einstellungen!$E$7,5,18))</f>
        <v>46160</v>
      </c>
      <c r="ET5" s="46" t="n">
        <f aca="false">IF(DAY(DATE(Einstellungen!$E$7,5,19))&lt;&gt;19,"",DATE(Einstellungen!$E$7,5,19))</f>
        <v>46161</v>
      </c>
      <c r="EU5" s="46" t="n">
        <f aca="false">IF(DAY(DATE(Einstellungen!$E$7,5,20))&lt;&gt;20,"",DATE(Einstellungen!$E$7,5,20))</f>
        <v>46162</v>
      </c>
      <c r="EV5" s="46" t="n">
        <f aca="false">IF(DAY(DATE(Einstellungen!$E$7,5,21))&lt;&gt;21,"",DATE(Einstellungen!$E$7,5,21))</f>
        <v>46163</v>
      </c>
      <c r="EW5" s="46" t="n">
        <f aca="false">IF(DAY(DATE(Einstellungen!$E$7,5,22))&lt;&gt;22,"",DATE(Einstellungen!$E$7,5,22))</f>
        <v>46164</v>
      </c>
      <c r="EX5" s="46" t="n">
        <f aca="false">IF(DAY(DATE(Einstellungen!$E$7,5,23))&lt;&gt;23,"",DATE(Einstellungen!$E$7,5,23))</f>
        <v>46165</v>
      </c>
      <c r="EY5" s="46" t="n">
        <f aca="false">IF(DAY(DATE(Einstellungen!$E$7,5,24))&lt;&gt;24,"",DATE(Einstellungen!$E$7,5,24))</f>
        <v>46166</v>
      </c>
      <c r="EZ5" s="46" t="n">
        <f aca="false">IF(DAY(DATE(Einstellungen!$E$7,5,25))&lt;&gt;25,"",DATE(Einstellungen!$E$7,5,25))</f>
        <v>46167</v>
      </c>
      <c r="FA5" s="46" t="n">
        <f aca="false">IF(DAY(DATE(Einstellungen!$E$7,5,26))&lt;&gt;26,"",DATE(Einstellungen!$E$7,5,26))</f>
        <v>46168</v>
      </c>
      <c r="FB5" s="46" t="n">
        <f aca="false">IF(DAY(DATE(Einstellungen!$E$7,5,27))&lt;&gt;27,"",DATE(Einstellungen!$E$7,5,27))</f>
        <v>46169</v>
      </c>
      <c r="FC5" s="46" t="n">
        <f aca="false">IF(DAY(DATE(Einstellungen!$E$7,5,28))&lt;&gt;28,"",DATE(Einstellungen!$E$7,5,28))</f>
        <v>46170</v>
      </c>
      <c r="FD5" s="46" t="n">
        <f aca="false">IF(DAY(DATE(Einstellungen!$E$7,5,29))&lt;&gt;29,"",DATE(Einstellungen!$E$7,5,29))</f>
        <v>46171</v>
      </c>
      <c r="FE5" s="46" t="n">
        <f aca="false">IF(DAY(DATE(Einstellungen!$E$7,5,30))&lt;&gt;30,"",DATE(Einstellungen!$E$7,5,30))</f>
        <v>46172</v>
      </c>
      <c r="FF5" s="46" t="n">
        <f aca="false">IF(DAY(DATE(Einstellungen!$E$7,5,31))&lt;&gt;31,"",DATE(Einstellungen!$E$7,5,31))</f>
        <v>46173</v>
      </c>
      <c r="FG5" s="46" t="n">
        <f aca="false">IF(DAY(DATE(Einstellungen!$E$7,6,1))&lt;&gt;1,"",DATE(Einstellungen!$E$7,6,1))</f>
        <v>46174</v>
      </c>
      <c r="FH5" s="46" t="n">
        <f aca="false">IF(DAY(DATE(Einstellungen!$E$7,6,2))&lt;&gt;2,"",DATE(Einstellungen!$E$7,6,2))</f>
        <v>46175</v>
      </c>
      <c r="FI5" s="46" t="n">
        <f aca="false">IF(DAY(DATE(Einstellungen!$E$7,6,3))&lt;&gt;3,"",DATE(Einstellungen!$E$7,6,3))</f>
        <v>46176</v>
      </c>
      <c r="FJ5" s="46" t="n">
        <f aca="false">IF(DAY(DATE(Einstellungen!$E$7,6,4))&lt;&gt;4,"",DATE(Einstellungen!$E$7,6,4))</f>
        <v>46177</v>
      </c>
      <c r="FK5" s="46" t="n">
        <f aca="false">IF(DAY(DATE(Einstellungen!$E$7,6,5))&lt;&gt;5,"",DATE(Einstellungen!$E$7,6,5))</f>
        <v>46178</v>
      </c>
      <c r="FL5" s="46" t="n">
        <f aca="false">IF(DAY(DATE(Einstellungen!$E$7,6,6))&lt;&gt;6,"",DATE(Einstellungen!$E$7,6,6))</f>
        <v>46179</v>
      </c>
      <c r="FM5" s="46" t="n">
        <f aca="false">IF(DAY(DATE(Einstellungen!$E$7,6,7))&lt;&gt;7,"",DATE(Einstellungen!$E$7,6,7))</f>
        <v>46180</v>
      </c>
      <c r="FN5" s="46" t="n">
        <f aca="false">IF(DAY(DATE(Einstellungen!$E$7,6,8))&lt;&gt;8,"",DATE(Einstellungen!$E$7,6,8))</f>
        <v>46181</v>
      </c>
      <c r="FO5" s="46" t="n">
        <f aca="false">IF(DAY(DATE(Einstellungen!$E$7,6,9))&lt;&gt;9,"",DATE(Einstellungen!$E$7,6,9))</f>
        <v>46182</v>
      </c>
      <c r="FP5" s="46" t="n">
        <f aca="false">IF(DAY(DATE(Einstellungen!$E$7,6,10))&lt;&gt;10,"",DATE(Einstellungen!$E$7,6,10))</f>
        <v>46183</v>
      </c>
      <c r="FQ5" s="46" t="n">
        <f aca="false">IF(DAY(DATE(Einstellungen!$E$7,6,11))&lt;&gt;11,"",DATE(Einstellungen!$E$7,6,11))</f>
        <v>46184</v>
      </c>
      <c r="FR5" s="46" t="n">
        <f aca="false">IF(DAY(DATE(Einstellungen!$E$7,6,12))&lt;&gt;12,"",DATE(Einstellungen!$E$7,6,12))</f>
        <v>46185</v>
      </c>
      <c r="FS5" s="46" t="n">
        <f aca="false">IF(DAY(DATE(Einstellungen!$E$7,6,13))&lt;&gt;13,"",DATE(Einstellungen!$E$7,6,13))</f>
        <v>46186</v>
      </c>
      <c r="FT5" s="46" t="n">
        <f aca="false">IF(DAY(DATE(Einstellungen!$E$7,6,14))&lt;&gt;14,"",DATE(Einstellungen!$E$7,6,14))</f>
        <v>46187</v>
      </c>
      <c r="FU5" s="46" t="n">
        <f aca="false">IF(DAY(DATE(Einstellungen!$E$7,6,15))&lt;&gt;15,"",DATE(Einstellungen!$E$7,6,15))</f>
        <v>46188</v>
      </c>
      <c r="FV5" s="46" t="n">
        <f aca="false">IF(DAY(DATE(Einstellungen!$E$7,6,16))&lt;&gt;16,"",DATE(Einstellungen!$E$7,6,16))</f>
        <v>46189</v>
      </c>
      <c r="FW5" s="46" t="n">
        <f aca="false">IF(DAY(DATE(Einstellungen!$E$7,6,17))&lt;&gt;17,"",DATE(Einstellungen!$E$7,6,17))</f>
        <v>46190</v>
      </c>
      <c r="FX5" s="46" t="n">
        <f aca="false">IF(DAY(DATE(Einstellungen!$E$7,6,18))&lt;&gt;18,"",DATE(Einstellungen!$E$7,6,18))</f>
        <v>46191</v>
      </c>
      <c r="FY5" s="46" t="n">
        <f aca="false">IF(DAY(DATE(Einstellungen!$E$7,6,19))&lt;&gt;19,"",DATE(Einstellungen!$E$7,6,19))</f>
        <v>46192</v>
      </c>
      <c r="FZ5" s="46" t="n">
        <f aca="false">IF(DAY(DATE(Einstellungen!$E$7,6,20))&lt;&gt;20,"",DATE(Einstellungen!$E$7,6,20))</f>
        <v>46193</v>
      </c>
      <c r="GA5" s="46" t="n">
        <f aca="false">IF(DAY(DATE(Einstellungen!$E$7,6,21))&lt;&gt;21,"",DATE(Einstellungen!$E$7,6,21))</f>
        <v>46194</v>
      </c>
      <c r="GB5" s="46" t="n">
        <f aca="false">IF(DAY(DATE(Einstellungen!$E$7,6,22))&lt;&gt;22,"",DATE(Einstellungen!$E$7,6,22))</f>
        <v>46195</v>
      </c>
      <c r="GC5" s="46" t="n">
        <f aca="false">IF(DAY(DATE(Einstellungen!$E$7,6,23))&lt;&gt;23,"",DATE(Einstellungen!$E$7,6,23))</f>
        <v>46196</v>
      </c>
      <c r="GD5" s="46" t="n">
        <f aca="false">IF(DAY(DATE(Einstellungen!$E$7,6,24))&lt;&gt;24,"",DATE(Einstellungen!$E$7,6,24))</f>
        <v>46197</v>
      </c>
      <c r="GE5" s="46" t="n">
        <f aca="false">IF(DAY(DATE(Einstellungen!$E$7,6,25))&lt;&gt;25,"",DATE(Einstellungen!$E$7,6,25))</f>
        <v>46198</v>
      </c>
      <c r="GF5" s="46" t="n">
        <f aca="false">IF(DAY(DATE(Einstellungen!$E$7,6,26))&lt;&gt;26,"",DATE(Einstellungen!$E$7,6,26))</f>
        <v>46199</v>
      </c>
      <c r="GG5" s="46" t="n">
        <f aca="false">IF(DAY(DATE(Einstellungen!$E$7,6,27))&lt;&gt;27,"",DATE(Einstellungen!$E$7,6,27))</f>
        <v>46200</v>
      </c>
      <c r="GH5" s="46" t="n">
        <f aca="false">IF(DAY(DATE(Einstellungen!$E$7,6,28))&lt;&gt;28,"",DATE(Einstellungen!$E$7,6,28))</f>
        <v>46201</v>
      </c>
      <c r="GI5" s="46" t="n">
        <f aca="false">IF(DAY(DATE(Einstellungen!$E$7,6,29))&lt;&gt;29,"",DATE(Einstellungen!$E$7,6,29))</f>
        <v>46202</v>
      </c>
      <c r="GJ5" s="46" t="n">
        <f aca="false">IF(DAY(DATE(Einstellungen!$E$7,6,30))&lt;&gt;30,"",DATE(Einstellungen!$E$7,6,30))</f>
        <v>46203</v>
      </c>
      <c r="GK5" s="46" t="str">
        <f aca="false">IF(DAY(DATE(Einstellungen!$E$7,6,31))&lt;&gt;31,"",DATE(Einstellungen!$E$7,6,31))</f>
        <v/>
      </c>
      <c r="GL5" s="46" t="n">
        <f aca="false">IF(DAY(DATE(Einstellungen!$E$7,7,1))&lt;&gt;1,"",DATE(Einstellungen!$E$7,7,1))</f>
        <v>46204</v>
      </c>
      <c r="GM5" s="46" t="n">
        <f aca="false">IF(DAY(DATE(Einstellungen!$E$7,7,2))&lt;&gt;2,"",DATE(Einstellungen!$E$7,7,2))</f>
        <v>46205</v>
      </c>
      <c r="GN5" s="46" t="n">
        <f aca="false">IF(DAY(DATE(Einstellungen!$E$7,7,3))&lt;&gt;3,"",DATE(Einstellungen!$E$7,7,3))</f>
        <v>46206</v>
      </c>
      <c r="GO5" s="46" t="n">
        <f aca="false">IF(DAY(DATE(Einstellungen!$E$7,7,4))&lt;&gt;4,"",DATE(Einstellungen!$E$7,7,4))</f>
        <v>46207</v>
      </c>
      <c r="GP5" s="46" t="n">
        <f aca="false">IF(DAY(DATE(Einstellungen!$E$7,7,5))&lt;&gt;5,"",DATE(Einstellungen!$E$7,7,5))</f>
        <v>46208</v>
      </c>
      <c r="GQ5" s="46" t="n">
        <f aca="false">IF(DAY(DATE(Einstellungen!$E$7,7,6))&lt;&gt;6,"",DATE(Einstellungen!$E$7,7,6))</f>
        <v>46209</v>
      </c>
      <c r="GR5" s="46" t="n">
        <f aca="false">IF(DAY(DATE(Einstellungen!$E$7,7,7))&lt;&gt;7,"",DATE(Einstellungen!$E$7,7,7))</f>
        <v>46210</v>
      </c>
      <c r="GS5" s="46" t="n">
        <f aca="false">IF(DAY(DATE(Einstellungen!$E$7,7,8))&lt;&gt;8,"",DATE(Einstellungen!$E$7,7,8))</f>
        <v>46211</v>
      </c>
      <c r="GT5" s="46" t="n">
        <f aca="false">IF(DAY(DATE(Einstellungen!$E$7,7,9))&lt;&gt;9,"",DATE(Einstellungen!$E$7,7,9))</f>
        <v>46212</v>
      </c>
      <c r="GU5" s="46" t="n">
        <f aca="false">IF(DAY(DATE(Einstellungen!$E$7,7,10))&lt;&gt;10,"",DATE(Einstellungen!$E$7,7,10))</f>
        <v>46213</v>
      </c>
      <c r="GV5" s="46" t="n">
        <f aca="false">IF(DAY(DATE(Einstellungen!$E$7,7,11))&lt;&gt;11,"",DATE(Einstellungen!$E$7,7,11))</f>
        <v>46214</v>
      </c>
      <c r="GW5" s="46" t="n">
        <f aca="false">IF(DAY(DATE(Einstellungen!$E$7,7,12))&lt;&gt;12,"",DATE(Einstellungen!$E$7,7,12))</f>
        <v>46215</v>
      </c>
      <c r="GX5" s="46" t="n">
        <f aca="false">IF(DAY(DATE(Einstellungen!$E$7,7,13))&lt;&gt;13,"",DATE(Einstellungen!$E$7,7,13))</f>
        <v>46216</v>
      </c>
      <c r="GY5" s="46" t="n">
        <f aca="false">IF(DAY(DATE(Einstellungen!$E$7,7,14))&lt;&gt;14,"",DATE(Einstellungen!$E$7,7,14))</f>
        <v>46217</v>
      </c>
      <c r="GZ5" s="46" t="n">
        <f aca="false">IF(DAY(DATE(Einstellungen!$E$7,7,15))&lt;&gt;15,"",DATE(Einstellungen!$E$7,7,15))</f>
        <v>46218</v>
      </c>
      <c r="HA5" s="46" t="n">
        <f aca="false">IF(DAY(DATE(Einstellungen!$E$7,7,16))&lt;&gt;16,"",DATE(Einstellungen!$E$7,7,16))</f>
        <v>46219</v>
      </c>
      <c r="HB5" s="46" t="n">
        <f aca="false">IF(DAY(DATE(Einstellungen!$E$7,7,17))&lt;&gt;17,"",DATE(Einstellungen!$E$7,7,17))</f>
        <v>46220</v>
      </c>
      <c r="HC5" s="46" t="n">
        <f aca="false">IF(DAY(DATE(Einstellungen!$E$7,7,18))&lt;&gt;18,"",DATE(Einstellungen!$E$7,7,18))</f>
        <v>46221</v>
      </c>
      <c r="HD5" s="46" t="n">
        <f aca="false">IF(DAY(DATE(Einstellungen!$E$7,7,19))&lt;&gt;19,"",DATE(Einstellungen!$E$7,7,19))</f>
        <v>46222</v>
      </c>
      <c r="HE5" s="46" t="n">
        <f aca="false">IF(DAY(DATE(Einstellungen!$E$7,7,20))&lt;&gt;20,"",DATE(Einstellungen!$E$7,7,20))</f>
        <v>46223</v>
      </c>
      <c r="HF5" s="46" t="n">
        <f aca="false">IF(DAY(DATE(Einstellungen!$E$7,7,21))&lt;&gt;21,"",DATE(Einstellungen!$E$7,7,21))</f>
        <v>46224</v>
      </c>
      <c r="HG5" s="46" t="n">
        <f aca="false">IF(DAY(DATE(Einstellungen!$E$7,7,22))&lt;&gt;22,"",DATE(Einstellungen!$E$7,7,22))</f>
        <v>46225</v>
      </c>
      <c r="HH5" s="46" t="n">
        <f aca="false">IF(DAY(DATE(Einstellungen!$E$7,7,23))&lt;&gt;23,"",DATE(Einstellungen!$E$7,7,23))</f>
        <v>46226</v>
      </c>
      <c r="HI5" s="46" t="n">
        <f aca="false">IF(DAY(DATE(Einstellungen!$E$7,7,24))&lt;&gt;24,"",DATE(Einstellungen!$E$7,7,24))</f>
        <v>46227</v>
      </c>
      <c r="HJ5" s="46" t="n">
        <f aca="false">IF(DAY(DATE(Einstellungen!$E$7,7,25))&lt;&gt;25,"",DATE(Einstellungen!$E$7,7,25))</f>
        <v>46228</v>
      </c>
      <c r="HK5" s="46" t="n">
        <f aca="false">IF(DAY(DATE(Einstellungen!$E$7,7,26))&lt;&gt;26,"",DATE(Einstellungen!$E$7,7,26))</f>
        <v>46229</v>
      </c>
      <c r="HL5" s="46" t="n">
        <f aca="false">IF(DAY(DATE(Einstellungen!$E$7,7,27))&lt;&gt;27,"",DATE(Einstellungen!$E$7,7,27))</f>
        <v>46230</v>
      </c>
      <c r="HM5" s="46" t="n">
        <f aca="false">IF(DAY(DATE(Einstellungen!$E$7,7,28))&lt;&gt;28,"",DATE(Einstellungen!$E$7,7,28))</f>
        <v>46231</v>
      </c>
      <c r="HN5" s="46" t="n">
        <f aca="false">IF(DAY(DATE(Einstellungen!$E$7,7,29))&lt;&gt;29,"",DATE(Einstellungen!$E$7,7,29))</f>
        <v>46232</v>
      </c>
      <c r="HO5" s="46" t="n">
        <f aca="false">IF(DAY(DATE(Einstellungen!$E$7,7,30))&lt;&gt;30,"",DATE(Einstellungen!$E$7,7,30))</f>
        <v>46233</v>
      </c>
      <c r="HP5" s="46" t="n">
        <f aca="false">IF(DAY(DATE(Einstellungen!$E$7,7,31))&lt;&gt;31,"",DATE(Einstellungen!$E$7,7,31))</f>
        <v>46234</v>
      </c>
      <c r="HQ5" s="46" t="n">
        <f aca="false">IF(DAY(DATE(Einstellungen!$E$7,8,1))&lt;&gt;1,"",DATE(Einstellungen!$E$7,8,1))</f>
        <v>46235</v>
      </c>
      <c r="HR5" s="46" t="n">
        <f aca="false">IF(DAY(DATE(Einstellungen!$E$7,8,2))&lt;&gt;2,"",DATE(Einstellungen!$E$7,8,2))</f>
        <v>46236</v>
      </c>
      <c r="HS5" s="46" t="n">
        <f aca="false">IF(DAY(DATE(Einstellungen!$E$7,8,3))&lt;&gt;3,"",DATE(Einstellungen!$E$7,8,3))</f>
        <v>46237</v>
      </c>
      <c r="HT5" s="46" t="n">
        <f aca="false">IF(DAY(DATE(Einstellungen!$E$7,8,4))&lt;&gt;4,"",DATE(Einstellungen!$E$7,8,4))</f>
        <v>46238</v>
      </c>
      <c r="HU5" s="46" t="n">
        <f aca="false">IF(DAY(DATE(Einstellungen!$E$7,8,5))&lt;&gt;5,"",DATE(Einstellungen!$E$7,8,5))</f>
        <v>46239</v>
      </c>
      <c r="HV5" s="46" t="n">
        <f aca="false">IF(DAY(DATE(Einstellungen!$E$7,8,6))&lt;&gt;6,"",DATE(Einstellungen!$E$7,8,6))</f>
        <v>46240</v>
      </c>
      <c r="HW5" s="46" t="n">
        <f aca="false">IF(DAY(DATE(Einstellungen!$E$7,8,7))&lt;&gt;7,"",DATE(Einstellungen!$E$7,8,7))</f>
        <v>46241</v>
      </c>
      <c r="HX5" s="46" t="n">
        <f aca="false">IF(DAY(DATE(Einstellungen!$E$7,8,8))&lt;&gt;8,"",DATE(Einstellungen!$E$7,8,8))</f>
        <v>46242</v>
      </c>
      <c r="HY5" s="46" t="n">
        <f aca="false">IF(DAY(DATE(Einstellungen!$E$7,8,9))&lt;&gt;9,"",DATE(Einstellungen!$E$7,8,9))</f>
        <v>46243</v>
      </c>
      <c r="HZ5" s="46" t="n">
        <f aca="false">IF(DAY(DATE(Einstellungen!$E$7,8,10))&lt;&gt;10,"",DATE(Einstellungen!$E$7,8,10))</f>
        <v>46244</v>
      </c>
      <c r="IA5" s="46" t="n">
        <f aca="false">IF(DAY(DATE(Einstellungen!$E$7,8,11))&lt;&gt;11,"",DATE(Einstellungen!$E$7,8,11))</f>
        <v>46245</v>
      </c>
      <c r="IB5" s="46" t="n">
        <f aca="false">IF(DAY(DATE(Einstellungen!$E$7,8,12))&lt;&gt;12,"",DATE(Einstellungen!$E$7,8,12))</f>
        <v>46246</v>
      </c>
      <c r="IC5" s="46" t="n">
        <f aca="false">IF(DAY(DATE(Einstellungen!$E$7,8,13))&lt;&gt;13,"",DATE(Einstellungen!$E$7,8,13))</f>
        <v>46247</v>
      </c>
      <c r="ID5" s="46" t="n">
        <f aca="false">IF(DAY(DATE(Einstellungen!$E$7,8,14))&lt;&gt;14,"",DATE(Einstellungen!$E$7,8,14))</f>
        <v>46248</v>
      </c>
      <c r="IE5" s="46" t="n">
        <f aca="false">IF(DAY(DATE(Einstellungen!$E$7,8,15))&lt;&gt;15,"",DATE(Einstellungen!$E$7,8,15))</f>
        <v>46249</v>
      </c>
      <c r="IF5" s="46" t="n">
        <f aca="false">IF(DAY(DATE(Einstellungen!$E$7,8,16))&lt;&gt;16,"",DATE(Einstellungen!$E$7,8,16))</f>
        <v>46250</v>
      </c>
      <c r="IG5" s="46" t="n">
        <f aca="false">IF(DAY(DATE(Einstellungen!$E$7,8,17))&lt;&gt;17,"",DATE(Einstellungen!$E$7,8,17))</f>
        <v>46251</v>
      </c>
      <c r="IH5" s="46" t="n">
        <f aca="false">IF(DAY(DATE(Einstellungen!$E$7,8,18))&lt;&gt;18,"",DATE(Einstellungen!$E$7,8,18))</f>
        <v>46252</v>
      </c>
      <c r="II5" s="46" t="n">
        <f aca="false">IF(DAY(DATE(Einstellungen!$E$7,8,19))&lt;&gt;19,"",DATE(Einstellungen!$E$7,8,19))</f>
        <v>46253</v>
      </c>
      <c r="IJ5" s="46" t="n">
        <f aca="false">IF(DAY(DATE(Einstellungen!$E$7,8,20))&lt;&gt;20,"",DATE(Einstellungen!$E$7,8,20))</f>
        <v>46254</v>
      </c>
      <c r="IK5" s="46" t="n">
        <f aca="false">IF(DAY(DATE(Einstellungen!$E$7,8,21))&lt;&gt;21,"",DATE(Einstellungen!$E$7,8,21))</f>
        <v>46255</v>
      </c>
      <c r="IL5" s="46" t="n">
        <f aca="false">IF(DAY(DATE(Einstellungen!$E$7,8,22))&lt;&gt;22,"",DATE(Einstellungen!$E$7,8,22))</f>
        <v>46256</v>
      </c>
      <c r="IM5" s="46" t="n">
        <f aca="false">IF(DAY(DATE(Einstellungen!$E$7,8,23))&lt;&gt;23,"",DATE(Einstellungen!$E$7,8,23))</f>
        <v>46257</v>
      </c>
      <c r="IN5" s="46" t="n">
        <f aca="false">IF(DAY(DATE(Einstellungen!$E$7,8,24))&lt;&gt;24,"",DATE(Einstellungen!$E$7,8,24))</f>
        <v>46258</v>
      </c>
      <c r="IO5" s="46" t="n">
        <f aca="false">IF(DAY(DATE(Einstellungen!$E$7,8,25))&lt;&gt;25,"",DATE(Einstellungen!$E$7,8,25))</f>
        <v>46259</v>
      </c>
      <c r="IP5" s="46" t="n">
        <f aca="false">IF(DAY(DATE(Einstellungen!$E$7,8,26))&lt;&gt;26,"",DATE(Einstellungen!$E$7,8,26))</f>
        <v>46260</v>
      </c>
      <c r="IQ5" s="46" t="n">
        <f aca="false">IF(DAY(DATE(Einstellungen!$E$7,8,27))&lt;&gt;27,"",DATE(Einstellungen!$E$7,8,27))</f>
        <v>46261</v>
      </c>
      <c r="IR5" s="46" t="n">
        <f aca="false">IF(DAY(DATE(Einstellungen!$E$7,8,28))&lt;&gt;28,"",DATE(Einstellungen!$E$7,8,28))</f>
        <v>46262</v>
      </c>
      <c r="IS5" s="46" t="n">
        <f aca="false">IF(DAY(DATE(Einstellungen!$E$7,8,29))&lt;&gt;29,"",DATE(Einstellungen!$E$7,8,29))</f>
        <v>46263</v>
      </c>
      <c r="IT5" s="46" t="n">
        <f aca="false">IF(DAY(DATE(Einstellungen!$E$7,8,30))&lt;&gt;30,"",DATE(Einstellungen!$E$7,8,30))</f>
        <v>46264</v>
      </c>
      <c r="IU5" s="46" t="n">
        <f aca="false">IF(DAY(DATE(Einstellungen!$E$7,8,31))&lt;&gt;31,"",DATE(Einstellungen!$E$7,8,31))</f>
        <v>46265</v>
      </c>
      <c r="IV5" s="46" t="n">
        <f aca="false">IF(DAY(DATE(Einstellungen!$E$7,9,1))&lt;&gt;1,"",DATE(Einstellungen!$E$7,9,1))</f>
        <v>46266</v>
      </c>
      <c r="IW5" s="46" t="n">
        <f aca="false">IF(DAY(DATE(Einstellungen!$E$7,9,2))&lt;&gt;2,"",DATE(Einstellungen!$E$7,9,2))</f>
        <v>46267</v>
      </c>
      <c r="IX5" s="46" t="n">
        <f aca="false">IF(DAY(DATE(Einstellungen!$E$7,9,3))&lt;&gt;3,"",DATE(Einstellungen!$E$7,9,3))</f>
        <v>46268</v>
      </c>
      <c r="IY5" s="46" t="n">
        <f aca="false">IF(DAY(DATE(Einstellungen!$E$7,9,4))&lt;&gt;4,"",DATE(Einstellungen!$E$7,9,4))</f>
        <v>46269</v>
      </c>
      <c r="IZ5" s="46" t="n">
        <f aca="false">IF(DAY(DATE(Einstellungen!$E$7,9,5))&lt;&gt;5,"",DATE(Einstellungen!$E$7,9,5))</f>
        <v>46270</v>
      </c>
      <c r="JA5" s="46" t="n">
        <f aca="false">IF(DAY(DATE(Einstellungen!$E$7,9,6))&lt;&gt;6,"",DATE(Einstellungen!$E$7,9,6))</f>
        <v>46271</v>
      </c>
      <c r="JB5" s="46" t="n">
        <f aca="false">IF(DAY(DATE(Einstellungen!$E$7,9,7))&lt;&gt;7,"",DATE(Einstellungen!$E$7,9,7))</f>
        <v>46272</v>
      </c>
      <c r="JC5" s="46" t="n">
        <f aca="false">IF(DAY(DATE(Einstellungen!$E$7,9,8))&lt;&gt;8,"",DATE(Einstellungen!$E$7,9,8))</f>
        <v>46273</v>
      </c>
      <c r="JD5" s="46" t="n">
        <f aca="false">IF(DAY(DATE(Einstellungen!$E$7,9,9))&lt;&gt;9,"",DATE(Einstellungen!$E$7,9,9))</f>
        <v>46274</v>
      </c>
      <c r="JE5" s="46" t="n">
        <f aca="false">IF(DAY(DATE(Einstellungen!$E$7,9,10))&lt;&gt;10,"",DATE(Einstellungen!$E$7,9,10))</f>
        <v>46275</v>
      </c>
      <c r="JF5" s="46" t="n">
        <f aca="false">IF(DAY(DATE(Einstellungen!$E$7,9,11))&lt;&gt;11,"",DATE(Einstellungen!$E$7,9,11))</f>
        <v>46276</v>
      </c>
      <c r="JG5" s="46" t="n">
        <f aca="false">IF(DAY(DATE(Einstellungen!$E$7,9,12))&lt;&gt;12,"",DATE(Einstellungen!$E$7,9,12))</f>
        <v>46277</v>
      </c>
      <c r="JH5" s="46" t="n">
        <f aca="false">IF(DAY(DATE(Einstellungen!$E$7,9,13))&lt;&gt;13,"",DATE(Einstellungen!$E$7,9,13))</f>
        <v>46278</v>
      </c>
      <c r="JI5" s="46" t="n">
        <f aca="false">IF(DAY(DATE(Einstellungen!$E$7,9,14))&lt;&gt;14,"",DATE(Einstellungen!$E$7,9,14))</f>
        <v>46279</v>
      </c>
      <c r="JJ5" s="46" t="n">
        <f aca="false">IF(DAY(DATE(Einstellungen!$E$7,9,15))&lt;&gt;15,"",DATE(Einstellungen!$E$7,9,15))</f>
        <v>46280</v>
      </c>
      <c r="JK5" s="46" t="n">
        <f aca="false">IF(DAY(DATE(Einstellungen!$E$7,9,16))&lt;&gt;16,"",DATE(Einstellungen!$E$7,9,16))</f>
        <v>46281</v>
      </c>
      <c r="JL5" s="46" t="n">
        <f aca="false">IF(DAY(DATE(Einstellungen!$E$7,9,17))&lt;&gt;17,"",DATE(Einstellungen!$E$7,9,17))</f>
        <v>46282</v>
      </c>
      <c r="JM5" s="46" t="n">
        <f aca="false">IF(DAY(DATE(Einstellungen!$E$7,9,18))&lt;&gt;18,"",DATE(Einstellungen!$E$7,9,18))</f>
        <v>46283</v>
      </c>
      <c r="JN5" s="46" t="n">
        <f aca="false">IF(DAY(DATE(Einstellungen!$E$7,9,19))&lt;&gt;19,"",DATE(Einstellungen!$E$7,9,19))</f>
        <v>46284</v>
      </c>
      <c r="JO5" s="46" t="n">
        <f aca="false">IF(DAY(DATE(Einstellungen!$E$7,9,20))&lt;&gt;20,"",DATE(Einstellungen!$E$7,9,20))</f>
        <v>46285</v>
      </c>
      <c r="JP5" s="46" t="n">
        <f aca="false">IF(DAY(DATE(Einstellungen!$E$7,9,21))&lt;&gt;21,"",DATE(Einstellungen!$E$7,9,21))</f>
        <v>46286</v>
      </c>
      <c r="JQ5" s="46" t="n">
        <f aca="false">IF(DAY(DATE(Einstellungen!$E$7,9,22))&lt;&gt;22,"",DATE(Einstellungen!$E$7,9,22))</f>
        <v>46287</v>
      </c>
      <c r="JR5" s="46" t="n">
        <f aca="false">IF(DAY(DATE(Einstellungen!$E$7,9,23))&lt;&gt;23,"",DATE(Einstellungen!$E$7,9,23))</f>
        <v>46288</v>
      </c>
      <c r="JS5" s="46" t="n">
        <f aca="false">IF(DAY(DATE(Einstellungen!$E$7,9,24))&lt;&gt;24,"",DATE(Einstellungen!$E$7,9,24))</f>
        <v>46289</v>
      </c>
      <c r="JT5" s="46" t="n">
        <f aca="false">IF(DAY(DATE(Einstellungen!$E$7,9,25))&lt;&gt;25,"",DATE(Einstellungen!$E$7,9,25))</f>
        <v>46290</v>
      </c>
      <c r="JU5" s="46" t="n">
        <f aca="false">IF(DAY(DATE(Einstellungen!$E$7,9,26))&lt;&gt;26,"",DATE(Einstellungen!$E$7,9,26))</f>
        <v>46291</v>
      </c>
      <c r="JV5" s="46" t="n">
        <f aca="false">IF(DAY(DATE(Einstellungen!$E$7,9,27))&lt;&gt;27,"",DATE(Einstellungen!$E$7,9,27))</f>
        <v>46292</v>
      </c>
      <c r="JW5" s="46" t="n">
        <f aca="false">IF(DAY(DATE(Einstellungen!$E$7,9,28))&lt;&gt;28,"",DATE(Einstellungen!$E$7,9,28))</f>
        <v>46293</v>
      </c>
      <c r="JX5" s="46" t="n">
        <f aca="false">IF(DAY(DATE(Einstellungen!$E$7,9,29))&lt;&gt;29,"",DATE(Einstellungen!$E$7,9,29))</f>
        <v>46294</v>
      </c>
      <c r="JY5" s="46" t="n">
        <f aca="false">IF(DAY(DATE(Einstellungen!$E$7,9,30))&lt;&gt;30,"",DATE(Einstellungen!$E$7,9,30))</f>
        <v>46295</v>
      </c>
      <c r="JZ5" s="46" t="str">
        <f aca="false">IF(DAY(DATE(Einstellungen!$E$7,9,31))&lt;&gt;31,"",DATE(Einstellungen!$E$7,9,31))</f>
        <v/>
      </c>
      <c r="KA5" s="46" t="n">
        <f aca="false">IF(DAY(DATE(Einstellungen!$E$7,10,1))&lt;&gt;1,"",DATE(Einstellungen!$E$7,10,1))</f>
        <v>46296</v>
      </c>
      <c r="KB5" s="46" t="n">
        <f aca="false">IF(DAY(DATE(Einstellungen!$E$7,10,2))&lt;&gt;2,"",DATE(Einstellungen!$E$7,10,2))</f>
        <v>46297</v>
      </c>
      <c r="KC5" s="46" t="n">
        <f aca="false">IF(DAY(DATE(Einstellungen!$E$7,10,3))&lt;&gt;3,"",DATE(Einstellungen!$E$7,10,3))</f>
        <v>46298</v>
      </c>
      <c r="KD5" s="46" t="n">
        <f aca="false">IF(DAY(DATE(Einstellungen!$E$7,10,4))&lt;&gt;4,"",DATE(Einstellungen!$E$7,10,4))</f>
        <v>46299</v>
      </c>
      <c r="KE5" s="46" t="n">
        <f aca="false">IF(DAY(DATE(Einstellungen!$E$7,10,5))&lt;&gt;5,"",DATE(Einstellungen!$E$7,10,5))</f>
        <v>46300</v>
      </c>
      <c r="KF5" s="46" t="n">
        <f aca="false">IF(DAY(DATE(Einstellungen!$E$7,10,6))&lt;&gt;6,"",DATE(Einstellungen!$E$7,10,6))</f>
        <v>46301</v>
      </c>
      <c r="KG5" s="46" t="n">
        <f aca="false">IF(DAY(DATE(Einstellungen!$E$7,10,7))&lt;&gt;7,"",DATE(Einstellungen!$E$7,10,7))</f>
        <v>46302</v>
      </c>
      <c r="KH5" s="46" t="n">
        <f aca="false">IF(DAY(DATE(Einstellungen!$E$7,10,8))&lt;&gt;8,"",DATE(Einstellungen!$E$7,10,8))</f>
        <v>46303</v>
      </c>
      <c r="KI5" s="46" t="n">
        <f aca="false">IF(DAY(DATE(Einstellungen!$E$7,10,9))&lt;&gt;9,"",DATE(Einstellungen!$E$7,10,9))</f>
        <v>46304</v>
      </c>
      <c r="KJ5" s="46" t="n">
        <f aca="false">IF(DAY(DATE(Einstellungen!$E$7,10,10))&lt;&gt;10,"",DATE(Einstellungen!$E$7,10,10))</f>
        <v>46305</v>
      </c>
      <c r="KK5" s="46" t="n">
        <f aca="false">IF(DAY(DATE(Einstellungen!$E$7,10,11))&lt;&gt;11,"",DATE(Einstellungen!$E$7,10,11))</f>
        <v>46306</v>
      </c>
      <c r="KL5" s="46" t="n">
        <f aca="false">IF(DAY(DATE(Einstellungen!$E$7,10,12))&lt;&gt;12,"",DATE(Einstellungen!$E$7,10,12))</f>
        <v>46307</v>
      </c>
      <c r="KM5" s="46" t="n">
        <f aca="false">IF(DAY(DATE(Einstellungen!$E$7,10,13))&lt;&gt;13,"",DATE(Einstellungen!$E$7,10,13))</f>
        <v>46308</v>
      </c>
      <c r="KN5" s="46" t="n">
        <f aca="false">IF(DAY(DATE(Einstellungen!$E$7,10,14))&lt;&gt;14,"",DATE(Einstellungen!$E$7,10,14))</f>
        <v>46309</v>
      </c>
      <c r="KO5" s="46" t="n">
        <f aca="false">IF(DAY(DATE(Einstellungen!$E$7,10,15))&lt;&gt;15,"",DATE(Einstellungen!$E$7,10,15))</f>
        <v>46310</v>
      </c>
      <c r="KP5" s="46" t="n">
        <f aca="false">IF(DAY(DATE(Einstellungen!$E$7,10,16))&lt;&gt;16,"",DATE(Einstellungen!$E$7,10,16))</f>
        <v>46311</v>
      </c>
      <c r="KQ5" s="46" t="n">
        <f aca="false">IF(DAY(DATE(Einstellungen!$E$7,10,17))&lt;&gt;17,"",DATE(Einstellungen!$E$7,10,17))</f>
        <v>46312</v>
      </c>
      <c r="KR5" s="46" t="n">
        <f aca="false">IF(DAY(DATE(Einstellungen!$E$7,10,18))&lt;&gt;18,"",DATE(Einstellungen!$E$7,10,18))</f>
        <v>46313</v>
      </c>
      <c r="KS5" s="46" t="n">
        <f aca="false">IF(DAY(DATE(Einstellungen!$E$7,10,19))&lt;&gt;19,"",DATE(Einstellungen!$E$7,10,19))</f>
        <v>46314</v>
      </c>
      <c r="KT5" s="46" t="n">
        <f aca="false">IF(DAY(DATE(Einstellungen!$E$7,10,20))&lt;&gt;20,"",DATE(Einstellungen!$E$7,10,20))</f>
        <v>46315</v>
      </c>
      <c r="KU5" s="46" t="n">
        <f aca="false">IF(DAY(DATE(Einstellungen!$E$7,10,21))&lt;&gt;21,"",DATE(Einstellungen!$E$7,10,21))</f>
        <v>46316</v>
      </c>
      <c r="KV5" s="46" t="n">
        <f aca="false">IF(DAY(DATE(Einstellungen!$E$7,10,22))&lt;&gt;22,"",DATE(Einstellungen!$E$7,10,22))</f>
        <v>46317</v>
      </c>
      <c r="KW5" s="46" t="n">
        <f aca="false">IF(DAY(DATE(Einstellungen!$E$7,10,23))&lt;&gt;23,"",DATE(Einstellungen!$E$7,10,23))</f>
        <v>46318</v>
      </c>
      <c r="KX5" s="46" t="n">
        <f aca="false">IF(DAY(DATE(Einstellungen!$E$7,10,24))&lt;&gt;24,"",DATE(Einstellungen!$E$7,10,24))</f>
        <v>46319</v>
      </c>
      <c r="KY5" s="46" t="n">
        <f aca="false">IF(DAY(DATE(Einstellungen!$E$7,10,25))&lt;&gt;25,"",DATE(Einstellungen!$E$7,10,25))</f>
        <v>46320</v>
      </c>
      <c r="KZ5" s="46" t="n">
        <f aca="false">IF(DAY(DATE(Einstellungen!$E$7,10,26))&lt;&gt;26,"",DATE(Einstellungen!$E$7,10,26))</f>
        <v>46321</v>
      </c>
      <c r="LA5" s="46" t="n">
        <f aca="false">IF(DAY(DATE(Einstellungen!$E$7,10,27))&lt;&gt;27,"",DATE(Einstellungen!$E$7,10,27))</f>
        <v>46322</v>
      </c>
      <c r="LB5" s="46" t="n">
        <f aca="false">IF(DAY(DATE(Einstellungen!$E$7,10,28))&lt;&gt;28,"",DATE(Einstellungen!$E$7,10,28))</f>
        <v>46323</v>
      </c>
      <c r="LC5" s="46" t="n">
        <f aca="false">IF(DAY(DATE(Einstellungen!$E$7,10,29))&lt;&gt;29,"",DATE(Einstellungen!$E$7,10,29))</f>
        <v>46324</v>
      </c>
      <c r="LD5" s="46" t="n">
        <f aca="false">IF(DAY(DATE(Einstellungen!$E$7,10,30))&lt;&gt;30,"",DATE(Einstellungen!$E$7,10,30))</f>
        <v>46325</v>
      </c>
      <c r="LE5" s="46" t="n">
        <f aca="false">IF(DAY(DATE(Einstellungen!$E$7,10,31))&lt;&gt;31,"",DATE(Einstellungen!$E$7,10,31))</f>
        <v>46326</v>
      </c>
      <c r="LF5" s="46" t="n">
        <f aca="false">IF(DAY(DATE(Einstellungen!$E$7,11,1))&lt;&gt;1,"",DATE(Einstellungen!$E$7,11,1))</f>
        <v>46327</v>
      </c>
      <c r="LG5" s="46" t="n">
        <f aca="false">IF(DAY(DATE(Einstellungen!$E$7,11,2))&lt;&gt;2,"",DATE(Einstellungen!$E$7,11,2))</f>
        <v>46328</v>
      </c>
      <c r="LH5" s="46" t="n">
        <f aca="false">IF(DAY(DATE(Einstellungen!$E$7,11,3))&lt;&gt;3,"",DATE(Einstellungen!$E$7,11,3))</f>
        <v>46329</v>
      </c>
      <c r="LI5" s="46" t="n">
        <f aca="false">IF(DAY(DATE(Einstellungen!$E$7,11,4))&lt;&gt;4,"",DATE(Einstellungen!$E$7,11,4))</f>
        <v>46330</v>
      </c>
      <c r="LJ5" s="46" t="n">
        <f aca="false">IF(DAY(DATE(Einstellungen!$E$7,11,5))&lt;&gt;5,"",DATE(Einstellungen!$E$7,11,5))</f>
        <v>46331</v>
      </c>
      <c r="LK5" s="46" t="n">
        <f aca="false">IF(DAY(DATE(Einstellungen!$E$7,11,6))&lt;&gt;6,"",DATE(Einstellungen!$E$7,11,6))</f>
        <v>46332</v>
      </c>
      <c r="LL5" s="46" t="n">
        <f aca="false">IF(DAY(DATE(Einstellungen!$E$7,11,7))&lt;&gt;7,"",DATE(Einstellungen!$E$7,11,7))</f>
        <v>46333</v>
      </c>
      <c r="LM5" s="46" t="n">
        <f aca="false">IF(DAY(DATE(Einstellungen!$E$7,11,8))&lt;&gt;8,"",DATE(Einstellungen!$E$7,11,8))</f>
        <v>46334</v>
      </c>
      <c r="LN5" s="46" t="n">
        <f aca="false">IF(DAY(DATE(Einstellungen!$E$7,11,9))&lt;&gt;9,"",DATE(Einstellungen!$E$7,11,9))</f>
        <v>46335</v>
      </c>
      <c r="LO5" s="46" t="n">
        <f aca="false">IF(DAY(DATE(Einstellungen!$E$7,11,10))&lt;&gt;10,"",DATE(Einstellungen!$E$7,11,10))</f>
        <v>46336</v>
      </c>
      <c r="LP5" s="46" t="n">
        <f aca="false">IF(DAY(DATE(Einstellungen!$E$7,11,11))&lt;&gt;11,"",DATE(Einstellungen!$E$7,11,11))</f>
        <v>46337</v>
      </c>
      <c r="LQ5" s="46" t="n">
        <f aca="false">IF(DAY(DATE(Einstellungen!$E$7,11,12))&lt;&gt;12,"",DATE(Einstellungen!$E$7,11,12))</f>
        <v>46338</v>
      </c>
      <c r="LR5" s="46" t="n">
        <f aca="false">IF(DAY(DATE(Einstellungen!$E$7,11,13))&lt;&gt;13,"",DATE(Einstellungen!$E$7,11,13))</f>
        <v>46339</v>
      </c>
      <c r="LS5" s="46" t="n">
        <f aca="false">IF(DAY(DATE(Einstellungen!$E$7,11,14))&lt;&gt;14,"",DATE(Einstellungen!$E$7,11,14))</f>
        <v>46340</v>
      </c>
      <c r="LT5" s="46" t="n">
        <f aca="false">IF(DAY(DATE(Einstellungen!$E$7,11,15))&lt;&gt;15,"",DATE(Einstellungen!$E$7,11,15))</f>
        <v>46341</v>
      </c>
      <c r="LU5" s="46" t="n">
        <f aca="false">IF(DAY(DATE(Einstellungen!$E$7,11,16))&lt;&gt;16,"",DATE(Einstellungen!$E$7,11,16))</f>
        <v>46342</v>
      </c>
      <c r="LV5" s="46" t="n">
        <f aca="false">IF(DAY(DATE(Einstellungen!$E$7,11,17))&lt;&gt;17,"",DATE(Einstellungen!$E$7,11,17))</f>
        <v>46343</v>
      </c>
      <c r="LW5" s="46" t="n">
        <f aca="false">IF(DAY(DATE(Einstellungen!$E$7,11,18))&lt;&gt;18,"",DATE(Einstellungen!$E$7,11,18))</f>
        <v>46344</v>
      </c>
      <c r="LX5" s="46" t="n">
        <f aca="false">IF(DAY(DATE(Einstellungen!$E$7,11,19))&lt;&gt;19,"",DATE(Einstellungen!$E$7,11,19))</f>
        <v>46345</v>
      </c>
      <c r="LY5" s="46" t="n">
        <f aca="false">IF(DAY(DATE(Einstellungen!$E$7,11,20))&lt;&gt;20,"",DATE(Einstellungen!$E$7,11,20))</f>
        <v>46346</v>
      </c>
      <c r="LZ5" s="46" t="n">
        <f aca="false">IF(DAY(DATE(Einstellungen!$E$7,11,21))&lt;&gt;21,"",DATE(Einstellungen!$E$7,11,21))</f>
        <v>46347</v>
      </c>
      <c r="MA5" s="46" t="n">
        <f aca="false">IF(DAY(DATE(Einstellungen!$E$7,11,22))&lt;&gt;22,"",DATE(Einstellungen!$E$7,11,22))</f>
        <v>46348</v>
      </c>
      <c r="MB5" s="46" t="n">
        <f aca="false">IF(DAY(DATE(Einstellungen!$E$7,11,23))&lt;&gt;23,"",DATE(Einstellungen!$E$7,11,23))</f>
        <v>46349</v>
      </c>
      <c r="MC5" s="46" t="n">
        <f aca="false">IF(DAY(DATE(Einstellungen!$E$7,11,24))&lt;&gt;24,"",DATE(Einstellungen!$E$7,11,24))</f>
        <v>46350</v>
      </c>
      <c r="MD5" s="46" t="n">
        <f aca="false">IF(DAY(DATE(Einstellungen!$E$7,11,25))&lt;&gt;25,"",DATE(Einstellungen!$E$7,11,25))</f>
        <v>46351</v>
      </c>
      <c r="ME5" s="46" t="n">
        <f aca="false">IF(DAY(DATE(Einstellungen!$E$7,11,26))&lt;&gt;26,"",DATE(Einstellungen!$E$7,11,26))</f>
        <v>46352</v>
      </c>
      <c r="MF5" s="46" t="n">
        <f aca="false">IF(DAY(DATE(Einstellungen!$E$7,11,27))&lt;&gt;27,"",DATE(Einstellungen!$E$7,11,27))</f>
        <v>46353</v>
      </c>
      <c r="MG5" s="46" t="n">
        <f aca="false">IF(DAY(DATE(Einstellungen!$E$7,11,28))&lt;&gt;28,"",DATE(Einstellungen!$E$7,11,28))</f>
        <v>46354</v>
      </c>
      <c r="MH5" s="46" t="n">
        <f aca="false">IF(DAY(DATE(Einstellungen!$E$7,11,29))&lt;&gt;29,"",DATE(Einstellungen!$E$7,11,29))</f>
        <v>46355</v>
      </c>
      <c r="MI5" s="46" t="n">
        <f aca="false">IF(DAY(DATE(Einstellungen!$E$7,11,30))&lt;&gt;30,"",DATE(Einstellungen!$E$7,11,30))</f>
        <v>46356</v>
      </c>
      <c r="MJ5" s="46" t="str">
        <f aca="false">IF(DAY(DATE(Einstellungen!$E$7,11,31))&lt;&gt;31,"",DATE(Einstellungen!$E$7,11,31))</f>
        <v/>
      </c>
      <c r="MK5" s="46" t="n">
        <f aca="false">IF(DAY(DATE(Einstellungen!$E$7,12,1))&lt;&gt;1,"",DATE(Einstellungen!$E$7,12,1))</f>
        <v>46357</v>
      </c>
      <c r="ML5" s="46" t="n">
        <f aca="false">IF(DAY(DATE(Einstellungen!$E$7,12,2))&lt;&gt;2,"",DATE(Einstellungen!$E$7,12,2))</f>
        <v>46358</v>
      </c>
      <c r="MM5" s="46" t="n">
        <f aca="false">IF(DAY(DATE(Einstellungen!$E$7,12,3))&lt;&gt;3,"",DATE(Einstellungen!$E$7,12,3))</f>
        <v>46359</v>
      </c>
      <c r="MN5" s="46" t="n">
        <f aca="false">IF(DAY(DATE(Einstellungen!$E$7,12,4))&lt;&gt;4,"",DATE(Einstellungen!$E$7,12,4))</f>
        <v>46360</v>
      </c>
      <c r="MO5" s="46" t="n">
        <f aca="false">IF(DAY(DATE(Einstellungen!$E$7,12,5))&lt;&gt;5,"",DATE(Einstellungen!$E$7,12,5))</f>
        <v>46361</v>
      </c>
      <c r="MP5" s="46" t="n">
        <f aca="false">IF(DAY(DATE(Einstellungen!$E$7,12,6))&lt;&gt;6,"",DATE(Einstellungen!$E$7,12,6))</f>
        <v>46362</v>
      </c>
      <c r="MQ5" s="46" t="n">
        <f aca="false">IF(DAY(DATE(Einstellungen!$E$7,12,7))&lt;&gt;7,"",DATE(Einstellungen!$E$7,12,7))</f>
        <v>46363</v>
      </c>
      <c r="MR5" s="46" t="n">
        <f aca="false">IF(DAY(DATE(Einstellungen!$E$7,12,8))&lt;&gt;8,"",DATE(Einstellungen!$E$7,12,8))</f>
        <v>46364</v>
      </c>
      <c r="MS5" s="46" t="n">
        <f aca="false">IF(DAY(DATE(Einstellungen!$E$7,12,9))&lt;&gt;9,"",DATE(Einstellungen!$E$7,12,9))</f>
        <v>46365</v>
      </c>
      <c r="MT5" s="46" t="n">
        <f aca="false">IF(DAY(DATE(Einstellungen!$E$7,12,10))&lt;&gt;10,"",DATE(Einstellungen!$E$7,12,10))</f>
        <v>46366</v>
      </c>
      <c r="MU5" s="46" t="n">
        <f aca="false">IF(DAY(DATE(Einstellungen!$E$7,12,11))&lt;&gt;11,"",DATE(Einstellungen!$E$7,12,11))</f>
        <v>46367</v>
      </c>
      <c r="MV5" s="46" t="n">
        <f aca="false">IF(DAY(DATE(Einstellungen!$E$7,12,12))&lt;&gt;12,"",DATE(Einstellungen!$E$7,12,12))</f>
        <v>46368</v>
      </c>
      <c r="MW5" s="46" t="n">
        <f aca="false">IF(DAY(DATE(Einstellungen!$E$7,12,13))&lt;&gt;13,"",DATE(Einstellungen!$E$7,12,13))</f>
        <v>46369</v>
      </c>
      <c r="MX5" s="46" t="n">
        <f aca="false">IF(DAY(DATE(Einstellungen!$E$7,12,14))&lt;&gt;14,"",DATE(Einstellungen!$E$7,12,14))</f>
        <v>46370</v>
      </c>
      <c r="MY5" s="46" t="n">
        <f aca="false">IF(DAY(DATE(Einstellungen!$E$7,12,15))&lt;&gt;15,"",DATE(Einstellungen!$E$7,12,15))</f>
        <v>46371</v>
      </c>
      <c r="MZ5" s="46" t="n">
        <f aca="false">IF(DAY(DATE(Einstellungen!$E$7,12,16))&lt;&gt;16,"",DATE(Einstellungen!$E$7,12,16))</f>
        <v>46372</v>
      </c>
      <c r="NA5" s="46" t="n">
        <f aca="false">IF(DAY(DATE(Einstellungen!$E$7,12,17))&lt;&gt;17,"",DATE(Einstellungen!$E$7,12,17))</f>
        <v>46373</v>
      </c>
      <c r="NB5" s="46" t="n">
        <f aca="false">IF(DAY(DATE(Einstellungen!$E$7,12,18))&lt;&gt;18,"",DATE(Einstellungen!$E$7,12,18))</f>
        <v>46374</v>
      </c>
      <c r="NC5" s="46" t="n">
        <f aca="false">IF(DAY(DATE(Einstellungen!$E$7,12,19))&lt;&gt;19,"",DATE(Einstellungen!$E$7,12,19))</f>
        <v>46375</v>
      </c>
      <c r="ND5" s="46" t="n">
        <f aca="false">IF(DAY(DATE(Einstellungen!$E$7,12,20))&lt;&gt;20,"",DATE(Einstellungen!$E$7,12,20))</f>
        <v>46376</v>
      </c>
      <c r="NE5" s="46" t="n">
        <f aca="false">IF(DAY(DATE(Einstellungen!$E$7,12,21))&lt;&gt;21,"",DATE(Einstellungen!$E$7,12,21))</f>
        <v>46377</v>
      </c>
      <c r="NF5" s="46" t="n">
        <f aca="false">IF(DAY(DATE(Einstellungen!$E$7,12,22))&lt;&gt;22,"",DATE(Einstellungen!$E$7,12,22))</f>
        <v>46378</v>
      </c>
      <c r="NG5" s="46" t="n">
        <f aca="false">IF(DAY(DATE(Einstellungen!$E$7,12,23))&lt;&gt;23,"",DATE(Einstellungen!$E$7,12,23))</f>
        <v>46379</v>
      </c>
      <c r="NH5" s="46" t="n">
        <f aca="false">IF(DAY(DATE(Einstellungen!$E$7,12,24))&lt;&gt;24,"",DATE(Einstellungen!$E$7,12,24))</f>
        <v>46380</v>
      </c>
      <c r="NI5" s="46" t="n">
        <f aca="false">IF(DAY(DATE(Einstellungen!$E$7,12,25))&lt;&gt;25,"",DATE(Einstellungen!$E$7,12,25))</f>
        <v>46381</v>
      </c>
      <c r="NJ5" s="46" t="n">
        <f aca="false">IF(DAY(DATE(Einstellungen!$E$7,12,26))&lt;&gt;26,"",DATE(Einstellungen!$E$7,12,26))</f>
        <v>46382</v>
      </c>
      <c r="NK5" s="46" t="n">
        <f aca="false">IF(DAY(DATE(Einstellungen!$E$7,12,27))&lt;&gt;27,"",DATE(Einstellungen!$E$7,12,27))</f>
        <v>46383</v>
      </c>
      <c r="NL5" s="46" t="n">
        <f aca="false">IF(DAY(DATE(Einstellungen!$E$7,12,28))&lt;&gt;28,"",DATE(Einstellungen!$E$7,12,28))</f>
        <v>46384</v>
      </c>
      <c r="NM5" s="46" t="n">
        <f aca="false">IF(DAY(DATE(Einstellungen!$E$7,12,29))&lt;&gt;29,"",DATE(Einstellungen!$E$7,12,29))</f>
        <v>46385</v>
      </c>
      <c r="NN5" s="46" t="n">
        <f aca="false">IF(DAY(DATE(Einstellungen!$E$7,12,30))&lt;&gt;30,"",DATE(Einstellungen!$E$7,12,30))</f>
        <v>46386</v>
      </c>
      <c r="NO5" s="46" t="n">
        <f aca="false">IF(DAY(DATE(Einstellungen!$E$7,12,31))&lt;&gt;31,"",DATE(Einstellungen!$E$7,12,31))</f>
        <v>46387</v>
      </c>
    </row>
    <row r="6" customFormat="false" ht="18.75" hidden="false" customHeight="true" outlineLevel="0" collapsed="false">
      <c r="A6" s="47" t="s">
        <v>68</v>
      </c>
      <c r="B6" s="47" t="s">
        <v>28</v>
      </c>
      <c r="C6" s="47" t="s">
        <v>69</v>
      </c>
      <c r="D6" s="47" t="str">
        <f aca="false">"Anspruch"&amp;CHAR(10)&amp;Einstellungen!$E$7</f>
        <v>Anspruch
2026</v>
      </c>
      <c r="E6" s="47" t="str">
        <f aca="false">"Rest"&amp;CHAR(10)&amp;(Einstellungen!$E$7-1)</f>
        <v>Rest
2025</v>
      </c>
      <c r="F6" s="47" t="s">
        <v>70</v>
      </c>
      <c r="G6" s="47" t="s">
        <v>71</v>
      </c>
      <c r="H6" s="48" t="s">
        <v>72</v>
      </c>
      <c r="I6" s="48"/>
      <c r="J6" s="48"/>
      <c r="K6" s="48"/>
      <c r="L6" s="48"/>
      <c r="M6" s="48"/>
      <c r="N6" s="48"/>
      <c r="O6" s="48"/>
      <c r="P6" s="48"/>
      <c r="Q6" s="48"/>
      <c r="R6" s="48"/>
      <c r="S6" s="48"/>
      <c r="T6" s="48"/>
      <c r="U6" s="48"/>
      <c r="V6" s="48"/>
      <c r="W6" s="48"/>
      <c r="X6" s="48"/>
      <c r="Y6" s="48"/>
      <c r="Z6" s="48"/>
      <c r="AA6" s="48"/>
      <c r="AB6" s="48"/>
      <c r="AC6" s="48"/>
      <c r="AD6" s="48"/>
      <c r="AE6" s="48"/>
      <c r="AF6" s="48"/>
      <c r="AG6" s="48"/>
      <c r="AH6" s="48"/>
      <c r="AI6" s="48"/>
      <c r="AJ6" s="48"/>
      <c r="AK6" s="48"/>
      <c r="AL6" s="48"/>
      <c r="AM6" s="49" t="s">
        <v>73</v>
      </c>
      <c r="AN6" s="49"/>
      <c r="AO6" s="49"/>
      <c r="AP6" s="49"/>
      <c r="AQ6" s="49"/>
      <c r="AR6" s="49"/>
      <c r="AS6" s="49"/>
      <c r="AT6" s="49"/>
      <c r="AU6" s="49"/>
      <c r="AV6" s="49"/>
      <c r="AW6" s="49"/>
      <c r="AX6" s="49"/>
      <c r="AY6" s="49"/>
      <c r="AZ6" s="49"/>
      <c r="BA6" s="49"/>
      <c r="BB6" s="49"/>
      <c r="BC6" s="49"/>
      <c r="BD6" s="49"/>
      <c r="BE6" s="49"/>
      <c r="BF6" s="49"/>
      <c r="BG6" s="49"/>
      <c r="BH6" s="49"/>
      <c r="BI6" s="49"/>
      <c r="BJ6" s="49"/>
      <c r="BK6" s="49"/>
      <c r="BL6" s="49"/>
      <c r="BM6" s="49"/>
      <c r="BN6" s="49"/>
      <c r="BO6" s="49"/>
      <c r="BP6" s="49"/>
      <c r="BQ6" s="49"/>
      <c r="BR6" s="48" t="s">
        <v>74</v>
      </c>
      <c r="BS6" s="48"/>
      <c r="BT6" s="48"/>
      <c r="BU6" s="48"/>
      <c r="BV6" s="48"/>
      <c r="BW6" s="48"/>
      <c r="BX6" s="48"/>
      <c r="BY6" s="48"/>
      <c r="BZ6" s="48"/>
      <c r="CA6" s="48"/>
      <c r="CB6" s="48"/>
      <c r="CC6" s="48"/>
      <c r="CD6" s="48"/>
      <c r="CE6" s="48"/>
      <c r="CF6" s="48"/>
      <c r="CG6" s="48"/>
      <c r="CH6" s="48"/>
      <c r="CI6" s="48"/>
      <c r="CJ6" s="48"/>
      <c r="CK6" s="48"/>
      <c r="CL6" s="48"/>
      <c r="CM6" s="48"/>
      <c r="CN6" s="48"/>
      <c r="CO6" s="48"/>
      <c r="CP6" s="48"/>
      <c r="CQ6" s="48"/>
      <c r="CR6" s="48"/>
      <c r="CS6" s="48"/>
      <c r="CT6" s="48"/>
      <c r="CU6" s="48"/>
      <c r="CV6" s="48"/>
      <c r="CW6" s="49" t="s">
        <v>75</v>
      </c>
      <c r="CX6" s="49"/>
      <c r="CY6" s="49"/>
      <c r="CZ6" s="49"/>
      <c r="DA6" s="49"/>
      <c r="DB6" s="49"/>
      <c r="DC6" s="49"/>
      <c r="DD6" s="49"/>
      <c r="DE6" s="49"/>
      <c r="DF6" s="49"/>
      <c r="DG6" s="49"/>
      <c r="DH6" s="49"/>
      <c r="DI6" s="49"/>
      <c r="DJ6" s="49"/>
      <c r="DK6" s="49"/>
      <c r="DL6" s="49"/>
      <c r="DM6" s="49"/>
      <c r="DN6" s="49"/>
      <c r="DO6" s="49"/>
      <c r="DP6" s="49"/>
      <c r="DQ6" s="49"/>
      <c r="DR6" s="49"/>
      <c r="DS6" s="49"/>
      <c r="DT6" s="49"/>
      <c r="DU6" s="49"/>
      <c r="DV6" s="49"/>
      <c r="DW6" s="49"/>
      <c r="DX6" s="49"/>
      <c r="DY6" s="49"/>
      <c r="DZ6" s="49"/>
      <c r="EA6" s="49"/>
      <c r="EB6" s="48" t="s">
        <v>76</v>
      </c>
      <c r="EC6" s="48"/>
      <c r="ED6" s="48"/>
      <c r="EE6" s="48"/>
      <c r="EF6" s="48"/>
      <c r="EG6" s="48"/>
      <c r="EH6" s="48"/>
      <c r="EI6" s="48"/>
      <c r="EJ6" s="48"/>
      <c r="EK6" s="48"/>
      <c r="EL6" s="48"/>
      <c r="EM6" s="48"/>
      <c r="EN6" s="48"/>
      <c r="EO6" s="48"/>
      <c r="EP6" s="48"/>
      <c r="EQ6" s="48"/>
      <c r="ER6" s="48"/>
      <c r="ES6" s="48"/>
      <c r="ET6" s="48"/>
      <c r="EU6" s="48"/>
      <c r="EV6" s="48"/>
      <c r="EW6" s="48"/>
      <c r="EX6" s="48"/>
      <c r="EY6" s="48"/>
      <c r="EZ6" s="48"/>
      <c r="FA6" s="48"/>
      <c r="FB6" s="48"/>
      <c r="FC6" s="48"/>
      <c r="FD6" s="48"/>
      <c r="FE6" s="48"/>
      <c r="FF6" s="48"/>
      <c r="FG6" s="49" t="s">
        <v>77</v>
      </c>
      <c r="FH6" s="49"/>
      <c r="FI6" s="49"/>
      <c r="FJ6" s="49"/>
      <c r="FK6" s="49"/>
      <c r="FL6" s="49"/>
      <c r="FM6" s="49"/>
      <c r="FN6" s="49"/>
      <c r="FO6" s="49"/>
      <c r="FP6" s="49"/>
      <c r="FQ6" s="49"/>
      <c r="FR6" s="49"/>
      <c r="FS6" s="49"/>
      <c r="FT6" s="49"/>
      <c r="FU6" s="49"/>
      <c r="FV6" s="49"/>
      <c r="FW6" s="49"/>
      <c r="FX6" s="49"/>
      <c r="FY6" s="49"/>
      <c r="FZ6" s="49"/>
      <c r="GA6" s="49"/>
      <c r="GB6" s="49"/>
      <c r="GC6" s="49"/>
      <c r="GD6" s="49"/>
      <c r="GE6" s="49"/>
      <c r="GF6" s="49"/>
      <c r="GG6" s="49"/>
      <c r="GH6" s="49"/>
      <c r="GI6" s="49"/>
      <c r="GJ6" s="49"/>
      <c r="GK6" s="49"/>
      <c r="GL6" s="48" t="s">
        <v>78</v>
      </c>
      <c r="GM6" s="48"/>
      <c r="GN6" s="48"/>
      <c r="GO6" s="48"/>
      <c r="GP6" s="48"/>
      <c r="GQ6" s="48"/>
      <c r="GR6" s="48"/>
      <c r="GS6" s="48"/>
      <c r="GT6" s="48"/>
      <c r="GU6" s="48"/>
      <c r="GV6" s="48"/>
      <c r="GW6" s="48"/>
      <c r="GX6" s="48"/>
      <c r="GY6" s="48"/>
      <c r="GZ6" s="48"/>
      <c r="HA6" s="48"/>
      <c r="HB6" s="48"/>
      <c r="HC6" s="48"/>
      <c r="HD6" s="48"/>
      <c r="HE6" s="48"/>
      <c r="HF6" s="48"/>
      <c r="HG6" s="48"/>
      <c r="HH6" s="48"/>
      <c r="HI6" s="48"/>
      <c r="HJ6" s="48"/>
      <c r="HK6" s="48"/>
      <c r="HL6" s="48"/>
      <c r="HM6" s="48"/>
      <c r="HN6" s="48"/>
      <c r="HO6" s="48"/>
      <c r="HP6" s="48"/>
      <c r="HQ6" s="49" t="s">
        <v>79</v>
      </c>
      <c r="HR6" s="49"/>
      <c r="HS6" s="49"/>
      <c r="HT6" s="49"/>
      <c r="HU6" s="49"/>
      <c r="HV6" s="49"/>
      <c r="HW6" s="49"/>
      <c r="HX6" s="49"/>
      <c r="HY6" s="49"/>
      <c r="HZ6" s="49"/>
      <c r="IA6" s="49"/>
      <c r="IB6" s="49"/>
      <c r="IC6" s="49"/>
      <c r="ID6" s="49"/>
      <c r="IE6" s="49"/>
      <c r="IF6" s="49"/>
      <c r="IG6" s="49"/>
      <c r="IH6" s="49"/>
      <c r="II6" s="49"/>
      <c r="IJ6" s="49"/>
      <c r="IK6" s="49"/>
      <c r="IL6" s="49"/>
      <c r="IM6" s="49"/>
      <c r="IN6" s="49"/>
      <c r="IO6" s="49"/>
      <c r="IP6" s="49"/>
      <c r="IQ6" s="49"/>
      <c r="IR6" s="49"/>
      <c r="IS6" s="49"/>
      <c r="IT6" s="49"/>
      <c r="IU6" s="49"/>
      <c r="IV6" s="48" t="s">
        <v>80</v>
      </c>
      <c r="IW6" s="48"/>
      <c r="IX6" s="48"/>
      <c r="IY6" s="48"/>
      <c r="IZ6" s="48"/>
      <c r="JA6" s="48"/>
      <c r="JB6" s="48"/>
      <c r="JC6" s="48"/>
      <c r="JD6" s="48"/>
      <c r="JE6" s="48"/>
      <c r="JF6" s="48"/>
      <c r="JG6" s="48"/>
      <c r="JH6" s="48"/>
      <c r="JI6" s="48"/>
      <c r="JJ6" s="48"/>
      <c r="JK6" s="48"/>
      <c r="JL6" s="48"/>
      <c r="JM6" s="48"/>
      <c r="JN6" s="48"/>
      <c r="JO6" s="48"/>
      <c r="JP6" s="48"/>
      <c r="JQ6" s="48"/>
      <c r="JR6" s="48"/>
      <c r="JS6" s="48"/>
      <c r="JT6" s="48"/>
      <c r="JU6" s="48"/>
      <c r="JV6" s="48"/>
      <c r="JW6" s="48"/>
      <c r="JX6" s="48"/>
      <c r="JY6" s="48"/>
      <c r="JZ6" s="48"/>
      <c r="KA6" s="49" t="s">
        <v>81</v>
      </c>
      <c r="KB6" s="49"/>
      <c r="KC6" s="49"/>
      <c r="KD6" s="49"/>
      <c r="KE6" s="49"/>
      <c r="KF6" s="49"/>
      <c r="KG6" s="49"/>
      <c r="KH6" s="49"/>
      <c r="KI6" s="49"/>
      <c r="KJ6" s="49"/>
      <c r="KK6" s="49"/>
      <c r="KL6" s="49"/>
      <c r="KM6" s="49"/>
      <c r="KN6" s="49"/>
      <c r="KO6" s="49"/>
      <c r="KP6" s="49"/>
      <c r="KQ6" s="49"/>
      <c r="KR6" s="49"/>
      <c r="KS6" s="49"/>
      <c r="KT6" s="49"/>
      <c r="KU6" s="49"/>
      <c r="KV6" s="49"/>
      <c r="KW6" s="49"/>
      <c r="KX6" s="49"/>
      <c r="KY6" s="49"/>
      <c r="KZ6" s="49"/>
      <c r="LA6" s="49"/>
      <c r="LB6" s="49"/>
      <c r="LC6" s="49"/>
      <c r="LD6" s="49"/>
      <c r="LE6" s="49"/>
      <c r="LF6" s="48" t="s">
        <v>82</v>
      </c>
      <c r="LG6" s="48"/>
      <c r="LH6" s="48"/>
      <c r="LI6" s="48"/>
      <c r="LJ6" s="48"/>
      <c r="LK6" s="48"/>
      <c r="LL6" s="48"/>
      <c r="LM6" s="48"/>
      <c r="LN6" s="48"/>
      <c r="LO6" s="48"/>
      <c r="LP6" s="48"/>
      <c r="LQ6" s="48"/>
      <c r="LR6" s="48"/>
      <c r="LS6" s="48"/>
      <c r="LT6" s="48"/>
      <c r="LU6" s="48"/>
      <c r="LV6" s="48"/>
      <c r="LW6" s="48"/>
      <c r="LX6" s="48"/>
      <c r="LY6" s="48"/>
      <c r="LZ6" s="48"/>
      <c r="MA6" s="48"/>
      <c r="MB6" s="48"/>
      <c r="MC6" s="48"/>
      <c r="MD6" s="48"/>
      <c r="ME6" s="48"/>
      <c r="MF6" s="48"/>
      <c r="MG6" s="48"/>
      <c r="MH6" s="48"/>
      <c r="MI6" s="48"/>
      <c r="MJ6" s="48"/>
      <c r="MK6" s="49" t="s">
        <v>83</v>
      </c>
      <c r="ML6" s="49"/>
      <c r="MM6" s="49"/>
      <c r="MN6" s="49"/>
      <c r="MO6" s="49"/>
      <c r="MP6" s="49"/>
      <c r="MQ6" s="49"/>
      <c r="MR6" s="49"/>
      <c r="MS6" s="49"/>
      <c r="MT6" s="49"/>
      <c r="MU6" s="49"/>
      <c r="MV6" s="49"/>
      <c r="MW6" s="49"/>
      <c r="MX6" s="49"/>
      <c r="MY6" s="49"/>
      <c r="MZ6" s="49"/>
      <c r="NA6" s="49"/>
      <c r="NB6" s="49"/>
      <c r="NC6" s="49"/>
      <c r="ND6" s="49"/>
      <c r="NE6" s="49"/>
      <c r="NF6" s="49"/>
      <c r="NG6" s="49"/>
      <c r="NH6" s="49"/>
      <c r="NI6" s="49"/>
      <c r="NJ6" s="49"/>
      <c r="NK6" s="49"/>
      <c r="NL6" s="49"/>
      <c r="NM6" s="49"/>
      <c r="NN6" s="49"/>
      <c r="NO6" s="49"/>
    </row>
    <row r="7" customFormat="false" ht="12.75" hidden="false" customHeight="true" outlineLevel="0" collapsed="false">
      <c r="A7" s="47"/>
      <c r="B7" s="47"/>
      <c r="C7" s="47"/>
      <c r="D7" s="47"/>
      <c r="E7" s="47"/>
      <c r="F7" s="47"/>
      <c r="G7" s="47"/>
      <c r="H7" s="50" t="str">
        <f aca="false">IF(H$5="","",IF(WEEKDAY(H$5,2)=1,WEEKNUM(H$5,21),""))</f>
        <v/>
      </c>
      <c r="I7" s="51" t="str">
        <f aca="false">IF(I$5="","",IF(WEEKDAY(I$5,2)=1,WEEKNUM(I$5,21),""))</f>
        <v/>
      </c>
      <c r="J7" s="51" t="str">
        <f aca="false">IF(J$5="","",IF(WEEKDAY(J$5,2)=1,WEEKNUM(J$5,21),""))</f>
        <v/>
      </c>
      <c r="K7" s="51" t="str">
        <f aca="false">IF(K$5="","",IF(WEEKDAY(K$5,2)=1,WEEKNUM(K$5,21),""))</f>
        <v/>
      </c>
      <c r="L7" s="51" t="n">
        <f aca="false">IF(L$5="","",IF(WEEKDAY(L$5,2)=1,WEEKNUM(L$5,21),""))</f>
        <v>2</v>
      </c>
      <c r="M7" s="51" t="str">
        <f aca="false">IF(M$5="","",IF(WEEKDAY(M$5,2)=1,WEEKNUM(M$5,21),""))</f>
        <v/>
      </c>
      <c r="N7" s="51" t="str">
        <f aca="false">IF(N$5="","",IF(WEEKDAY(N$5,2)=1,WEEKNUM(N$5,21),""))</f>
        <v/>
      </c>
      <c r="O7" s="51" t="str">
        <f aca="false">IF(O$5="","",IF(WEEKDAY(O$5,2)=1,WEEKNUM(O$5,21),""))</f>
        <v/>
      </c>
      <c r="P7" s="51" t="str">
        <f aca="false">IF(P$5="","",IF(WEEKDAY(P$5,2)=1,WEEKNUM(P$5,21),""))</f>
        <v/>
      </c>
      <c r="Q7" s="51" t="str">
        <f aca="false">IF(Q$5="","",IF(WEEKDAY(Q$5,2)=1,WEEKNUM(Q$5,21),""))</f>
        <v/>
      </c>
      <c r="R7" s="51" t="str">
        <f aca="false">IF(R$5="","",IF(WEEKDAY(R$5,2)=1,WEEKNUM(R$5,21),""))</f>
        <v/>
      </c>
      <c r="S7" s="51" t="n">
        <f aca="false">IF(S$5="","",IF(WEEKDAY(S$5,2)=1,WEEKNUM(S$5,21),""))</f>
        <v>3</v>
      </c>
      <c r="T7" s="51" t="str">
        <f aca="false">IF(T$5="","",IF(WEEKDAY(T$5,2)=1,WEEKNUM(T$5,21),""))</f>
        <v/>
      </c>
      <c r="U7" s="51" t="str">
        <f aca="false">IF(U$5="","",IF(WEEKDAY(U$5,2)=1,WEEKNUM(U$5,21),""))</f>
        <v/>
      </c>
      <c r="V7" s="51" t="str">
        <f aca="false">IF(V$5="","",IF(WEEKDAY(V$5,2)=1,WEEKNUM(V$5,21),""))</f>
        <v/>
      </c>
      <c r="W7" s="51" t="str">
        <f aca="false">IF(W$5="","",IF(WEEKDAY(W$5,2)=1,WEEKNUM(W$5,21),""))</f>
        <v/>
      </c>
      <c r="X7" s="51" t="str">
        <f aca="false">IF(X$5="","",IF(WEEKDAY(X$5,2)=1,WEEKNUM(X$5,21),""))</f>
        <v/>
      </c>
      <c r="Y7" s="51" t="str">
        <f aca="false">IF(Y$5="","",IF(WEEKDAY(Y$5,2)=1,WEEKNUM(Y$5,21),""))</f>
        <v/>
      </c>
      <c r="Z7" s="51" t="n">
        <f aca="false">IF(Z$5="","",IF(WEEKDAY(Z$5,2)=1,WEEKNUM(Z$5,21),""))</f>
        <v>4</v>
      </c>
      <c r="AA7" s="51" t="str">
        <f aca="false">IF(AA$5="","",IF(WEEKDAY(AA$5,2)=1,WEEKNUM(AA$5,21),""))</f>
        <v/>
      </c>
      <c r="AB7" s="51" t="str">
        <f aca="false">IF(AB$5="","",IF(WEEKDAY(AB$5,2)=1,WEEKNUM(AB$5,21),""))</f>
        <v/>
      </c>
      <c r="AC7" s="51" t="str">
        <f aca="false">IF(AC$5="","",IF(WEEKDAY(AC$5,2)=1,WEEKNUM(AC$5,21),""))</f>
        <v/>
      </c>
      <c r="AD7" s="51" t="str">
        <f aca="false">IF(AD$5="","",IF(WEEKDAY(AD$5,2)=1,WEEKNUM(AD$5,21),""))</f>
        <v/>
      </c>
      <c r="AE7" s="51" t="str">
        <f aca="false">IF(AE$5="","",IF(WEEKDAY(AE$5,2)=1,WEEKNUM(AE$5,21),""))</f>
        <v/>
      </c>
      <c r="AF7" s="51" t="str">
        <f aca="false">IF(AF$5="","",IF(WEEKDAY(AF$5,2)=1,WEEKNUM(AF$5,21),""))</f>
        <v/>
      </c>
      <c r="AG7" s="51" t="n">
        <f aca="false">IF(AG$5="","",IF(WEEKDAY(AG$5,2)=1,WEEKNUM(AG$5,21),""))</f>
        <v>5</v>
      </c>
      <c r="AH7" s="51" t="str">
        <f aca="false">IF(AH$5="","",IF(WEEKDAY(AH$5,2)=1,WEEKNUM(AH$5,21),""))</f>
        <v/>
      </c>
      <c r="AI7" s="51" t="str">
        <f aca="false">IF(AI$5="","",IF(WEEKDAY(AI$5,2)=1,WEEKNUM(AI$5,21),""))</f>
        <v/>
      </c>
      <c r="AJ7" s="51" t="str">
        <f aca="false">IF(AJ$5="","",IF(WEEKDAY(AJ$5,2)=1,WEEKNUM(AJ$5,21),""))</f>
        <v/>
      </c>
      <c r="AK7" s="51" t="str">
        <f aca="false">IF(AK$5="","",IF(WEEKDAY(AK$5,2)=1,WEEKNUM(AK$5,21),""))</f>
        <v/>
      </c>
      <c r="AL7" s="51" t="str">
        <f aca="false">IF(AL$5="","",IF(WEEKDAY(AL$5,2)=1,WEEKNUM(AL$5,21),""))</f>
        <v/>
      </c>
      <c r="AM7" s="50" t="str">
        <f aca="false">IF(AM$5="","",IF(WEEKDAY(AM$5,2)=1,WEEKNUM(AM$5,21),""))</f>
        <v/>
      </c>
      <c r="AN7" s="51" t="n">
        <f aca="false">IF(AN$5="","",IF(WEEKDAY(AN$5,2)=1,WEEKNUM(AN$5,21),""))</f>
        <v>6</v>
      </c>
      <c r="AO7" s="51" t="str">
        <f aca="false">IF(AO$5="","",IF(WEEKDAY(AO$5,2)=1,WEEKNUM(AO$5,21),""))</f>
        <v/>
      </c>
      <c r="AP7" s="51" t="str">
        <f aca="false">IF(AP$5="","",IF(WEEKDAY(AP$5,2)=1,WEEKNUM(AP$5,21),""))</f>
        <v/>
      </c>
      <c r="AQ7" s="51" t="str">
        <f aca="false">IF(AQ$5="","",IF(WEEKDAY(AQ$5,2)=1,WEEKNUM(AQ$5,21),""))</f>
        <v/>
      </c>
      <c r="AR7" s="51" t="str">
        <f aca="false">IF(AR$5="","",IF(WEEKDAY(AR$5,2)=1,WEEKNUM(AR$5,21),""))</f>
        <v/>
      </c>
      <c r="AS7" s="51" t="str">
        <f aca="false">IF(AS$5="","",IF(WEEKDAY(AS$5,2)=1,WEEKNUM(AS$5,21),""))</f>
        <v/>
      </c>
      <c r="AT7" s="51" t="str">
        <f aca="false">IF(AT$5="","",IF(WEEKDAY(AT$5,2)=1,WEEKNUM(AT$5,21),""))</f>
        <v/>
      </c>
      <c r="AU7" s="51" t="n">
        <f aca="false">IF(AU$5="","",IF(WEEKDAY(AU$5,2)=1,WEEKNUM(AU$5,21),""))</f>
        <v>7</v>
      </c>
      <c r="AV7" s="51" t="str">
        <f aca="false">IF(AV$5="","",IF(WEEKDAY(AV$5,2)=1,WEEKNUM(AV$5,21),""))</f>
        <v/>
      </c>
      <c r="AW7" s="51" t="str">
        <f aca="false">IF(AW$5="","",IF(WEEKDAY(AW$5,2)=1,WEEKNUM(AW$5,21),""))</f>
        <v/>
      </c>
      <c r="AX7" s="51" t="str">
        <f aca="false">IF(AX$5="","",IF(WEEKDAY(AX$5,2)=1,WEEKNUM(AX$5,21),""))</f>
        <v/>
      </c>
      <c r="AY7" s="51" t="str">
        <f aca="false">IF(AY$5="","",IF(WEEKDAY(AY$5,2)=1,WEEKNUM(AY$5,21),""))</f>
        <v/>
      </c>
      <c r="AZ7" s="51" t="str">
        <f aca="false">IF(AZ$5="","",IF(WEEKDAY(AZ$5,2)=1,WEEKNUM(AZ$5,21),""))</f>
        <v/>
      </c>
      <c r="BA7" s="51" t="str">
        <f aca="false">IF(BA$5="","",IF(WEEKDAY(BA$5,2)=1,WEEKNUM(BA$5,21),""))</f>
        <v/>
      </c>
      <c r="BB7" s="51" t="n">
        <f aca="false">IF(BB$5="","",IF(WEEKDAY(BB$5,2)=1,WEEKNUM(BB$5,21),""))</f>
        <v>8</v>
      </c>
      <c r="BC7" s="51" t="str">
        <f aca="false">IF(BC$5="","",IF(WEEKDAY(BC$5,2)=1,WEEKNUM(BC$5,21),""))</f>
        <v/>
      </c>
      <c r="BD7" s="51" t="str">
        <f aca="false">IF(BD$5="","",IF(WEEKDAY(BD$5,2)=1,WEEKNUM(BD$5,21),""))</f>
        <v/>
      </c>
      <c r="BE7" s="51" t="str">
        <f aca="false">IF(BE$5="","",IF(WEEKDAY(BE$5,2)=1,WEEKNUM(BE$5,21),""))</f>
        <v/>
      </c>
      <c r="BF7" s="51" t="str">
        <f aca="false">IF(BF$5="","",IF(WEEKDAY(BF$5,2)=1,WEEKNUM(BF$5,21),""))</f>
        <v/>
      </c>
      <c r="BG7" s="51" t="str">
        <f aca="false">IF(BG$5="","",IF(WEEKDAY(BG$5,2)=1,WEEKNUM(BG$5,21),""))</f>
        <v/>
      </c>
      <c r="BH7" s="51" t="str">
        <f aca="false">IF(BH$5="","",IF(WEEKDAY(BH$5,2)=1,WEEKNUM(BH$5,21),""))</f>
        <v/>
      </c>
      <c r="BI7" s="51" t="n">
        <f aca="false">IF(BI$5="","",IF(WEEKDAY(BI$5,2)=1,WEEKNUM(BI$5,21),""))</f>
        <v>9</v>
      </c>
      <c r="BJ7" s="51" t="str">
        <f aca="false">IF(BJ$5="","",IF(WEEKDAY(BJ$5,2)=1,WEEKNUM(BJ$5,21),""))</f>
        <v/>
      </c>
      <c r="BK7" s="51" t="str">
        <f aca="false">IF(BK$5="","",IF(WEEKDAY(BK$5,2)=1,WEEKNUM(BK$5,21),""))</f>
        <v/>
      </c>
      <c r="BL7" s="51" t="str">
        <f aca="false">IF(BL$5="","",IF(WEEKDAY(BL$5,2)=1,WEEKNUM(BL$5,21),""))</f>
        <v/>
      </c>
      <c r="BM7" s="51" t="str">
        <f aca="false">IF(BM$5="","",IF(WEEKDAY(BM$5,2)=1,WEEKNUM(BM$5,21),""))</f>
        <v/>
      </c>
      <c r="BN7" s="51" t="str">
        <f aca="false">IF(BN$5="","",IF(WEEKDAY(BN$5,2)=1,WEEKNUM(BN$5,21),""))</f>
        <v/>
      </c>
      <c r="BO7" s="51" t="str">
        <f aca="false">IF(BO$5="","",IF(WEEKDAY(BO$5,2)=1,WEEKNUM(BO$5,21),""))</f>
        <v/>
      </c>
      <c r="BP7" s="51" t="str">
        <f aca="false">IF(BP$5="","",IF(WEEKDAY(BP$5,2)=1,WEEKNUM(BP$5,21),""))</f>
        <v/>
      </c>
      <c r="BQ7" s="51" t="str">
        <f aca="false">IF(BQ$5="","",IF(WEEKDAY(BQ$5,2)=1,WEEKNUM(BQ$5,21),""))</f>
        <v/>
      </c>
      <c r="BR7" s="50" t="str">
        <f aca="false">IF(BR$5="","",IF(WEEKDAY(BR$5,2)=1,WEEKNUM(BR$5,21),""))</f>
        <v/>
      </c>
      <c r="BS7" s="51" t="n">
        <f aca="false">IF(BS$5="","",IF(WEEKDAY(BS$5,2)=1,WEEKNUM(BS$5,21),""))</f>
        <v>10</v>
      </c>
      <c r="BT7" s="51" t="str">
        <f aca="false">IF(BT$5="","",IF(WEEKDAY(BT$5,2)=1,WEEKNUM(BT$5,21),""))</f>
        <v/>
      </c>
      <c r="BU7" s="51" t="str">
        <f aca="false">IF(BU$5="","",IF(WEEKDAY(BU$5,2)=1,WEEKNUM(BU$5,21),""))</f>
        <v/>
      </c>
      <c r="BV7" s="51" t="str">
        <f aca="false">IF(BV$5="","",IF(WEEKDAY(BV$5,2)=1,WEEKNUM(BV$5,21),""))</f>
        <v/>
      </c>
      <c r="BW7" s="51" t="str">
        <f aca="false">IF(BW$5="","",IF(WEEKDAY(BW$5,2)=1,WEEKNUM(BW$5,21),""))</f>
        <v/>
      </c>
      <c r="BX7" s="51" t="str">
        <f aca="false">IF(BX$5="","",IF(WEEKDAY(BX$5,2)=1,WEEKNUM(BX$5,21),""))</f>
        <v/>
      </c>
      <c r="BY7" s="51" t="str">
        <f aca="false">IF(BY$5="","",IF(WEEKDAY(BY$5,2)=1,WEEKNUM(BY$5,21),""))</f>
        <v/>
      </c>
      <c r="BZ7" s="51" t="n">
        <f aca="false">IF(BZ$5="","",IF(WEEKDAY(BZ$5,2)=1,WEEKNUM(BZ$5,21),""))</f>
        <v>11</v>
      </c>
      <c r="CA7" s="51" t="str">
        <f aca="false">IF(CA$5="","",IF(WEEKDAY(CA$5,2)=1,WEEKNUM(CA$5,21),""))</f>
        <v/>
      </c>
      <c r="CB7" s="51" t="str">
        <f aca="false">IF(CB$5="","",IF(WEEKDAY(CB$5,2)=1,WEEKNUM(CB$5,21),""))</f>
        <v/>
      </c>
      <c r="CC7" s="51" t="str">
        <f aca="false">IF(CC$5="","",IF(WEEKDAY(CC$5,2)=1,WEEKNUM(CC$5,21),""))</f>
        <v/>
      </c>
      <c r="CD7" s="51" t="str">
        <f aca="false">IF(CD$5="","",IF(WEEKDAY(CD$5,2)=1,WEEKNUM(CD$5,21),""))</f>
        <v/>
      </c>
      <c r="CE7" s="51" t="str">
        <f aca="false">IF(CE$5="","",IF(WEEKDAY(CE$5,2)=1,WEEKNUM(CE$5,21),""))</f>
        <v/>
      </c>
      <c r="CF7" s="51" t="str">
        <f aca="false">IF(CF$5="","",IF(WEEKDAY(CF$5,2)=1,WEEKNUM(CF$5,21),""))</f>
        <v/>
      </c>
      <c r="CG7" s="51" t="n">
        <f aca="false">IF(CG$5="","",IF(WEEKDAY(CG$5,2)=1,WEEKNUM(CG$5,21),""))</f>
        <v>12</v>
      </c>
      <c r="CH7" s="51" t="str">
        <f aca="false">IF(CH$5="","",IF(WEEKDAY(CH$5,2)=1,WEEKNUM(CH$5,21),""))</f>
        <v/>
      </c>
      <c r="CI7" s="51" t="str">
        <f aca="false">IF(CI$5="","",IF(WEEKDAY(CI$5,2)=1,WEEKNUM(CI$5,21),""))</f>
        <v/>
      </c>
      <c r="CJ7" s="51" t="str">
        <f aca="false">IF(CJ$5="","",IF(WEEKDAY(CJ$5,2)=1,WEEKNUM(CJ$5,21),""))</f>
        <v/>
      </c>
      <c r="CK7" s="51" t="str">
        <f aca="false">IF(CK$5="","",IF(WEEKDAY(CK$5,2)=1,WEEKNUM(CK$5,21),""))</f>
        <v/>
      </c>
      <c r="CL7" s="51" t="str">
        <f aca="false">IF(CL$5="","",IF(WEEKDAY(CL$5,2)=1,WEEKNUM(CL$5,21),""))</f>
        <v/>
      </c>
      <c r="CM7" s="51" t="str">
        <f aca="false">IF(CM$5="","",IF(WEEKDAY(CM$5,2)=1,WEEKNUM(CM$5,21),""))</f>
        <v/>
      </c>
      <c r="CN7" s="51" t="n">
        <f aca="false">IF(CN$5="","",IF(WEEKDAY(CN$5,2)=1,WEEKNUM(CN$5,21),""))</f>
        <v>13</v>
      </c>
      <c r="CO7" s="51" t="str">
        <f aca="false">IF(CO$5="","",IF(WEEKDAY(CO$5,2)=1,WEEKNUM(CO$5,21),""))</f>
        <v/>
      </c>
      <c r="CP7" s="51" t="str">
        <f aca="false">IF(CP$5="","",IF(WEEKDAY(CP$5,2)=1,WEEKNUM(CP$5,21),""))</f>
        <v/>
      </c>
      <c r="CQ7" s="51" t="str">
        <f aca="false">IF(CQ$5="","",IF(WEEKDAY(CQ$5,2)=1,WEEKNUM(CQ$5,21),""))</f>
        <v/>
      </c>
      <c r="CR7" s="51" t="str">
        <f aca="false">IF(CR$5="","",IF(WEEKDAY(CR$5,2)=1,WEEKNUM(CR$5,21),""))</f>
        <v/>
      </c>
      <c r="CS7" s="51" t="str">
        <f aca="false">IF(CS$5="","",IF(WEEKDAY(CS$5,2)=1,WEEKNUM(CS$5,21),""))</f>
        <v/>
      </c>
      <c r="CT7" s="51" t="str">
        <f aca="false">IF(CT$5="","",IF(WEEKDAY(CT$5,2)=1,WEEKNUM(CT$5,21),""))</f>
        <v/>
      </c>
      <c r="CU7" s="51" t="n">
        <f aca="false">IF(CU$5="","",IF(WEEKDAY(CU$5,2)=1,WEEKNUM(CU$5,21),""))</f>
        <v>14</v>
      </c>
      <c r="CV7" s="51" t="str">
        <f aca="false">IF(CV$5="","",IF(WEEKDAY(CV$5,2)=1,WEEKNUM(CV$5,21),""))</f>
        <v/>
      </c>
      <c r="CW7" s="50" t="str">
        <f aca="false">IF(CW$5="","",IF(WEEKDAY(CW$5,2)=1,WEEKNUM(CW$5,21),""))</f>
        <v/>
      </c>
      <c r="CX7" s="51" t="str">
        <f aca="false">IF(CX$5="","",IF(WEEKDAY(CX$5,2)=1,WEEKNUM(CX$5,21),""))</f>
        <v/>
      </c>
      <c r="CY7" s="51" t="str">
        <f aca="false">IF(CY$5="","",IF(WEEKDAY(CY$5,2)=1,WEEKNUM(CY$5,21),""))</f>
        <v/>
      </c>
      <c r="CZ7" s="51" t="str">
        <f aca="false">IF(CZ$5="","",IF(WEEKDAY(CZ$5,2)=1,WEEKNUM(CZ$5,21),""))</f>
        <v/>
      </c>
      <c r="DA7" s="51" t="str">
        <f aca="false">IF(DA$5="","",IF(WEEKDAY(DA$5,2)=1,WEEKNUM(DA$5,21),""))</f>
        <v/>
      </c>
      <c r="DB7" s="51" t="n">
        <f aca="false">IF(DB$5="","",IF(WEEKDAY(DB$5,2)=1,WEEKNUM(DB$5,21),""))</f>
        <v>15</v>
      </c>
      <c r="DC7" s="51" t="str">
        <f aca="false">IF(DC$5="","",IF(WEEKDAY(DC$5,2)=1,WEEKNUM(DC$5,21),""))</f>
        <v/>
      </c>
      <c r="DD7" s="51" t="str">
        <f aca="false">IF(DD$5="","",IF(WEEKDAY(DD$5,2)=1,WEEKNUM(DD$5,21),""))</f>
        <v/>
      </c>
      <c r="DE7" s="51" t="str">
        <f aca="false">IF(DE$5="","",IF(WEEKDAY(DE$5,2)=1,WEEKNUM(DE$5,21),""))</f>
        <v/>
      </c>
      <c r="DF7" s="51" t="str">
        <f aca="false">IF(DF$5="","",IF(WEEKDAY(DF$5,2)=1,WEEKNUM(DF$5,21),""))</f>
        <v/>
      </c>
      <c r="DG7" s="51" t="str">
        <f aca="false">IF(DG$5="","",IF(WEEKDAY(DG$5,2)=1,WEEKNUM(DG$5,21),""))</f>
        <v/>
      </c>
      <c r="DH7" s="51" t="str">
        <f aca="false">IF(DH$5="","",IF(WEEKDAY(DH$5,2)=1,WEEKNUM(DH$5,21),""))</f>
        <v/>
      </c>
      <c r="DI7" s="51" t="n">
        <f aca="false">IF(DI$5="","",IF(WEEKDAY(DI$5,2)=1,WEEKNUM(DI$5,21),""))</f>
        <v>16</v>
      </c>
      <c r="DJ7" s="51" t="str">
        <f aca="false">IF(DJ$5="","",IF(WEEKDAY(DJ$5,2)=1,WEEKNUM(DJ$5,21),""))</f>
        <v/>
      </c>
      <c r="DK7" s="51" t="str">
        <f aca="false">IF(DK$5="","",IF(WEEKDAY(DK$5,2)=1,WEEKNUM(DK$5,21),""))</f>
        <v/>
      </c>
      <c r="DL7" s="51" t="str">
        <f aca="false">IF(DL$5="","",IF(WEEKDAY(DL$5,2)=1,WEEKNUM(DL$5,21),""))</f>
        <v/>
      </c>
      <c r="DM7" s="51" t="str">
        <f aca="false">IF(DM$5="","",IF(WEEKDAY(DM$5,2)=1,WEEKNUM(DM$5,21),""))</f>
        <v/>
      </c>
      <c r="DN7" s="51" t="str">
        <f aca="false">IF(DN$5="","",IF(WEEKDAY(DN$5,2)=1,WEEKNUM(DN$5,21),""))</f>
        <v/>
      </c>
      <c r="DO7" s="51" t="str">
        <f aca="false">IF(DO$5="","",IF(WEEKDAY(DO$5,2)=1,WEEKNUM(DO$5,21),""))</f>
        <v/>
      </c>
      <c r="DP7" s="51" t="n">
        <f aca="false">IF(DP$5="","",IF(WEEKDAY(DP$5,2)=1,WEEKNUM(DP$5,21),""))</f>
        <v>17</v>
      </c>
      <c r="DQ7" s="51" t="str">
        <f aca="false">IF(DQ$5="","",IF(WEEKDAY(DQ$5,2)=1,WEEKNUM(DQ$5,21),""))</f>
        <v/>
      </c>
      <c r="DR7" s="51" t="str">
        <f aca="false">IF(DR$5="","",IF(WEEKDAY(DR$5,2)=1,WEEKNUM(DR$5,21),""))</f>
        <v/>
      </c>
      <c r="DS7" s="51" t="str">
        <f aca="false">IF(DS$5="","",IF(WEEKDAY(DS$5,2)=1,WEEKNUM(DS$5,21),""))</f>
        <v/>
      </c>
      <c r="DT7" s="51" t="str">
        <f aca="false">IF(DT$5="","",IF(WEEKDAY(DT$5,2)=1,WEEKNUM(DT$5,21),""))</f>
        <v/>
      </c>
      <c r="DU7" s="51" t="str">
        <f aca="false">IF(DU$5="","",IF(WEEKDAY(DU$5,2)=1,WEEKNUM(DU$5,21),""))</f>
        <v/>
      </c>
      <c r="DV7" s="51" t="str">
        <f aca="false">IF(DV$5="","",IF(WEEKDAY(DV$5,2)=1,WEEKNUM(DV$5,21),""))</f>
        <v/>
      </c>
      <c r="DW7" s="51" t="n">
        <f aca="false">IF(DW$5="","",IF(WEEKDAY(DW$5,2)=1,WEEKNUM(DW$5,21),""))</f>
        <v>18</v>
      </c>
      <c r="DX7" s="51" t="str">
        <f aca="false">IF(DX$5="","",IF(WEEKDAY(DX$5,2)=1,WEEKNUM(DX$5,21),""))</f>
        <v/>
      </c>
      <c r="DY7" s="51" t="str">
        <f aca="false">IF(DY$5="","",IF(WEEKDAY(DY$5,2)=1,WEEKNUM(DY$5,21),""))</f>
        <v/>
      </c>
      <c r="DZ7" s="51" t="str">
        <f aca="false">IF(DZ$5="","",IF(WEEKDAY(DZ$5,2)=1,WEEKNUM(DZ$5,21),""))</f>
        <v/>
      </c>
      <c r="EA7" s="51" t="str">
        <f aca="false">IF(EA$5="","",IF(WEEKDAY(EA$5,2)=1,WEEKNUM(EA$5,21),""))</f>
        <v/>
      </c>
      <c r="EB7" s="50" t="str">
        <f aca="false">IF(EB$5="","",IF(WEEKDAY(EB$5,2)=1,WEEKNUM(EB$5,21),""))</f>
        <v/>
      </c>
      <c r="EC7" s="51" t="str">
        <f aca="false">IF(EC$5="","",IF(WEEKDAY(EC$5,2)=1,WEEKNUM(EC$5,21),""))</f>
        <v/>
      </c>
      <c r="ED7" s="51" t="str">
        <f aca="false">IF(ED$5="","",IF(WEEKDAY(ED$5,2)=1,WEEKNUM(ED$5,21),""))</f>
        <v/>
      </c>
      <c r="EE7" s="51" t="n">
        <f aca="false">IF(EE$5="","",IF(WEEKDAY(EE$5,2)=1,WEEKNUM(EE$5,21),""))</f>
        <v>19</v>
      </c>
      <c r="EF7" s="51" t="str">
        <f aca="false">IF(EF$5="","",IF(WEEKDAY(EF$5,2)=1,WEEKNUM(EF$5,21),""))</f>
        <v/>
      </c>
      <c r="EG7" s="51" t="str">
        <f aca="false">IF(EG$5="","",IF(WEEKDAY(EG$5,2)=1,WEEKNUM(EG$5,21),""))</f>
        <v/>
      </c>
      <c r="EH7" s="51" t="str">
        <f aca="false">IF(EH$5="","",IF(WEEKDAY(EH$5,2)=1,WEEKNUM(EH$5,21),""))</f>
        <v/>
      </c>
      <c r="EI7" s="51" t="str">
        <f aca="false">IF(EI$5="","",IF(WEEKDAY(EI$5,2)=1,WEEKNUM(EI$5,21),""))</f>
        <v/>
      </c>
      <c r="EJ7" s="51" t="str">
        <f aca="false">IF(EJ$5="","",IF(WEEKDAY(EJ$5,2)=1,WEEKNUM(EJ$5,21),""))</f>
        <v/>
      </c>
      <c r="EK7" s="51" t="str">
        <f aca="false">IF(EK$5="","",IF(WEEKDAY(EK$5,2)=1,WEEKNUM(EK$5,21),""))</f>
        <v/>
      </c>
      <c r="EL7" s="51" t="n">
        <f aca="false">IF(EL$5="","",IF(WEEKDAY(EL$5,2)=1,WEEKNUM(EL$5,21),""))</f>
        <v>20</v>
      </c>
      <c r="EM7" s="51" t="str">
        <f aca="false">IF(EM$5="","",IF(WEEKDAY(EM$5,2)=1,WEEKNUM(EM$5,21),""))</f>
        <v/>
      </c>
      <c r="EN7" s="51" t="str">
        <f aca="false">IF(EN$5="","",IF(WEEKDAY(EN$5,2)=1,WEEKNUM(EN$5,21),""))</f>
        <v/>
      </c>
      <c r="EO7" s="51" t="str">
        <f aca="false">IF(EO$5="","",IF(WEEKDAY(EO$5,2)=1,WEEKNUM(EO$5,21),""))</f>
        <v/>
      </c>
      <c r="EP7" s="51" t="str">
        <f aca="false">IF(EP$5="","",IF(WEEKDAY(EP$5,2)=1,WEEKNUM(EP$5,21),""))</f>
        <v/>
      </c>
      <c r="EQ7" s="51" t="str">
        <f aca="false">IF(EQ$5="","",IF(WEEKDAY(EQ$5,2)=1,WEEKNUM(EQ$5,21),""))</f>
        <v/>
      </c>
      <c r="ER7" s="51" t="str">
        <f aca="false">IF(ER$5="","",IF(WEEKDAY(ER$5,2)=1,WEEKNUM(ER$5,21),""))</f>
        <v/>
      </c>
      <c r="ES7" s="51" t="n">
        <f aca="false">IF(ES$5="","",IF(WEEKDAY(ES$5,2)=1,WEEKNUM(ES$5,21),""))</f>
        <v>21</v>
      </c>
      <c r="ET7" s="51" t="str">
        <f aca="false">IF(ET$5="","",IF(WEEKDAY(ET$5,2)=1,WEEKNUM(ET$5,21),""))</f>
        <v/>
      </c>
      <c r="EU7" s="51" t="str">
        <f aca="false">IF(EU$5="","",IF(WEEKDAY(EU$5,2)=1,WEEKNUM(EU$5,21),""))</f>
        <v/>
      </c>
      <c r="EV7" s="51" t="str">
        <f aca="false">IF(EV$5="","",IF(WEEKDAY(EV$5,2)=1,WEEKNUM(EV$5,21),""))</f>
        <v/>
      </c>
      <c r="EW7" s="51" t="str">
        <f aca="false">IF(EW$5="","",IF(WEEKDAY(EW$5,2)=1,WEEKNUM(EW$5,21),""))</f>
        <v/>
      </c>
      <c r="EX7" s="51" t="str">
        <f aca="false">IF(EX$5="","",IF(WEEKDAY(EX$5,2)=1,WEEKNUM(EX$5,21),""))</f>
        <v/>
      </c>
      <c r="EY7" s="51" t="str">
        <f aca="false">IF(EY$5="","",IF(WEEKDAY(EY$5,2)=1,WEEKNUM(EY$5,21),""))</f>
        <v/>
      </c>
      <c r="EZ7" s="51" t="n">
        <f aca="false">IF(EZ$5="","",IF(WEEKDAY(EZ$5,2)=1,WEEKNUM(EZ$5,21),""))</f>
        <v>22</v>
      </c>
      <c r="FA7" s="51" t="str">
        <f aca="false">IF(FA$5="","",IF(WEEKDAY(FA$5,2)=1,WEEKNUM(FA$5,21),""))</f>
        <v/>
      </c>
      <c r="FB7" s="51" t="str">
        <f aca="false">IF(FB$5="","",IF(WEEKDAY(FB$5,2)=1,WEEKNUM(FB$5,21),""))</f>
        <v/>
      </c>
      <c r="FC7" s="51" t="str">
        <f aca="false">IF(FC$5="","",IF(WEEKDAY(FC$5,2)=1,WEEKNUM(FC$5,21),""))</f>
        <v/>
      </c>
      <c r="FD7" s="51" t="str">
        <f aca="false">IF(FD$5="","",IF(WEEKDAY(FD$5,2)=1,WEEKNUM(FD$5,21),""))</f>
        <v/>
      </c>
      <c r="FE7" s="51" t="str">
        <f aca="false">IF(FE$5="","",IF(WEEKDAY(FE$5,2)=1,WEEKNUM(FE$5,21),""))</f>
        <v/>
      </c>
      <c r="FF7" s="51" t="str">
        <f aca="false">IF(FF$5="","",IF(WEEKDAY(FF$5,2)=1,WEEKNUM(FF$5,21),""))</f>
        <v/>
      </c>
      <c r="FG7" s="50" t="n">
        <f aca="false">IF(FG$5="","",IF(WEEKDAY(FG$5,2)=1,WEEKNUM(FG$5,21),""))</f>
        <v>23</v>
      </c>
      <c r="FH7" s="51" t="str">
        <f aca="false">IF(FH$5="","",IF(WEEKDAY(FH$5,2)=1,WEEKNUM(FH$5,21),""))</f>
        <v/>
      </c>
      <c r="FI7" s="51" t="str">
        <f aca="false">IF(FI$5="","",IF(WEEKDAY(FI$5,2)=1,WEEKNUM(FI$5,21),""))</f>
        <v/>
      </c>
      <c r="FJ7" s="51" t="str">
        <f aca="false">IF(FJ$5="","",IF(WEEKDAY(FJ$5,2)=1,WEEKNUM(FJ$5,21),""))</f>
        <v/>
      </c>
      <c r="FK7" s="51" t="str">
        <f aca="false">IF(FK$5="","",IF(WEEKDAY(FK$5,2)=1,WEEKNUM(FK$5,21),""))</f>
        <v/>
      </c>
      <c r="FL7" s="51" t="str">
        <f aca="false">IF(FL$5="","",IF(WEEKDAY(FL$5,2)=1,WEEKNUM(FL$5,21),""))</f>
        <v/>
      </c>
      <c r="FM7" s="51" t="str">
        <f aca="false">IF(FM$5="","",IF(WEEKDAY(FM$5,2)=1,WEEKNUM(FM$5,21),""))</f>
        <v/>
      </c>
      <c r="FN7" s="51" t="n">
        <f aca="false">IF(FN$5="","",IF(WEEKDAY(FN$5,2)=1,WEEKNUM(FN$5,21),""))</f>
        <v>24</v>
      </c>
      <c r="FO7" s="51" t="str">
        <f aca="false">IF(FO$5="","",IF(WEEKDAY(FO$5,2)=1,WEEKNUM(FO$5,21),""))</f>
        <v/>
      </c>
      <c r="FP7" s="51" t="str">
        <f aca="false">IF(FP$5="","",IF(WEEKDAY(FP$5,2)=1,WEEKNUM(FP$5,21),""))</f>
        <v/>
      </c>
      <c r="FQ7" s="51" t="str">
        <f aca="false">IF(FQ$5="","",IF(WEEKDAY(FQ$5,2)=1,WEEKNUM(FQ$5,21),""))</f>
        <v/>
      </c>
      <c r="FR7" s="51" t="str">
        <f aca="false">IF(FR$5="","",IF(WEEKDAY(FR$5,2)=1,WEEKNUM(FR$5,21),""))</f>
        <v/>
      </c>
      <c r="FS7" s="51" t="str">
        <f aca="false">IF(FS$5="","",IF(WEEKDAY(FS$5,2)=1,WEEKNUM(FS$5,21),""))</f>
        <v/>
      </c>
      <c r="FT7" s="51" t="str">
        <f aca="false">IF(FT$5="","",IF(WEEKDAY(FT$5,2)=1,WEEKNUM(FT$5,21),""))</f>
        <v/>
      </c>
      <c r="FU7" s="51" t="n">
        <f aca="false">IF(FU$5="","",IF(WEEKDAY(FU$5,2)=1,WEEKNUM(FU$5,21),""))</f>
        <v>25</v>
      </c>
      <c r="FV7" s="51" t="str">
        <f aca="false">IF(FV$5="","",IF(WEEKDAY(FV$5,2)=1,WEEKNUM(FV$5,21),""))</f>
        <v/>
      </c>
      <c r="FW7" s="51" t="str">
        <f aca="false">IF(FW$5="","",IF(WEEKDAY(FW$5,2)=1,WEEKNUM(FW$5,21),""))</f>
        <v/>
      </c>
      <c r="FX7" s="51" t="str">
        <f aca="false">IF(FX$5="","",IF(WEEKDAY(FX$5,2)=1,WEEKNUM(FX$5,21),""))</f>
        <v/>
      </c>
      <c r="FY7" s="51" t="str">
        <f aca="false">IF(FY$5="","",IF(WEEKDAY(FY$5,2)=1,WEEKNUM(FY$5,21),""))</f>
        <v/>
      </c>
      <c r="FZ7" s="51" t="str">
        <f aca="false">IF(FZ$5="","",IF(WEEKDAY(FZ$5,2)=1,WEEKNUM(FZ$5,21),""))</f>
        <v/>
      </c>
      <c r="GA7" s="51" t="str">
        <f aca="false">IF(GA$5="","",IF(WEEKDAY(GA$5,2)=1,WEEKNUM(GA$5,21),""))</f>
        <v/>
      </c>
      <c r="GB7" s="51" t="n">
        <f aca="false">IF(GB$5="","",IF(WEEKDAY(GB$5,2)=1,WEEKNUM(GB$5,21),""))</f>
        <v>26</v>
      </c>
      <c r="GC7" s="51" t="str">
        <f aca="false">IF(GC$5="","",IF(WEEKDAY(GC$5,2)=1,WEEKNUM(GC$5,21),""))</f>
        <v/>
      </c>
      <c r="GD7" s="51" t="str">
        <f aca="false">IF(GD$5="","",IF(WEEKDAY(GD$5,2)=1,WEEKNUM(GD$5,21),""))</f>
        <v/>
      </c>
      <c r="GE7" s="51" t="str">
        <f aca="false">IF(GE$5="","",IF(WEEKDAY(GE$5,2)=1,WEEKNUM(GE$5,21),""))</f>
        <v/>
      </c>
      <c r="GF7" s="51" t="str">
        <f aca="false">IF(GF$5="","",IF(WEEKDAY(GF$5,2)=1,WEEKNUM(GF$5,21),""))</f>
        <v/>
      </c>
      <c r="GG7" s="51" t="str">
        <f aca="false">IF(GG$5="","",IF(WEEKDAY(GG$5,2)=1,WEEKNUM(GG$5,21),""))</f>
        <v/>
      </c>
      <c r="GH7" s="51" t="str">
        <f aca="false">IF(GH$5="","",IF(WEEKDAY(GH$5,2)=1,WEEKNUM(GH$5,21),""))</f>
        <v/>
      </c>
      <c r="GI7" s="51" t="n">
        <f aca="false">IF(GI$5="","",IF(WEEKDAY(GI$5,2)=1,WEEKNUM(GI$5,21),""))</f>
        <v>27</v>
      </c>
      <c r="GJ7" s="51" t="str">
        <f aca="false">IF(GJ$5="","",IF(WEEKDAY(GJ$5,2)=1,WEEKNUM(GJ$5,21),""))</f>
        <v/>
      </c>
      <c r="GK7" s="51" t="str">
        <f aca="false">IF(GK$5="","",IF(WEEKDAY(GK$5,2)=1,WEEKNUM(GK$5,21),""))</f>
        <v/>
      </c>
      <c r="GL7" s="50" t="str">
        <f aca="false">IF(GL$5="","",IF(WEEKDAY(GL$5,2)=1,WEEKNUM(GL$5,21),""))</f>
        <v/>
      </c>
      <c r="GM7" s="51" t="str">
        <f aca="false">IF(GM$5="","",IF(WEEKDAY(GM$5,2)=1,WEEKNUM(GM$5,21),""))</f>
        <v/>
      </c>
      <c r="GN7" s="51" t="str">
        <f aca="false">IF(GN$5="","",IF(WEEKDAY(GN$5,2)=1,WEEKNUM(GN$5,21),""))</f>
        <v/>
      </c>
      <c r="GO7" s="51" t="str">
        <f aca="false">IF(GO$5="","",IF(WEEKDAY(GO$5,2)=1,WEEKNUM(GO$5,21),""))</f>
        <v/>
      </c>
      <c r="GP7" s="51" t="str">
        <f aca="false">IF(GP$5="","",IF(WEEKDAY(GP$5,2)=1,WEEKNUM(GP$5,21),""))</f>
        <v/>
      </c>
      <c r="GQ7" s="51" t="n">
        <f aca="false">IF(GQ$5="","",IF(WEEKDAY(GQ$5,2)=1,WEEKNUM(GQ$5,21),""))</f>
        <v>28</v>
      </c>
      <c r="GR7" s="51" t="str">
        <f aca="false">IF(GR$5="","",IF(WEEKDAY(GR$5,2)=1,WEEKNUM(GR$5,21),""))</f>
        <v/>
      </c>
      <c r="GS7" s="51" t="str">
        <f aca="false">IF(GS$5="","",IF(WEEKDAY(GS$5,2)=1,WEEKNUM(GS$5,21),""))</f>
        <v/>
      </c>
      <c r="GT7" s="51" t="str">
        <f aca="false">IF(GT$5="","",IF(WEEKDAY(GT$5,2)=1,WEEKNUM(GT$5,21),""))</f>
        <v/>
      </c>
      <c r="GU7" s="51" t="str">
        <f aca="false">IF(GU$5="","",IF(WEEKDAY(GU$5,2)=1,WEEKNUM(GU$5,21),""))</f>
        <v/>
      </c>
      <c r="GV7" s="51" t="str">
        <f aca="false">IF(GV$5="","",IF(WEEKDAY(GV$5,2)=1,WEEKNUM(GV$5,21),""))</f>
        <v/>
      </c>
      <c r="GW7" s="51" t="str">
        <f aca="false">IF(GW$5="","",IF(WEEKDAY(GW$5,2)=1,WEEKNUM(GW$5,21),""))</f>
        <v/>
      </c>
      <c r="GX7" s="51" t="n">
        <f aca="false">IF(GX$5="","",IF(WEEKDAY(GX$5,2)=1,WEEKNUM(GX$5,21),""))</f>
        <v>29</v>
      </c>
      <c r="GY7" s="51" t="str">
        <f aca="false">IF(GY$5="","",IF(WEEKDAY(GY$5,2)=1,WEEKNUM(GY$5,21),""))</f>
        <v/>
      </c>
      <c r="GZ7" s="51" t="str">
        <f aca="false">IF(GZ$5="","",IF(WEEKDAY(GZ$5,2)=1,WEEKNUM(GZ$5,21),""))</f>
        <v/>
      </c>
      <c r="HA7" s="51" t="str">
        <f aca="false">IF(HA$5="","",IF(WEEKDAY(HA$5,2)=1,WEEKNUM(HA$5,21),""))</f>
        <v/>
      </c>
      <c r="HB7" s="51" t="str">
        <f aca="false">IF(HB$5="","",IF(WEEKDAY(HB$5,2)=1,WEEKNUM(HB$5,21),""))</f>
        <v/>
      </c>
      <c r="HC7" s="51" t="str">
        <f aca="false">IF(HC$5="","",IF(WEEKDAY(HC$5,2)=1,WEEKNUM(HC$5,21),""))</f>
        <v/>
      </c>
      <c r="HD7" s="51" t="str">
        <f aca="false">IF(HD$5="","",IF(WEEKDAY(HD$5,2)=1,WEEKNUM(HD$5,21),""))</f>
        <v/>
      </c>
      <c r="HE7" s="51" t="n">
        <f aca="false">IF(HE$5="","",IF(WEEKDAY(HE$5,2)=1,WEEKNUM(HE$5,21),""))</f>
        <v>30</v>
      </c>
      <c r="HF7" s="51" t="str">
        <f aca="false">IF(HF$5="","",IF(WEEKDAY(HF$5,2)=1,WEEKNUM(HF$5,21),""))</f>
        <v/>
      </c>
      <c r="HG7" s="51" t="str">
        <f aca="false">IF(HG$5="","",IF(WEEKDAY(HG$5,2)=1,WEEKNUM(HG$5,21),""))</f>
        <v/>
      </c>
      <c r="HH7" s="51" t="str">
        <f aca="false">IF(HH$5="","",IF(WEEKDAY(HH$5,2)=1,WEEKNUM(HH$5,21),""))</f>
        <v/>
      </c>
      <c r="HI7" s="51" t="str">
        <f aca="false">IF(HI$5="","",IF(WEEKDAY(HI$5,2)=1,WEEKNUM(HI$5,21),""))</f>
        <v/>
      </c>
      <c r="HJ7" s="51" t="str">
        <f aca="false">IF(HJ$5="","",IF(WEEKDAY(HJ$5,2)=1,WEEKNUM(HJ$5,21),""))</f>
        <v/>
      </c>
      <c r="HK7" s="51" t="str">
        <f aca="false">IF(HK$5="","",IF(WEEKDAY(HK$5,2)=1,WEEKNUM(HK$5,21),""))</f>
        <v/>
      </c>
      <c r="HL7" s="51" t="n">
        <f aca="false">IF(HL$5="","",IF(WEEKDAY(HL$5,2)=1,WEEKNUM(HL$5,21),""))</f>
        <v>31</v>
      </c>
      <c r="HM7" s="51" t="str">
        <f aca="false">IF(HM$5="","",IF(WEEKDAY(HM$5,2)=1,WEEKNUM(HM$5,21),""))</f>
        <v/>
      </c>
      <c r="HN7" s="51" t="str">
        <f aca="false">IF(HN$5="","",IF(WEEKDAY(HN$5,2)=1,WEEKNUM(HN$5,21),""))</f>
        <v/>
      </c>
      <c r="HO7" s="51" t="str">
        <f aca="false">IF(HO$5="","",IF(WEEKDAY(HO$5,2)=1,WEEKNUM(HO$5,21),""))</f>
        <v/>
      </c>
      <c r="HP7" s="51" t="str">
        <f aca="false">IF(HP$5="","",IF(WEEKDAY(HP$5,2)=1,WEEKNUM(HP$5,21),""))</f>
        <v/>
      </c>
      <c r="HQ7" s="50" t="str">
        <f aca="false">IF(HQ$5="","",IF(WEEKDAY(HQ$5,2)=1,WEEKNUM(HQ$5,21),""))</f>
        <v/>
      </c>
      <c r="HR7" s="51" t="str">
        <f aca="false">IF(HR$5="","",IF(WEEKDAY(HR$5,2)=1,WEEKNUM(HR$5,21),""))</f>
        <v/>
      </c>
      <c r="HS7" s="51" t="n">
        <f aca="false">IF(HS$5="","",IF(WEEKDAY(HS$5,2)=1,WEEKNUM(HS$5,21),""))</f>
        <v>32</v>
      </c>
      <c r="HT7" s="51" t="str">
        <f aca="false">IF(HT$5="","",IF(WEEKDAY(HT$5,2)=1,WEEKNUM(HT$5,21),""))</f>
        <v/>
      </c>
      <c r="HU7" s="51" t="str">
        <f aca="false">IF(HU$5="","",IF(WEEKDAY(HU$5,2)=1,WEEKNUM(HU$5,21),""))</f>
        <v/>
      </c>
      <c r="HV7" s="51" t="str">
        <f aca="false">IF(HV$5="","",IF(WEEKDAY(HV$5,2)=1,WEEKNUM(HV$5,21),""))</f>
        <v/>
      </c>
      <c r="HW7" s="51" t="str">
        <f aca="false">IF(HW$5="","",IF(WEEKDAY(HW$5,2)=1,WEEKNUM(HW$5,21),""))</f>
        <v/>
      </c>
      <c r="HX7" s="51" t="str">
        <f aca="false">IF(HX$5="","",IF(WEEKDAY(HX$5,2)=1,WEEKNUM(HX$5,21),""))</f>
        <v/>
      </c>
      <c r="HY7" s="51" t="str">
        <f aca="false">IF(HY$5="","",IF(WEEKDAY(HY$5,2)=1,WEEKNUM(HY$5,21),""))</f>
        <v/>
      </c>
      <c r="HZ7" s="51" t="n">
        <f aca="false">IF(HZ$5="","",IF(WEEKDAY(HZ$5,2)=1,WEEKNUM(HZ$5,21),""))</f>
        <v>33</v>
      </c>
      <c r="IA7" s="51" t="str">
        <f aca="false">IF(IA$5="","",IF(WEEKDAY(IA$5,2)=1,WEEKNUM(IA$5,21),""))</f>
        <v/>
      </c>
      <c r="IB7" s="51" t="str">
        <f aca="false">IF(IB$5="","",IF(WEEKDAY(IB$5,2)=1,WEEKNUM(IB$5,21),""))</f>
        <v/>
      </c>
      <c r="IC7" s="51" t="str">
        <f aca="false">IF(IC$5="","",IF(WEEKDAY(IC$5,2)=1,WEEKNUM(IC$5,21),""))</f>
        <v/>
      </c>
      <c r="ID7" s="51" t="str">
        <f aca="false">IF(ID$5="","",IF(WEEKDAY(ID$5,2)=1,WEEKNUM(ID$5,21),""))</f>
        <v/>
      </c>
      <c r="IE7" s="51" t="str">
        <f aca="false">IF(IE$5="","",IF(WEEKDAY(IE$5,2)=1,WEEKNUM(IE$5,21),""))</f>
        <v/>
      </c>
      <c r="IF7" s="51" t="str">
        <f aca="false">IF(IF$5="","",IF(WEEKDAY(IF$5,2)=1,WEEKNUM(IF$5,21),""))</f>
        <v/>
      </c>
      <c r="IG7" s="51" t="n">
        <f aca="false">IF(IG$5="","",IF(WEEKDAY(IG$5,2)=1,WEEKNUM(IG$5,21),""))</f>
        <v>34</v>
      </c>
      <c r="IH7" s="51" t="str">
        <f aca="false">IF(IH$5="","",IF(WEEKDAY(IH$5,2)=1,WEEKNUM(IH$5,21),""))</f>
        <v/>
      </c>
      <c r="II7" s="51" t="str">
        <f aca="false">IF(II$5="","",IF(WEEKDAY(II$5,2)=1,WEEKNUM(II$5,21),""))</f>
        <v/>
      </c>
      <c r="IJ7" s="51" t="str">
        <f aca="false">IF(IJ$5="","",IF(WEEKDAY(IJ$5,2)=1,WEEKNUM(IJ$5,21),""))</f>
        <v/>
      </c>
      <c r="IK7" s="51" t="str">
        <f aca="false">IF(IK$5="","",IF(WEEKDAY(IK$5,2)=1,WEEKNUM(IK$5,21),""))</f>
        <v/>
      </c>
      <c r="IL7" s="51" t="str">
        <f aca="false">IF(IL$5="","",IF(WEEKDAY(IL$5,2)=1,WEEKNUM(IL$5,21),""))</f>
        <v/>
      </c>
      <c r="IM7" s="51" t="str">
        <f aca="false">IF(IM$5="","",IF(WEEKDAY(IM$5,2)=1,WEEKNUM(IM$5,21),""))</f>
        <v/>
      </c>
      <c r="IN7" s="51" t="n">
        <f aca="false">IF(IN$5="","",IF(WEEKDAY(IN$5,2)=1,WEEKNUM(IN$5,21),""))</f>
        <v>35</v>
      </c>
      <c r="IO7" s="51" t="str">
        <f aca="false">IF(IO$5="","",IF(WEEKDAY(IO$5,2)=1,WEEKNUM(IO$5,21),""))</f>
        <v/>
      </c>
      <c r="IP7" s="51" t="str">
        <f aca="false">IF(IP$5="","",IF(WEEKDAY(IP$5,2)=1,WEEKNUM(IP$5,21),""))</f>
        <v/>
      </c>
      <c r="IQ7" s="51" t="str">
        <f aca="false">IF(IQ$5="","",IF(WEEKDAY(IQ$5,2)=1,WEEKNUM(IQ$5,21),""))</f>
        <v/>
      </c>
      <c r="IR7" s="51" t="str">
        <f aca="false">IF(IR$5="","",IF(WEEKDAY(IR$5,2)=1,WEEKNUM(IR$5,21),""))</f>
        <v/>
      </c>
      <c r="IS7" s="51" t="str">
        <f aca="false">IF(IS$5="","",IF(WEEKDAY(IS$5,2)=1,WEEKNUM(IS$5,21),""))</f>
        <v/>
      </c>
      <c r="IT7" s="51" t="str">
        <f aca="false">IF(IT$5="","",IF(WEEKDAY(IT$5,2)=1,WEEKNUM(IT$5,21),""))</f>
        <v/>
      </c>
      <c r="IU7" s="51" t="n">
        <f aca="false">IF(IU$5="","",IF(WEEKDAY(IU$5,2)=1,WEEKNUM(IU$5,21),""))</f>
        <v>36</v>
      </c>
      <c r="IV7" s="50" t="str">
        <f aca="false">IF(IV$5="","",IF(WEEKDAY(IV$5,2)=1,WEEKNUM(IV$5,21),""))</f>
        <v/>
      </c>
      <c r="IW7" s="51" t="str">
        <f aca="false">IF(IW$5="","",IF(WEEKDAY(IW$5,2)=1,WEEKNUM(IW$5,21),""))</f>
        <v/>
      </c>
      <c r="IX7" s="51" t="str">
        <f aca="false">IF(IX$5="","",IF(WEEKDAY(IX$5,2)=1,WEEKNUM(IX$5,21),""))</f>
        <v/>
      </c>
      <c r="IY7" s="51" t="str">
        <f aca="false">IF(IY$5="","",IF(WEEKDAY(IY$5,2)=1,WEEKNUM(IY$5,21),""))</f>
        <v/>
      </c>
      <c r="IZ7" s="51" t="str">
        <f aca="false">IF(IZ$5="","",IF(WEEKDAY(IZ$5,2)=1,WEEKNUM(IZ$5,21),""))</f>
        <v/>
      </c>
      <c r="JA7" s="51" t="str">
        <f aca="false">IF(JA$5="","",IF(WEEKDAY(JA$5,2)=1,WEEKNUM(JA$5,21),""))</f>
        <v/>
      </c>
      <c r="JB7" s="51" t="n">
        <f aca="false">IF(JB$5="","",IF(WEEKDAY(JB$5,2)=1,WEEKNUM(JB$5,21),""))</f>
        <v>37</v>
      </c>
      <c r="JC7" s="51" t="str">
        <f aca="false">IF(JC$5="","",IF(WEEKDAY(JC$5,2)=1,WEEKNUM(JC$5,21),""))</f>
        <v/>
      </c>
      <c r="JD7" s="51" t="str">
        <f aca="false">IF(JD$5="","",IF(WEEKDAY(JD$5,2)=1,WEEKNUM(JD$5,21),""))</f>
        <v/>
      </c>
      <c r="JE7" s="51" t="str">
        <f aca="false">IF(JE$5="","",IF(WEEKDAY(JE$5,2)=1,WEEKNUM(JE$5,21),""))</f>
        <v/>
      </c>
      <c r="JF7" s="51" t="str">
        <f aca="false">IF(JF$5="","",IF(WEEKDAY(JF$5,2)=1,WEEKNUM(JF$5,21),""))</f>
        <v/>
      </c>
      <c r="JG7" s="51" t="str">
        <f aca="false">IF(JG$5="","",IF(WEEKDAY(JG$5,2)=1,WEEKNUM(JG$5,21),""))</f>
        <v/>
      </c>
      <c r="JH7" s="51" t="str">
        <f aca="false">IF(JH$5="","",IF(WEEKDAY(JH$5,2)=1,WEEKNUM(JH$5,21),""))</f>
        <v/>
      </c>
      <c r="JI7" s="51" t="n">
        <f aca="false">IF(JI$5="","",IF(WEEKDAY(JI$5,2)=1,WEEKNUM(JI$5,21),""))</f>
        <v>38</v>
      </c>
      <c r="JJ7" s="51" t="str">
        <f aca="false">IF(JJ$5="","",IF(WEEKDAY(JJ$5,2)=1,WEEKNUM(JJ$5,21),""))</f>
        <v/>
      </c>
      <c r="JK7" s="51" t="str">
        <f aca="false">IF(JK$5="","",IF(WEEKDAY(JK$5,2)=1,WEEKNUM(JK$5,21),""))</f>
        <v/>
      </c>
      <c r="JL7" s="51" t="str">
        <f aca="false">IF(JL$5="","",IF(WEEKDAY(JL$5,2)=1,WEEKNUM(JL$5,21),""))</f>
        <v/>
      </c>
      <c r="JM7" s="51" t="str">
        <f aca="false">IF(JM$5="","",IF(WEEKDAY(JM$5,2)=1,WEEKNUM(JM$5,21),""))</f>
        <v/>
      </c>
      <c r="JN7" s="51" t="str">
        <f aca="false">IF(JN$5="","",IF(WEEKDAY(JN$5,2)=1,WEEKNUM(JN$5,21),""))</f>
        <v/>
      </c>
      <c r="JO7" s="51" t="str">
        <f aca="false">IF(JO$5="","",IF(WEEKDAY(JO$5,2)=1,WEEKNUM(JO$5,21),""))</f>
        <v/>
      </c>
      <c r="JP7" s="51" t="n">
        <f aca="false">IF(JP$5="","",IF(WEEKDAY(JP$5,2)=1,WEEKNUM(JP$5,21),""))</f>
        <v>39</v>
      </c>
      <c r="JQ7" s="51" t="str">
        <f aca="false">IF(JQ$5="","",IF(WEEKDAY(JQ$5,2)=1,WEEKNUM(JQ$5,21),""))</f>
        <v/>
      </c>
      <c r="JR7" s="51" t="str">
        <f aca="false">IF(JR$5="","",IF(WEEKDAY(JR$5,2)=1,WEEKNUM(JR$5,21),""))</f>
        <v/>
      </c>
      <c r="JS7" s="51" t="str">
        <f aca="false">IF(JS$5="","",IF(WEEKDAY(JS$5,2)=1,WEEKNUM(JS$5,21),""))</f>
        <v/>
      </c>
      <c r="JT7" s="51" t="str">
        <f aca="false">IF(JT$5="","",IF(WEEKDAY(JT$5,2)=1,WEEKNUM(JT$5,21),""))</f>
        <v/>
      </c>
      <c r="JU7" s="51" t="str">
        <f aca="false">IF(JU$5="","",IF(WEEKDAY(JU$5,2)=1,WEEKNUM(JU$5,21),""))</f>
        <v/>
      </c>
      <c r="JV7" s="51" t="str">
        <f aca="false">IF(JV$5="","",IF(WEEKDAY(JV$5,2)=1,WEEKNUM(JV$5,21),""))</f>
        <v/>
      </c>
      <c r="JW7" s="51" t="n">
        <f aca="false">IF(JW$5="","",IF(WEEKDAY(JW$5,2)=1,WEEKNUM(JW$5,21),""))</f>
        <v>40</v>
      </c>
      <c r="JX7" s="51" t="str">
        <f aca="false">IF(JX$5="","",IF(WEEKDAY(JX$5,2)=1,WEEKNUM(JX$5,21),""))</f>
        <v/>
      </c>
      <c r="JY7" s="51" t="str">
        <f aca="false">IF(JY$5="","",IF(WEEKDAY(JY$5,2)=1,WEEKNUM(JY$5,21),""))</f>
        <v/>
      </c>
      <c r="JZ7" s="51" t="str">
        <f aca="false">IF(JZ$5="","",IF(WEEKDAY(JZ$5,2)=1,WEEKNUM(JZ$5,21),""))</f>
        <v/>
      </c>
      <c r="KA7" s="50" t="str">
        <f aca="false">IF(KA$5="","",IF(WEEKDAY(KA$5,2)=1,WEEKNUM(KA$5,21),""))</f>
        <v/>
      </c>
      <c r="KB7" s="51" t="str">
        <f aca="false">IF(KB$5="","",IF(WEEKDAY(KB$5,2)=1,WEEKNUM(KB$5,21),""))</f>
        <v/>
      </c>
      <c r="KC7" s="51" t="str">
        <f aca="false">IF(KC$5="","",IF(WEEKDAY(KC$5,2)=1,WEEKNUM(KC$5,21),""))</f>
        <v/>
      </c>
      <c r="KD7" s="51" t="str">
        <f aca="false">IF(KD$5="","",IF(WEEKDAY(KD$5,2)=1,WEEKNUM(KD$5,21),""))</f>
        <v/>
      </c>
      <c r="KE7" s="51" t="n">
        <f aca="false">IF(KE$5="","",IF(WEEKDAY(KE$5,2)=1,WEEKNUM(KE$5,21),""))</f>
        <v>41</v>
      </c>
      <c r="KF7" s="51" t="str">
        <f aca="false">IF(KF$5="","",IF(WEEKDAY(KF$5,2)=1,WEEKNUM(KF$5,21),""))</f>
        <v/>
      </c>
      <c r="KG7" s="51" t="str">
        <f aca="false">IF(KG$5="","",IF(WEEKDAY(KG$5,2)=1,WEEKNUM(KG$5,21),""))</f>
        <v/>
      </c>
      <c r="KH7" s="51" t="str">
        <f aca="false">IF(KH$5="","",IF(WEEKDAY(KH$5,2)=1,WEEKNUM(KH$5,21),""))</f>
        <v/>
      </c>
      <c r="KI7" s="51" t="str">
        <f aca="false">IF(KI$5="","",IF(WEEKDAY(KI$5,2)=1,WEEKNUM(KI$5,21),""))</f>
        <v/>
      </c>
      <c r="KJ7" s="51" t="str">
        <f aca="false">IF(KJ$5="","",IF(WEEKDAY(KJ$5,2)=1,WEEKNUM(KJ$5,21),""))</f>
        <v/>
      </c>
      <c r="KK7" s="51" t="str">
        <f aca="false">IF(KK$5="","",IF(WEEKDAY(KK$5,2)=1,WEEKNUM(KK$5,21),""))</f>
        <v/>
      </c>
      <c r="KL7" s="51" t="n">
        <f aca="false">IF(KL$5="","",IF(WEEKDAY(KL$5,2)=1,WEEKNUM(KL$5,21),""))</f>
        <v>42</v>
      </c>
      <c r="KM7" s="51" t="str">
        <f aca="false">IF(KM$5="","",IF(WEEKDAY(KM$5,2)=1,WEEKNUM(KM$5,21),""))</f>
        <v/>
      </c>
      <c r="KN7" s="51" t="str">
        <f aca="false">IF(KN$5="","",IF(WEEKDAY(KN$5,2)=1,WEEKNUM(KN$5,21),""))</f>
        <v/>
      </c>
      <c r="KO7" s="51" t="str">
        <f aca="false">IF(KO$5="","",IF(WEEKDAY(KO$5,2)=1,WEEKNUM(KO$5,21),""))</f>
        <v/>
      </c>
      <c r="KP7" s="51" t="str">
        <f aca="false">IF(KP$5="","",IF(WEEKDAY(KP$5,2)=1,WEEKNUM(KP$5,21),""))</f>
        <v/>
      </c>
      <c r="KQ7" s="51" t="str">
        <f aca="false">IF(KQ$5="","",IF(WEEKDAY(KQ$5,2)=1,WEEKNUM(KQ$5,21),""))</f>
        <v/>
      </c>
      <c r="KR7" s="51" t="str">
        <f aca="false">IF(KR$5="","",IF(WEEKDAY(KR$5,2)=1,WEEKNUM(KR$5,21),""))</f>
        <v/>
      </c>
      <c r="KS7" s="51" t="n">
        <f aca="false">IF(KS$5="","",IF(WEEKDAY(KS$5,2)=1,WEEKNUM(KS$5,21),""))</f>
        <v>43</v>
      </c>
      <c r="KT7" s="51" t="str">
        <f aca="false">IF(KT$5="","",IF(WEEKDAY(KT$5,2)=1,WEEKNUM(KT$5,21),""))</f>
        <v/>
      </c>
      <c r="KU7" s="51" t="str">
        <f aca="false">IF(KU$5="","",IF(WEEKDAY(KU$5,2)=1,WEEKNUM(KU$5,21),""))</f>
        <v/>
      </c>
      <c r="KV7" s="51" t="str">
        <f aca="false">IF(KV$5="","",IF(WEEKDAY(KV$5,2)=1,WEEKNUM(KV$5,21),""))</f>
        <v/>
      </c>
      <c r="KW7" s="51" t="str">
        <f aca="false">IF(KW$5="","",IF(WEEKDAY(KW$5,2)=1,WEEKNUM(KW$5,21),""))</f>
        <v/>
      </c>
      <c r="KX7" s="51" t="str">
        <f aca="false">IF(KX$5="","",IF(WEEKDAY(KX$5,2)=1,WEEKNUM(KX$5,21),""))</f>
        <v/>
      </c>
      <c r="KY7" s="51" t="str">
        <f aca="false">IF(KY$5="","",IF(WEEKDAY(KY$5,2)=1,WEEKNUM(KY$5,21),""))</f>
        <v/>
      </c>
      <c r="KZ7" s="51" t="n">
        <f aca="false">IF(KZ$5="","",IF(WEEKDAY(KZ$5,2)=1,WEEKNUM(KZ$5,21),""))</f>
        <v>44</v>
      </c>
      <c r="LA7" s="51" t="str">
        <f aca="false">IF(LA$5="","",IF(WEEKDAY(LA$5,2)=1,WEEKNUM(LA$5,21),""))</f>
        <v/>
      </c>
      <c r="LB7" s="51" t="str">
        <f aca="false">IF(LB$5="","",IF(WEEKDAY(LB$5,2)=1,WEEKNUM(LB$5,21),""))</f>
        <v/>
      </c>
      <c r="LC7" s="51" t="str">
        <f aca="false">IF(LC$5="","",IF(WEEKDAY(LC$5,2)=1,WEEKNUM(LC$5,21),""))</f>
        <v/>
      </c>
      <c r="LD7" s="51" t="str">
        <f aca="false">IF(LD$5="","",IF(WEEKDAY(LD$5,2)=1,WEEKNUM(LD$5,21),""))</f>
        <v/>
      </c>
      <c r="LE7" s="51" t="str">
        <f aca="false">IF(LE$5="","",IF(WEEKDAY(LE$5,2)=1,WEEKNUM(LE$5,21),""))</f>
        <v/>
      </c>
      <c r="LF7" s="50" t="str">
        <f aca="false">IF(LF$5="","",IF(WEEKDAY(LF$5,2)=1,WEEKNUM(LF$5,21),""))</f>
        <v/>
      </c>
      <c r="LG7" s="51" t="n">
        <f aca="false">IF(LG$5="","",IF(WEEKDAY(LG$5,2)=1,WEEKNUM(LG$5,21),""))</f>
        <v>45</v>
      </c>
      <c r="LH7" s="51" t="str">
        <f aca="false">IF(LH$5="","",IF(WEEKDAY(LH$5,2)=1,WEEKNUM(LH$5,21),""))</f>
        <v/>
      </c>
      <c r="LI7" s="51" t="str">
        <f aca="false">IF(LI$5="","",IF(WEEKDAY(LI$5,2)=1,WEEKNUM(LI$5,21),""))</f>
        <v/>
      </c>
      <c r="LJ7" s="51" t="str">
        <f aca="false">IF(LJ$5="","",IF(WEEKDAY(LJ$5,2)=1,WEEKNUM(LJ$5,21),""))</f>
        <v/>
      </c>
      <c r="LK7" s="51" t="str">
        <f aca="false">IF(LK$5="","",IF(WEEKDAY(LK$5,2)=1,WEEKNUM(LK$5,21),""))</f>
        <v/>
      </c>
      <c r="LL7" s="51" t="str">
        <f aca="false">IF(LL$5="","",IF(WEEKDAY(LL$5,2)=1,WEEKNUM(LL$5,21),""))</f>
        <v/>
      </c>
      <c r="LM7" s="51" t="str">
        <f aca="false">IF(LM$5="","",IF(WEEKDAY(LM$5,2)=1,WEEKNUM(LM$5,21),""))</f>
        <v/>
      </c>
      <c r="LN7" s="51" t="n">
        <f aca="false">IF(LN$5="","",IF(WEEKDAY(LN$5,2)=1,WEEKNUM(LN$5,21),""))</f>
        <v>46</v>
      </c>
      <c r="LO7" s="51" t="str">
        <f aca="false">IF(LO$5="","",IF(WEEKDAY(LO$5,2)=1,WEEKNUM(LO$5,21),""))</f>
        <v/>
      </c>
      <c r="LP7" s="51" t="str">
        <f aca="false">IF(LP$5="","",IF(WEEKDAY(LP$5,2)=1,WEEKNUM(LP$5,21),""))</f>
        <v/>
      </c>
      <c r="LQ7" s="51" t="str">
        <f aca="false">IF(LQ$5="","",IF(WEEKDAY(LQ$5,2)=1,WEEKNUM(LQ$5,21),""))</f>
        <v/>
      </c>
      <c r="LR7" s="51" t="str">
        <f aca="false">IF(LR$5="","",IF(WEEKDAY(LR$5,2)=1,WEEKNUM(LR$5,21),""))</f>
        <v/>
      </c>
      <c r="LS7" s="51" t="str">
        <f aca="false">IF(LS$5="","",IF(WEEKDAY(LS$5,2)=1,WEEKNUM(LS$5,21),""))</f>
        <v/>
      </c>
      <c r="LT7" s="51" t="str">
        <f aca="false">IF(LT$5="","",IF(WEEKDAY(LT$5,2)=1,WEEKNUM(LT$5,21),""))</f>
        <v/>
      </c>
      <c r="LU7" s="51" t="n">
        <f aca="false">IF(LU$5="","",IF(WEEKDAY(LU$5,2)=1,WEEKNUM(LU$5,21),""))</f>
        <v>47</v>
      </c>
      <c r="LV7" s="51" t="str">
        <f aca="false">IF(LV$5="","",IF(WEEKDAY(LV$5,2)=1,WEEKNUM(LV$5,21),""))</f>
        <v/>
      </c>
      <c r="LW7" s="51" t="str">
        <f aca="false">IF(LW$5="","",IF(WEEKDAY(LW$5,2)=1,WEEKNUM(LW$5,21),""))</f>
        <v/>
      </c>
      <c r="LX7" s="51" t="str">
        <f aca="false">IF(LX$5="","",IF(WEEKDAY(LX$5,2)=1,WEEKNUM(LX$5,21),""))</f>
        <v/>
      </c>
      <c r="LY7" s="51" t="str">
        <f aca="false">IF(LY$5="","",IF(WEEKDAY(LY$5,2)=1,WEEKNUM(LY$5,21),""))</f>
        <v/>
      </c>
      <c r="LZ7" s="51" t="str">
        <f aca="false">IF(LZ$5="","",IF(WEEKDAY(LZ$5,2)=1,WEEKNUM(LZ$5,21),""))</f>
        <v/>
      </c>
      <c r="MA7" s="51" t="str">
        <f aca="false">IF(MA$5="","",IF(WEEKDAY(MA$5,2)=1,WEEKNUM(MA$5,21),""))</f>
        <v/>
      </c>
      <c r="MB7" s="51" t="n">
        <f aca="false">IF(MB$5="","",IF(WEEKDAY(MB$5,2)=1,WEEKNUM(MB$5,21),""))</f>
        <v>48</v>
      </c>
      <c r="MC7" s="51" t="str">
        <f aca="false">IF(MC$5="","",IF(WEEKDAY(MC$5,2)=1,WEEKNUM(MC$5,21),""))</f>
        <v/>
      </c>
      <c r="MD7" s="51" t="str">
        <f aca="false">IF(MD$5="","",IF(WEEKDAY(MD$5,2)=1,WEEKNUM(MD$5,21),""))</f>
        <v/>
      </c>
      <c r="ME7" s="51" t="str">
        <f aca="false">IF(ME$5="","",IF(WEEKDAY(ME$5,2)=1,WEEKNUM(ME$5,21),""))</f>
        <v/>
      </c>
      <c r="MF7" s="51" t="str">
        <f aca="false">IF(MF$5="","",IF(WEEKDAY(MF$5,2)=1,WEEKNUM(MF$5,21),""))</f>
        <v/>
      </c>
      <c r="MG7" s="51" t="str">
        <f aca="false">IF(MG$5="","",IF(WEEKDAY(MG$5,2)=1,WEEKNUM(MG$5,21),""))</f>
        <v/>
      </c>
      <c r="MH7" s="51" t="str">
        <f aca="false">IF(MH$5="","",IF(WEEKDAY(MH$5,2)=1,WEEKNUM(MH$5,21),""))</f>
        <v/>
      </c>
      <c r="MI7" s="51" t="n">
        <f aca="false">IF(MI$5="","",IF(WEEKDAY(MI$5,2)=1,WEEKNUM(MI$5,21),""))</f>
        <v>49</v>
      </c>
      <c r="MJ7" s="51" t="str">
        <f aca="false">IF(MJ$5="","",IF(WEEKDAY(MJ$5,2)=1,WEEKNUM(MJ$5,21),""))</f>
        <v/>
      </c>
      <c r="MK7" s="50" t="str">
        <f aca="false">IF(MK$5="","",IF(WEEKDAY(MK$5,2)=1,WEEKNUM(MK$5,21),""))</f>
        <v/>
      </c>
      <c r="ML7" s="51" t="str">
        <f aca="false">IF(ML$5="","",IF(WEEKDAY(ML$5,2)=1,WEEKNUM(ML$5,21),""))</f>
        <v/>
      </c>
      <c r="MM7" s="51" t="str">
        <f aca="false">IF(MM$5="","",IF(WEEKDAY(MM$5,2)=1,WEEKNUM(MM$5,21),""))</f>
        <v/>
      </c>
      <c r="MN7" s="51" t="str">
        <f aca="false">IF(MN$5="","",IF(WEEKDAY(MN$5,2)=1,WEEKNUM(MN$5,21),""))</f>
        <v/>
      </c>
      <c r="MO7" s="51" t="str">
        <f aca="false">IF(MO$5="","",IF(WEEKDAY(MO$5,2)=1,WEEKNUM(MO$5,21),""))</f>
        <v/>
      </c>
      <c r="MP7" s="51" t="str">
        <f aca="false">IF(MP$5="","",IF(WEEKDAY(MP$5,2)=1,WEEKNUM(MP$5,21),""))</f>
        <v/>
      </c>
      <c r="MQ7" s="51" t="n">
        <f aca="false">IF(MQ$5="","",IF(WEEKDAY(MQ$5,2)=1,WEEKNUM(MQ$5,21),""))</f>
        <v>50</v>
      </c>
      <c r="MR7" s="51" t="str">
        <f aca="false">IF(MR$5="","",IF(WEEKDAY(MR$5,2)=1,WEEKNUM(MR$5,21),""))</f>
        <v/>
      </c>
      <c r="MS7" s="51" t="str">
        <f aca="false">IF(MS$5="","",IF(WEEKDAY(MS$5,2)=1,WEEKNUM(MS$5,21),""))</f>
        <v/>
      </c>
      <c r="MT7" s="51" t="str">
        <f aca="false">IF(MT$5="","",IF(WEEKDAY(MT$5,2)=1,WEEKNUM(MT$5,21),""))</f>
        <v/>
      </c>
      <c r="MU7" s="51" t="str">
        <f aca="false">IF(MU$5="","",IF(WEEKDAY(MU$5,2)=1,WEEKNUM(MU$5,21),""))</f>
        <v/>
      </c>
      <c r="MV7" s="51" t="str">
        <f aca="false">IF(MV$5="","",IF(WEEKDAY(MV$5,2)=1,WEEKNUM(MV$5,21),""))</f>
        <v/>
      </c>
      <c r="MW7" s="51" t="str">
        <f aca="false">IF(MW$5="","",IF(WEEKDAY(MW$5,2)=1,WEEKNUM(MW$5,21),""))</f>
        <v/>
      </c>
      <c r="MX7" s="51" t="n">
        <f aca="false">IF(MX$5="","",IF(WEEKDAY(MX$5,2)=1,WEEKNUM(MX$5,21),""))</f>
        <v>51</v>
      </c>
      <c r="MY7" s="51" t="str">
        <f aca="false">IF(MY$5="","",IF(WEEKDAY(MY$5,2)=1,WEEKNUM(MY$5,21),""))</f>
        <v/>
      </c>
      <c r="MZ7" s="51" t="str">
        <f aca="false">IF(MZ$5="","",IF(WEEKDAY(MZ$5,2)=1,WEEKNUM(MZ$5,21),""))</f>
        <v/>
      </c>
      <c r="NA7" s="51" t="str">
        <f aca="false">IF(NA$5="","",IF(WEEKDAY(NA$5,2)=1,WEEKNUM(NA$5,21),""))</f>
        <v/>
      </c>
      <c r="NB7" s="51" t="str">
        <f aca="false">IF(NB$5="","",IF(WEEKDAY(NB$5,2)=1,WEEKNUM(NB$5,21),""))</f>
        <v/>
      </c>
      <c r="NC7" s="51" t="str">
        <f aca="false">IF(NC$5="","",IF(WEEKDAY(NC$5,2)=1,WEEKNUM(NC$5,21),""))</f>
        <v/>
      </c>
      <c r="ND7" s="51" t="str">
        <f aca="false">IF(ND$5="","",IF(WEEKDAY(ND$5,2)=1,WEEKNUM(ND$5,21),""))</f>
        <v/>
      </c>
      <c r="NE7" s="51" t="n">
        <f aca="false">IF(NE$5="","",IF(WEEKDAY(NE$5,2)=1,WEEKNUM(NE$5,21),""))</f>
        <v>52</v>
      </c>
      <c r="NF7" s="51" t="str">
        <f aca="false">IF(NF$5="","",IF(WEEKDAY(NF$5,2)=1,WEEKNUM(NF$5,21),""))</f>
        <v/>
      </c>
      <c r="NG7" s="51" t="str">
        <f aca="false">IF(NG$5="","",IF(WEEKDAY(NG$5,2)=1,WEEKNUM(NG$5,21),""))</f>
        <v/>
      </c>
      <c r="NH7" s="51" t="str">
        <f aca="false">IF(NH$5="","",IF(WEEKDAY(NH$5,2)=1,WEEKNUM(NH$5,21),""))</f>
        <v/>
      </c>
      <c r="NI7" s="51" t="str">
        <f aca="false">IF(NI$5="","",IF(WEEKDAY(NI$5,2)=1,WEEKNUM(NI$5,21),""))</f>
        <v/>
      </c>
      <c r="NJ7" s="51" t="str">
        <f aca="false">IF(NJ$5="","",IF(WEEKDAY(NJ$5,2)=1,WEEKNUM(NJ$5,21),""))</f>
        <v/>
      </c>
      <c r="NK7" s="51" t="str">
        <f aca="false">IF(NK$5="","",IF(WEEKDAY(NK$5,2)=1,WEEKNUM(NK$5,21),""))</f>
        <v/>
      </c>
      <c r="NL7" s="51" t="n">
        <f aca="false">IF(NL$5="","",IF(WEEKDAY(NL$5,2)=1,WEEKNUM(NL$5,21),""))</f>
        <v>53</v>
      </c>
      <c r="NM7" s="51" t="str">
        <f aca="false">IF(NM$5="","",IF(WEEKDAY(NM$5,2)=1,WEEKNUM(NM$5,21),""))</f>
        <v/>
      </c>
      <c r="NN7" s="51" t="str">
        <f aca="false">IF(NN$5="","",IF(WEEKDAY(NN$5,2)=1,WEEKNUM(NN$5,21),""))</f>
        <v/>
      </c>
      <c r="NO7" s="51" t="str">
        <f aca="false">IF(NO$5="","",IF(WEEKDAY(NO$5,2)=1,WEEKNUM(NO$5,21),""))</f>
        <v/>
      </c>
    </row>
    <row r="8" customFormat="false" ht="15" hidden="false" customHeight="true" outlineLevel="0" collapsed="false">
      <c r="A8" s="47"/>
      <c r="B8" s="47"/>
      <c r="C8" s="47"/>
      <c r="D8" s="47"/>
      <c r="E8" s="47"/>
      <c r="F8" s="47"/>
      <c r="G8" s="47"/>
      <c r="H8" s="52" t="n">
        <f aca="false">IF(H$5="","",DAY(H$5))</f>
        <v>1</v>
      </c>
      <c r="I8" s="53" t="n">
        <f aca="false">IF(I$5="","",DAY(I$5))</f>
        <v>2</v>
      </c>
      <c r="J8" s="53" t="n">
        <f aca="false">IF(J$5="","",DAY(J$5))</f>
        <v>3</v>
      </c>
      <c r="K8" s="53" t="n">
        <f aca="false">IF(K$5="","",DAY(K$5))</f>
        <v>4</v>
      </c>
      <c r="L8" s="53" t="n">
        <f aca="false">IF(L$5="","",DAY(L$5))</f>
        <v>5</v>
      </c>
      <c r="M8" s="53" t="n">
        <f aca="false">IF(M$5="","",DAY(M$5))</f>
        <v>6</v>
      </c>
      <c r="N8" s="53" t="n">
        <f aca="false">IF(N$5="","",DAY(N$5))</f>
        <v>7</v>
      </c>
      <c r="O8" s="53" t="n">
        <f aca="false">IF(O$5="","",DAY(O$5))</f>
        <v>8</v>
      </c>
      <c r="P8" s="53" t="n">
        <f aca="false">IF(P$5="","",DAY(P$5))</f>
        <v>9</v>
      </c>
      <c r="Q8" s="53" t="n">
        <f aca="false">IF(Q$5="","",DAY(Q$5))</f>
        <v>10</v>
      </c>
      <c r="R8" s="53" t="n">
        <f aca="false">IF(R$5="","",DAY(R$5))</f>
        <v>11</v>
      </c>
      <c r="S8" s="53" t="n">
        <f aca="false">IF(S$5="","",DAY(S$5))</f>
        <v>12</v>
      </c>
      <c r="T8" s="53" t="n">
        <f aca="false">IF(T$5="","",DAY(T$5))</f>
        <v>13</v>
      </c>
      <c r="U8" s="53" t="n">
        <f aca="false">IF(U$5="","",DAY(U$5))</f>
        <v>14</v>
      </c>
      <c r="V8" s="53" t="n">
        <f aca="false">IF(V$5="","",DAY(V$5))</f>
        <v>15</v>
      </c>
      <c r="W8" s="53" t="n">
        <f aca="false">IF(W$5="","",DAY(W$5))</f>
        <v>16</v>
      </c>
      <c r="X8" s="53" t="n">
        <f aca="false">IF(X$5="","",DAY(X$5))</f>
        <v>17</v>
      </c>
      <c r="Y8" s="53" t="n">
        <f aca="false">IF(Y$5="","",DAY(Y$5))</f>
        <v>18</v>
      </c>
      <c r="Z8" s="53" t="n">
        <f aca="false">IF(Z$5="","",DAY(Z$5))</f>
        <v>19</v>
      </c>
      <c r="AA8" s="53" t="n">
        <f aca="false">IF(AA$5="","",DAY(AA$5))</f>
        <v>20</v>
      </c>
      <c r="AB8" s="53" t="n">
        <f aca="false">IF(AB$5="","",DAY(AB$5))</f>
        <v>21</v>
      </c>
      <c r="AC8" s="53" t="n">
        <f aca="false">IF(AC$5="","",DAY(AC$5))</f>
        <v>22</v>
      </c>
      <c r="AD8" s="53" t="n">
        <f aca="false">IF(AD$5="","",DAY(AD$5))</f>
        <v>23</v>
      </c>
      <c r="AE8" s="53" t="n">
        <f aca="false">IF(AE$5="","",DAY(AE$5))</f>
        <v>24</v>
      </c>
      <c r="AF8" s="53" t="n">
        <f aca="false">IF(AF$5="","",DAY(AF$5))</f>
        <v>25</v>
      </c>
      <c r="AG8" s="53" t="n">
        <f aca="false">IF(AG$5="","",DAY(AG$5))</f>
        <v>26</v>
      </c>
      <c r="AH8" s="53" t="n">
        <f aca="false">IF(AH$5="","",DAY(AH$5))</f>
        <v>27</v>
      </c>
      <c r="AI8" s="53" t="n">
        <f aca="false">IF(AI$5="","",DAY(AI$5))</f>
        <v>28</v>
      </c>
      <c r="AJ8" s="53" t="n">
        <f aca="false">IF(AJ$5="","",DAY(AJ$5))</f>
        <v>29</v>
      </c>
      <c r="AK8" s="53" t="n">
        <f aca="false">IF(AK$5="","",DAY(AK$5))</f>
        <v>30</v>
      </c>
      <c r="AL8" s="53" t="n">
        <f aca="false">IF(AL$5="","",DAY(AL$5))</f>
        <v>31</v>
      </c>
      <c r="AM8" s="52" t="n">
        <f aca="false">IF(AM$5="","",DAY(AM$5))</f>
        <v>1</v>
      </c>
      <c r="AN8" s="53" t="n">
        <f aca="false">IF(AN$5="","",DAY(AN$5))</f>
        <v>2</v>
      </c>
      <c r="AO8" s="53" t="n">
        <f aca="false">IF(AO$5="","",DAY(AO$5))</f>
        <v>3</v>
      </c>
      <c r="AP8" s="53" t="n">
        <f aca="false">IF(AP$5="","",DAY(AP$5))</f>
        <v>4</v>
      </c>
      <c r="AQ8" s="53" t="n">
        <f aca="false">IF(AQ$5="","",DAY(AQ$5))</f>
        <v>5</v>
      </c>
      <c r="AR8" s="53" t="n">
        <f aca="false">IF(AR$5="","",DAY(AR$5))</f>
        <v>6</v>
      </c>
      <c r="AS8" s="53" t="n">
        <f aca="false">IF(AS$5="","",DAY(AS$5))</f>
        <v>7</v>
      </c>
      <c r="AT8" s="53" t="n">
        <f aca="false">IF(AT$5="","",DAY(AT$5))</f>
        <v>8</v>
      </c>
      <c r="AU8" s="53" t="n">
        <f aca="false">IF(AU$5="","",DAY(AU$5))</f>
        <v>9</v>
      </c>
      <c r="AV8" s="53" t="n">
        <f aca="false">IF(AV$5="","",DAY(AV$5))</f>
        <v>10</v>
      </c>
      <c r="AW8" s="53" t="n">
        <f aca="false">IF(AW$5="","",DAY(AW$5))</f>
        <v>11</v>
      </c>
      <c r="AX8" s="53" t="n">
        <f aca="false">IF(AX$5="","",DAY(AX$5))</f>
        <v>12</v>
      </c>
      <c r="AY8" s="53" t="n">
        <f aca="false">IF(AY$5="","",DAY(AY$5))</f>
        <v>13</v>
      </c>
      <c r="AZ8" s="53" t="n">
        <f aca="false">IF(AZ$5="","",DAY(AZ$5))</f>
        <v>14</v>
      </c>
      <c r="BA8" s="53" t="n">
        <f aca="false">IF(BA$5="","",DAY(BA$5))</f>
        <v>15</v>
      </c>
      <c r="BB8" s="53" t="n">
        <f aca="false">IF(BB$5="","",DAY(BB$5))</f>
        <v>16</v>
      </c>
      <c r="BC8" s="53" t="n">
        <f aca="false">IF(BC$5="","",DAY(BC$5))</f>
        <v>17</v>
      </c>
      <c r="BD8" s="53" t="n">
        <f aca="false">IF(BD$5="","",DAY(BD$5))</f>
        <v>18</v>
      </c>
      <c r="BE8" s="53" t="n">
        <f aca="false">IF(BE$5="","",DAY(BE$5))</f>
        <v>19</v>
      </c>
      <c r="BF8" s="53" t="n">
        <f aca="false">IF(BF$5="","",DAY(BF$5))</f>
        <v>20</v>
      </c>
      <c r="BG8" s="53" t="n">
        <f aca="false">IF(BG$5="","",DAY(BG$5))</f>
        <v>21</v>
      </c>
      <c r="BH8" s="53" t="n">
        <f aca="false">IF(BH$5="","",DAY(BH$5))</f>
        <v>22</v>
      </c>
      <c r="BI8" s="53" t="n">
        <f aca="false">IF(BI$5="","",DAY(BI$5))</f>
        <v>23</v>
      </c>
      <c r="BJ8" s="53" t="n">
        <f aca="false">IF(BJ$5="","",DAY(BJ$5))</f>
        <v>24</v>
      </c>
      <c r="BK8" s="53" t="n">
        <f aca="false">IF(BK$5="","",DAY(BK$5))</f>
        <v>25</v>
      </c>
      <c r="BL8" s="53" t="n">
        <f aca="false">IF(BL$5="","",DAY(BL$5))</f>
        <v>26</v>
      </c>
      <c r="BM8" s="53" t="n">
        <f aca="false">IF(BM$5="","",DAY(BM$5))</f>
        <v>27</v>
      </c>
      <c r="BN8" s="53" t="n">
        <f aca="false">IF(BN$5="","",DAY(BN$5))</f>
        <v>28</v>
      </c>
      <c r="BO8" s="53" t="str">
        <f aca="false">IF(BO$5="","",DAY(BO$5))</f>
        <v/>
      </c>
      <c r="BP8" s="53" t="str">
        <f aca="false">IF(BP$5="","",DAY(BP$5))</f>
        <v/>
      </c>
      <c r="BQ8" s="53" t="str">
        <f aca="false">IF(BQ$5="","",DAY(BQ$5))</f>
        <v/>
      </c>
      <c r="BR8" s="52" t="n">
        <f aca="false">IF(BR$5="","",DAY(BR$5))</f>
        <v>1</v>
      </c>
      <c r="BS8" s="53" t="n">
        <f aca="false">IF(BS$5="","",DAY(BS$5))</f>
        <v>2</v>
      </c>
      <c r="BT8" s="53" t="n">
        <f aca="false">IF(BT$5="","",DAY(BT$5))</f>
        <v>3</v>
      </c>
      <c r="BU8" s="53" t="n">
        <f aca="false">IF(BU$5="","",DAY(BU$5))</f>
        <v>4</v>
      </c>
      <c r="BV8" s="53" t="n">
        <f aca="false">IF(BV$5="","",DAY(BV$5))</f>
        <v>5</v>
      </c>
      <c r="BW8" s="53" t="n">
        <f aca="false">IF(BW$5="","",DAY(BW$5))</f>
        <v>6</v>
      </c>
      <c r="BX8" s="53" t="n">
        <f aca="false">IF(BX$5="","",DAY(BX$5))</f>
        <v>7</v>
      </c>
      <c r="BY8" s="53" t="n">
        <f aca="false">IF(BY$5="","",DAY(BY$5))</f>
        <v>8</v>
      </c>
      <c r="BZ8" s="53" t="n">
        <f aca="false">IF(BZ$5="","",DAY(BZ$5))</f>
        <v>9</v>
      </c>
      <c r="CA8" s="53" t="n">
        <f aca="false">IF(CA$5="","",DAY(CA$5))</f>
        <v>10</v>
      </c>
      <c r="CB8" s="53" t="n">
        <f aca="false">IF(CB$5="","",DAY(CB$5))</f>
        <v>11</v>
      </c>
      <c r="CC8" s="53" t="n">
        <f aca="false">IF(CC$5="","",DAY(CC$5))</f>
        <v>12</v>
      </c>
      <c r="CD8" s="53" t="n">
        <f aca="false">IF(CD$5="","",DAY(CD$5))</f>
        <v>13</v>
      </c>
      <c r="CE8" s="53" t="n">
        <f aca="false">IF(CE$5="","",DAY(CE$5))</f>
        <v>14</v>
      </c>
      <c r="CF8" s="53" t="n">
        <f aca="false">IF(CF$5="","",DAY(CF$5))</f>
        <v>15</v>
      </c>
      <c r="CG8" s="53" t="n">
        <f aca="false">IF(CG$5="","",DAY(CG$5))</f>
        <v>16</v>
      </c>
      <c r="CH8" s="53" t="n">
        <f aca="false">IF(CH$5="","",DAY(CH$5))</f>
        <v>17</v>
      </c>
      <c r="CI8" s="53" t="n">
        <f aca="false">IF(CI$5="","",DAY(CI$5))</f>
        <v>18</v>
      </c>
      <c r="CJ8" s="53" t="n">
        <f aca="false">IF(CJ$5="","",DAY(CJ$5))</f>
        <v>19</v>
      </c>
      <c r="CK8" s="53" t="n">
        <f aca="false">IF(CK$5="","",DAY(CK$5))</f>
        <v>20</v>
      </c>
      <c r="CL8" s="53" t="n">
        <f aca="false">IF(CL$5="","",DAY(CL$5))</f>
        <v>21</v>
      </c>
      <c r="CM8" s="53" t="n">
        <f aca="false">IF(CM$5="","",DAY(CM$5))</f>
        <v>22</v>
      </c>
      <c r="CN8" s="53" t="n">
        <f aca="false">IF(CN$5="","",DAY(CN$5))</f>
        <v>23</v>
      </c>
      <c r="CO8" s="53" t="n">
        <f aca="false">IF(CO$5="","",DAY(CO$5))</f>
        <v>24</v>
      </c>
      <c r="CP8" s="53" t="n">
        <f aca="false">IF(CP$5="","",DAY(CP$5))</f>
        <v>25</v>
      </c>
      <c r="CQ8" s="53" t="n">
        <f aca="false">IF(CQ$5="","",DAY(CQ$5))</f>
        <v>26</v>
      </c>
      <c r="CR8" s="53" t="n">
        <f aca="false">IF(CR$5="","",DAY(CR$5))</f>
        <v>27</v>
      </c>
      <c r="CS8" s="53" t="n">
        <f aca="false">IF(CS$5="","",DAY(CS$5))</f>
        <v>28</v>
      </c>
      <c r="CT8" s="53" t="n">
        <f aca="false">IF(CT$5="","",DAY(CT$5))</f>
        <v>29</v>
      </c>
      <c r="CU8" s="53" t="n">
        <f aca="false">IF(CU$5="","",DAY(CU$5))</f>
        <v>30</v>
      </c>
      <c r="CV8" s="53" t="n">
        <f aca="false">IF(CV$5="","",DAY(CV$5))</f>
        <v>31</v>
      </c>
      <c r="CW8" s="52" t="n">
        <f aca="false">IF(CW$5="","",DAY(CW$5))</f>
        <v>1</v>
      </c>
      <c r="CX8" s="53" t="n">
        <f aca="false">IF(CX$5="","",DAY(CX$5))</f>
        <v>2</v>
      </c>
      <c r="CY8" s="53" t="n">
        <f aca="false">IF(CY$5="","",DAY(CY$5))</f>
        <v>3</v>
      </c>
      <c r="CZ8" s="53" t="n">
        <f aca="false">IF(CZ$5="","",DAY(CZ$5))</f>
        <v>4</v>
      </c>
      <c r="DA8" s="53" t="n">
        <f aca="false">IF(DA$5="","",DAY(DA$5))</f>
        <v>5</v>
      </c>
      <c r="DB8" s="53" t="n">
        <f aca="false">IF(DB$5="","",DAY(DB$5))</f>
        <v>6</v>
      </c>
      <c r="DC8" s="53" t="n">
        <f aca="false">IF(DC$5="","",DAY(DC$5))</f>
        <v>7</v>
      </c>
      <c r="DD8" s="53" t="n">
        <f aca="false">IF(DD$5="","",DAY(DD$5))</f>
        <v>8</v>
      </c>
      <c r="DE8" s="53" t="n">
        <f aca="false">IF(DE$5="","",DAY(DE$5))</f>
        <v>9</v>
      </c>
      <c r="DF8" s="53" t="n">
        <f aca="false">IF(DF$5="","",DAY(DF$5))</f>
        <v>10</v>
      </c>
      <c r="DG8" s="53" t="n">
        <f aca="false">IF(DG$5="","",DAY(DG$5))</f>
        <v>11</v>
      </c>
      <c r="DH8" s="53" t="n">
        <f aca="false">IF(DH$5="","",DAY(DH$5))</f>
        <v>12</v>
      </c>
      <c r="DI8" s="53" t="n">
        <f aca="false">IF(DI$5="","",DAY(DI$5))</f>
        <v>13</v>
      </c>
      <c r="DJ8" s="53" t="n">
        <f aca="false">IF(DJ$5="","",DAY(DJ$5))</f>
        <v>14</v>
      </c>
      <c r="DK8" s="53" t="n">
        <f aca="false">IF(DK$5="","",DAY(DK$5))</f>
        <v>15</v>
      </c>
      <c r="DL8" s="53" t="n">
        <f aca="false">IF(DL$5="","",DAY(DL$5))</f>
        <v>16</v>
      </c>
      <c r="DM8" s="53" t="n">
        <f aca="false">IF(DM$5="","",DAY(DM$5))</f>
        <v>17</v>
      </c>
      <c r="DN8" s="53" t="n">
        <f aca="false">IF(DN$5="","",DAY(DN$5))</f>
        <v>18</v>
      </c>
      <c r="DO8" s="53" t="n">
        <f aca="false">IF(DO$5="","",DAY(DO$5))</f>
        <v>19</v>
      </c>
      <c r="DP8" s="53" t="n">
        <f aca="false">IF(DP$5="","",DAY(DP$5))</f>
        <v>20</v>
      </c>
      <c r="DQ8" s="53" t="n">
        <f aca="false">IF(DQ$5="","",DAY(DQ$5))</f>
        <v>21</v>
      </c>
      <c r="DR8" s="53" t="n">
        <f aca="false">IF(DR$5="","",DAY(DR$5))</f>
        <v>22</v>
      </c>
      <c r="DS8" s="53" t="n">
        <f aca="false">IF(DS$5="","",DAY(DS$5))</f>
        <v>23</v>
      </c>
      <c r="DT8" s="53" t="n">
        <f aca="false">IF(DT$5="","",DAY(DT$5))</f>
        <v>24</v>
      </c>
      <c r="DU8" s="53" t="n">
        <f aca="false">IF(DU$5="","",DAY(DU$5))</f>
        <v>25</v>
      </c>
      <c r="DV8" s="53" t="n">
        <f aca="false">IF(DV$5="","",DAY(DV$5))</f>
        <v>26</v>
      </c>
      <c r="DW8" s="53" t="n">
        <f aca="false">IF(DW$5="","",DAY(DW$5))</f>
        <v>27</v>
      </c>
      <c r="DX8" s="53" t="n">
        <f aca="false">IF(DX$5="","",DAY(DX$5))</f>
        <v>28</v>
      </c>
      <c r="DY8" s="53" t="n">
        <f aca="false">IF(DY$5="","",DAY(DY$5))</f>
        <v>29</v>
      </c>
      <c r="DZ8" s="53" t="n">
        <f aca="false">IF(DZ$5="","",DAY(DZ$5))</f>
        <v>30</v>
      </c>
      <c r="EA8" s="53" t="str">
        <f aca="false">IF(EA$5="","",DAY(EA$5))</f>
        <v/>
      </c>
      <c r="EB8" s="52" t="n">
        <f aca="false">IF(EB$5="","",DAY(EB$5))</f>
        <v>1</v>
      </c>
      <c r="EC8" s="53" t="n">
        <f aca="false">IF(EC$5="","",DAY(EC$5))</f>
        <v>2</v>
      </c>
      <c r="ED8" s="53" t="n">
        <f aca="false">IF(ED$5="","",DAY(ED$5))</f>
        <v>3</v>
      </c>
      <c r="EE8" s="53" t="n">
        <f aca="false">IF(EE$5="","",DAY(EE$5))</f>
        <v>4</v>
      </c>
      <c r="EF8" s="53" t="n">
        <f aca="false">IF(EF$5="","",DAY(EF$5))</f>
        <v>5</v>
      </c>
      <c r="EG8" s="53" t="n">
        <f aca="false">IF(EG$5="","",DAY(EG$5))</f>
        <v>6</v>
      </c>
      <c r="EH8" s="53" t="n">
        <f aca="false">IF(EH$5="","",DAY(EH$5))</f>
        <v>7</v>
      </c>
      <c r="EI8" s="53" t="n">
        <f aca="false">IF(EI$5="","",DAY(EI$5))</f>
        <v>8</v>
      </c>
      <c r="EJ8" s="53" t="n">
        <f aca="false">IF(EJ$5="","",DAY(EJ$5))</f>
        <v>9</v>
      </c>
      <c r="EK8" s="53" t="n">
        <f aca="false">IF(EK$5="","",DAY(EK$5))</f>
        <v>10</v>
      </c>
      <c r="EL8" s="53" t="n">
        <f aca="false">IF(EL$5="","",DAY(EL$5))</f>
        <v>11</v>
      </c>
      <c r="EM8" s="53" t="n">
        <f aca="false">IF(EM$5="","",DAY(EM$5))</f>
        <v>12</v>
      </c>
      <c r="EN8" s="53" t="n">
        <f aca="false">IF(EN$5="","",DAY(EN$5))</f>
        <v>13</v>
      </c>
      <c r="EO8" s="53" t="n">
        <f aca="false">IF(EO$5="","",DAY(EO$5))</f>
        <v>14</v>
      </c>
      <c r="EP8" s="53" t="n">
        <f aca="false">IF(EP$5="","",DAY(EP$5))</f>
        <v>15</v>
      </c>
      <c r="EQ8" s="53" t="n">
        <f aca="false">IF(EQ$5="","",DAY(EQ$5))</f>
        <v>16</v>
      </c>
      <c r="ER8" s="53" t="n">
        <f aca="false">IF(ER$5="","",DAY(ER$5))</f>
        <v>17</v>
      </c>
      <c r="ES8" s="53" t="n">
        <f aca="false">IF(ES$5="","",DAY(ES$5))</f>
        <v>18</v>
      </c>
      <c r="ET8" s="53" t="n">
        <f aca="false">IF(ET$5="","",DAY(ET$5))</f>
        <v>19</v>
      </c>
      <c r="EU8" s="53" t="n">
        <f aca="false">IF(EU$5="","",DAY(EU$5))</f>
        <v>20</v>
      </c>
      <c r="EV8" s="53" t="n">
        <f aca="false">IF(EV$5="","",DAY(EV$5))</f>
        <v>21</v>
      </c>
      <c r="EW8" s="53" t="n">
        <f aca="false">IF(EW$5="","",DAY(EW$5))</f>
        <v>22</v>
      </c>
      <c r="EX8" s="53" t="n">
        <f aca="false">IF(EX$5="","",DAY(EX$5))</f>
        <v>23</v>
      </c>
      <c r="EY8" s="53" t="n">
        <f aca="false">IF(EY$5="","",DAY(EY$5))</f>
        <v>24</v>
      </c>
      <c r="EZ8" s="53" t="n">
        <f aca="false">IF(EZ$5="","",DAY(EZ$5))</f>
        <v>25</v>
      </c>
      <c r="FA8" s="53" t="n">
        <f aca="false">IF(FA$5="","",DAY(FA$5))</f>
        <v>26</v>
      </c>
      <c r="FB8" s="53" t="n">
        <f aca="false">IF(FB$5="","",DAY(FB$5))</f>
        <v>27</v>
      </c>
      <c r="FC8" s="53" t="n">
        <f aca="false">IF(FC$5="","",DAY(FC$5))</f>
        <v>28</v>
      </c>
      <c r="FD8" s="53" t="n">
        <f aca="false">IF(FD$5="","",DAY(FD$5))</f>
        <v>29</v>
      </c>
      <c r="FE8" s="53" t="n">
        <f aca="false">IF(FE$5="","",DAY(FE$5))</f>
        <v>30</v>
      </c>
      <c r="FF8" s="53" t="n">
        <f aca="false">IF(FF$5="","",DAY(FF$5))</f>
        <v>31</v>
      </c>
      <c r="FG8" s="52" t="n">
        <f aca="false">IF(FG$5="","",DAY(FG$5))</f>
        <v>1</v>
      </c>
      <c r="FH8" s="53" t="n">
        <f aca="false">IF(FH$5="","",DAY(FH$5))</f>
        <v>2</v>
      </c>
      <c r="FI8" s="53" t="n">
        <f aca="false">IF(FI$5="","",DAY(FI$5))</f>
        <v>3</v>
      </c>
      <c r="FJ8" s="53" t="n">
        <f aca="false">IF(FJ$5="","",DAY(FJ$5))</f>
        <v>4</v>
      </c>
      <c r="FK8" s="53" t="n">
        <f aca="false">IF(FK$5="","",DAY(FK$5))</f>
        <v>5</v>
      </c>
      <c r="FL8" s="53" t="n">
        <f aca="false">IF(FL$5="","",DAY(FL$5))</f>
        <v>6</v>
      </c>
      <c r="FM8" s="53" t="n">
        <f aca="false">IF(FM$5="","",DAY(FM$5))</f>
        <v>7</v>
      </c>
      <c r="FN8" s="53" t="n">
        <f aca="false">IF(FN$5="","",DAY(FN$5))</f>
        <v>8</v>
      </c>
      <c r="FO8" s="53" t="n">
        <f aca="false">IF(FO$5="","",DAY(FO$5))</f>
        <v>9</v>
      </c>
      <c r="FP8" s="53" t="n">
        <f aca="false">IF(FP$5="","",DAY(FP$5))</f>
        <v>10</v>
      </c>
      <c r="FQ8" s="53" t="n">
        <f aca="false">IF(FQ$5="","",DAY(FQ$5))</f>
        <v>11</v>
      </c>
      <c r="FR8" s="53" t="n">
        <f aca="false">IF(FR$5="","",DAY(FR$5))</f>
        <v>12</v>
      </c>
      <c r="FS8" s="53" t="n">
        <f aca="false">IF(FS$5="","",DAY(FS$5))</f>
        <v>13</v>
      </c>
      <c r="FT8" s="53" t="n">
        <f aca="false">IF(FT$5="","",DAY(FT$5))</f>
        <v>14</v>
      </c>
      <c r="FU8" s="53" t="n">
        <f aca="false">IF(FU$5="","",DAY(FU$5))</f>
        <v>15</v>
      </c>
      <c r="FV8" s="53" t="n">
        <f aca="false">IF(FV$5="","",DAY(FV$5))</f>
        <v>16</v>
      </c>
      <c r="FW8" s="53" t="n">
        <f aca="false">IF(FW$5="","",DAY(FW$5))</f>
        <v>17</v>
      </c>
      <c r="FX8" s="53" t="n">
        <f aca="false">IF(FX$5="","",DAY(FX$5))</f>
        <v>18</v>
      </c>
      <c r="FY8" s="53" t="n">
        <f aca="false">IF(FY$5="","",DAY(FY$5))</f>
        <v>19</v>
      </c>
      <c r="FZ8" s="53" t="n">
        <f aca="false">IF(FZ$5="","",DAY(FZ$5))</f>
        <v>20</v>
      </c>
      <c r="GA8" s="53" t="n">
        <f aca="false">IF(GA$5="","",DAY(GA$5))</f>
        <v>21</v>
      </c>
      <c r="GB8" s="53" t="n">
        <f aca="false">IF(GB$5="","",DAY(GB$5))</f>
        <v>22</v>
      </c>
      <c r="GC8" s="53" t="n">
        <f aca="false">IF(GC$5="","",DAY(GC$5))</f>
        <v>23</v>
      </c>
      <c r="GD8" s="53" t="n">
        <f aca="false">IF(GD$5="","",DAY(GD$5))</f>
        <v>24</v>
      </c>
      <c r="GE8" s="53" t="n">
        <f aca="false">IF(GE$5="","",DAY(GE$5))</f>
        <v>25</v>
      </c>
      <c r="GF8" s="53" t="n">
        <f aca="false">IF(GF$5="","",DAY(GF$5))</f>
        <v>26</v>
      </c>
      <c r="GG8" s="53" t="n">
        <f aca="false">IF(GG$5="","",DAY(GG$5))</f>
        <v>27</v>
      </c>
      <c r="GH8" s="53" t="n">
        <f aca="false">IF(GH$5="","",DAY(GH$5))</f>
        <v>28</v>
      </c>
      <c r="GI8" s="53" t="n">
        <f aca="false">IF(GI$5="","",DAY(GI$5))</f>
        <v>29</v>
      </c>
      <c r="GJ8" s="53" t="n">
        <f aca="false">IF(GJ$5="","",DAY(GJ$5))</f>
        <v>30</v>
      </c>
      <c r="GK8" s="53" t="str">
        <f aca="false">IF(GK$5="","",DAY(GK$5))</f>
        <v/>
      </c>
      <c r="GL8" s="52" t="n">
        <f aca="false">IF(GL$5="","",DAY(GL$5))</f>
        <v>1</v>
      </c>
      <c r="GM8" s="53" t="n">
        <f aca="false">IF(GM$5="","",DAY(GM$5))</f>
        <v>2</v>
      </c>
      <c r="GN8" s="53" t="n">
        <f aca="false">IF(GN$5="","",DAY(GN$5))</f>
        <v>3</v>
      </c>
      <c r="GO8" s="53" t="n">
        <f aca="false">IF(GO$5="","",DAY(GO$5))</f>
        <v>4</v>
      </c>
      <c r="GP8" s="53" t="n">
        <f aca="false">IF(GP$5="","",DAY(GP$5))</f>
        <v>5</v>
      </c>
      <c r="GQ8" s="53" t="n">
        <f aca="false">IF(GQ$5="","",DAY(GQ$5))</f>
        <v>6</v>
      </c>
      <c r="GR8" s="53" t="n">
        <f aca="false">IF(GR$5="","",DAY(GR$5))</f>
        <v>7</v>
      </c>
      <c r="GS8" s="53" t="n">
        <f aca="false">IF(GS$5="","",DAY(GS$5))</f>
        <v>8</v>
      </c>
      <c r="GT8" s="53" t="n">
        <f aca="false">IF(GT$5="","",DAY(GT$5))</f>
        <v>9</v>
      </c>
      <c r="GU8" s="53" t="n">
        <f aca="false">IF(GU$5="","",DAY(GU$5))</f>
        <v>10</v>
      </c>
      <c r="GV8" s="53" t="n">
        <f aca="false">IF(GV$5="","",DAY(GV$5))</f>
        <v>11</v>
      </c>
      <c r="GW8" s="53" t="n">
        <f aca="false">IF(GW$5="","",DAY(GW$5))</f>
        <v>12</v>
      </c>
      <c r="GX8" s="53" t="n">
        <f aca="false">IF(GX$5="","",DAY(GX$5))</f>
        <v>13</v>
      </c>
      <c r="GY8" s="53" t="n">
        <f aca="false">IF(GY$5="","",DAY(GY$5))</f>
        <v>14</v>
      </c>
      <c r="GZ8" s="53" t="n">
        <f aca="false">IF(GZ$5="","",DAY(GZ$5))</f>
        <v>15</v>
      </c>
      <c r="HA8" s="53" t="n">
        <f aca="false">IF(HA$5="","",DAY(HA$5))</f>
        <v>16</v>
      </c>
      <c r="HB8" s="53" t="n">
        <f aca="false">IF(HB$5="","",DAY(HB$5))</f>
        <v>17</v>
      </c>
      <c r="HC8" s="53" t="n">
        <f aca="false">IF(HC$5="","",DAY(HC$5))</f>
        <v>18</v>
      </c>
      <c r="HD8" s="53" t="n">
        <f aca="false">IF(HD$5="","",DAY(HD$5))</f>
        <v>19</v>
      </c>
      <c r="HE8" s="53" t="n">
        <f aca="false">IF(HE$5="","",DAY(HE$5))</f>
        <v>20</v>
      </c>
      <c r="HF8" s="53" t="n">
        <f aca="false">IF(HF$5="","",DAY(HF$5))</f>
        <v>21</v>
      </c>
      <c r="HG8" s="53" t="n">
        <f aca="false">IF(HG$5="","",DAY(HG$5))</f>
        <v>22</v>
      </c>
      <c r="HH8" s="53" t="n">
        <f aca="false">IF(HH$5="","",DAY(HH$5))</f>
        <v>23</v>
      </c>
      <c r="HI8" s="53" t="n">
        <f aca="false">IF(HI$5="","",DAY(HI$5))</f>
        <v>24</v>
      </c>
      <c r="HJ8" s="53" t="n">
        <f aca="false">IF(HJ$5="","",DAY(HJ$5))</f>
        <v>25</v>
      </c>
      <c r="HK8" s="53" t="n">
        <f aca="false">IF(HK$5="","",DAY(HK$5))</f>
        <v>26</v>
      </c>
      <c r="HL8" s="53" t="n">
        <f aca="false">IF(HL$5="","",DAY(HL$5))</f>
        <v>27</v>
      </c>
      <c r="HM8" s="53" t="n">
        <f aca="false">IF(HM$5="","",DAY(HM$5))</f>
        <v>28</v>
      </c>
      <c r="HN8" s="53" t="n">
        <f aca="false">IF(HN$5="","",DAY(HN$5))</f>
        <v>29</v>
      </c>
      <c r="HO8" s="53" t="n">
        <f aca="false">IF(HO$5="","",DAY(HO$5))</f>
        <v>30</v>
      </c>
      <c r="HP8" s="53" t="n">
        <f aca="false">IF(HP$5="","",DAY(HP$5))</f>
        <v>31</v>
      </c>
      <c r="HQ8" s="52" t="n">
        <f aca="false">IF(HQ$5="","",DAY(HQ$5))</f>
        <v>1</v>
      </c>
      <c r="HR8" s="53" t="n">
        <f aca="false">IF(HR$5="","",DAY(HR$5))</f>
        <v>2</v>
      </c>
      <c r="HS8" s="53" t="n">
        <f aca="false">IF(HS$5="","",DAY(HS$5))</f>
        <v>3</v>
      </c>
      <c r="HT8" s="53" t="n">
        <f aca="false">IF(HT$5="","",DAY(HT$5))</f>
        <v>4</v>
      </c>
      <c r="HU8" s="53" t="n">
        <f aca="false">IF(HU$5="","",DAY(HU$5))</f>
        <v>5</v>
      </c>
      <c r="HV8" s="53" t="n">
        <f aca="false">IF(HV$5="","",DAY(HV$5))</f>
        <v>6</v>
      </c>
      <c r="HW8" s="53" t="n">
        <f aca="false">IF(HW$5="","",DAY(HW$5))</f>
        <v>7</v>
      </c>
      <c r="HX8" s="53" t="n">
        <f aca="false">IF(HX$5="","",DAY(HX$5))</f>
        <v>8</v>
      </c>
      <c r="HY8" s="53" t="n">
        <f aca="false">IF(HY$5="","",DAY(HY$5))</f>
        <v>9</v>
      </c>
      <c r="HZ8" s="53" t="n">
        <f aca="false">IF(HZ$5="","",DAY(HZ$5))</f>
        <v>10</v>
      </c>
      <c r="IA8" s="53" t="n">
        <f aca="false">IF(IA$5="","",DAY(IA$5))</f>
        <v>11</v>
      </c>
      <c r="IB8" s="53" t="n">
        <f aca="false">IF(IB$5="","",DAY(IB$5))</f>
        <v>12</v>
      </c>
      <c r="IC8" s="53" t="n">
        <f aca="false">IF(IC$5="","",DAY(IC$5))</f>
        <v>13</v>
      </c>
      <c r="ID8" s="53" t="n">
        <f aca="false">IF(ID$5="","",DAY(ID$5))</f>
        <v>14</v>
      </c>
      <c r="IE8" s="53" t="n">
        <f aca="false">IF(IE$5="","",DAY(IE$5))</f>
        <v>15</v>
      </c>
      <c r="IF8" s="53" t="n">
        <f aca="false">IF(IF$5="","",DAY(IF$5))</f>
        <v>16</v>
      </c>
      <c r="IG8" s="53" t="n">
        <f aca="false">IF(IG$5="","",DAY(IG$5))</f>
        <v>17</v>
      </c>
      <c r="IH8" s="53" t="n">
        <f aca="false">IF(IH$5="","",DAY(IH$5))</f>
        <v>18</v>
      </c>
      <c r="II8" s="53" t="n">
        <f aca="false">IF(II$5="","",DAY(II$5))</f>
        <v>19</v>
      </c>
      <c r="IJ8" s="53" t="n">
        <f aca="false">IF(IJ$5="","",DAY(IJ$5))</f>
        <v>20</v>
      </c>
      <c r="IK8" s="53" t="n">
        <f aca="false">IF(IK$5="","",DAY(IK$5))</f>
        <v>21</v>
      </c>
      <c r="IL8" s="53" t="n">
        <f aca="false">IF(IL$5="","",DAY(IL$5))</f>
        <v>22</v>
      </c>
      <c r="IM8" s="53" t="n">
        <f aca="false">IF(IM$5="","",DAY(IM$5))</f>
        <v>23</v>
      </c>
      <c r="IN8" s="53" t="n">
        <f aca="false">IF(IN$5="","",DAY(IN$5))</f>
        <v>24</v>
      </c>
      <c r="IO8" s="53" t="n">
        <f aca="false">IF(IO$5="","",DAY(IO$5))</f>
        <v>25</v>
      </c>
      <c r="IP8" s="53" t="n">
        <f aca="false">IF(IP$5="","",DAY(IP$5))</f>
        <v>26</v>
      </c>
      <c r="IQ8" s="53" t="n">
        <f aca="false">IF(IQ$5="","",DAY(IQ$5))</f>
        <v>27</v>
      </c>
      <c r="IR8" s="53" t="n">
        <f aca="false">IF(IR$5="","",DAY(IR$5))</f>
        <v>28</v>
      </c>
      <c r="IS8" s="53" t="n">
        <f aca="false">IF(IS$5="","",DAY(IS$5))</f>
        <v>29</v>
      </c>
      <c r="IT8" s="53" t="n">
        <f aca="false">IF(IT$5="","",DAY(IT$5))</f>
        <v>30</v>
      </c>
      <c r="IU8" s="53" t="n">
        <f aca="false">IF(IU$5="","",DAY(IU$5))</f>
        <v>31</v>
      </c>
      <c r="IV8" s="52" t="n">
        <f aca="false">IF(IV$5="","",DAY(IV$5))</f>
        <v>1</v>
      </c>
      <c r="IW8" s="53" t="n">
        <f aca="false">IF(IW$5="","",DAY(IW$5))</f>
        <v>2</v>
      </c>
      <c r="IX8" s="53" t="n">
        <f aca="false">IF(IX$5="","",DAY(IX$5))</f>
        <v>3</v>
      </c>
      <c r="IY8" s="53" t="n">
        <f aca="false">IF(IY$5="","",DAY(IY$5))</f>
        <v>4</v>
      </c>
      <c r="IZ8" s="53" t="n">
        <f aca="false">IF(IZ$5="","",DAY(IZ$5))</f>
        <v>5</v>
      </c>
      <c r="JA8" s="53" t="n">
        <f aca="false">IF(JA$5="","",DAY(JA$5))</f>
        <v>6</v>
      </c>
      <c r="JB8" s="53" t="n">
        <f aca="false">IF(JB$5="","",DAY(JB$5))</f>
        <v>7</v>
      </c>
      <c r="JC8" s="53" t="n">
        <f aca="false">IF(JC$5="","",DAY(JC$5))</f>
        <v>8</v>
      </c>
      <c r="JD8" s="53" t="n">
        <f aca="false">IF(JD$5="","",DAY(JD$5))</f>
        <v>9</v>
      </c>
      <c r="JE8" s="53" t="n">
        <f aca="false">IF(JE$5="","",DAY(JE$5))</f>
        <v>10</v>
      </c>
      <c r="JF8" s="53" t="n">
        <f aca="false">IF(JF$5="","",DAY(JF$5))</f>
        <v>11</v>
      </c>
      <c r="JG8" s="53" t="n">
        <f aca="false">IF(JG$5="","",DAY(JG$5))</f>
        <v>12</v>
      </c>
      <c r="JH8" s="53" t="n">
        <f aca="false">IF(JH$5="","",DAY(JH$5))</f>
        <v>13</v>
      </c>
      <c r="JI8" s="53" t="n">
        <f aca="false">IF(JI$5="","",DAY(JI$5))</f>
        <v>14</v>
      </c>
      <c r="JJ8" s="53" t="n">
        <f aca="false">IF(JJ$5="","",DAY(JJ$5))</f>
        <v>15</v>
      </c>
      <c r="JK8" s="53" t="n">
        <f aca="false">IF(JK$5="","",DAY(JK$5))</f>
        <v>16</v>
      </c>
      <c r="JL8" s="53" t="n">
        <f aca="false">IF(JL$5="","",DAY(JL$5))</f>
        <v>17</v>
      </c>
      <c r="JM8" s="53" t="n">
        <f aca="false">IF(JM$5="","",DAY(JM$5))</f>
        <v>18</v>
      </c>
      <c r="JN8" s="53" t="n">
        <f aca="false">IF(JN$5="","",DAY(JN$5))</f>
        <v>19</v>
      </c>
      <c r="JO8" s="53" t="n">
        <f aca="false">IF(JO$5="","",DAY(JO$5))</f>
        <v>20</v>
      </c>
      <c r="JP8" s="53" t="n">
        <f aca="false">IF(JP$5="","",DAY(JP$5))</f>
        <v>21</v>
      </c>
      <c r="JQ8" s="53" t="n">
        <f aca="false">IF(JQ$5="","",DAY(JQ$5))</f>
        <v>22</v>
      </c>
      <c r="JR8" s="53" t="n">
        <f aca="false">IF(JR$5="","",DAY(JR$5))</f>
        <v>23</v>
      </c>
      <c r="JS8" s="53" t="n">
        <f aca="false">IF(JS$5="","",DAY(JS$5))</f>
        <v>24</v>
      </c>
      <c r="JT8" s="53" t="n">
        <f aca="false">IF(JT$5="","",DAY(JT$5))</f>
        <v>25</v>
      </c>
      <c r="JU8" s="53" t="n">
        <f aca="false">IF(JU$5="","",DAY(JU$5))</f>
        <v>26</v>
      </c>
      <c r="JV8" s="53" t="n">
        <f aca="false">IF(JV$5="","",DAY(JV$5))</f>
        <v>27</v>
      </c>
      <c r="JW8" s="53" t="n">
        <f aca="false">IF(JW$5="","",DAY(JW$5))</f>
        <v>28</v>
      </c>
      <c r="JX8" s="53" t="n">
        <f aca="false">IF(JX$5="","",DAY(JX$5))</f>
        <v>29</v>
      </c>
      <c r="JY8" s="53" t="n">
        <f aca="false">IF(JY$5="","",DAY(JY$5))</f>
        <v>30</v>
      </c>
      <c r="JZ8" s="53" t="str">
        <f aca="false">IF(JZ$5="","",DAY(JZ$5))</f>
        <v/>
      </c>
      <c r="KA8" s="52" t="n">
        <f aca="false">IF(KA$5="","",DAY(KA$5))</f>
        <v>1</v>
      </c>
      <c r="KB8" s="53" t="n">
        <f aca="false">IF(KB$5="","",DAY(KB$5))</f>
        <v>2</v>
      </c>
      <c r="KC8" s="53" t="n">
        <f aca="false">IF(KC$5="","",DAY(KC$5))</f>
        <v>3</v>
      </c>
      <c r="KD8" s="53" t="n">
        <f aca="false">IF(KD$5="","",DAY(KD$5))</f>
        <v>4</v>
      </c>
      <c r="KE8" s="53" t="n">
        <f aca="false">IF(KE$5="","",DAY(KE$5))</f>
        <v>5</v>
      </c>
      <c r="KF8" s="53" t="n">
        <f aca="false">IF(KF$5="","",DAY(KF$5))</f>
        <v>6</v>
      </c>
      <c r="KG8" s="53" t="n">
        <f aca="false">IF(KG$5="","",DAY(KG$5))</f>
        <v>7</v>
      </c>
      <c r="KH8" s="53" t="n">
        <f aca="false">IF(KH$5="","",DAY(KH$5))</f>
        <v>8</v>
      </c>
      <c r="KI8" s="53" t="n">
        <f aca="false">IF(KI$5="","",DAY(KI$5))</f>
        <v>9</v>
      </c>
      <c r="KJ8" s="53" t="n">
        <f aca="false">IF(KJ$5="","",DAY(KJ$5))</f>
        <v>10</v>
      </c>
      <c r="KK8" s="53" t="n">
        <f aca="false">IF(KK$5="","",DAY(KK$5))</f>
        <v>11</v>
      </c>
      <c r="KL8" s="53" t="n">
        <f aca="false">IF(KL$5="","",DAY(KL$5))</f>
        <v>12</v>
      </c>
      <c r="KM8" s="53" t="n">
        <f aca="false">IF(KM$5="","",DAY(KM$5))</f>
        <v>13</v>
      </c>
      <c r="KN8" s="53" t="n">
        <f aca="false">IF(KN$5="","",DAY(KN$5))</f>
        <v>14</v>
      </c>
      <c r="KO8" s="53" t="n">
        <f aca="false">IF(KO$5="","",DAY(KO$5))</f>
        <v>15</v>
      </c>
      <c r="KP8" s="53" t="n">
        <f aca="false">IF(KP$5="","",DAY(KP$5))</f>
        <v>16</v>
      </c>
      <c r="KQ8" s="53" t="n">
        <f aca="false">IF(KQ$5="","",DAY(KQ$5))</f>
        <v>17</v>
      </c>
      <c r="KR8" s="53" t="n">
        <f aca="false">IF(KR$5="","",DAY(KR$5))</f>
        <v>18</v>
      </c>
      <c r="KS8" s="53" t="n">
        <f aca="false">IF(KS$5="","",DAY(KS$5))</f>
        <v>19</v>
      </c>
      <c r="KT8" s="53" t="n">
        <f aca="false">IF(KT$5="","",DAY(KT$5))</f>
        <v>20</v>
      </c>
      <c r="KU8" s="53" t="n">
        <f aca="false">IF(KU$5="","",DAY(KU$5))</f>
        <v>21</v>
      </c>
      <c r="KV8" s="53" t="n">
        <f aca="false">IF(KV$5="","",DAY(KV$5))</f>
        <v>22</v>
      </c>
      <c r="KW8" s="53" t="n">
        <f aca="false">IF(KW$5="","",DAY(KW$5))</f>
        <v>23</v>
      </c>
      <c r="KX8" s="53" t="n">
        <f aca="false">IF(KX$5="","",DAY(KX$5))</f>
        <v>24</v>
      </c>
      <c r="KY8" s="53" t="n">
        <f aca="false">IF(KY$5="","",DAY(KY$5))</f>
        <v>25</v>
      </c>
      <c r="KZ8" s="53" t="n">
        <f aca="false">IF(KZ$5="","",DAY(KZ$5))</f>
        <v>26</v>
      </c>
      <c r="LA8" s="53" t="n">
        <f aca="false">IF(LA$5="","",DAY(LA$5))</f>
        <v>27</v>
      </c>
      <c r="LB8" s="53" t="n">
        <f aca="false">IF(LB$5="","",DAY(LB$5))</f>
        <v>28</v>
      </c>
      <c r="LC8" s="53" t="n">
        <f aca="false">IF(LC$5="","",DAY(LC$5))</f>
        <v>29</v>
      </c>
      <c r="LD8" s="53" t="n">
        <f aca="false">IF(LD$5="","",DAY(LD$5))</f>
        <v>30</v>
      </c>
      <c r="LE8" s="53" t="n">
        <f aca="false">IF(LE$5="","",DAY(LE$5))</f>
        <v>31</v>
      </c>
      <c r="LF8" s="52" t="n">
        <f aca="false">IF(LF$5="","",DAY(LF$5))</f>
        <v>1</v>
      </c>
      <c r="LG8" s="53" t="n">
        <f aca="false">IF(LG$5="","",DAY(LG$5))</f>
        <v>2</v>
      </c>
      <c r="LH8" s="53" t="n">
        <f aca="false">IF(LH$5="","",DAY(LH$5))</f>
        <v>3</v>
      </c>
      <c r="LI8" s="53" t="n">
        <f aca="false">IF(LI$5="","",DAY(LI$5))</f>
        <v>4</v>
      </c>
      <c r="LJ8" s="53" t="n">
        <f aca="false">IF(LJ$5="","",DAY(LJ$5))</f>
        <v>5</v>
      </c>
      <c r="LK8" s="53" t="n">
        <f aca="false">IF(LK$5="","",DAY(LK$5))</f>
        <v>6</v>
      </c>
      <c r="LL8" s="53" t="n">
        <f aca="false">IF(LL$5="","",DAY(LL$5))</f>
        <v>7</v>
      </c>
      <c r="LM8" s="53" t="n">
        <f aca="false">IF(LM$5="","",DAY(LM$5))</f>
        <v>8</v>
      </c>
      <c r="LN8" s="53" t="n">
        <f aca="false">IF(LN$5="","",DAY(LN$5))</f>
        <v>9</v>
      </c>
      <c r="LO8" s="53" t="n">
        <f aca="false">IF(LO$5="","",DAY(LO$5))</f>
        <v>10</v>
      </c>
      <c r="LP8" s="53" t="n">
        <f aca="false">IF(LP$5="","",DAY(LP$5))</f>
        <v>11</v>
      </c>
      <c r="LQ8" s="53" t="n">
        <f aca="false">IF(LQ$5="","",DAY(LQ$5))</f>
        <v>12</v>
      </c>
      <c r="LR8" s="53" t="n">
        <f aca="false">IF(LR$5="","",DAY(LR$5))</f>
        <v>13</v>
      </c>
      <c r="LS8" s="53" t="n">
        <f aca="false">IF(LS$5="","",DAY(LS$5))</f>
        <v>14</v>
      </c>
      <c r="LT8" s="53" t="n">
        <f aca="false">IF(LT$5="","",DAY(LT$5))</f>
        <v>15</v>
      </c>
      <c r="LU8" s="53" t="n">
        <f aca="false">IF(LU$5="","",DAY(LU$5))</f>
        <v>16</v>
      </c>
      <c r="LV8" s="53" t="n">
        <f aca="false">IF(LV$5="","",DAY(LV$5))</f>
        <v>17</v>
      </c>
      <c r="LW8" s="53" t="n">
        <f aca="false">IF(LW$5="","",DAY(LW$5))</f>
        <v>18</v>
      </c>
      <c r="LX8" s="53" t="n">
        <f aca="false">IF(LX$5="","",DAY(LX$5))</f>
        <v>19</v>
      </c>
      <c r="LY8" s="53" t="n">
        <f aca="false">IF(LY$5="","",DAY(LY$5))</f>
        <v>20</v>
      </c>
      <c r="LZ8" s="53" t="n">
        <f aca="false">IF(LZ$5="","",DAY(LZ$5))</f>
        <v>21</v>
      </c>
      <c r="MA8" s="53" t="n">
        <f aca="false">IF(MA$5="","",DAY(MA$5))</f>
        <v>22</v>
      </c>
      <c r="MB8" s="53" t="n">
        <f aca="false">IF(MB$5="","",DAY(MB$5))</f>
        <v>23</v>
      </c>
      <c r="MC8" s="53" t="n">
        <f aca="false">IF(MC$5="","",DAY(MC$5))</f>
        <v>24</v>
      </c>
      <c r="MD8" s="53" t="n">
        <f aca="false">IF(MD$5="","",DAY(MD$5))</f>
        <v>25</v>
      </c>
      <c r="ME8" s="53" t="n">
        <f aca="false">IF(ME$5="","",DAY(ME$5))</f>
        <v>26</v>
      </c>
      <c r="MF8" s="53" t="n">
        <f aca="false">IF(MF$5="","",DAY(MF$5))</f>
        <v>27</v>
      </c>
      <c r="MG8" s="53" t="n">
        <f aca="false">IF(MG$5="","",DAY(MG$5))</f>
        <v>28</v>
      </c>
      <c r="MH8" s="53" t="n">
        <f aca="false">IF(MH$5="","",DAY(MH$5))</f>
        <v>29</v>
      </c>
      <c r="MI8" s="53" t="n">
        <f aca="false">IF(MI$5="","",DAY(MI$5))</f>
        <v>30</v>
      </c>
      <c r="MJ8" s="53" t="str">
        <f aca="false">IF(MJ$5="","",DAY(MJ$5))</f>
        <v/>
      </c>
      <c r="MK8" s="52" t="n">
        <f aca="false">IF(MK$5="","",DAY(MK$5))</f>
        <v>1</v>
      </c>
      <c r="ML8" s="53" t="n">
        <f aca="false">IF(ML$5="","",DAY(ML$5))</f>
        <v>2</v>
      </c>
      <c r="MM8" s="53" t="n">
        <f aca="false">IF(MM$5="","",DAY(MM$5))</f>
        <v>3</v>
      </c>
      <c r="MN8" s="53" t="n">
        <f aca="false">IF(MN$5="","",DAY(MN$5))</f>
        <v>4</v>
      </c>
      <c r="MO8" s="53" t="n">
        <f aca="false">IF(MO$5="","",DAY(MO$5))</f>
        <v>5</v>
      </c>
      <c r="MP8" s="53" t="n">
        <f aca="false">IF(MP$5="","",DAY(MP$5))</f>
        <v>6</v>
      </c>
      <c r="MQ8" s="53" t="n">
        <f aca="false">IF(MQ$5="","",DAY(MQ$5))</f>
        <v>7</v>
      </c>
      <c r="MR8" s="53" t="n">
        <f aca="false">IF(MR$5="","",DAY(MR$5))</f>
        <v>8</v>
      </c>
      <c r="MS8" s="53" t="n">
        <f aca="false">IF(MS$5="","",DAY(MS$5))</f>
        <v>9</v>
      </c>
      <c r="MT8" s="53" t="n">
        <f aca="false">IF(MT$5="","",DAY(MT$5))</f>
        <v>10</v>
      </c>
      <c r="MU8" s="53" t="n">
        <f aca="false">IF(MU$5="","",DAY(MU$5))</f>
        <v>11</v>
      </c>
      <c r="MV8" s="53" t="n">
        <f aca="false">IF(MV$5="","",DAY(MV$5))</f>
        <v>12</v>
      </c>
      <c r="MW8" s="53" t="n">
        <f aca="false">IF(MW$5="","",DAY(MW$5))</f>
        <v>13</v>
      </c>
      <c r="MX8" s="53" t="n">
        <f aca="false">IF(MX$5="","",DAY(MX$5))</f>
        <v>14</v>
      </c>
      <c r="MY8" s="53" t="n">
        <f aca="false">IF(MY$5="","",DAY(MY$5))</f>
        <v>15</v>
      </c>
      <c r="MZ8" s="53" t="n">
        <f aca="false">IF(MZ$5="","",DAY(MZ$5))</f>
        <v>16</v>
      </c>
      <c r="NA8" s="53" t="n">
        <f aca="false">IF(NA$5="","",DAY(NA$5))</f>
        <v>17</v>
      </c>
      <c r="NB8" s="53" t="n">
        <f aca="false">IF(NB$5="","",DAY(NB$5))</f>
        <v>18</v>
      </c>
      <c r="NC8" s="53" t="n">
        <f aca="false">IF(NC$5="","",DAY(NC$5))</f>
        <v>19</v>
      </c>
      <c r="ND8" s="53" t="n">
        <f aca="false">IF(ND$5="","",DAY(ND$5))</f>
        <v>20</v>
      </c>
      <c r="NE8" s="53" t="n">
        <f aca="false">IF(NE$5="","",DAY(NE$5))</f>
        <v>21</v>
      </c>
      <c r="NF8" s="53" t="n">
        <f aca="false">IF(NF$5="","",DAY(NF$5))</f>
        <v>22</v>
      </c>
      <c r="NG8" s="53" t="n">
        <f aca="false">IF(NG$5="","",DAY(NG$5))</f>
        <v>23</v>
      </c>
      <c r="NH8" s="53" t="n">
        <f aca="false">IF(NH$5="","",DAY(NH$5))</f>
        <v>24</v>
      </c>
      <c r="NI8" s="53" t="n">
        <f aca="false">IF(NI$5="","",DAY(NI$5))</f>
        <v>25</v>
      </c>
      <c r="NJ8" s="53" t="n">
        <f aca="false">IF(NJ$5="","",DAY(NJ$5))</f>
        <v>26</v>
      </c>
      <c r="NK8" s="53" t="n">
        <f aca="false">IF(NK$5="","",DAY(NK$5))</f>
        <v>27</v>
      </c>
      <c r="NL8" s="53" t="n">
        <f aca="false">IF(NL$5="","",DAY(NL$5))</f>
        <v>28</v>
      </c>
      <c r="NM8" s="53" t="n">
        <f aca="false">IF(NM$5="","",DAY(NM$5))</f>
        <v>29</v>
      </c>
      <c r="NN8" s="53" t="n">
        <f aca="false">IF(NN$5="","",DAY(NN$5))</f>
        <v>30</v>
      </c>
      <c r="NO8" s="53" t="n">
        <f aca="false">IF(NO$5="","",DAY(NO$5))</f>
        <v>31</v>
      </c>
    </row>
    <row r="9" customFormat="false" ht="12.75" hidden="false" customHeight="true" outlineLevel="0" collapsed="false">
      <c r="A9" s="47"/>
      <c r="B9" s="47"/>
      <c r="C9" s="47"/>
      <c r="D9" s="47"/>
      <c r="E9" s="47"/>
      <c r="F9" s="47"/>
      <c r="G9" s="47"/>
      <c r="H9" s="54" t="str">
        <f aca="false">IF(H$5="","",CHOOSE(WEEKDAY(H$5,2),"Mo","Di","Mi","Do","Fr","Sa","So"))</f>
        <v>Do</v>
      </c>
      <c r="I9" s="55" t="str">
        <f aca="false">IF(I$5="","",CHOOSE(WEEKDAY(I$5,2),"Mo","Di","Mi","Do","Fr","Sa","So"))</f>
        <v>Fr</v>
      </c>
      <c r="J9" s="55" t="str">
        <f aca="false">IF(J$5="","",CHOOSE(WEEKDAY(J$5,2),"Mo","Di","Mi","Do","Fr","Sa","So"))</f>
        <v>Sa</v>
      </c>
      <c r="K9" s="55" t="str">
        <f aca="false">IF(K$5="","",CHOOSE(WEEKDAY(K$5,2),"Mo","Di","Mi","Do","Fr","Sa","So"))</f>
        <v>So</v>
      </c>
      <c r="L9" s="55" t="str">
        <f aca="false">IF(L$5="","",CHOOSE(WEEKDAY(L$5,2),"Mo","Di","Mi","Do","Fr","Sa","So"))</f>
        <v>Mo</v>
      </c>
      <c r="M9" s="55" t="str">
        <f aca="false">IF(M$5="","",CHOOSE(WEEKDAY(M$5,2),"Mo","Di","Mi","Do","Fr","Sa","So"))</f>
        <v>Di</v>
      </c>
      <c r="N9" s="55" t="str">
        <f aca="false">IF(N$5="","",CHOOSE(WEEKDAY(N$5,2),"Mo","Di","Mi","Do","Fr","Sa","So"))</f>
        <v>Mi</v>
      </c>
      <c r="O9" s="55" t="str">
        <f aca="false">IF(O$5="","",CHOOSE(WEEKDAY(O$5,2),"Mo","Di","Mi","Do","Fr","Sa","So"))</f>
        <v>Do</v>
      </c>
      <c r="P9" s="55" t="str">
        <f aca="false">IF(P$5="","",CHOOSE(WEEKDAY(P$5,2),"Mo","Di","Mi","Do","Fr","Sa","So"))</f>
        <v>Fr</v>
      </c>
      <c r="Q9" s="55" t="str">
        <f aca="false">IF(Q$5="","",CHOOSE(WEEKDAY(Q$5,2),"Mo","Di","Mi","Do","Fr","Sa","So"))</f>
        <v>Sa</v>
      </c>
      <c r="R9" s="55" t="str">
        <f aca="false">IF(R$5="","",CHOOSE(WEEKDAY(R$5,2),"Mo","Di","Mi","Do","Fr","Sa","So"))</f>
        <v>So</v>
      </c>
      <c r="S9" s="55" t="str">
        <f aca="false">IF(S$5="","",CHOOSE(WEEKDAY(S$5,2),"Mo","Di","Mi","Do","Fr","Sa","So"))</f>
        <v>Mo</v>
      </c>
      <c r="T9" s="55" t="str">
        <f aca="false">IF(T$5="","",CHOOSE(WEEKDAY(T$5,2),"Mo","Di","Mi","Do","Fr","Sa","So"))</f>
        <v>Di</v>
      </c>
      <c r="U9" s="55" t="str">
        <f aca="false">IF(U$5="","",CHOOSE(WEEKDAY(U$5,2),"Mo","Di","Mi","Do","Fr","Sa","So"))</f>
        <v>Mi</v>
      </c>
      <c r="V9" s="55" t="str">
        <f aca="false">IF(V$5="","",CHOOSE(WEEKDAY(V$5,2),"Mo","Di","Mi","Do","Fr","Sa","So"))</f>
        <v>Do</v>
      </c>
      <c r="W9" s="55" t="str">
        <f aca="false">IF(W$5="","",CHOOSE(WEEKDAY(W$5,2),"Mo","Di","Mi","Do","Fr","Sa","So"))</f>
        <v>Fr</v>
      </c>
      <c r="X9" s="55" t="str">
        <f aca="false">IF(X$5="","",CHOOSE(WEEKDAY(X$5,2),"Mo","Di","Mi","Do","Fr","Sa","So"))</f>
        <v>Sa</v>
      </c>
      <c r="Y9" s="55" t="str">
        <f aca="false">IF(Y$5="","",CHOOSE(WEEKDAY(Y$5,2),"Mo","Di","Mi","Do","Fr","Sa","So"))</f>
        <v>So</v>
      </c>
      <c r="Z9" s="55" t="str">
        <f aca="false">IF(Z$5="","",CHOOSE(WEEKDAY(Z$5,2),"Mo","Di","Mi","Do","Fr","Sa","So"))</f>
        <v>Mo</v>
      </c>
      <c r="AA9" s="55" t="str">
        <f aca="false">IF(AA$5="","",CHOOSE(WEEKDAY(AA$5,2),"Mo","Di","Mi","Do","Fr","Sa","So"))</f>
        <v>Di</v>
      </c>
      <c r="AB9" s="55" t="str">
        <f aca="false">IF(AB$5="","",CHOOSE(WEEKDAY(AB$5,2),"Mo","Di","Mi","Do","Fr","Sa","So"))</f>
        <v>Mi</v>
      </c>
      <c r="AC9" s="55" t="str">
        <f aca="false">IF(AC$5="","",CHOOSE(WEEKDAY(AC$5,2),"Mo","Di","Mi","Do","Fr","Sa","So"))</f>
        <v>Do</v>
      </c>
      <c r="AD9" s="55" t="str">
        <f aca="false">IF(AD$5="","",CHOOSE(WEEKDAY(AD$5,2),"Mo","Di","Mi","Do","Fr","Sa","So"))</f>
        <v>Fr</v>
      </c>
      <c r="AE9" s="55" t="str">
        <f aca="false">IF(AE$5="","",CHOOSE(WEEKDAY(AE$5,2),"Mo","Di","Mi","Do","Fr","Sa","So"))</f>
        <v>Sa</v>
      </c>
      <c r="AF9" s="55" t="str">
        <f aca="false">IF(AF$5="","",CHOOSE(WEEKDAY(AF$5,2),"Mo","Di","Mi","Do","Fr","Sa","So"))</f>
        <v>So</v>
      </c>
      <c r="AG9" s="55" t="str">
        <f aca="false">IF(AG$5="","",CHOOSE(WEEKDAY(AG$5,2),"Mo","Di","Mi","Do","Fr","Sa","So"))</f>
        <v>Mo</v>
      </c>
      <c r="AH9" s="55" t="str">
        <f aca="false">IF(AH$5="","",CHOOSE(WEEKDAY(AH$5,2),"Mo","Di","Mi","Do","Fr","Sa","So"))</f>
        <v>Di</v>
      </c>
      <c r="AI9" s="55" t="str">
        <f aca="false">IF(AI$5="","",CHOOSE(WEEKDAY(AI$5,2),"Mo","Di","Mi","Do","Fr","Sa","So"))</f>
        <v>Mi</v>
      </c>
      <c r="AJ9" s="55" t="str">
        <f aca="false">IF(AJ$5="","",CHOOSE(WEEKDAY(AJ$5,2),"Mo","Di","Mi","Do","Fr","Sa","So"))</f>
        <v>Do</v>
      </c>
      <c r="AK9" s="55" t="str">
        <f aca="false">IF(AK$5="","",CHOOSE(WEEKDAY(AK$5,2),"Mo","Di","Mi","Do","Fr","Sa","So"))</f>
        <v>Fr</v>
      </c>
      <c r="AL9" s="55" t="str">
        <f aca="false">IF(AL$5="","",CHOOSE(WEEKDAY(AL$5,2),"Mo","Di","Mi","Do","Fr","Sa","So"))</f>
        <v>Sa</v>
      </c>
      <c r="AM9" s="54" t="str">
        <f aca="false">IF(AM$5="","",CHOOSE(WEEKDAY(AM$5,2),"Mo","Di","Mi","Do","Fr","Sa","So"))</f>
        <v>So</v>
      </c>
      <c r="AN9" s="55" t="str">
        <f aca="false">IF(AN$5="","",CHOOSE(WEEKDAY(AN$5,2),"Mo","Di","Mi","Do","Fr","Sa","So"))</f>
        <v>Mo</v>
      </c>
      <c r="AO9" s="55" t="str">
        <f aca="false">IF(AO$5="","",CHOOSE(WEEKDAY(AO$5,2),"Mo","Di","Mi","Do","Fr","Sa","So"))</f>
        <v>Di</v>
      </c>
      <c r="AP9" s="55" t="str">
        <f aca="false">IF(AP$5="","",CHOOSE(WEEKDAY(AP$5,2),"Mo","Di","Mi","Do","Fr","Sa","So"))</f>
        <v>Mi</v>
      </c>
      <c r="AQ9" s="55" t="str">
        <f aca="false">IF(AQ$5="","",CHOOSE(WEEKDAY(AQ$5,2),"Mo","Di","Mi","Do","Fr","Sa","So"))</f>
        <v>Do</v>
      </c>
      <c r="AR9" s="55" t="str">
        <f aca="false">IF(AR$5="","",CHOOSE(WEEKDAY(AR$5,2),"Mo","Di","Mi","Do","Fr","Sa","So"))</f>
        <v>Fr</v>
      </c>
      <c r="AS9" s="55" t="str">
        <f aca="false">IF(AS$5="","",CHOOSE(WEEKDAY(AS$5,2),"Mo","Di","Mi","Do","Fr","Sa","So"))</f>
        <v>Sa</v>
      </c>
      <c r="AT9" s="55" t="str">
        <f aca="false">IF(AT$5="","",CHOOSE(WEEKDAY(AT$5,2),"Mo","Di","Mi","Do","Fr","Sa","So"))</f>
        <v>So</v>
      </c>
      <c r="AU9" s="55" t="str">
        <f aca="false">IF(AU$5="","",CHOOSE(WEEKDAY(AU$5,2),"Mo","Di","Mi","Do","Fr","Sa","So"))</f>
        <v>Mo</v>
      </c>
      <c r="AV9" s="55" t="str">
        <f aca="false">IF(AV$5="","",CHOOSE(WEEKDAY(AV$5,2),"Mo","Di","Mi","Do","Fr","Sa","So"))</f>
        <v>Di</v>
      </c>
      <c r="AW9" s="55" t="str">
        <f aca="false">IF(AW$5="","",CHOOSE(WEEKDAY(AW$5,2),"Mo","Di","Mi","Do","Fr","Sa","So"))</f>
        <v>Mi</v>
      </c>
      <c r="AX9" s="55" t="str">
        <f aca="false">IF(AX$5="","",CHOOSE(WEEKDAY(AX$5,2),"Mo","Di","Mi","Do","Fr","Sa","So"))</f>
        <v>Do</v>
      </c>
      <c r="AY9" s="55" t="str">
        <f aca="false">IF(AY$5="","",CHOOSE(WEEKDAY(AY$5,2),"Mo","Di","Mi","Do","Fr","Sa","So"))</f>
        <v>Fr</v>
      </c>
      <c r="AZ9" s="55" t="str">
        <f aca="false">IF(AZ$5="","",CHOOSE(WEEKDAY(AZ$5,2),"Mo","Di","Mi","Do","Fr","Sa","So"))</f>
        <v>Sa</v>
      </c>
      <c r="BA9" s="55" t="str">
        <f aca="false">IF(BA$5="","",CHOOSE(WEEKDAY(BA$5,2),"Mo","Di","Mi","Do","Fr","Sa","So"))</f>
        <v>So</v>
      </c>
      <c r="BB9" s="55" t="str">
        <f aca="false">IF(BB$5="","",CHOOSE(WEEKDAY(BB$5,2),"Mo","Di","Mi","Do","Fr","Sa","So"))</f>
        <v>Mo</v>
      </c>
      <c r="BC9" s="55" t="str">
        <f aca="false">IF(BC$5="","",CHOOSE(WEEKDAY(BC$5,2),"Mo","Di","Mi","Do","Fr","Sa","So"))</f>
        <v>Di</v>
      </c>
      <c r="BD9" s="55" t="str">
        <f aca="false">IF(BD$5="","",CHOOSE(WEEKDAY(BD$5,2),"Mo","Di","Mi","Do","Fr","Sa","So"))</f>
        <v>Mi</v>
      </c>
      <c r="BE9" s="55" t="str">
        <f aca="false">IF(BE$5="","",CHOOSE(WEEKDAY(BE$5,2),"Mo","Di","Mi","Do","Fr","Sa","So"))</f>
        <v>Do</v>
      </c>
      <c r="BF9" s="55" t="str">
        <f aca="false">IF(BF$5="","",CHOOSE(WEEKDAY(BF$5,2),"Mo","Di","Mi","Do","Fr","Sa","So"))</f>
        <v>Fr</v>
      </c>
      <c r="BG9" s="55" t="str">
        <f aca="false">IF(BG$5="","",CHOOSE(WEEKDAY(BG$5,2),"Mo","Di","Mi","Do","Fr","Sa","So"))</f>
        <v>Sa</v>
      </c>
      <c r="BH9" s="55" t="str">
        <f aca="false">IF(BH$5="","",CHOOSE(WEEKDAY(BH$5,2),"Mo","Di","Mi","Do","Fr","Sa","So"))</f>
        <v>So</v>
      </c>
      <c r="BI9" s="55" t="str">
        <f aca="false">IF(BI$5="","",CHOOSE(WEEKDAY(BI$5,2),"Mo","Di","Mi","Do","Fr","Sa","So"))</f>
        <v>Mo</v>
      </c>
      <c r="BJ9" s="55" t="str">
        <f aca="false">IF(BJ$5="","",CHOOSE(WEEKDAY(BJ$5,2),"Mo","Di","Mi","Do","Fr","Sa","So"))</f>
        <v>Di</v>
      </c>
      <c r="BK9" s="55" t="str">
        <f aca="false">IF(BK$5="","",CHOOSE(WEEKDAY(BK$5,2),"Mo","Di","Mi","Do","Fr","Sa","So"))</f>
        <v>Mi</v>
      </c>
      <c r="BL9" s="55" t="str">
        <f aca="false">IF(BL$5="","",CHOOSE(WEEKDAY(BL$5,2),"Mo","Di","Mi","Do","Fr","Sa","So"))</f>
        <v>Do</v>
      </c>
      <c r="BM9" s="55" t="str">
        <f aca="false">IF(BM$5="","",CHOOSE(WEEKDAY(BM$5,2),"Mo","Di","Mi","Do","Fr","Sa","So"))</f>
        <v>Fr</v>
      </c>
      <c r="BN9" s="55" t="str">
        <f aca="false">IF(BN$5="","",CHOOSE(WEEKDAY(BN$5,2),"Mo","Di","Mi","Do","Fr","Sa","So"))</f>
        <v>Sa</v>
      </c>
      <c r="BO9" s="55" t="str">
        <f aca="false">IF(BO$5="","",CHOOSE(WEEKDAY(BO$5,2),"Mo","Di","Mi","Do","Fr","Sa","So"))</f>
        <v/>
      </c>
      <c r="BP9" s="55" t="str">
        <f aca="false">IF(BP$5="","",CHOOSE(WEEKDAY(BP$5,2),"Mo","Di","Mi","Do","Fr","Sa","So"))</f>
        <v/>
      </c>
      <c r="BQ9" s="55" t="str">
        <f aca="false">IF(BQ$5="","",CHOOSE(WEEKDAY(BQ$5,2),"Mo","Di","Mi","Do","Fr","Sa","So"))</f>
        <v/>
      </c>
      <c r="BR9" s="54" t="str">
        <f aca="false">IF(BR$5="","",CHOOSE(WEEKDAY(BR$5,2),"Mo","Di","Mi","Do","Fr","Sa","So"))</f>
        <v>So</v>
      </c>
      <c r="BS9" s="55" t="str">
        <f aca="false">IF(BS$5="","",CHOOSE(WEEKDAY(BS$5,2),"Mo","Di","Mi","Do","Fr","Sa","So"))</f>
        <v>Mo</v>
      </c>
      <c r="BT9" s="55" t="str">
        <f aca="false">IF(BT$5="","",CHOOSE(WEEKDAY(BT$5,2),"Mo","Di","Mi","Do","Fr","Sa","So"))</f>
        <v>Di</v>
      </c>
      <c r="BU9" s="55" t="str">
        <f aca="false">IF(BU$5="","",CHOOSE(WEEKDAY(BU$5,2),"Mo","Di","Mi","Do","Fr","Sa","So"))</f>
        <v>Mi</v>
      </c>
      <c r="BV9" s="55" t="str">
        <f aca="false">IF(BV$5="","",CHOOSE(WEEKDAY(BV$5,2),"Mo","Di","Mi","Do","Fr","Sa","So"))</f>
        <v>Do</v>
      </c>
      <c r="BW9" s="55" t="str">
        <f aca="false">IF(BW$5="","",CHOOSE(WEEKDAY(BW$5,2),"Mo","Di","Mi","Do","Fr","Sa","So"))</f>
        <v>Fr</v>
      </c>
      <c r="BX9" s="55" t="str">
        <f aca="false">IF(BX$5="","",CHOOSE(WEEKDAY(BX$5,2),"Mo","Di","Mi","Do","Fr","Sa","So"))</f>
        <v>Sa</v>
      </c>
      <c r="BY9" s="55" t="str">
        <f aca="false">IF(BY$5="","",CHOOSE(WEEKDAY(BY$5,2),"Mo","Di","Mi","Do","Fr","Sa","So"))</f>
        <v>So</v>
      </c>
      <c r="BZ9" s="55" t="str">
        <f aca="false">IF(BZ$5="","",CHOOSE(WEEKDAY(BZ$5,2),"Mo","Di","Mi","Do","Fr","Sa","So"))</f>
        <v>Mo</v>
      </c>
      <c r="CA9" s="55" t="str">
        <f aca="false">IF(CA$5="","",CHOOSE(WEEKDAY(CA$5,2),"Mo","Di","Mi","Do","Fr","Sa","So"))</f>
        <v>Di</v>
      </c>
      <c r="CB9" s="55" t="str">
        <f aca="false">IF(CB$5="","",CHOOSE(WEEKDAY(CB$5,2),"Mo","Di","Mi","Do","Fr","Sa","So"))</f>
        <v>Mi</v>
      </c>
      <c r="CC9" s="55" t="str">
        <f aca="false">IF(CC$5="","",CHOOSE(WEEKDAY(CC$5,2),"Mo","Di","Mi","Do","Fr","Sa","So"))</f>
        <v>Do</v>
      </c>
      <c r="CD9" s="55" t="str">
        <f aca="false">IF(CD$5="","",CHOOSE(WEEKDAY(CD$5,2),"Mo","Di","Mi","Do","Fr","Sa","So"))</f>
        <v>Fr</v>
      </c>
      <c r="CE9" s="55" t="str">
        <f aca="false">IF(CE$5="","",CHOOSE(WEEKDAY(CE$5,2),"Mo","Di","Mi","Do","Fr","Sa","So"))</f>
        <v>Sa</v>
      </c>
      <c r="CF9" s="55" t="str">
        <f aca="false">IF(CF$5="","",CHOOSE(WEEKDAY(CF$5,2),"Mo","Di","Mi","Do","Fr","Sa","So"))</f>
        <v>So</v>
      </c>
      <c r="CG9" s="55" t="str">
        <f aca="false">IF(CG$5="","",CHOOSE(WEEKDAY(CG$5,2),"Mo","Di","Mi","Do","Fr","Sa","So"))</f>
        <v>Mo</v>
      </c>
      <c r="CH9" s="55" t="str">
        <f aca="false">IF(CH$5="","",CHOOSE(WEEKDAY(CH$5,2),"Mo","Di","Mi","Do","Fr","Sa","So"))</f>
        <v>Di</v>
      </c>
      <c r="CI9" s="55" t="str">
        <f aca="false">IF(CI$5="","",CHOOSE(WEEKDAY(CI$5,2),"Mo","Di","Mi","Do","Fr","Sa","So"))</f>
        <v>Mi</v>
      </c>
      <c r="CJ9" s="55" t="str">
        <f aca="false">IF(CJ$5="","",CHOOSE(WEEKDAY(CJ$5,2),"Mo","Di","Mi","Do","Fr","Sa","So"))</f>
        <v>Do</v>
      </c>
      <c r="CK9" s="55" t="str">
        <f aca="false">IF(CK$5="","",CHOOSE(WEEKDAY(CK$5,2),"Mo","Di","Mi","Do","Fr","Sa","So"))</f>
        <v>Fr</v>
      </c>
      <c r="CL9" s="55" t="str">
        <f aca="false">IF(CL$5="","",CHOOSE(WEEKDAY(CL$5,2),"Mo","Di","Mi","Do","Fr","Sa","So"))</f>
        <v>Sa</v>
      </c>
      <c r="CM9" s="55" t="str">
        <f aca="false">IF(CM$5="","",CHOOSE(WEEKDAY(CM$5,2),"Mo","Di","Mi","Do","Fr","Sa","So"))</f>
        <v>So</v>
      </c>
      <c r="CN9" s="55" t="str">
        <f aca="false">IF(CN$5="","",CHOOSE(WEEKDAY(CN$5,2),"Mo","Di","Mi","Do","Fr","Sa","So"))</f>
        <v>Mo</v>
      </c>
      <c r="CO9" s="55" t="str">
        <f aca="false">IF(CO$5="","",CHOOSE(WEEKDAY(CO$5,2),"Mo","Di","Mi","Do","Fr","Sa","So"))</f>
        <v>Di</v>
      </c>
      <c r="CP9" s="55" t="str">
        <f aca="false">IF(CP$5="","",CHOOSE(WEEKDAY(CP$5,2),"Mo","Di","Mi","Do","Fr","Sa","So"))</f>
        <v>Mi</v>
      </c>
      <c r="CQ9" s="55" t="str">
        <f aca="false">IF(CQ$5="","",CHOOSE(WEEKDAY(CQ$5,2),"Mo","Di","Mi","Do","Fr","Sa","So"))</f>
        <v>Do</v>
      </c>
      <c r="CR9" s="55" t="str">
        <f aca="false">IF(CR$5="","",CHOOSE(WEEKDAY(CR$5,2),"Mo","Di","Mi","Do","Fr","Sa","So"))</f>
        <v>Fr</v>
      </c>
      <c r="CS9" s="55" t="str">
        <f aca="false">IF(CS$5="","",CHOOSE(WEEKDAY(CS$5,2),"Mo","Di","Mi","Do","Fr","Sa","So"))</f>
        <v>Sa</v>
      </c>
      <c r="CT9" s="55" t="str">
        <f aca="false">IF(CT$5="","",CHOOSE(WEEKDAY(CT$5,2),"Mo","Di","Mi","Do","Fr","Sa","So"))</f>
        <v>So</v>
      </c>
      <c r="CU9" s="55" t="str">
        <f aca="false">IF(CU$5="","",CHOOSE(WEEKDAY(CU$5,2),"Mo","Di","Mi","Do","Fr","Sa","So"))</f>
        <v>Mo</v>
      </c>
      <c r="CV9" s="55" t="str">
        <f aca="false">IF(CV$5="","",CHOOSE(WEEKDAY(CV$5,2),"Mo","Di","Mi","Do","Fr","Sa","So"))</f>
        <v>Di</v>
      </c>
      <c r="CW9" s="54" t="str">
        <f aca="false">IF(CW$5="","",CHOOSE(WEEKDAY(CW$5,2),"Mo","Di","Mi","Do","Fr","Sa","So"))</f>
        <v>Mi</v>
      </c>
      <c r="CX9" s="55" t="str">
        <f aca="false">IF(CX$5="","",CHOOSE(WEEKDAY(CX$5,2),"Mo","Di","Mi","Do","Fr","Sa","So"))</f>
        <v>Do</v>
      </c>
      <c r="CY9" s="55" t="str">
        <f aca="false">IF(CY$5="","",CHOOSE(WEEKDAY(CY$5,2),"Mo","Di","Mi","Do","Fr","Sa","So"))</f>
        <v>Fr</v>
      </c>
      <c r="CZ9" s="55" t="str">
        <f aca="false">IF(CZ$5="","",CHOOSE(WEEKDAY(CZ$5,2),"Mo","Di","Mi","Do","Fr","Sa","So"))</f>
        <v>Sa</v>
      </c>
      <c r="DA9" s="55" t="str">
        <f aca="false">IF(DA$5="","",CHOOSE(WEEKDAY(DA$5,2),"Mo","Di","Mi","Do","Fr","Sa","So"))</f>
        <v>So</v>
      </c>
      <c r="DB9" s="55" t="str">
        <f aca="false">IF(DB$5="","",CHOOSE(WEEKDAY(DB$5,2),"Mo","Di","Mi","Do","Fr","Sa","So"))</f>
        <v>Mo</v>
      </c>
      <c r="DC9" s="55" t="str">
        <f aca="false">IF(DC$5="","",CHOOSE(WEEKDAY(DC$5,2),"Mo","Di","Mi","Do","Fr","Sa","So"))</f>
        <v>Di</v>
      </c>
      <c r="DD9" s="55" t="str">
        <f aca="false">IF(DD$5="","",CHOOSE(WEEKDAY(DD$5,2),"Mo","Di","Mi","Do","Fr","Sa","So"))</f>
        <v>Mi</v>
      </c>
      <c r="DE9" s="55" t="str">
        <f aca="false">IF(DE$5="","",CHOOSE(WEEKDAY(DE$5,2),"Mo","Di","Mi","Do","Fr","Sa","So"))</f>
        <v>Do</v>
      </c>
      <c r="DF9" s="55" t="str">
        <f aca="false">IF(DF$5="","",CHOOSE(WEEKDAY(DF$5,2),"Mo","Di","Mi","Do","Fr","Sa","So"))</f>
        <v>Fr</v>
      </c>
      <c r="DG9" s="55" t="str">
        <f aca="false">IF(DG$5="","",CHOOSE(WEEKDAY(DG$5,2),"Mo","Di","Mi","Do","Fr","Sa","So"))</f>
        <v>Sa</v>
      </c>
      <c r="DH9" s="55" t="str">
        <f aca="false">IF(DH$5="","",CHOOSE(WEEKDAY(DH$5,2),"Mo","Di","Mi","Do","Fr","Sa","So"))</f>
        <v>So</v>
      </c>
      <c r="DI9" s="55" t="str">
        <f aca="false">IF(DI$5="","",CHOOSE(WEEKDAY(DI$5,2),"Mo","Di","Mi","Do","Fr","Sa","So"))</f>
        <v>Mo</v>
      </c>
      <c r="DJ9" s="55" t="str">
        <f aca="false">IF(DJ$5="","",CHOOSE(WEEKDAY(DJ$5,2),"Mo","Di","Mi","Do","Fr","Sa","So"))</f>
        <v>Di</v>
      </c>
      <c r="DK9" s="55" t="str">
        <f aca="false">IF(DK$5="","",CHOOSE(WEEKDAY(DK$5,2),"Mo","Di","Mi","Do","Fr","Sa","So"))</f>
        <v>Mi</v>
      </c>
      <c r="DL9" s="55" t="str">
        <f aca="false">IF(DL$5="","",CHOOSE(WEEKDAY(DL$5,2),"Mo","Di","Mi","Do","Fr","Sa","So"))</f>
        <v>Do</v>
      </c>
      <c r="DM9" s="55" t="str">
        <f aca="false">IF(DM$5="","",CHOOSE(WEEKDAY(DM$5,2),"Mo","Di","Mi","Do","Fr","Sa","So"))</f>
        <v>Fr</v>
      </c>
      <c r="DN9" s="55" t="str">
        <f aca="false">IF(DN$5="","",CHOOSE(WEEKDAY(DN$5,2),"Mo","Di","Mi","Do","Fr","Sa","So"))</f>
        <v>Sa</v>
      </c>
      <c r="DO9" s="55" t="str">
        <f aca="false">IF(DO$5="","",CHOOSE(WEEKDAY(DO$5,2),"Mo","Di","Mi","Do","Fr","Sa","So"))</f>
        <v>So</v>
      </c>
      <c r="DP9" s="55" t="str">
        <f aca="false">IF(DP$5="","",CHOOSE(WEEKDAY(DP$5,2),"Mo","Di","Mi","Do","Fr","Sa","So"))</f>
        <v>Mo</v>
      </c>
      <c r="DQ9" s="55" t="str">
        <f aca="false">IF(DQ$5="","",CHOOSE(WEEKDAY(DQ$5,2),"Mo","Di","Mi","Do","Fr","Sa","So"))</f>
        <v>Di</v>
      </c>
      <c r="DR9" s="55" t="str">
        <f aca="false">IF(DR$5="","",CHOOSE(WEEKDAY(DR$5,2),"Mo","Di","Mi","Do","Fr","Sa","So"))</f>
        <v>Mi</v>
      </c>
      <c r="DS9" s="55" t="str">
        <f aca="false">IF(DS$5="","",CHOOSE(WEEKDAY(DS$5,2),"Mo","Di","Mi","Do","Fr","Sa","So"))</f>
        <v>Do</v>
      </c>
      <c r="DT9" s="55" t="str">
        <f aca="false">IF(DT$5="","",CHOOSE(WEEKDAY(DT$5,2),"Mo","Di","Mi","Do","Fr","Sa","So"))</f>
        <v>Fr</v>
      </c>
      <c r="DU9" s="55" t="str">
        <f aca="false">IF(DU$5="","",CHOOSE(WEEKDAY(DU$5,2),"Mo","Di","Mi","Do","Fr","Sa","So"))</f>
        <v>Sa</v>
      </c>
      <c r="DV9" s="55" t="str">
        <f aca="false">IF(DV$5="","",CHOOSE(WEEKDAY(DV$5,2),"Mo","Di","Mi","Do","Fr","Sa","So"))</f>
        <v>So</v>
      </c>
      <c r="DW9" s="55" t="str">
        <f aca="false">IF(DW$5="","",CHOOSE(WEEKDAY(DW$5,2),"Mo","Di","Mi","Do","Fr","Sa","So"))</f>
        <v>Mo</v>
      </c>
      <c r="DX9" s="55" t="str">
        <f aca="false">IF(DX$5="","",CHOOSE(WEEKDAY(DX$5,2),"Mo","Di","Mi","Do","Fr","Sa","So"))</f>
        <v>Di</v>
      </c>
      <c r="DY9" s="55" t="str">
        <f aca="false">IF(DY$5="","",CHOOSE(WEEKDAY(DY$5,2),"Mo","Di","Mi","Do","Fr","Sa","So"))</f>
        <v>Mi</v>
      </c>
      <c r="DZ9" s="55" t="str">
        <f aca="false">IF(DZ$5="","",CHOOSE(WEEKDAY(DZ$5,2),"Mo","Di","Mi","Do","Fr","Sa","So"))</f>
        <v>Do</v>
      </c>
      <c r="EA9" s="55" t="str">
        <f aca="false">IF(EA$5="","",CHOOSE(WEEKDAY(EA$5,2),"Mo","Di","Mi","Do","Fr","Sa","So"))</f>
        <v/>
      </c>
      <c r="EB9" s="54" t="str">
        <f aca="false">IF(EB$5="","",CHOOSE(WEEKDAY(EB$5,2),"Mo","Di","Mi","Do","Fr","Sa","So"))</f>
        <v>Fr</v>
      </c>
      <c r="EC9" s="55" t="str">
        <f aca="false">IF(EC$5="","",CHOOSE(WEEKDAY(EC$5,2),"Mo","Di","Mi","Do","Fr","Sa","So"))</f>
        <v>Sa</v>
      </c>
      <c r="ED9" s="55" t="str">
        <f aca="false">IF(ED$5="","",CHOOSE(WEEKDAY(ED$5,2),"Mo","Di","Mi","Do","Fr","Sa","So"))</f>
        <v>So</v>
      </c>
      <c r="EE9" s="55" t="str">
        <f aca="false">IF(EE$5="","",CHOOSE(WEEKDAY(EE$5,2),"Mo","Di","Mi","Do","Fr","Sa","So"))</f>
        <v>Mo</v>
      </c>
      <c r="EF9" s="55" t="str">
        <f aca="false">IF(EF$5="","",CHOOSE(WEEKDAY(EF$5,2),"Mo","Di","Mi","Do","Fr","Sa","So"))</f>
        <v>Di</v>
      </c>
      <c r="EG9" s="55" t="str">
        <f aca="false">IF(EG$5="","",CHOOSE(WEEKDAY(EG$5,2),"Mo","Di","Mi","Do","Fr","Sa","So"))</f>
        <v>Mi</v>
      </c>
      <c r="EH9" s="55" t="str">
        <f aca="false">IF(EH$5="","",CHOOSE(WEEKDAY(EH$5,2),"Mo","Di","Mi","Do","Fr","Sa","So"))</f>
        <v>Do</v>
      </c>
      <c r="EI9" s="55" t="str">
        <f aca="false">IF(EI$5="","",CHOOSE(WEEKDAY(EI$5,2),"Mo","Di","Mi","Do","Fr","Sa","So"))</f>
        <v>Fr</v>
      </c>
      <c r="EJ9" s="55" t="str">
        <f aca="false">IF(EJ$5="","",CHOOSE(WEEKDAY(EJ$5,2),"Mo","Di","Mi","Do","Fr","Sa","So"))</f>
        <v>Sa</v>
      </c>
      <c r="EK9" s="55" t="str">
        <f aca="false">IF(EK$5="","",CHOOSE(WEEKDAY(EK$5,2),"Mo","Di","Mi","Do","Fr","Sa","So"))</f>
        <v>So</v>
      </c>
      <c r="EL9" s="55" t="str">
        <f aca="false">IF(EL$5="","",CHOOSE(WEEKDAY(EL$5,2),"Mo","Di","Mi","Do","Fr","Sa","So"))</f>
        <v>Mo</v>
      </c>
      <c r="EM9" s="55" t="str">
        <f aca="false">IF(EM$5="","",CHOOSE(WEEKDAY(EM$5,2),"Mo","Di","Mi","Do","Fr","Sa","So"))</f>
        <v>Di</v>
      </c>
      <c r="EN9" s="55" t="str">
        <f aca="false">IF(EN$5="","",CHOOSE(WEEKDAY(EN$5,2),"Mo","Di","Mi","Do","Fr","Sa","So"))</f>
        <v>Mi</v>
      </c>
      <c r="EO9" s="55" t="str">
        <f aca="false">IF(EO$5="","",CHOOSE(WEEKDAY(EO$5,2),"Mo","Di","Mi","Do","Fr","Sa","So"))</f>
        <v>Do</v>
      </c>
      <c r="EP9" s="55" t="str">
        <f aca="false">IF(EP$5="","",CHOOSE(WEEKDAY(EP$5,2),"Mo","Di","Mi","Do","Fr","Sa","So"))</f>
        <v>Fr</v>
      </c>
      <c r="EQ9" s="55" t="str">
        <f aca="false">IF(EQ$5="","",CHOOSE(WEEKDAY(EQ$5,2),"Mo","Di","Mi","Do","Fr","Sa","So"))</f>
        <v>Sa</v>
      </c>
      <c r="ER9" s="55" t="str">
        <f aca="false">IF(ER$5="","",CHOOSE(WEEKDAY(ER$5,2),"Mo","Di","Mi","Do","Fr","Sa","So"))</f>
        <v>So</v>
      </c>
      <c r="ES9" s="55" t="str">
        <f aca="false">IF(ES$5="","",CHOOSE(WEEKDAY(ES$5,2),"Mo","Di","Mi","Do","Fr","Sa","So"))</f>
        <v>Mo</v>
      </c>
      <c r="ET9" s="55" t="str">
        <f aca="false">IF(ET$5="","",CHOOSE(WEEKDAY(ET$5,2),"Mo","Di","Mi","Do","Fr","Sa","So"))</f>
        <v>Di</v>
      </c>
      <c r="EU9" s="55" t="str">
        <f aca="false">IF(EU$5="","",CHOOSE(WEEKDAY(EU$5,2),"Mo","Di","Mi","Do","Fr","Sa","So"))</f>
        <v>Mi</v>
      </c>
      <c r="EV9" s="55" t="str">
        <f aca="false">IF(EV$5="","",CHOOSE(WEEKDAY(EV$5,2),"Mo","Di","Mi","Do","Fr","Sa","So"))</f>
        <v>Do</v>
      </c>
      <c r="EW9" s="55" t="str">
        <f aca="false">IF(EW$5="","",CHOOSE(WEEKDAY(EW$5,2),"Mo","Di","Mi","Do","Fr","Sa","So"))</f>
        <v>Fr</v>
      </c>
      <c r="EX9" s="55" t="str">
        <f aca="false">IF(EX$5="","",CHOOSE(WEEKDAY(EX$5,2),"Mo","Di","Mi","Do","Fr","Sa","So"))</f>
        <v>Sa</v>
      </c>
      <c r="EY9" s="55" t="str">
        <f aca="false">IF(EY$5="","",CHOOSE(WEEKDAY(EY$5,2),"Mo","Di","Mi","Do","Fr","Sa","So"))</f>
        <v>So</v>
      </c>
      <c r="EZ9" s="55" t="str">
        <f aca="false">IF(EZ$5="","",CHOOSE(WEEKDAY(EZ$5,2),"Mo","Di","Mi","Do","Fr","Sa","So"))</f>
        <v>Mo</v>
      </c>
      <c r="FA9" s="55" t="str">
        <f aca="false">IF(FA$5="","",CHOOSE(WEEKDAY(FA$5,2),"Mo","Di","Mi","Do","Fr","Sa","So"))</f>
        <v>Di</v>
      </c>
      <c r="FB9" s="55" t="str">
        <f aca="false">IF(FB$5="","",CHOOSE(WEEKDAY(FB$5,2),"Mo","Di","Mi","Do","Fr","Sa","So"))</f>
        <v>Mi</v>
      </c>
      <c r="FC9" s="55" t="str">
        <f aca="false">IF(FC$5="","",CHOOSE(WEEKDAY(FC$5,2),"Mo","Di","Mi","Do","Fr","Sa","So"))</f>
        <v>Do</v>
      </c>
      <c r="FD9" s="55" t="str">
        <f aca="false">IF(FD$5="","",CHOOSE(WEEKDAY(FD$5,2),"Mo","Di","Mi","Do","Fr","Sa","So"))</f>
        <v>Fr</v>
      </c>
      <c r="FE9" s="55" t="str">
        <f aca="false">IF(FE$5="","",CHOOSE(WEEKDAY(FE$5,2),"Mo","Di","Mi","Do","Fr","Sa","So"))</f>
        <v>Sa</v>
      </c>
      <c r="FF9" s="55" t="str">
        <f aca="false">IF(FF$5="","",CHOOSE(WEEKDAY(FF$5,2),"Mo","Di","Mi","Do","Fr","Sa","So"))</f>
        <v>So</v>
      </c>
      <c r="FG9" s="54" t="str">
        <f aca="false">IF(FG$5="","",CHOOSE(WEEKDAY(FG$5,2),"Mo","Di","Mi","Do","Fr","Sa","So"))</f>
        <v>Mo</v>
      </c>
      <c r="FH9" s="55" t="str">
        <f aca="false">IF(FH$5="","",CHOOSE(WEEKDAY(FH$5,2),"Mo","Di","Mi","Do","Fr","Sa","So"))</f>
        <v>Di</v>
      </c>
      <c r="FI9" s="55" t="str">
        <f aca="false">IF(FI$5="","",CHOOSE(WEEKDAY(FI$5,2),"Mo","Di","Mi","Do","Fr","Sa","So"))</f>
        <v>Mi</v>
      </c>
      <c r="FJ9" s="55" t="str">
        <f aca="false">IF(FJ$5="","",CHOOSE(WEEKDAY(FJ$5,2),"Mo","Di","Mi","Do","Fr","Sa","So"))</f>
        <v>Do</v>
      </c>
      <c r="FK9" s="55" t="str">
        <f aca="false">IF(FK$5="","",CHOOSE(WEEKDAY(FK$5,2),"Mo","Di","Mi","Do","Fr","Sa","So"))</f>
        <v>Fr</v>
      </c>
      <c r="FL9" s="55" t="str">
        <f aca="false">IF(FL$5="","",CHOOSE(WEEKDAY(FL$5,2),"Mo","Di","Mi","Do","Fr","Sa","So"))</f>
        <v>Sa</v>
      </c>
      <c r="FM9" s="55" t="str">
        <f aca="false">IF(FM$5="","",CHOOSE(WEEKDAY(FM$5,2),"Mo","Di","Mi","Do","Fr","Sa","So"))</f>
        <v>So</v>
      </c>
      <c r="FN9" s="55" t="str">
        <f aca="false">IF(FN$5="","",CHOOSE(WEEKDAY(FN$5,2),"Mo","Di","Mi","Do","Fr","Sa","So"))</f>
        <v>Mo</v>
      </c>
      <c r="FO9" s="55" t="str">
        <f aca="false">IF(FO$5="","",CHOOSE(WEEKDAY(FO$5,2),"Mo","Di","Mi","Do","Fr","Sa","So"))</f>
        <v>Di</v>
      </c>
      <c r="FP9" s="55" t="str">
        <f aca="false">IF(FP$5="","",CHOOSE(WEEKDAY(FP$5,2),"Mo","Di","Mi","Do","Fr","Sa","So"))</f>
        <v>Mi</v>
      </c>
      <c r="FQ9" s="55" t="str">
        <f aca="false">IF(FQ$5="","",CHOOSE(WEEKDAY(FQ$5,2),"Mo","Di","Mi","Do","Fr","Sa","So"))</f>
        <v>Do</v>
      </c>
      <c r="FR9" s="55" t="str">
        <f aca="false">IF(FR$5="","",CHOOSE(WEEKDAY(FR$5,2),"Mo","Di","Mi","Do","Fr","Sa","So"))</f>
        <v>Fr</v>
      </c>
      <c r="FS9" s="55" t="str">
        <f aca="false">IF(FS$5="","",CHOOSE(WEEKDAY(FS$5,2),"Mo","Di","Mi","Do","Fr","Sa","So"))</f>
        <v>Sa</v>
      </c>
      <c r="FT9" s="55" t="str">
        <f aca="false">IF(FT$5="","",CHOOSE(WEEKDAY(FT$5,2),"Mo","Di","Mi","Do","Fr","Sa","So"))</f>
        <v>So</v>
      </c>
      <c r="FU9" s="55" t="str">
        <f aca="false">IF(FU$5="","",CHOOSE(WEEKDAY(FU$5,2),"Mo","Di","Mi","Do","Fr","Sa","So"))</f>
        <v>Mo</v>
      </c>
      <c r="FV9" s="55" t="str">
        <f aca="false">IF(FV$5="","",CHOOSE(WEEKDAY(FV$5,2),"Mo","Di","Mi","Do","Fr","Sa","So"))</f>
        <v>Di</v>
      </c>
      <c r="FW9" s="55" t="str">
        <f aca="false">IF(FW$5="","",CHOOSE(WEEKDAY(FW$5,2),"Mo","Di","Mi","Do","Fr","Sa","So"))</f>
        <v>Mi</v>
      </c>
      <c r="FX9" s="55" t="str">
        <f aca="false">IF(FX$5="","",CHOOSE(WEEKDAY(FX$5,2),"Mo","Di","Mi","Do","Fr","Sa","So"))</f>
        <v>Do</v>
      </c>
      <c r="FY9" s="55" t="str">
        <f aca="false">IF(FY$5="","",CHOOSE(WEEKDAY(FY$5,2),"Mo","Di","Mi","Do","Fr","Sa","So"))</f>
        <v>Fr</v>
      </c>
      <c r="FZ9" s="55" t="str">
        <f aca="false">IF(FZ$5="","",CHOOSE(WEEKDAY(FZ$5,2),"Mo","Di","Mi","Do","Fr","Sa","So"))</f>
        <v>Sa</v>
      </c>
      <c r="GA9" s="55" t="str">
        <f aca="false">IF(GA$5="","",CHOOSE(WEEKDAY(GA$5,2),"Mo","Di","Mi","Do","Fr","Sa","So"))</f>
        <v>So</v>
      </c>
      <c r="GB9" s="55" t="str">
        <f aca="false">IF(GB$5="","",CHOOSE(WEEKDAY(GB$5,2),"Mo","Di","Mi","Do","Fr","Sa","So"))</f>
        <v>Mo</v>
      </c>
      <c r="GC9" s="55" t="str">
        <f aca="false">IF(GC$5="","",CHOOSE(WEEKDAY(GC$5,2),"Mo","Di","Mi","Do","Fr","Sa","So"))</f>
        <v>Di</v>
      </c>
      <c r="GD9" s="55" t="str">
        <f aca="false">IF(GD$5="","",CHOOSE(WEEKDAY(GD$5,2),"Mo","Di","Mi","Do","Fr","Sa","So"))</f>
        <v>Mi</v>
      </c>
      <c r="GE9" s="55" t="str">
        <f aca="false">IF(GE$5="","",CHOOSE(WEEKDAY(GE$5,2),"Mo","Di","Mi","Do","Fr","Sa","So"))</f>
        <v>Do</v>
      </c>
      <c r="GF9" s="55" t="str">
        <f aca="false">IF(GF$5="","",CHOOSE(WEEKDAY(GF$5,2),"Mo","Di","Mi","Do","Fr","Sa","So"))</f>
        <v>Fr</v>
      </c>
      <c r="GG9" s="55" t="str">
        <f aca="false">IF(GG$5="","",CHOOSE(WEEKDAY(GG$5,2),"Mo","Di","Mi","Do","Fr","Sa","So"))</f>
        <v>Sa</v>
      </c>
      <c r="GH9" s="55" t="str">
        <f aca="false">IF(GH$5="","",CHOOSE(WEEKDAY(GH$5,2),"Mo","Di","Mi","Do","Fr","Sa","So"))</f>
        <v>So</v>
      </c>
      <c r="GI9" s="55" t="str">
        <f aca="false">IF(GI$5="","",CHOOSE(WEEKDAY(GI$5,2),"Mo","Di","Mi","Do","Fr","Sa","So"))</f>
        <v>Mo</v>
      </c>
      <c r="GJ9" s="55" t="str">
        <f aca="false">IF(GJ$5="","",CHOOSE(WEEKDAY(GJ$5,2),"Mo","Di","Mi","Do","Fr","Sa","So"))</f>
        <v>Di</v>
      </c>
      <c r="GK9" s="55" t="str">
        <f aca="false">IF(GK$5="","",CHOOSE(WEEKDAY(GK$5,2),"Mo","Di","Mi","Do","Fr","Sa","So"))</f>
        <v/>
      </c>
      <c r="GL9" s="54" t="str">
        <f aca="false">IF(GL$5="","",CHOOSE(WEEKDAY(GL$5,2),"Mo","Di","Mi","Do","Fr","Sa","So"))</f>
        <v>Mi</v>
      </c>
      <c r="GM9" s="55" t="str">
        <f aca="false">IF(GM$5="","",CHOOSE(WEEKDAY(GM$5,2),"Mo","Di","Mi","Do","Fr","Sa","So"))</f>
        <v>Do</v>
      </c>
      <c r="GN9" s="55" t="str">
        <f aca="false">IF(GN$5="","",CHOOSE(WEEKDAY(GN$5,2),"Mo","Di","Mi","Do","Fr","Sa","So"))</f>
        <v>Fr</v>
      </c>
      <c r="GO9" s="55" t="str">
        <f aca="false">IF(GO$5="","",CHOOSE(WEEKDAY(GO$5,2),"Mo","Di","Mi","Do","Fr","Sa","So"))</f>
        <v>Sa</v>
      </c>
      <c r="GP9" s="55" t="str">
        <f aca="false">IF(GP$5="","",CHOOSE(WEEKDAY(GP$5,2),"Mo","Di","Mi","Do","Fr","Sa","So"))</f>
        <v>So</v>
      </c>
      <c r="GQ9" s="55" t="str">
        <f aca="false">IF(GQ$5="","",CHOOSE(WEEKDAY(GQ$5,2),"Mo","Di","Mi","Do","Fr","Sa","So"))</f>
        <v>Mo</v>
      </c>
      <c r="GR9" s="55" t="str">
        <f aca="false">IF(GR$5="","",CHOOSE(WEEKDAY(GR$5,2),"Mo","Di","Mi","Do","Fr","Sa","So"))</f>
        <v>Di</v>
      </c>
      <c r="GS9" s="55" t="str">
        <f aca="false">IF(GS$5="","",CHOOSE(WEEKDAY(GS$5,2),"Mo","Di","Mi","Do","Fr","Sa","So"))</f>
        <v>Mi</v>
      </c>
      <c r="GT9" s="55" t="str">
        <f aca="false">IF(GT$5="","",CHOOSE(WEEKDAY(GT$5,2),"Mo","Di","Mi","Do","Fr","Sa","So"))</f>
        <v>Do</v>
      </c>
      <c r="GU9" s="55" t="str">
        <f aca="false">IF(GU$5="","",CHOOSE(WEEKDAY(GU$5,2),"Mo","Di","Mi","Do","Fr","Sa","So"))</f>
        <v>Fr</v>
      </c>
      <c r="GV9" s="55" t="str">
        <f aca="false">IF(GV$5="","",CHOOSE(WEEKDAY(GV$5,2),"Mo","Di","Mi","Do","Fr","Sa","So"))</f>
        <v>Sa</v>
      </c>
      <c r="GW9" s="55" t="str">
        <f aca="false">IF(GW$5="","",CHOOSE(WEEKDAY(GW$5,2),"Mo","Di","Mi","Do","Fr","Sa","So"))</f>
        <v>So</v>
      </c>
      <c r="GX9" s="55" t="str">
        <f aca="false">IF(GX$5="","",CHOOSE(WEEKDAY(GX$5,2),"Mo","Di","Mi","Do","Fr","Sa","So"))</f>
        <v>Mo</v>
      </c>
      <c r="GY9" s="55" t="str">
        <f aca="false">IF(GY$5="","",CHOOSE(WEEKDAY(GY$5,2),"Mo","Di","Mi","Do","Fr","Sa","So"))</f>
        <v>Di</v>
      </c>
      <c r="GZ9" s="55" t="str">
        <f aca="false">IF(GZ$5="","",CHOOSE(WEEKDAY(GZ$5,2),"Mo","Di","Mi","Do","Fr","Sa","So"))</f>
        <v>Mi</v>
      </c>
      <c r="HA9" s="55" t="str">
        <f aca="false">IF(HA$5="","",CHOOSE(WEEKDAY(HA$5,2),"Mo","Di","Mi","Do","Fr","Sa","So"))</f>
        <v>Do</v>
      </c>
      <c r="HB9" s="55" t="str">
        <f aca="false">IF(HB$5="","",CHOOSE(WEEKDAY(HB$5,2),"Mo","Di","Mi","Do","Fr","Sa","So"))</f>
        <v>Fr</v>
      </c>
      <c r="HC9" s="55" t="str">
        <f aca="false">IF(HC$5="","",CHOOSE(WEEKDAY(HC$5,2),"Mo","Di","Mi","Do","Fr","Sa","So"))</f>
        <v>Sa</v>
      </c>
      <c r="HD9" s="55" t="str">
        <f aca="false">IF(HD$5="","",CHOOSE(WEEKDAY(HD$5,2),"Mo","Di","Mi","Do","Fr","Sa","So"))</f>
        <v>So</v>
      </c>
      <c r="HE9" s="55" t="str">
        <f aca="false">IF(HE$5="","",CHOOSE(WEEKDAY(HE$5,2),"Mo","Di","Mi","Do","Fr","Sa","So"))</f>
        <v>Mo</v>
      </c>
      <c r="HF9" s="55" t="str">
        <f aca="false">IF(HF$5="","",CHOOSE(WEEKDAY(HF$5,2),"Mo","Di","Mi","Do","Fr","Sa","So"))</f>
        <v>Di</v>
      </c>
      <c r="HG9" s="55" t="str">
        <f aca="false">IF(HG$5="","",CHOOSE(WEEKDAY(HG$5,2),"Mo","Di","Mi","Do","Fr","Sa","So"))</f>
        <v>Mi</v>
      </c>
      <c r="HH9" s="55" t="str">
        <f aca="false">IF(HH$5="","",CHOOSE(WEEKDAY(HH$5,2),"Mo","Di","Mi","Do","Fr","Sa","So"))</f>
        <v>Do</v>
      </c>
      <c r="HI9" s="55" t="str">
        <f aca="false">IF(HI$5="","",CHOOSE(WEEKDAY(HI$5,2),"Mo","Di","Mi","Do","Fr","Sa","So"))</f>
        <v>Fr</v>
      </c>
      <c r="HJ9" s="55" t="str">
        <f aca="false">IF(HJ$5="","",CHOOSE(WEEKDAY(HJ$5,2),"Mo","Di","Mi","Do","Fr","Sa","So"))</f>
        <v>Sa</v>
      </c>
      <c r="HK9" s="55" t="str">
        <f aca="false">IF(HK$5="","",CHOOSE(WEEKDAY(HK$5,2),"Mo","Di","Mi","Do","Fr","Sa","So"))</f>
        <v>So</v>
      </c>
      <c r="HL9" s="55" t="str">
        <f aca="false">IF(HL$5="","",CHOOSE(WEEKDAY(HL$5,2),"Mo","Di","Mi","Do","Fr","Sa","So"))</f>
        <v>Mo</v>
      </c>
      <c r="HM9" s="55" t="str">
        <f aca="false">IF(HM$5="","",CHOOSE(WEEKDAY(HM$5,2),"Mo","Di","Mi","Do","Fr","Sa","So"))</f>
        <v>Di</v>
      </c>
      <c r="HN9" s="55" t="str">
        <f aca="false">IF(HN$5="","",CHOOSE(WEEKDAY(HN$5,2),"Mo","Di","Mi","Do","Fr","Sa","So"))</f>
        <v>Mi</v>
      </c>
      <c r="HO9" s="55" t="str">
        <f aca="false">IF(HO$5="","",CHOOSE(WEEKDAY(HO$5,2),"Mo","Di","Mi","Do","Fr","Sa","So"))</f>
        <v>Do</v>
      </c>
      <c r="HP9" s="55" t="str">
        <f aca="false">IF(HP$5="","",CHOOSE(WEEKDAY(HP$5,2),"Mo","Di","Mi","Do","Fr","Sa","So"))</f>
        <v>Fr</v>
      </c>
      <c r="HQ9" s="54" t="str">
        <f aca="false">IF(HQ$5="","",CHOOSE(WEEKDAY(HQ$5,2),"Mo","Di","Mi","Do","Fr","Sa","So"))</f>
        <v>Sa</v>
      </c>
      <c r="HR9" s="55" t="str">
        <f aca="false">IF(HR$5="","",CHOOSE(WEEKDAY(HR$5,2),"Mo","Di","Mi","Do","Fr","Sa","So"))</f>
        <v>So</v>
      </c>
      <c r="HS9" s="55" t="str">
        <f aca="false">IF(HS$5="","",CHOOSE(WEEKDAY(HS$5,2),"Mo","Di","Mi","Do","Fr","Sa","So"))</f>
        <v>Mo</v>
      </c>
      <c r="HT9" s="55" t="str">
        <f aca="false">IF(HT$5="","",CHOOSE(WEEKDAY(HT$5,2),"Mo","Di","Mi","Do","Fr","Sa","So"))</f>
        <v>Di</v>
      </c>
      <c r="HU9" s="55" t="str">
        <f aca="false">IF(HU$5="","",CHOOSE(WEEKDAY(HU$5,2),"Mo","Di","Mi","Do","Fr","Sa","So"))</f>
        <v>Mi</v>
      </c>
      <c r="HV9" s="55" t="str">
        <f aca="false">IF(HV$5="","",CHOOSE(WEEKDAY(HV$5,2),"Mo","Di","Mi","Do","Fr","Sa","So"))</f>
        <v>Do</v>
      </c>
      <c r="HW9" s="55" t="str">
        <f aca="false">IF(HW$5="","",CHOOSE(WEEKDAY(HW$5,2),"Mo","Di","Mi","Do","Fr","Sa","So"))</f>
        <v>Fr</v>
      </c>
      <c r="HX9" s="55" t="str">
        <f aca="false">IF(HX$5="","",CHOOSE(WEEKDAY(HX$5,2),"Mo","Di","Mi","Do","Fr","Sa","So"))</f>
        <v>Sa</v>
      </c>
      <c r="HY9" s="55" t="str">
        <f aca="false">IF(HY$5="","",CHOOSE(WEEKDAY(HY$5,2),"Mo","Di","Mi","Do","Fr","Sa","So"))</f>
        <v>So</v>
      </c>
      <c r="HZ9" s="55" t="str">
        <f aca="false">IF(HZ$5="","",CHOOSE(WEEKDAY(HZ$5,2),"Mo","Di","Mi","Do","Fr","Sa","So"))</f>
        <v>Mo</v>
      </c>
      <c r="IA9" s="55" t="str">
        <f aca="false">IF(IA$5="","",CHOOSE(WEEKDAY(IA$5,2),"Mo","Di","Mi","Do","Fr","Sa","So"))</f>
        <v>Di</v>
      </c>
      <c r="IB9" s="55" t="str">
        <f aca="false">IF(IB$5="","",CHOOSE(WEEKDAY(IB$5,2),"Mo","Di","Mi","Do","Fr","Sa","So"))</f>
        <v>Mi</v>
      </c>
      <c r="IC9" s="55" t="str">
        <f aca="false">IF(IC$5="","",CHOOSE(WEEKDAY(IC$5,2),"Mo","Di","Mi","Do","Fr","Sa","So"))</f>
        <v>Do</v>
      </c>
      <c r="ID9" s="55" t="str">
        <f aca="false">IF(ID$5="","",CHOOSE(WEEKDAY(ID$5,2),"Mo","Di","Mi","Do","Fr","Sa","So"))</f>
        <v>Fr</v>
      </c>
      <c r="IE9" s="55" t="str">
        <f aca="false">IF(IE$5="","",CHOOSE(WEEKDAY(IE$5,2),"Mo","Di","Mi","Do","Fr","Sa","So"))</f>
        <v>Sa</v>
      </c>
      <c r="IF9" s="55" t="str">
        <f aca="false">IF(IF$5="","",CHOOSE(WEEKDAY(IF$5,2),"Mo","Di","Mi","Do","Fr","Sa","So"))</f>
        <v>So</v>
      </c>
      <c r="IG9" s="55" t="str">
        <f aca="false">IF(IG$5="","",CHOOSE(WEEKDAY(IG$5,2),"Mo","Di","Mi","Do","Fr","Sa","So"))</f>
        <v>Mo</v>
      </c>
      <c r="IH9" s="55" t="str">
        <f aca="false">IF(IH$5="","",CHOOSE(WEEKDAY(IH$5,2),"Mo","Di","Mi","Do","Fr","Sa","So"))</f>
        <v>Di</v>
      </c>
      <c r="II9" s="55" t="str">
        <f aca="false">IF(II$5="","",CHOOSE(WEEKDAY(II$5,2),"Mo","Di","Mi","Do","Fr","Sa","So"))</f>
        <v>Mi</v>
      </c>
      <c r="IJ9" s="55" t="str">
        <f aca="false">IF(IJ$5="","",CHOOSE(WEEKDAY(IJ$5,2),"Mo","Di","Mi","Do","Fr","Sa","So"))</f>
        <v>Do</v>
      </c>
      <c r="IK9" s="55" t="str">
        <f aca="false">IF(IK$5="","",CHOOSE(WEEKDAY(IK$5,2),"Mo","Di","Mi","Do","Fr","Sa","So"))</f>
        <v>Fr</v>
      </c>
      <c r="IL9" s="55" t="str">
        <f aca="false">IF(IL$5="","",CHOOSE(WEEKDAY(IL$5,2),"Mo","Di","Mi","Do","Fr","Sa","So"))</f>
        <v>Sa</v>
      </c>
      <c r="IM9" s="55" t="str">
        <f aca="false">IF(IM$5="","",CHOOSE(WEEKDAY(IM$5,2),"Mo","Di","Mi","Do","Fr","Sa","So"))</f>
        <v>So</v>
      </c>
      <c r="IN9" s="55" t="str">
        <f aca="false">IF(IN$5="","",CHOOSE(WEEKDAY(IN$5,2),"Mo","Di","Mi","Do","Fr","Sa","So"))</f>
        <v>Mo</v>
      </c>
      <c r="IO9" s="55" t="str">
        <f aca="false">IF(IO$5="","",CHOOSE(WEEKDAY(IO$5,2),"Mo","Di","Mi","Do","Fr","Sa","So"))</f>
        <v>Di</v>
      </c>
      <c r="IP9" s="55" t="str">
        <f aca="false">IF(IP$5="","",CHOOSE(WEEKDAY(IP$5,2),"Mo","Di","Mi","Do","Fr","Sa","So"))</f>
        <v>Mi</v>
      </c>
      <c r="IQ9" s="55" t="str">
        <f aca="false">IF(IQ$5="","",CHOOSE(WEEKDAY(IQ$5,2),"Mo","Di","Mi","Do","Fr","Sa","So"))</f>
        <v>Do</v>
      </c>
      <c r="IR9" s="55" t="str">
        <f aca="false">IF(IR$5="","",CHOOSE(WEEKDAY(IR$5,2),"Mo","Di","Mi","Do","Fr","Sa","So"))</f>
        <v>Fr</v>
      </c>
      <c r="IS9" s="55" t="str">
        <f aca="false">IF(IS$5="","",CHOOSE(WEEKDAY(IS$5,2),"Mo","Di","Mi","Do","Fr","Sa","So"))</f>
        <v>Sa</v>
      </c>
      <c r="IT9" s="55" t="str">
        <f aca="false">IF(IT$5="","",CHOOSE(WEEKDAY(IT$5,2),"Mo","Di","Mi","Do","Fr","Sa","So"))</f>
        <v>So</v>
      </c>
      <c r="IU9" s="55" t="str">
        <f aca="false">IF(IU$5="","",CHOOSE(WEEKDAY(IU$5,2),"Mo","Di","Mi","Do","Fr","Sa","So"))</f>
        <v>Mo</v>
      </c>
      <c r="IV9" s="54" t="str">
        <f aca="false">IF(IV$5="","",CHOOSE(WEEKDAY(IV$5,2),"Mo","Di","Mi","Do","Fr","Sa","So"))</f>
        <v>Di</v>
      </c>
      <c r="IW9" s="55" t="str">
        <f aca="false">IF(IW$5="","",CHOOSE(WEEKDAY(IW$5,2),"Mo","Di","Mi","Do","Fr","Sa","So"))</f>
        <v>Mi</v>
      </c>
      <c r="IX9" s="55" t="str">
        <f aca="false">IF(IX$5="","",CHOOSE(WEEKDAY(IX$5,2),"Mo","Di","Mi","Do","Fr","Sa","So"))</f>
        <v>Do</v>
      </c>
      <c r="IY9" s="55" t="str">
        <f aca="false">IF(IY$5="","",CHOOSE(WEEKDAY(IY$5,2),"Mo","Di","Mi","Do","Fr","Sa","So"))</f>
        <v>Fr</v>
      </c>
      <c r="IZ9" s="55" t="str">
        <f aca="false">IF(IZ$5="","",CHOOSE(WEEKDAY(IZ$5,2),"Mo","Di","Mi","Do","Fr","Sa","So"))</f>
        <v>Sa</v>
      </c>
      <c r="JA9" s="55" t="str">
        <f aca="false">IF(JA$5="","",CHOOSE(WEEKDAY(JA$5,2),"Mo","Di","Mi","Do","Fr","Sa","So"))</f>
        <v>So</v>
      </c>
      <c r="JB9" s="55" t="str">
        <f aca="false">IF(JB$5="","",CHOOSE(WEEKDAY(JB$5,2),"Mo","Di","Mi","Do","Fr","Sa","So"))</f>
        <v>Mo</v>
      </c>
      <c r="JC9" s="55" t="str">
        <f aca="false">IF(JC$5="","",CHOOSE(WEEKDAY(JC$5,2),"Mo","Di","Mi","Do","Fr","Sa","So"))</f>
        <v>Di</v>
      </c>
      <c r="JD9" s="55" t="str">
        <f aca="false">IF(JD$5="","",CHOOSE(WEEKDAY(JD$5,2),"Mo","Di","Mi","Do","Fr","Sa","So"))</f>
        <v>Mi</v>
      </c>
      <c r="JE9" s="55" t="str">
        <f aca="false">IF(JE$5="","",CHOOSE(WEEKDAY(JE$5,2),"Mo","Di","Mi","Do","Fr","Sa","So"))</f>
        <v>Do</v>
      </c>
      <c r="JF9" s="55" t="str">
        <f aca="false">IF(JF$5="","",CHOOSE(WEEKDAY(JF$5,2),"Mo","Di","Mi","Do","Fr","Sa","So"))</f>
        <v>Fr</v>
      </c>
      <c r="JG9" s="55" t="str">
        <f aca="false">IF(JG$5="","",CHOOSE(WEEKDAY(JG$5,2),"Mo","Di","Mi","Do","Fr","Sa","So"))</f>
        <v>Sa</v>
      </c>
      <c r="JH9" s="55" t="str">
        <f aca="false">IF(JH$5="","",CHOOSE(WEEKDAY(JH$5,2),"Mo","Di","Mi","Do","Fr","Sa","So"))</f>
        <v>So</v>
      </c>
      <c r="JI9" s="55" t="str">
        <f aca="false">IF(JI$5="","",CHOOSE(WEEKDAY(JI$5,2),"Mo","Di","Mi","Do","Fr","Sa","So"))</f>
        <v>Mo</v>
      </c>
      <c r="JJ9" s="55" t="str">
        <f aca="false">IF(JJ$5="","",CHOOSE(WEEKDAY(JJ$5,2),"Mo","Di","Mi","Do","Fr","Sa","So"))</f>
        <v>Di</v>
      </c>
      <c r="JK9" s="55" t="str">
        <f aca="false">IF(JK$5="","",CHOOSE(WEEKDAY(JK$5,2),"Mo","Di","Mi","Do","Fr","Sa","So"))</f>
        <v>Mi</v>
      </c>
      <c r="JL9" s="55" t="str">
        <f aca="false">IF(JL$5="","",CHOOSE(WEEKDAY(JL$5,2),"Mo","Di","Mi","Do","Fr","Sa","So"))</f>
        <v>Do</v>
      </c>
      <c r="JM9" s="55" t="str">
        <f aca="false">IF(JM$5="","",CHOOSE(WEEKDAY(JM$5,2),"Mo","Di","Mi","Do","Fr","Sa","So"))</f>
        <v>Fr</v>
      </c>
      <c r="JN9" s="55" t="str">
        <f aca="false">IF(JN$5="","",CHOOSE(WEEKDAY(JN$5,2),"Mo","Di","Mi","Do","Fr","Sa","So"))</f>
        <v>Sa</v>
      </c>
      <c r="JO9" s="55" t="str">
        <f aca="false">IF(JO$5="","",CHOOSE(WEEKDAY(JO$5,2),"Mo","Di","Mi","Do","Fr","Sa","So"))</f>
        <v>So</v>
      </c>
      <c r="JP9" s="55" t="str">
        <f aca="false">IF(JP$5="","",CHOOSE(WEEKDAY(JP$5,2),"Mo","Di","Mi","Do","Fr","Sa","So"))</f>
        <v>Mo</v>
      </c>
      <c r="JQ9" s="55" t="str">
        <f aca="false">IF(JQ$5="","",CHOOSE(WEEKDAY(JQ$5,2),"Mo","Di","Mi","Do","Fr","Sa","So"))</f>
        <v>Di</v>
      </c>
      <c r="JR9" s="55" t="str">
        <f aca="false">IF(JR$5="","",CHOOSE(WEEKDAY(JR$5,2),"Mo","Di","Mi","Do","Fr","Sa","So"))</f>
        <v>Mi</v>
      </c>
      <c r="JS9" s="55" t="str">
        <f aca="false">IF(JS$5="","",CHOOSE(WEEKDAY(JS$5,2),"Mo","Di","Mi","Do","Fr","Sa","So"))</f>
        <v>Do</v>
      </c>
      <c r="JT9" s="55" t="str">
        <f aca="false">IF(JT$5="","",CHOOSE(WEEKDAY(JT$5,2),"Mo","Di","Mi","Do","Fr","Sa","So"))</f>
        <v>Fr</v>
      </c>
      <c r="JU9" s="55" t="str">
        <f aca="false">IF(JU$5="","",CHOOSE(WEEKDAY(JU$5,2),"Mo","Di","Mi","Do","Fr","Sa","So"))</f>
        <v>Sa</v>
      </c>
      <c r="JV9" s="55" t="str">
        <f aca="false">IF(JV$5="","",CHOOSE(WEEKDAY(JV$5,2),"Mo","Di","Mi","Do","Fr","Sa","So"))</f>
        <v>So</v>
      </c>
      <c r="JW9" s="55" t="str">
        <f aca="false">IF(JW$5="","",CHOOSE(WEEKDAY(JW$5,2),"Mo","Di","Mi","Do","Fr","Sa","So"))</f>
        <v>Mo</v>
      </c>
      <c r="JX9" s="55" t="str">
        <f aca="false">IF(JX$5="","",CHOOSE(WEEKDAY(JX$5,2),"Mo","Di","Mi","Do","Fr","Sa","So"))</f>
        <v>Di</v>
      </c>
      <c r="JY9" s="55" t="str">
        <f aca="false">IF(JY$5="","",CHOOSE(WEEKDAY(JY$5,2),"Mo","Di","Mi","Do","Fr","Sa","So"))</f>
        <v>Mi</v>
      </c>
      <c r="JZ9" s="55" t="str">
        <f aca="false">IF(JZ$5="","",CHOOSE(WEEKDAY(JZ$5,2),"Mo","Di","Mi","Do","Fr","Sa","So"))</f>
        <v/>
      </c>
      <c r="KA9" s="54" t="str">
        <f aca="false">IF(KA$5="","",CHOOSE(WEEKDAY(KA$5,2),"Mo","Di","Mi","Do","Fr","Sa","So"))</f>
        <v>Do</v>
      </c>
      <c r="KB9" s="55" t="str">
        <f aca="false">IF(KB$5="","",CHOOSE(WEEKDAY(KB$5,2),"Mo","Di","Mi","Do","Fr","Sa","So"))</f>
        <v>Fr</v>
      </c>
      <c r="KC9" s="55" t="str">
        <f aca="false">IF(KC$5="","",CHOOSE(WEEKDAY(KC$5,2),"Mo","Di","Mi","Do","Fr","Sa","So"))</f>
        <v>Sa</v>
      </c>
      <c r="KD9" s="55" t="str">
        <f aca="false">IF(KD$5="","",CHOOSE(WEEKDAY(KD$5,2),"Mo","Di","Mi","Do","Fr","Sa","So"))</f>
        <v>So</v>
      </c>
      <c r="KE9" s="55" t="str">
        <f aca="false">IF(KE$5="","",CHOOSE(WEEKDAY(KE$5,2),"Mo","Di","Mi","Do","Fr","Sa","So"))</f>
        <v>Mo</v>
      </c>
      <c r="KF9" s="55" t="str">
        <f aca="false">IF(KF$5="","",CHOOSE(WEEKDAY(KF$5,2),"Mo","Di","Mi","Do","Fr","Sa","So"))</f>
        <v>Di</v>
      </c>
      <c r="KG9" s="55" t="str">
        <f aca="false">IF(KG$5="","",CHOOSE(WEEKDAY(KG$5,2),"Mo","Di","Mi","Do","Fr","Sa","So"))</f>
        <v>Mi</v>
      </c>
      <c r="KH9" s="55" t="str">
        <f aca="false">IF(KH$5="","",CHOOSE(WEEKDAY(KH$5,2),"Mo","Di","Mi","Do","Fr","Sa","So"))</f>
        <v>Do</v>
      </c>
      <c r="KI9" s="55" t="str">
        <f aca="false">IF(KI$5="","",CHOOSE(WEEKDAY(KI$5,2),"Mo","Di","Mi","Do","Fr","Sa","So"))</f>
        <v>Fr</v>
      </c>
      <c r="KJ9" s="55" t="str">
        <f aca="false">IF(KJ$5="","",CHOOSE(WEEKDAY(KJ$5,2),"Mo","Di","Mi","Do","Fr","Sa","So"))</f>
        <v>Sa</v>
      </c>
      <c r="KK9" s="55" t="str">
        <f aca="false">IF(KK$5="","",CHOOSE(WEEKDAY(KK$5,2),"Mo","Di","Mi","Do","Fr","Sa","So"))</f>
        <v>So</v>
      </c>
      <c r="KL9" s="55" t="str">
        <f aca="false">IF(KL$5="","",CHOOSE(WEEKDAY(KL$5,2),"Mo","Di","Mi","Do","Fr","Sa","So"))</f>
        <v>Mo</v>
      </c>
      <c r="KM9" s="55" t="str">
        <f aca="false">IF(KM$5="","",CHOOSE(WEEKDAY(KM$5,2),"Mo","Di","Mi","Do","Fr","Sa","So"))</f>
        <v>Di</v>
      </c>
      <c r="KN9" s="55" t="str">
        <f aca="false">IF(KN$5="","",CHOOSE(WEEKDAY(KN$5,2),"Mo","Di","Mi","Do","Fr","Sa","So"))</f>
        <v>Mi</v>
      </c>
      <c r="KO9" s="55" t="str">
        <f aca="false">IF(KO$5="","",CHOOSE(WEEKDAY(KO$5,2),"Mo","Di","Mi","Do","Fr","Sa","So"))</f>
        <v>Do</v>
      </c>
      <c r="KP9" s="55" t="str">
        <f aca="false">IF(KP$5="","",CHOOSE(WEEKDAY(KP$5,2),"Mo","Di","Mi","Do","Fr","Sa","So"))</f>
        <v>Fr</v>
      </c>
      <c r="KQ9" s="55" t="str">
        <f aca="false">IF(KQ$5="","",CHOOSE(WEEKDAY(KQ$5,2),"Mo","Di","Mi","Do","Fr","Sa","So"))</f>
        <v>Sa</v>
      </c>
      <c r="KR9" s="55" t="str">
        <f aca="false">IF(KR$5="","",CHOOSE(WEEKDAY(KR$5,2),"Mo","Di","Mi","Do","Fr","Sa","So"))</f>
        <v>So</v>
      </c>
      <c r="KS9" s="55" t="str">
        <f aca="false">IF(KS$5="","",CHOOSE(WEEKDAY(KS$5,2),"Mo","Di","Mi","Do","Fr","Sa","So"))</f>
        <v>Mo</v>
      </c>
      <c r="KT9" s="55" t="str">
        <f aca="false">IF(KT$5="","",CHOOSE(WEEKDAY(KT$5,2),"Mo","Di","Mi","Do","Fr","Sa","So"))</f>
        <v>Di</v>
      </c>
      <c r="KU9" s="55" t="str">
        <f aca="false">IF(KU$5="","",CHOOSE(WEEKDAY(KU$5,2),"Mo","Di","Mi","Do","Fr","Sa","So"))</f>
        <v>Mi</v>
      </c>
      <c r="KV9" s="55" t="str">
        <f aca="false">IF(KV$5="","",CHOOSE(WEEKDAY(KV$5,2),"Mo","Di","Mi","Do","Fr","Sa","So"))</f>
        <v>Do</v>
      </c>
      <c r="KW9" s="55" t="str">
        <f aca="false">IF(KW$5="","",CHOOSE(WEEKDAY(KW$5,2),"Mo","Di","Mi","Do","Fr","Sa","So"))</f>
        <v>Fr</v>
      </c>
      <c r="KX9" s="55" t="str">
        <f aca="false">IF(KX$5="","",CHOOSE(WEEKDAY(KX$5,2),"Mo","Di","Mi","Do","Fr","Sa","So"))</f>
        <v>Sa</v>
      </c>
      <c r="KY9" s="55" t="str">
        <f aca="false">IF(KY$5="","",CHOOSE(WEEKDAY(KY$5,2),"Mo","Di","Mi","Do","Fr","Sa","So"))</f>
        <v>So</v>
      </c>
      <c r="KZ9" s="55" t="str">
        <f aca="false">IF(KZ$5="","",CHOOSE(WEEKDAY(KZ$5,2),"Mo","Di","Mi","Do","Fr","Sa","So"))</f>
        <v>Mo</v>
      </c>
      <c r="LA9" s="55" t="str">
        <f aca="false">IF(LA$5="","",CHOOSE(WEEKDAY(LA$5,2),"Mo","Di","Mi","Do","Fr","Sa","So"))</f>
        <v>Di</v>
      </c>
      <c r="LB9" s="55" t="str">
        <f aca="false">IF(LB$5="","",CHOOSE(WEEKDAY(LB$5,2),"Mo","Di","Mi","Do","Fr","Sa","So"))</f>
        <v>Mi</v>
      </c>
      <c r="LC9" s="55" t="str">
        <f aca="false">IF(LC$5="","",CHOOSE(WEEKDAY(LC$5,2),"Mo","Di","Mi","Do","Fr","Sa","So"))</f>
        <v>Do</v>
      </c>
      <c r="LD9" s="55" t="str">
        <f aca="false">IF(LD$5="","",CHOOSE(WEEKDAY(LD$5,2),"Mo","Di","Mi","Do","Fr","Sa","So"))</f>
        <v>Fr</v>
      </c>
      <c r="LE9" s="55" t="str">
        <f aca="false">IF(LE$5="","",CHOOSE(WEEKDAY(LE$5,2),"Mo","Di","Mi","Do","Fr","Sa","So"))</f>
        <v>Sa</v>
      </c>
      <c r="LF9" s="54" t="str">
        <f aca="false">IF(LF$5="","",CHOOSE(WEEKDAY(LF$5,2),"Mo","Di","Mi","Do","Fr","Sa","So"))</f>
        <v>So</v>
      </c>
      <c r="LG9" s="55" t="str">
        <f aca="false">IF(LG$5="","",CHOOSE(WEEKDAY(LG$5,2),"Mo","Di","Mi","Do","Fr","Sa","So"))</f>
        <v>Mo</v>
      </c>
      <c r="LH9" s="55" t="str">
        <f aca="false">IF(LH$5="","",CHOOSE(WEEKDAY(LH$5,2),"Mo","Di","Mi","Do","Fr","Sa","So"))</f>
        <v>Di</v>
      </c>
      <c r="LI9" s="55" t="str">
        <f aca="false">IF(LI$5="","",CHOOSE(WEEKDAY(LI$5,2),"Mo","Di","Mi","Do","Fr","Sa","So"))</f>
        <v>Mi</v>
      </c>
      <c r="LJ9" s="55" t="str">
        <f aca="false">IF(LJ$5="","",CHOOSE(WEEKDAY(LJ$5,2),"Mo","Di","Mi","Do","Fr","Sa","So"))</f>
        <v>Do</v>
      </c>
      <c r="LK9" s="55" t="str">
        <f aca="false">IF(LK$5="","",CHOOSE(WEEKDAY(LK$5,2),"Mo","Di","Mi","Do","Fr","Sa","So"))</f>
        <v>Fr</v>
      </c>
      <c r="LL9" s="55" t="str">
        <f aca="false">IF(LL$5="","",CHOOSE(WEEKDAY(LL$5,2),"Mo","Di","Mi","Do","Fr","Sa","So"))</f>
        <v>Sa</v>
      </c>
      <c r="LM9" s="55" t="str">
        <f aca="false">IF(LM$5="","",CHOOSE(WEEKDAY(LM$5,2),"Mo","Di","Mi","Do","Fr","Sa","So"))</f>
        <v>So</v>
      </c>
      <c r="LN9" s="55" t="str">
        <f aca="false">IF(LN$5="","",CHOOSE(WEEKDAY(LN$5,2),"Mo","Di","Mi","Do","Fr","Sa","So"))</f>
        <v>Mo</v>
      </c>
      <c r="LO9" s="55" t="str">
        <f aca="false">IF(LO$5="","",CHOOSE(WEEKDAY(LO$5,2),"Mo","Di","Mi","Do","Fr","Sa","So"))</f>
        <v>Di</v>
      </c>
      <c r="LP9" s="55" t="str">
        <f aca="false">IF(LP$5="","",CHOOSE(WEEKDAY(LP$5,2),"Mo","Di","Mi","Do","Fr","Sa","So"))</f>
        <v>Mi</v>
      </c>
      <c r="LQ9" s="55" t="str">
        <f aca="false">IF(LQ$5="","",CHOOSE(WEEKDAY(LQ$5,2),"Mo","Di","Mi","Do","Fr","Sa","So"))</f>
        <v>Do</v>
      </c>
      <c r="LR9" s="55" t="str">
        <f aca="false">IF(LR$5="","",CHOOSE(WEEKDAY(LR$5,2),"Mo","Di","Mi","Do","Fr","Sa","So"))</f>
        <v>Fr</v>
      </c>
      <c r="LS9" s="55" t="str">
        <f aca="false">IF(LS$5="","",CHOOSE(WEEKDAY(LS$5,2),"Mo","Di","Mi","Do","Fr","Sa","So"))</f>
        <v>Sa</v>
      </c>
      <c r="LT9" s="55" t="str">
        <f aca="false">IF(LT$5="","",CHOOSE(WEEKDAY(LT$5,2),"Mo","Di","Mi","Do","Fr","Sa","So"))</f>
        <v>So</v>
      </c>
      <c r="LU9" s="55" t="str">
        <f aca="false">IF(LU$5="","",CHOOSE(WEEKDAY(LU$5,2),"Mo","Di","Mi","Do","Fr","Sa","So"))</f>
        <v>Mo</v>
      </c>
      <c r="LV9" s="55" t="str">
        <f aca="false">IF(LV$5="","",CHOOSE(WEEKDAY(LV$5,2),"Mo","Di","Mi","Do","Fr","Sa","So"))</f>
        <v>Di</v>
      </c>
      <c r="LW9" s="55" t="str">
        <f aca="false">IF(LW$5="","",CHOOSE(WEEKDAY(LW$5,2),"Mo","Di","Mi","Do","Fr","Sa","So"))</f>
        <v>Mi</v>
      </c>
      <c r="LX9" s="55" t="str">
        <f aca="false">IF(LX$5="","",CHOOSE(WEEKDAY(LX$5,2),"Mo","Di","Mi","Do","Fr","Sa","So"))</f>
        <v>Do</v>
      </c>
      <c r="LY9" s="55" t="str">
        <f aca="false">IF(LY$5="","",CHOOSE(WEEKDAY(LY$5,2),"Mo","Di","Mi","Do","Fr","Sa","So"))</f>
        <v>Fr</v>
      </c>
      <c r="LZ9" s="55" t="str">
        <f aca="false">IF(LZ$5="","",CHOOSE(WEEKDAY(LZ$5,2),"Mo","Di","Mi","Do","Fr","Sa","So"))</f>
        <v>Sa</v>
      </c>
      <c r="MA9" s="55" t="str">
        <f aca="false">IF(MA$5="","",CHOOSE(WEEKDAY(MA$5,2),"Mo","Di","Mi","Do","Fr","Sa","So"))</f>
        <v>So</v>
      </c>
      <c r="MB9" s="55" t="str">
        <f aca="false">IF(MB$5="","",CHOOSE(WEEKDAY(MB$5,2),"Mo","Di","Mi","Do","Fr","Sa","So"))</f>
        <v>Mo</v>
      </c>
      <c r="MC9" s="55" t="str">
        <f aca="false">IF(MC$5="","",CHOOSE(WEEKDAY(MC$5,2),"Mo","Di","Mi","Do","Fr","Sa","So"))</f>
        <v>Di</v>
      </c>
      <c r="MD9" s="55" t="str">
        <f aca="false">IF(MD$5="","",CHOOSE(WEEKDAY(MD$5,2),"Mo","Di","Mi","Do","Fr","Sa","So"))</f>
        <v>Mi</v>
      </c>
      <c r="ME9" s="55" t="str">
        <f aca="false">IF(ME$5="","",CHOOSE(WEEKDAY(ME$5,2),"Mo","Di","Mi","Do","Fr","Sa","So"))</f>
        <v>Do</v>
      </c>
      <c r="MF9" s="55" t="str">
        <f aca="false">IF(MF$5="","",CHOOSE(WEEKDAY(MF$5,2),"Mo","Di","Mi","Do","Fr","Sa","So"))</f>
        <v>Fr</v>
      </c>
      <c r="MG9" s="55" t="str">
        <f aca="false">IF(MG$5="","",CHOOSE(WEEKDAY(MG$5,2),"Mo","Di","Mi","Do","Fr","Sa","So"))</f>
        <v>Sa</v>
      </c>
      <c r="MH9" s="55" t="str">
        <f aca="false">IF(MH$5="","",CHOOSE(WEEKDAY(MH$5,2),"Mo","Di","Mi","Do","Fr","Sa","So"))</f>
        <v>So</v>
      </c>
      <c r="MI9" s="55" t="str">
        <f aca="false">IF(MI$5="","",CHOOSE(WEEKDAY(MI$5,2),"Mo","Di","Mi","Do","Fr","Sa","So"))</f>
        <v>Mo</v>
      </c>
      <c r="MJ9" s="55" t="str">
        <f aca="false">IF(MJ$5="","",CHOOSE(WEEKDAY(MJ$5,2),"Mo","Di","Mi","Do","Fr","Sa","So"))</f>
        <v/>
      </c>
      <c r="MK9" s="54" t="str">
        <f aca="false">IF(MK$5="","",CHOOSE(WEEKDAY(MK$5,2),"Mo","Di","Mi","Do","Fr","Sa","So"))</f>
        <v>Di</v>
      </c>
      <c r="ML9" s="55" t="str">
        <f aca="false">IF(ML$5="","",CHOOSE(WEEKDAY(ML$5,2),"Mo","Di","Mi","Do","Fr","Sa","So"))</f>
        <v>Mi</v>
      </c>
      <c r="MM9" s="55" t="str">
        <f aca="false">IF(MM$5="","",CHOOSE(WEEKDAY(MM$5,2),"Mo","Di","Mi","Do","Fr","Sa","So"))</f>
        <v>Do</v>
      </c>
      <c r="MN9" s="55" t="str">
        <f aca="false">IF(MN$5="","",CHOOSE(WEEKDAY(MN$5,2),"Mo","Di","Mi","Do","Fr","Sa","So"))</f>
        <v>Fr</v>
      </c>
      <c r="MO9" s="55" t="str">
        <f aca="false">IF(MO$5="","",CHOOSE(WEEKDAY(MO$5,2),"Mo","Di","Mi","Do","Fr","Sa","So"))</f>
        <v>Sa</v>
      </c>
      <c r="MP9" s="55" t="str">
        <f aca="false">IF(MP$5="","",CHOOSE(WEEKDAY(MP$5,2),"Mo","Di","Mi","Do","Fr","Sa","So"))</f>
        <v>So</v>
      </c>
      <c r="MQ9" s="55" t="str">
        <f aca="false">IF(MQ$5="","",CHOOSE(WEEKDAY(MQ$5,2),"Mo","Di","Mi","Do","Fr","Sa","So"))</f>
        <v>Mo</v>
      </c>
      <c r="MR9" s="55" t="str">
        <f aca="false">IF(MR$5="","",CHOOSE(WEEKDAY(MR$5,2),"Mo","Di","Mi","Do","Fr","Sa","So"))</f>
        <v>Di</v>
      </c>
      <c r="MS9" s="55" t="str">
        <f aca="false">IF(MS$5="","",CHOOSE(WEEKDAY(MS$5,2),"Mo","Di","Mi","Do","Fr","Sa","So"))</f>
        <v>Mi</v>
      </c>
      <c r="MT9" s="55" t="str">
        <f aca="false">IF(MT$5="","",CHOOSE(WEEKDAY(MT$5,2),"Mo","Di","Mi","Do","Fr","Sa","So"))</f>
        <v>Do</v>
      </c>
      <c r="MU9" s="55" t="str">
        <f aca="false">IF(MU$5="","",CHOOSE(WEEKDAY(MU$5,2),"Mo","Di","Mi","Do","Fr","Sa","So"))</f>
        <v>Fr</v>
      </c>
      <c r="MV9" s="55" t="str">
        <f aca="false">IF(MV$5="","",CHOOSE(WEEKDAY(MV$5,2),"Mo","Di","Mi","Do","Fr","Sa","So"))</f>
        <v>Sa</v>
      </c>
      <c r="MW9" s="55" t="str">
        <f aca="false">IF(MW$5="","",CHOOSE(WEEKDAY(MW$5,2),"Mo","Di","Mi","Do","Fr","Sa","So"))</f>
        <v>So</v>
      </c>
      <c r="MX9" s="55" t="str">
        <f aca="false">IF(MX$5="","",CHOOSE(WEEKDAY(MX$5,2),"Mo","Di","Mi","Do","Fr","Sa","So"))</f>
        <v>Mo</v>
      </c>
      <c r="MY9" s="55" t="str">
        <f aca="false">IF(MY$5="","",CHOOSE(WEEKDAY(MY$5,2),"Mo","Di","Mi","Do","Fr","Sa","So"))</f>
        <v>Di</v>
      </c>
      <c r="MZ9" s="55" t="str">
        <f aca="false">IF(MZ$5="","",CHOOSE(WEEKDAY(MZ$5,2),"Mo","Di","Mi","Do","Fr","Sa","So"))</f>
        <v>Mi</v>
      </c>
      <c r="NA9" s="55" t="str">
        <f aca="false">IF(NA$5="","",CHOOSE(WEEKDAY(NA$5,2),"Mo","Di","Mi","Do","Fr","Sa","So"))</f>
        <v>Do</v>
      </c>
      <c r="NB9" s="55" t="str">
        <f aca="false">IF(NB$5="","",CHOOSE(WEEKDAY(NB$5,2),"Mo","Di","Mi","Do","Fr","Sa","So"))</f>
        <v>Fr</v>
      </c>
      <c r="NC9" s="55" t="str">
        <f aca="false">IF(NC$5="","",CHOOSE(WEEKDAY(NC$5,2),"Mo","Di","Mi","Do","Fr","Sa","So"))</f>
        <v>Sa</v>
      </c>
      <c r="ND9" s="55" t="str">
        <f aca="false">IF(ND$5="","",CHOOSE(WEEKDAY(ND$5,2),"Mo","Di","Mi","Do","Fr","Sa","So"))</f>
        <v>So</v>
      </c>
      <c r="NE9" s="55" t="str">
        <f aca="false">IF(NE$5="","",CHOOSE(WEEKDAY(NE$5,2),"Mo","Di","Mi","Do","Fr","Sa","So"))</f>
        <v>Mo</v>
      </c>
      <c r="NF9" s="55" t="str">
        <f aca="false">IF(NF$5="","",CHOOSE(WEEKDAY(NF$5,2),"Mo","Di","Mi","Do","Fr","Sa","So"))</f>
        <v>Di</v>
      </c>
      <c r="NG9" s="55" t="str">
        <f aca="false">IF(NG$5="","",CHOOSE(WEEKDAY(NG$5,2),"Mo","Di","Mi","Do","Fr","Sa","So"))</f>
        <v>Mi</v>
      </c>
      <c r="NH9" s="55" t="str">
        <f aca="false">IF(NH$5="","",CHOOSE(WEEKDAY(NH$5,2),"Mo","Di","Mi","Do","Fr","Sa","So"))</f>
        <v>Do</v>
      </c>
      <c r="NI9" s="55" t="str">
        <f aca="false">IF(NI$5="","",CHOOSE(WEEKDAY(NI$5,2),"Mo","Di","Mi","Do","Fr","Sa","So"))</f>
        <v>Fr</v>
      </c>
      <c r="NJ9" s="55" t="str">
        <f aca="false">IF(NJ$5="","",CHOOSE(WEEKDAY(NJ$5,2),"Mo","Di","Mi","Do","Fr","Sa","So"))</f>
        <v>Sa</v>
      </c>
      <c r="NK9" s="55" t="str">
        <f aca="false">IF(NK$5="","",CHOOSE(WEEKDAY(NK$5,2),"Mo","Di","Mi","Do","Fr","Sa","So"))</f>
        <v>So</v>
      </c>
      <c r="NL9" s="55" t="str">
        <f aca="false">IF(NL$5="","",CHOOSE(WEEKDAY(NL$5,2),"Mo","Di","Mi","Do","Fr","Sa","So"))</f>
        <v>Mo</v>
      </c>
      <c r="NM9" s="55" t="str">
        <f aca="false">IF(NM$5="","",CHOOSE(WEEKDAY(NM$5,2),"Mo","Di","Mi","Do","Fr","Sa","So"))</f>
        <v>Di</v>
      </c>
      <c r="NN9" s="55" t="str">
        <f aca="false">IF(NN$5="","",CHOOSE(WEEKDAY(NN$5,2),"Mo","Di","Mi","Do","Fr","Sa","So"))</f>
        <v>Mi</v>
      </c>
      <c r="NO9" s="55" t="str">
        <f aca="false">IF(NO$5="","",CHOOSE(WEEKDAY(NO$5,2),"Mo","Di","Mi","Do","Fr","Sa","So"))</f>
        <v>Do</v>
      </c>
    </row>
    <row r="10" customFormat="false" ht="18.75" hidden="false" customHeight="true" outlineLevel="0" collapsed="false">
      <c r="A10" s="56" t="str">
        <f aca="false">IF($B10="","",TEXT(ROW()-9,"00"))</f>
        <v>01</v>
      </c>
      <c r="B10" s="57" t="s">
        <v>84</v>
      </c>
      <c r="C10" s="58" t="s">
        <v>85</v>
      </c>
      <c r="D10" s="59" t="n">
        <v>30</v>
      </c>
      <c r="E10" s="59" t="n">
        <v>3</v>
      </c>
      <c r="F10" s="60" t="n">
        <f aca="false">IF($B10="","",SUMPRODUCT(COUNTIF($H10:$NO10,Kuerzel)*Faktor))</f>
        <v>30.5</v>
      </c>
      <c r="G10" s="61" t="n">
        <f aca="false">IF($B10="","",$D10+$E10-$F10)</f>
        <v>2.5</v>
      </c>
      <c r="H10" s="62"/>
      <c r="I10" s="63"/>
      <c r="J10" s="63"/>
      <c r="K10" s="63"/>
      <c r="L10" s="63"/>
      <c r="M10" s="63"/>
      <c r="N10" s="63"/>
      <c r="O10" s="63"/>
      <c r="P10" s="63"/>
      <c r="Q10" s="63"/>
      <c r="R10" s="63"/>
      <c r="S10" s="63"/>
      <c r="T10" s="63"/>
      <c r="U10" s="63"/>
      <c r="V10" s="63"/>
      <c r="W10" s="63"/>
      <c r="X10" s="63"/>
      <c r="Y10" s="63"/>
      <c r="Z10" s="63"/>
      <c r="AA10" s="63"/>
      <c r="AB10" s="63"/>
      <c r="AC10" s="63"/>
      <c r="AD10" s="63"/>
      <c r="AE10" s="63"/>
      <c r="AF10" s="63"/>
      <c r="AG10" s="63"/>
      <c r="AH10" s="63"/>
      <c r="AI10" s="63"/>
      <c r="AJ10" s="63"/>
      <c r="AK10" s="63"/>
      <c r="AL10" s="63"/>
      <c r="AM10" s="62"/>
      <c r="AN10" s="63"/>
      <c r="AO10" s="63"/>
      <c r="AP10" s="63"/>
      <c r="AQ10" s="63"/>
      <c r="AR10" s="63"/>
      <c r="AS10" s="63"/>
      <c r="AT10" s="63"/>
      <c r="AU10" s="64" t="s">
        <v>42</v>
      </c>
      <c r="AV10" s="64" t="s">
        <v>42</v>
      </c>
      <c r="AW10" s="64" t="s">
        <v>42</v>
      </c>
      <c r="AX10" s="64" t="s">
        <v>42</v>
      </c>
      <c r="AY10" s="64" t="s">
        <v>42</v>
      </c>
      <c r="AZ10" s="63"/>
      <c r="BA10" s="63"/>
      <c r="BB10" s="63"/>
      <c r="BC10" s="63"/>
      <c r="BD10" s="63"/>
      <c r="BE10" s="63"/>
      <c r="BF10" s="63"/>
      <c r="BG10" s="63"/>
      <c r="BH10" s="63"/>
      <c r="BI10" s="63"/>
      <c r="BJ10" s="63"/>
      <c r="BK10" s="63"/>
      <c r="BL10" s="63"/>
      <c r="BM10" s="63"/>
      <c r="BN10" s="63"/>
      <c r="BO10" s="63"/>
      <c r="BP10" s="63"/>
      <c r="BQ10" s="63"/>
      <c r="BR10" s="62"/>
      <c r="BS10" s="63"/>
      <c r="BT10" s="63"/>
      <c r="BU10" s="63"/>
      <c r="BV10" s="63"/>
      <c r="BW10" s="65" t="s">
        <v>46</v>
      </c>
      <c r="BX10" s="63"/>
      <c r="BY10" s="63"/>
      <c r="BZ10" s="63"/>
      <c r="CA10" s="63"/>
      <c r="CB10" s="63"/>
      <c r="CC10" s="63"/>
      <c r="CD10" s="63"/>
      <c r="CE10" s="63"/>
      <c r="CF10" s="63"/>
      <c r="CG10" s="63"/>
      <c r="CH10" s="63"/>
      <c r="CI10" s="63"/>
      <c r="CJ10" s="63"/>
      <c r="CK10" s="63"/>
      <c r="CL10" s="63"/>
      <c r="CM10" s="63"/>
      <c r="CN10" s="63"/>
      <c r="CO10" s="63"/>
      <c r="CP10" s="63"/>
      <c r="CQ10" s="63"/>
      <c r="CR10" s="63"/>
      <c r="CS10" s="63"/>
      <c r="CT10" s="63"/>
      <c r="CU10" s="64" t="s">
        <v>42</v>
      </c>
      <c r="CV10" s="64" t="s">
        <v>42</v>
      </c>
      <c r="CW10" s="66" t="s">
        <v>42</v>
      </c>
      <c r="CX10" s="64" t="s">
        <v>42</v>
      </c>
      <c r="CY10" s="63"/>
      <c r="CZ10" s="63"/>
      <c r="DA10" s="63"/>
      <c r="DB10" s="63"/>
      <c r="DC10" s="63"/>
      <c r="DD10" s="63"/>
      <c r="DE10" s="63"/>
      <c r="DF10" s="63"/>
      <c r="DG10" s="63"/>
      <c r="DH10" s="63"/>
      <c r="DI10" s="63"/>
      <c r="DJ10" s="63"/>
      <c r="DK10" s="63"/>
      <c r="DL10" s="63"/>
      <c r="DM10" s="63"/>
      <c r="DN10" s="63"/>
      <c r="DO10" s="63"/>
      <c r="DP10" s="63"/>
      <c r="DQ10" s="63"/>
      <c r="DR10" s="63"/>
      <c r="DS10" s="63"/>
      <c r="DT10" s="63"/>
      <c r="DU10" s="63"/>
      <c r="DV10" s="63"/>
      <c r="DW10" s="63"/>
      <c r="DX10" s="63"/>
      <c r="DY10" s="63"/>
      <c r="DZ10" s="63"/>
      <c r="EA10" s="63"/>
      <c r="EB10" s="62"/>
      <c r="EC10" s="63"/>
      <c r="ED10" s="63"/>
      <c r="EE10" s="63"/>
      <c r="EF10" s="63"/>
      <c r="EG10" s="63"/>
      <c r="EH10" s="63"/>
      <c r="EI10" s="63"/>
      <c r="EJ10" s="63"/>
      <c r="EK10" s="63"/>
      <c r="EL10" s="67" t="s">
        <v>44</v>
      </c>
      <c r="EM10" s="67" t="s">
        <v>44</v>
      </c>
      <c r="EN10" s="63"/>
      <c r="EO10" s="63"/>
      <c r="EP10" s="63"/>
      <c r="EQ10" s="63"/>
      <c r="ER10" s="63"/>
      <c r="ES10" s="63"/>
      <c r="ET10" s="63"/>
      <c r="EU10" s="63"/>
      <c r="EV10" s="63"/>
      <c r="EW10" s="63"/>
      <c r="EX10" s="63"/>
      <c r="EY10" s="63"/>
      <c r="EZ10" s="63"/>
      <c r="FA10" s="63"/>
      <c r="FB10" s="63"/>
      <c r="FC10" s="63"/>
      <c r="FD10" s="63"/>
      <c r="FE10" s="63"/>
      <c r="FF10" s="63"/>
      <c r="FG10" s="62"/>
      <c r="FH10" s="63"/>
      <c r="FI10" s="63"/>
      <c r="FJ10" s="63"/>
      <c r="FK10" s="63"/>
      <c r="FL10" s="63"/>
      <c r="FM10" s="63"/>
      <c r="FN10" s="63"/>
      <c r="FO10" s="63"/>
      <c r="FP10" s="63"/>
      <c r="FQ10" s="63"/>
      <c r="FR10" s="63"/>
      <c r="FS10" s="63"/>
      <c r="FT10" s="63"/>
      <c r="FU10" s="63"/>
      <c r="FV10" s="63"/>
      <c r="FW10" s="63"/>
      <c r="FX10" s="63"/>
      <c r="FY10" s="63"/>
      <c r="FZ10" s="63"/>
      <c r="GA10" s="63"/>
      <c r="GB10" s="63"/>
      <c r="GC10" s="63"/>
      <c r="GD10" s="63"/>
      <c r="GE10" s="63"/>
      <c r="GF10" s="63"/>
      <c r="GG10" s="63"/>
      <c r="GH10" s="63"/>
      <c r="GI10" s="63"/>
      <c r="GJ10" s="63"/>
      <c r="GK10" s="63"/>
      <c r="GL10" s="62"/>
      <c r="GM10" s="63"/>
      <c r="GN10" s="63"/>
      <c r="GO10" s="63"/>
      <c r="GP10" s="63"/>
      <c r="GQ10" s="63"/>
      <c r="GR10" s="63"/>
      <c r="GS10" s="63"/>
      <c r="GT10" s="63"/>
      <c r="GU10" s="63"/>
      <c r="GV10" s="63"/>
      <c r="GW10" s="63"/>
      <c r="GX10" s="64" t="s">
        <v>42</v>
      </c>
      <c r="GY10" s="64" t="s">
        <v>42</v>
      </c>
      <c r="GZ10" s="64" t="s">
        <v>42</v>
      </c>
      <c r="HA10" s="64" t="s">
        <v>42</v>
      </c>
      <c r="HB10" s="64" t="s">
        <v>42</v>
      </c>
      <c r="HC10" s="63"/>
      <c r="HD10" s="63"/>
      <c r="HE10" s="64" t="s">
        <v>42</v>
      </c>
      <c r="HF10" s="64" t="s">
        <v>42</v>
      </c>
      <c r="HG10" s="64" t="s">
        <v>42</v>
      </c>
      <c r="HH10" s="64" t="s">
        <v>42</v>
      </c>
      <c r="HI10" s="64" t="s">
        <v>42</v>
      </c>
      <c r="HJ10" s="63"/>
      <c r="HK10" s="63"/>
      <c r="HL10" s="64" t="s">
        <v>42</v>
      </c>
      <c r="HM10" s="64" t="s">
        <v>42</v>
      </c>
      <c r="HN10" s="64" t="s">
        <v>42</v>
      </c>
      <c r="HO10" s="64" t="s">
        <v>42</v>
      </c>
      <c r="HP10" s="64" t="s">
        <v>42</v>
      </c>
      <c r="HQ10" s="62"/>
      <c r="HR10" s="63"/>
      <c r="HS10" s="63"/>
      <c r="HT10" s="63"/>
      <c r="HU10" s="63"/>
      <c r="HV10" s="63"/>
      <c r="HW10" s="63"/>
      <c r="HX10" s="63"/>
      <c r="HY10" s="63"/>
      <c r="HZ10" s="63"/>
      <c r="IA10" s="63"/>
      <c r="IB10" s="63"/>
      <c r="IC10" s="63"/>
      <c r="ID10" s="63"/>
      <c r="IE10" s="63"/>
      <c r="IF10" s="63"/>
      <c r="IG10" s="63"/>
      <c r="IH10" s="63"/>
      <c r="II10" s="63"/>
      <c r="IJ10" s="63"/>
      <c r="IK10" s="63"/>
      <c r="IL10" s="63"/>
      <c r="IM10" s="63"/>
      <c r="IN10" s="63"/>
      <c r="IO10" s="63"/>
      <c r="IP10" s="63"/>
      <c r="IQ10" s="63"/>
      <c r="IR10" s="63"/>
      <c r="IS10" s="63"/>
      <c r="IT10" s="63"/>
      <c r="IU10" s="63"/>
      <c r="IV10" s="62"/>
      <c r="IW10" s="63"/>
      <c r="IX10" s="63"/>
      <c r="IY10" s="63"/>
      <c r="IZ10" s="63"/>
      <c r="JA10" s="63"/>
      <c r="JB10" s="63"/>
      <c r="JC10" s="63"/>
      <c r="JD10" s="63"/>
      <c r="JE10" s="63"/>
      <c r="JF10" s="63"/>
      <c r="JG10" s="63"/>
      <c r="JH10" s="63"/>
      <c r="JI10" s="63"/>
      <c r="JJ10" s="63"/>
      <c r="JK10" s="63"/>
      <c r="JL10" s="63"/>
      <c r="JM10" s="64" t="s">
        <v>43</v>
      </c>
      <c r="JN10" s="63"/>
      <c r="JO10" s="63"/>
      <c r="JP10" s="63"/>
      <c r="JQ10" s="63"/>
      <c r="JR10" s="63"/>
      <c r="JS10" s="68" t="s">
        <v>47</v>
      </c>
      <c r="JT10" s="68" t="s">
        <v>47</v>
      </c>
      <c r="JU10" s="63"/>
      <c r="JV10" s="63"/>
      <c r="JW10" s="63"/>
      <c r="JX10" s="63"/>
      <c r="JY10" s="63"/>
      <c r="JZ10" s="63"/>
      <c r="KA10" s="62"/>
      <c r="KB10" s="63"/>
      <c r="KC10" s="63"/>
      <c r="KD10" s="63"/>
      <c r="KE10" s="63"/>
      <c r="KF10" s="63"/>
      <c r="KG10" s="63"/>
      <c r="KH10" s="63"/>
      <c r="KI10" s="63"/>
      <c r="KJ10" s="63"/>
      <c r="KK10" s="63"/>
      <c r="KL10" s="63"/>
      <c r="KM10" s="63"/>
      <c r="KN10" s="63"/>
      <c r="KO10" s="63"/>
      <c r="KP10" s="63"/>
      <c r="KQ10" s="63"/>
      <c r="KR10" s="63"/>
      <c r="KS10" s="63"/>
      <c r="KT10" s="63"/>
      <c r="KU10" s="63"/>
      <c r="KV10" s="63"/>
      <c r="KW10" s="63"/>
      <c r="KX10" s="63"/>
      <c r="KY10" s="63"/>
      <c r="KZ10" s="63"/>
      <c r="LA10" s="63"/>
      <c r="LB10" s="63"/>
      <c r="LC10" s="63"/>
      <c r="LD10" s="63"/>
      <c r="LE10" s="63"/>
      <c r="LF10" s="62"/>
      <c r="LG10" s="63"/>
      <c r="LH10" s="63"/>
      <c r="LI10" s="63"/>
      <c r="LJ10" s="63"/>
      <c r="LK10" s="63"/>
      <c r="LL10" s="63"/>
      <c r="LM10" s="63"/>
      <c r="LN10" s="63"/>
      <c r="LO10" s="63"/>
      <c r="LP10" s="63"/>
      <c r="LQ10" s="63"/>
      <c r="LR10" s="63"/>
      <c r="LS10" s="63"/>
      <c r="LT10" s="63"/>
      <c r="LU10" s="63"/>
      <c r="LV10" s="63"/>
      <c r="LW10" s="63"/>
      <c r="LX10" s="63"/>
      <c r="LY10" s="63"/>
      <c r="LZ10" s="63"/>
      <c r="MA10" s="63"/>
      <c r="MB10" s="63"/>
      <c r="MC10" s="63"/>
      <c r="MD10" s="63"/>
      <c r="ME10" s="63"/>
      <c r="MF10" s="63"/>
      <c r="MG10" s="63"/>
      <c r="MH10" s="63"/>
      <c r="MI10" s="63"/>
      <c r="MJ10" s="63"/>
      <c r="MK10" s="62"/>
      <c r="ML10" s="63"/>
      <c r="MM10" s="63"/>
      <c r="MN10" s="63"/>
      <c r="MO10" s="63"/>
      <c r="MP10" s="63"/>
      <c r="MQ10" s="63"/>
      <c r="MR10" s="63"/>
      <c r="MS10" s="63"/>
      <c r="MT10" s="63"/>
      <c r="MU10" s="63"/>
      <c r="MV10" s="63"/>
      <c r="MW10" s="63"/>
      <c r="MX10" s="63"/>
      <c r="MY10" s="63"/>
      <c r="MZ10" s="63"/>
      <c r="NA10" s="63"/>
      <c r="NB10" s="63"/>
      <c r="NC10" s="63"/>
      <c r="ND10" s="63"/>
      <c r="NE10" s="63"/>
      <c r="NF10" s="63"/>
      <c r="NG10" s="64" t="s">
        <v>42</v>
      </c>
      <c r="NH10" s="64" t="s">
        <v>42</v>
      </c>
      <c r="NI10" s="63"/>
      <c r="NJ10" s="63"/>
      <c r="NK10" s="63"/>
      <c r="NL10" s="64" t="s">
        <v>42</v>
      </c>
      <c r="NM10" s="64" t="s">
        <v>42</v>
      </c>
      <c r="NN10" s="64" t="s">
        <v>42</v>
      </c>
      <c r="NO10" s="64" t="s">
        <v>42</v>
      </c>
    </row>
    <row r="11" customFormat="false" ht="18.75" hidden="false" customHeight="true" outlineLevel="0" collapsed="false">
      <c r="A11" s="56" t="str">
        <f aca="false">IF($B11="","",TEXT(ROW()-9,"00"))</f>
        <v>02</v>
      </c>
      <c r="B11" s="57" t="s">
        <v>86</v>
      </c>
      <c r="C11" s="58" t="s">
        <v>85</v>
      </c>
      <c r="D11" s="59" t="n">
        <v>30</v>
      </c>
      <c r="E11" s="59" t="n">
        <v>0</v>
      </c>
      <c r="F11" s="60" t="n">
        <f aca="false">IF($B11="","",SUMPRODUCT(COUNTIF($H11:$NO11,Kuerzel)*Faktor))</f>
        <v>23</v>
      </c>
      <c r="G11" s="61" t="n">
        <f aca="false">IF($B11="","",$D11+$E11-$F11)</f>
        <v>7</v>
      </c>
      <c r="H11" s="62"/>
      <c r="I11" s="63"/>
      <c r="J11" s="63"/>
      <c r="K11" s="63"/>
      <c r="L11" s="63"/>
      <c r="M11" s="63"/>
      <c r="N11" s="63"/>
      <c r="O11" s="63"/>
      <c r="P11" s="63"/>
      <c r="Q11" s="63"/>
      <c r="R11" s="63"/>
      <c r="S11" s="63"/>
      <c r="T11" s="63"/>
      <c r="U11" s="63"/>
      <c r="V11" s="63"/>
      <c r="W11" s="63"/>
      <c r="X11" s="63"/>
      <c r="Y11" s="63"/>
      <c r="Z11" s="63"/>
      <c r="AA11" s="63"/>
      <c r="AB11" s="63"/>
      <c r="AC11" s="63"/>
      <c r="AD11" s="63"/>
      <c r="AE11" s="63"/>
      <c r="AF11" s="63"/>
      <c r="AG11" s="63"/>
      <c r="AH11" s="63"/>
      <c r="AI11" s="63"/>
      <c r="AJ11" s="63"/>
      <c r="AK11" s="63"/>
      <c r="AL11" s="63"/>
      <c r="AM11" s="62"/>
      <c r="AN11" s="63"/>
      <c r="AO11" s="63"/>
      <c r="AP11" s="63"/>
      <c r="AQ11" s="63"/>
      <c r="AR11" s="63"/>
      <c r="AS11" s="63"/>
      <c r="AT11" s="63"/>
      <c r="AU11" s="63"/>
      <c r="AV11" s="63"/>
      <c r="AW11" s="63"/>
      <c r="AX11" s="63"/>
      <c r="AY11" s="63"/>
      <c r="AZ11" s="63"/>
      <c r="BA11" s="63"/>
      <c r="BB11" s="64" t="s">
        <v>42</v>
      </c>
      <c r="BC11" s="64" t="s">
        <v>42</v>
      </c>
      <c r="BD11" s="64" t="s">
        <v>42</v>
      </c>
      <c r="BE11" s="64" t="s">
        <v>42</v>
      </c>
      <c r="BF11" s="64" t="s">
        <v>42</v>
      </c>
      <c r="BG11" s="63"/>
      <c r="BH11" s="63"/>
      <c r="BI11" s="63"/>
      <c r="BJ11" s="63"/>
      <c r="BK11" s="63"/>
      <c r="BL11" s="63"/>
      <c r="BM11" s="63"/>
      <c r="BN11" s="63"/>
      <c r="BO11" s="63"/>
      <c r="BP11" s="63"/>
      <c r="BQ11" s="63"/>
      <c r="BR11" s="62"/>
      <c r="BS11" s="63"/>
      <c r="BT11" s="67" t="s">
        <v>44</v>
      </c>
      <c r="BU11" s="67" t="s">
        <v>44</v>
      </c>
      <c r="BV11" s="67" t="s">
        <v>44</v>
      </c>
      <c r="BW11" s="63"/>
      <c r="BX11" s="63"/>
      <c r="BY11" s="63"/>
      <c r="BZ11" s="63"/>
      <c r="CA11" s="63"/>
      <c r="CB11" s="63"/>
      <c r="CC11" s="63"/>
      <c r="CD11" s="63"/>
      <c r="CE11" s="63"/>
      <c r="CF11" s="63"/>
      <c r="CG11" s="63"/>
      <c r="CH11" s="63"/>
      <c r="CI11" s="63"/>
      <c r="CJ11" s="63"/>
      <c r="CK11" s="63"/>
      <c r="CL11" s="63"/>
      <c r="CM11" s="63"/>
      <c r="CN11" s="63"/>
      <c r="CO11" s="63"/>
      <c r="CP11" s="63"/>
      <c r="CQ11" s="63"/>
      <c r="CR11" s="63"/>
      <c r="CS11" s="63"/>
      <c r="CT11" s="63"/>
      <c r="CU11" s="63"/>
      <c r="CV11" s="63"/>
      <c r="CW11" s="62"/>
      <c r="CX11" s="63"/>
      <c r="CY11" s="63"/>
      <c r="CZ11" s="63"/>
      <c r="DA11" s="63"/>
      <c r="DB11" s="63"/>
      <c r="DC11" s="63"/>
      <c r="DD11" s="63"/>
      <c r="DE11" s="63"/>
      <c r="DF11" s="63"/>
      <c r="DG11" s="63"/>
      <c r="DH11" s="63"/>
      <c r="DI11" s="63"/>
      <c r="DJ11" s="63"/>
      <c r="DK11" s="63"/>
      <c r="DL11" s="63"/>
      <c r="DM11" s="63"/>
      <c r="DN11" s="63"/>
      <c r="DO11" s="63"/>
      <c r="DP11" s="63"/>
      <c r="DQ11" s="63"/>
      <c r="DR11" s="63"/>
      <c r="DS11" s="63"/>
      <c r="DT11" s="63"/>
      <c r="DU11" s="63"/>
      <c r="DV11" s="63"/>
      <c r="DW11" s="63"/>
      <c r="DX11" s="63"/>
      <c r="DY11" s="63"/>
      <c r="DZ11" s="63"/>
      <c r="EA11" s="63"/>
      <c r="EB11" s="62"/>
      <c r="EC11" s="63"/>
      <c r="ED11" s="63"/>
      <c r="EE11" s="63"/>
      <c r="EF11" s="63"/>
      <c r="EG11" s="63"/>
      <c r="EH11" s="63"/>
      <c r="EI11" s="63"/>
      <c r="EJ11" s="63"/>
      <c r="EK11" s="63"/>
      <c r="EL11" s="63"/>
      <c r="EM11" s="63"/>
      <c r="EN11" s="63"/>
      <c r="EO11" s="63"/>
      <c r="EP11" s="69" t="s">
        <v>49</v>
      </c>
      <c r="EQ11" s="63"/>
      <c r="ER11" s="63"/>
      <c r="ES11" s="63"/>
      <c r="ET11" s="63"/>
      <c r="EU11" s="63"/>
      <c r="EV11" s="63"/>
      <c r="EW11" s="63"/>
      <c r="EX11" s="63"/>
      <c r="EY11" s="63"/>
      <c r="EZ11" s="63"/>
      <c r="FA11" s="63"/>
      <c r="FB11" s="63"/>
      <c r="FC11" s="63"/>
      <c r="FD11" s="63"/>
      <c r="FE11" s="63"/>
      <c r="FF11" s="63"/>
      <c r="FG11" s="62"/>
      <c r="FH11" s="63"/>
      <c r="FI11" s="63"/>
      <c r="FJ11" s="63"/>
      <c r="FK11" s="63"/>
      <c r="FL11" s="63"/>
      <c r="FM11" s="63"/>
      <c r="FN11" s="63"/>
      <c r="FO11" s="63"/>
      <c r="FP11" s="63"/>
      <c r="FQ11" s="63"/>
      <c r="FR11" s="63"/>
      <c r="FS11" s="63"/>
      <c r="FT11" s="63"/>
      <c r="FU11" s="63"/>
      <c r="FV11" s="63"/>
      <c r="FW11" s="63"/>
      <c r="FX11" s="63"/>
      <c r="FY11" s="63"/>
      <c r="FZ11" s="63"/>
      <c r="GA11" s="63"/>
      <c r="GB11" s="63"/>
      <c r="GC11" s="63"/>
      <c r="GD11" s="63"/>
      <c r="GE11" s="63"/>
      <c r="GF11" s="63"/>
      <c r="GG11" s="63"/>
      <c r="GH11" s="63"/>
      <c r="GI11" s="63"/>
      <c r="GJ11" s="63"/>
      <c r="GK11" s="63"/>
      <c r="GL11" s="62"/>
      <c r="GM11" s="63"/>
      <c r="GN11" s="63"/>
      <c r="GO11" s="63"/>
      <c r="GP11" s="63"/>
      <c r="GQ11" s="64" t="s">
        <v>42</v>
      </c>
      <c r="GR11" s="64" t="s">
        <v>42</v>
      </c>
      <c r="GS11" s="64" t="s">
        <v>42</v>
      </c>
      <c r="GT11" s="64" t="s">
        <v>42</v>
      </c>
      <c r="GU11" s="64" t="s">
        <v>42</v>
      </c>
      <c r="GV11" s="63"/>
      <c r="GW11" s="63"/>
      <c r="GX11" s="64" t="s">
        <v>42</v>
      </c>
      <c r="GY11" s="64" t="s">
        <v>42</v>
      </c>
      <c r="GZ11" s="64" t="s">
        <v>42</v>
      </c>
      <c r="HA11" s="64" t="s">
        <v>42</v>
      </c>
      <c r="HB11" s="64" t="s">
        <v>42</v>
      </c>
      <c r="HC11" s="63"/>
      <c r="HD11" s="63"/>
      <c r="HE11" s="63"/>
      <c r="HF11" s="63"/>
      <c r="HG11" s="63"/>
      <c r="HH11" s="63"/>
      <c r="HI11" s="63"/>
      <c r="HJ11" s="63"/>
      <c r="HK11" s="63"/>
      <c r="HL11" s="63"/>
      <c r="HM11" s="63"/>
      <c r="HN11" s="63"/>
      <c r="HO11" s="63"/>
      <c r="HP11" s="63"/>
      <c r="HQ11" s="62"/>
      <c r="HR11" s="63"/>
      <c r="HS11" s="63"/>
      <c r="HT11" s="63"/>
      <c r="HU11" s="63"/>
      <c r="HV11" s="63"/>
      <c r="HW11" s="63"/>
      <c r="HX11" s="63"/>
      <c r="HY11" s="63"/>
      <c r="HZ11" s="63"/>
      <c r="IA11" s="63"/>
      <c r="IB11" s="63"/>
      <c r="IC11" s="63"/>
      <c r="ID11" s="63"/>
      <c r="IE11" s="63"/>
      <c r="IF11" s="63"/>
      <c r="IG11" s="63"/>
      <c r="IH11" s="63"/>
      <c r="II11" s="63"/>
      <c r="IJ11" s="63"/>
      <c r="IK11" s="63"/>
      <c r="IL11" s="63"/>
      <c r="IM11" s="63"/>
      <c r="IN11" s="63"/>
      <c r="IO11" s="63"/>
      <c r="IP11" s="63"/>
      <c r="IQ11" s="63"/>
      <c r="IR11" s="63"/>
      <c r="IS11" s="63"/>
      <c r="IT11" s="63"/>
      <c r="IU11" s="63"/>
      <c r="IV11" s="62"/>
      <c r="IW11" s="63"/>
      <c r="IX11" s="63"/>
      <c r="IY11" s="63"/>
      <c r="IZ11" s="63"/>
      <c r="JA11" s="63"/>
      <c r="JB11" s="63"/>
      <c r="JC11" s="63"/>
      <c r="JD11" s="63"/>
      <c r="JE11" s="65" t="s">
        <v>46</v>
      </c>
      <c r="JF11" s="63"/>
      <c r="JG11" s="63"/>
      <c r="JH11" s="63"/>
      <c r="JI11" s="63"/>
      <c r="JJ11" s="63"/>
      <c r="JK11" s="63"/>
      <c r="JL11" s="63"/>
      <c r="JM11" s="63"/>
      <c r="JN11" s="63"/>
      <c r="JO11" s="63"/>
      <c r="JP11" s="63"/>
      <c r="JQ11" s="63"/>
      <c r="JR11" s="63"/>
      <c r="JS11" s="63"/>
      <c r="JT11" s="63"/>
      <c r="JU11" s="63"/>
      <c r="JV11" s="63"/>
      <c r="JW11" s="63"/>
      <c r="JX11" s="63"/>
      <c r="JY11" s="63"/>
      <c r="JZ11" s="63"/>
      <c r="KA11" s="62"/>
      <c r="KB11" s="63"/>
      <c r="KC11" s="63"/>
      <c r="KD11" s="63"/>
      <c r="KE11" s="63"/>
      <c r="KF11" s="63"/>
      <c r="KG11" s="63"/>
      <c r="KH11" s="63"/>
      <c r="KI11" s="63"/>
      <c r="KJ11" s="63"/>
      <c r="KK11" s="63"/>
      <c r="KL11" s="63"/>
      <c r="KM11" s="63"/>
      <c r="KN11" s="63"/>
      <c r="KO11" s="63"/>
      <c r="KP11" s="63"/>
      <c r="KQ11" s="63"/>
      <c r="KR11" s="63"/>
      <c r="KS11" s="64" t="s">
        <v>42</v>
      </c>
      <c r="KT11" s="64" t="s">
        <v>42</v>
      </c>
      <c r="KU11" s="64" t="s">
        <v>42</v>
      </c>
      <c r="KV11" s="64" t="s">
        <v>42</v>
      </c>
      <c r="KW11" s="64" t="s">
        <v>42</v>
      </c>
      <c r="KX11" s="63"/>
      <c r="KY11" s="63"/>
      <c r="KZ11" s="63"/>
      <c r="LA11" s="63"/>
      <c r="LB11" s="63"/>
      <c r="LC11" s="63"/>
      <c r="LD11" s="63"/>
      <c r="LE11" s="63"/>
      <c r="LF11" s="62"/>
      <c r="LG11" s="63"/>
      <c r="LH11" s="63"/>
      <c r="LI11" s="63"/>
      <c r="LJ11" s="63"/>
      <c r="LK11" s="63"/>
      <c r="LL11" s="63"/>
      <c r="LM11" s="63"/>
      <c r="LN11" s="63"/>
      <c r="LO11" s="63"/>
      <c r="LP11" s="63"/>
      <c r="LQ11" s="63"/>
      <c r="LR11" s="63"/>
      <c r="LS11" s="63"/>
      <c r="LT11" s="63"/>
      <c r="LU11" s="63"/>
      <c r="LV11" s="63"/>
      <c r="LW11" s="63"/>
      <c r="LX11" s="63"/>
      <c r="LY11" s="63"/>
      <c r="LZ11" s="63"/>
      <c r="MA11" s="63"/>
      <c r="MB11" s="63"/>
      <c r="MC11" s="63"/>
      <c r="MD11" s="63"/>
      <c r="ME11" s="63"/>
      <c r="MF11" s="63"/>
      <c r="MG11" s="63"/>
      <c r="MH11" s="63"/>
      <c r="MI11" s="63"/>
      <c r="MJ11" s="63"/>
      <c r="MK11" s="62"/>
      <c r="ML11" s="63"/>
      <c r="MM11" s="63"/>
      <c r="MN11" s="63"/>
      <c r="MO11" s="63"/>
      <c r="MP11" s="63"/>
      <c r="MQ11" s="63"/>
      <c r="MR11" s="63"/>
      <c r="MS11" s="63"/>
      <c r="MT11" s="63"/>
      <c r="MU11" s="63"/>
      <c r="MV11" s="63"/>
      <c r="MW11" s="63"/>
      <c r="MX11" s="63"/>
      <c r="MY11" s="63"/>
      <c r="MZ11" s="63"/>
      <c r="NA11" s="63"/>
      <c r="NB11" s="63"/>
      <c r="NC11" s="63"/>
      <c r="ND11" s="63"/>
      <c r="NE11" s="63"/>
      <c r="NF11" s="63"/>
      <c r="NG11" s="63"/>
      <c r="NH11" s="63"/>
      <c r="NI11" s="63"/>
      <c r="NJ11" s="63"/>
      <c r="NK11" s="63"/>
      <c r="NL11" s="64" t="s">
        <v>42</v>
      </c>
      <c r="NM11" s="64" t="s">
        <v>42</v>
      </c>
      <c r="NN11" s="64" t="s">
        <v>42</v>
      </c>
      <c r="NO11" s="63"/>
    </row>
    <row r="12" customFormat="false" ht="18.75" hidden="false" customHeight="true" outlineLevel="0" collapsed="false">
      <c r="A12" s="56" t="str">
        <f aca="false">IF($B12="","",TEXT(ROW()-9,"00"))</f>
        <v>03</v>
      </c>
      <c r="B12" s="57" t="s">
        <v>87</v>
      </c>
      <c r="C12" s="58" t="s">
        <v>85</v>
      </c>
      <c r="D12" s="59" t="n">
        <v>28</v>
      </c>
      <c r="E12" s="59" t="n">
        <v>5</v>
      </c>
      <c r="F12" s="60" t="n">
        <f aca="false">IF($B12="","",SUMPRODUCT(COUNTIF($H12:$NO12,Kuerzel)*Faktor))</f>
        <v>28</v>
      </c>
      <c r="G12" s="61" t="n">
        <f aca="false">IF($B12="","",$D12+$E12-$F12)</f>
        <v>5</v>
      </c>
      <c r="H12" s="62"/>
      <c r="I12" s="63"/>
      <c r="J12" s="63"/>
      <c r="K12" s="63"/>
      <c r="L12" s="63"/>
      <c r="M12" s="63"/>
      <c r="N12" s="63"/>
      <c r="O12" s="63"/>
      <c r="P12" s="63"/>
      <c r="Q12" s="63"/>
      <c r="R12" s="63"/>
      <c r="S12" s="63"/>
      <c r="T12" s="63"/>
      <c r="U12" s="63"/>
      <c r="V12" s="63"/>
      <c r="W12" s="63"/>
      <c r="X12" s="63"/>
      <c r="Y12" s="63"/>
      <c r="Z12" s="63"/>
      <c r="AA12" s="63"/>
      <c r="AB12" s="63"/>
      <c r="AC12" s="63"/>
      <c r="AD12" s="63"/>
      <c r="AE12" s="63"/>
      <c r="AF12" s="63"/>
      <c r="AG12" s="63"/>
      <c r="AH12" s="63"/>
      <c r="AI12" s="63"/>
      <c r="AJ12" s="63"/>
      <c r="AK12" s="63"/>
      <c r="AL12" s="63"/>
      <c r="AM12" s="62"/>
      <c r="AN12" s="63"/>
      <c r="AO12" s="63"/>
      <c r="AP12" s="63"/>
      <c r="AQ12" s="63"/>
      <c r="AR12" s="63"/>
      <c r="AS12" s="63"/>
      <c r="AT12" s="63"/>
      <c r="AU12" s="63"/>
      <c r="AV12" s="63"/>
      <c r="AW12" s="63"/>
      <c r="AX12" s="63"/>
      <c r="AY12" s="63"/>
      <c r="AZ12" s="63"/>
      <c r="BA12" s="63"/>
      <c r="BB12" s="63"/>
      <c r="BC12" s="63"/>
      <c r="BD12" s="63"/>
      <c r="BE12" s="63"/>
      <c r="BF12" s="63"/>
      <c r="BG12" s="63"/>
      <c r="BH12" s="63"/>
      <c r="BI12" s="63"/>
      <c r="BJ12" s="63"/>
      <c r="BK12" s="63"/>
      <c r="BL12" s="63"/>
      <c r="BM12" s="63"/>
      <c r="BN12" s="63"/>
      <c r="BO12" s="63"/>
      <c r="BP12" s="63"/>
      <c r="BQ12" s="63"/>
      <c r="BR12" s="62"/>
      <c r="BS12" s="63"/>
      <c r="BT12" s="63"/>
      <c r="BU12" s="63"/>
      <c r="BV12" s="63"/>
      <c r="BW12" s="63"/>
      <c r="BX12" s="63"/>
      <c r="BY12" s="63"/>
      <c r="BZ12" s="63"/>
      <c r="CA12" s="63"/>
      <c r="CB12" s="63"/>
      <c r="CC12" s="63"/>
      <c r="CD12" s="63"/>
      <c r="CE12" s="63"/>
      <c r="CF12" s="63"/>
      <c r="CG12" s="63"/>
      <c r="CH12" s="63"/>
      <c r="CI12" s="63"/>
      <c r="CJ12" s="63"/>
      <c r="CK12" s="63"/>
      <c r="CL12" s="63"/>
      <c r="CM12" s="63"/>
      <c r="CN12" s="64" t="s">
        <v>42</v>
      </c>
      <c r="CO12" s="64" t="s">
        <v>42</v>
      </c>
      <c r="CP12" s="64" t="s">
        <v>42</v>
      </c>
      <c r="CQ12" s="64" t="s">
        <v>42</v>
      </c>
      <c r="CR12" s="64" t="s">
        <v>42</v>
      </c>
      <c r="CS12" s="63"/>
      <c r="CT12" s="63"/>
      <c r="CU12" s="63"/>
      <c r="CV12" s="63"/>
      <c r="CW12" s="62"/>
      <c r="CX12" s="63"/>
      <c r="CY12" s="63"/>
      <c r="CZ12" s="63"/>
      <c r="DA12" s="63"/>
      <c r="DB12" s="63"/>
      <c r="DC12" s="63"/>
      <c r="DD12" s="63"/>
      <c r="DE12" s="63"/>
      <c r="DF12" s="63"/>
      <c r="DG12" s="63"/>
      <c r="DH12" s="63"/>
      <c r="DI12" s="63"/>
      <c r="DJ12" s="63"/>
      <c r="DK12" s="63"/>
      <c r="DL12" s="63"/>
      <c r="DM12" s="63"/>
      <c r="DN12" s="63"/>
      <c r="DO12" s="63"/>
      <c r="DP12" s="63"/>
      <c r="DQ12" s="63"/>
      <c r="DR12" s="70" t="s">
        <v>48</v>
      </c>
      <c r="DS12" s="63"/>
      <c r="DT12" s="63"/>
      <c r="DU12" s="63"/>
      <c r="DV12" s="63"/>
      <c r="DW12" s="63"/>
      <c r="DX12" s="63"/>
      <c r="DY12" s="63"/>
      <c r="DZ12" s="63"/>
      <c r="EA12" s="63"/>
      <c r="EB12" s="62"/>
      <c r="EC12" s="63"/>
      <c r="ED12" s="63"/>
      <c r="EE12" s="63"/>
      <c r="EF12" s="63"/>
      <c r="EG12" s="63"/>
      <c r="EH12" s="63"/>
      <c r="EI12" s="63"/>
      <c r="EJ12" s="63"/>
      <c r="EK12" s="63"/>
      <c r="EL12" s="63"/>
      <c r="EM12" s="63"/>
      <c r="EN12" s="63"/>
      <c r="EO12" s="63"/>
      <c r="EP12" s="63"/>
      <c r="EQ12" s="63"/>
      <c r="ER12" s="63"/>
      <c r="ES12" s="63"/>
      <c r="ET12" s="63"/>
      <c r="EU12" s="63"/>
      <c r="EV12" s="63"/>
      <c r="EW12" s="63"/>
      <c r="EX12" s="63"/>
      <c r="EY12" s="63"/>
      <c r="EZ12" s="63"/>
      <c r="FA12" s="63"/>
      <c r="FB12" s="63"/>
      <c r="FC12" s="63"/>
      <c r="FD12" s="63"/>
      <c r="FE12" s="63"/>
      <c r="FF12" s="63"/>
      <c r="FG12" s="62"/>
      <c r="FH12" s="63"/>
      <c r="FI12" s="63"/>
      <c r="FJ12" s="63"/>
      <c r="FK12" s="63"/>
      <c r="FL12" s="63"/>
      <c r="FM12" s="63"/>
      <c r="FN12" s="63"/>
      <c r="FO12" s="63"/>
      <c r="FP12" s="63"/>
      <c r="FQ12" s="63"/>
      <c r="FR12" s="63"/>
      <c r="FS12" s="63"/>
      <c r="FT12" s="63"/>
      <c r="FU12" s="63"/>
      <c r="FV12" s="63"/>
      <c r="FW12" s="65" t="s">
        <v>46</v>
      </c>
      <c r="FX12" s="63"/>
      <c r="FY12" s="63"/>
      <c r="FZ12" s="63"/>
      <c r="GA12" s="63"/>
      <c r="GB12" s="63"/>
      <c r="GC12" s="63"/>
      <c r="GD12" s="63"/>
      <c r="GE12" s="63"/>
      <c r="GF12" s="63"/>
      <c r="GG12" s="63"/>
      <c r="GH12" s="63"/>
      <c r="GI12" s="63"/>
      <c r="GJ12" s="63"/>
      <c r="GK12" s="63"/>
      <c r="GL12" s="62"/>
      <c r="GM12" s="63"/>
      <c r="GN12" s="63"/>
      <c r="GO12" s="63"/>
      <c r="GP12" s="63"/>
      <c r="GQ12" s="63"/>
      <c r="GR12" s="63"/>
      <c r="GS12" s="63"/>
      <c r="GT12" s="63"/>
      <c r="GU12" s="63"/>
      <c r="GV12" s="63"/>
      <c r="GW12" s="63"/>
      <c r="GX12" s="63"/>
      <c r="GY12" s="63"/>
      <c r="GZ12" s="63"/>
      <c r="HA12" s="63"/>
      <c r="HB12" s="63"/>
      <c r="HC12" s="63"/>
      <c r="HD12" s="63"/>
      <c r="HE12" s="63"/>
      <c r="HF12" s="63"/>
      <c r="HG12" s="63"/>
      <c r="HH12" s="63"/>
      <c r="HI12" s="63"/>
      <c r="HJ12" s="63"/>
      <c r="HK12" s="63"/>
      <c r="HL12" s="63"/>
      <c r="HM12" s="63"/>
      <c r="HN12" s="63"/>
      <c r="HO12" s="63"/>
      <c r="HP12" s="63"/>
      <c r="HQ12" s="62"/>
      <c r="HR12" s="63"/>
      <c r="HS12" s="64" t="s">
        <v>42</v>
      </c>
      <c r="HT12" s="64" t="s">
        <v>42</v>
      </c>
      <c r="HU12" s="64" t="s">
        <v>42</v>
      </c>
      <c r="HV12" s="64" t="s">
        <v>42</v>
      </c>
      <c r="HW12" s="64" t="s">
        <v>42</v>
      </c>
      <c r="HX12" s="63"/>
      <c r="HY12" s="63"/>
      <c r="HZ12" s="64" t="s">
        <v>42</v>
      </c>
      <c r="IA12" s="64" t="s">
        <v>42</v>
      </c>
      <c r="IB12" s="64" t="s">
        <v>42</v>
      </c>
      <c r="IC12" s="64" t="s">
        <v>42</v>
      </c>
      <c r="ID12" s="64" t="s">
        <v>42</v>
      </c>
      <c r="IE12" s="63"/>
      <c r="IF12" s="63"/>
      <c r="IG12" s="63"/>
      <c r="IH12" s="63"/>
      <c r="II12" s="63"/>
      <c r="IJ12" s="63"/>
      <c r="IK12" s="63"/>
      <c r="IL12" s="63"/>
      <c r="IM12" s="63"/>
      <c r="IN12" s="63"/>
      <c r="IO12" s="63"/>
      <c r="IP12" s="63"/>
      <c r="IQ12" s="63"/>
      <c r="IR12" s="63"/>
      <c r="IS12" s="63"/>
      <c r="IT12" s="63"/>
      <c r="IU12" s="63"/>
      <c r="IV12" s="62"/>
      <c r="IW12" s="63"/>
      <c r="IX12" s="63"/>
      <c r="IY12" s="63"/>
      <c r="IZ12" s="63"/>
      <c r="JA12" s="63"/>
      <c r="JB12" s="63"/>
      <c r="JC12" s="63"/>
      <c r="JD12" s="63"/>
      <c r="JE12" s="63"/>
      <c r="JF12" s="63"/>
      <c r="JG12" s="63"/>
      <c r="JH12" s="63"/>
      <c r="JI12" s="63"/>
      <c r="JJ12" s="63"/>
      <c r="JK12" s="63"/>
      <c r="JL12" s="63"/>
      <c r="JM12" s="63"/>
      <c r="JN12" s="63"/>
      <c r="JO12" s="63"/>
      <c r="JP12" s="63"/>
      <c r="JQ12" s="63"/>
      <c r="JR12" s="63"/>
      <c r="JS12" s="63"/>
      <c r="JT12" s="63"/>
      <c r="JU12" s="63"/>
      <c r="JV12" s="63"/>
      <c r="JW12" s="63"/>
      <c r="JX12" s="63"/>
      <c r="JY12" s="63"/>
      <c r="JZ12" s="63"/>
      <c r="KA12" s="62"/>
      <c r="KB12" s="63"/>
      <c r="KC12" s="63"/>
      <c r="KD12" s="63"/>
      <c r="KE12" s="64" t="s">
        <v>42</v>
      </c>
      <c r="KF12" s="64" t="s">
        <v>42</v>
      </c>
      <c r="KG12" s="64" t="s">
        <v>42</v>
      </c>
      <c r="KH12" s="64" t="s">
        <v>42</v>
      </c>
      <c r="KI12" s="64" t="s">
        <v>42</v>
      </c>
      <c r="KJ12" s="63"/>
      <c r="KK12" s="63"/>
      <c r="KL12" s="63"/>
      <c r="KM12" s="63"/>
      <c r="KN12" s="63"/>
      <c r="KO12" s="63"/>
      <c r="KP12" s="63"/>
      <c r="KQ12" s="63"/>
      <c r="KR12" s="63"/>
      <c r="KS12" s="63"/>
      <c r="KT12" s="63"/>
      <c r="KU12" s="63"/>
      <c r="KV12" s="63"/>
      <c r="KW12" s="63"/>
      <c r="KX12" s="63"/>
      <c r="KY12" s="63"/>
      <c r="KZ12" s="63"/>
      <c r="LA12" s="63"/>
      <c r="LB12" s="63"/>
      <c r="LC12" s="63"/>
      <c r="LD12" s="63"/>
      <c r="LE12" s="63"/>
      <c r="LF12" s="62"/>
      <c r="LG12" s="63"/>
      <c r="LH12" s="63"/>
      <c r="LI12" s="63"/>
      <c r="LJ12" s="63"/>
      <c r="LK12" s="63"/>
      <c r="LL12" s="63"/>
      <c r="LM12" s="63"/>
      <c r="LN12" s="71" t="s">
        <v>45</v>
      </c>
      <c r="LO12" s="63"/>
      <c r="LP12" s="63"/>
      <c r="LQ12" s="63"/>
      <c r="LR12" s="63"/>
      <c r="LS12" s="63"/>
      <c r="LT12" s="63"/>
      <c r="LU12" s="63"/>
      <c r="LV12" s="63"/>
      <c r="LW12" s="63"/>
      <c r="LX12" s="63"/>
      <c r="LY12" s="63"/>
      <c r="LZ12" s="63"/>
      <c r="MA12" s="63"/>
      <c r="MB12" s="63"/>
      <c r="MC12" s="63"/>
      <c r="MD12" s="63"/>
      <c r="ME12" s="63"/>
      <c r="MF12" s="63"/>
      <c r="MG12" s="63"/>
      <c r="MH12" s="63"/>
      <c r="MI12" s="63"/>
      <c r="MJ12" s="63"/>
      <c r="MK12" s="62"/>
      <c r="ML12" s="63"/>
      <c r="MM12" s="63"/>
      <c r="MN12" s="63"/>
      <c r="MO12" s="63"/>
      <c r="MP12" s="63"/>
      <c r="MQ12" s="63"/>
      <c r="MR12" s="63"/>
      <c r="MS12" s="63"/>
      <c r="MT12" s="63"/>
      <c r="MU12" s="63"/>
      <c r="MV12" s="63"/>
      <c r="MW12" s="63"/>
      <c r="MX12" s="63"/>
      <c r="MY12" s="63"/>
      <c r="MZ12" s="63"/>
      <c r="NA12" s="63"/>
      <c r="NB12" s="63"/>
      <c r="NC12" s="63"/>
      <c r="ND12" s="63"/>
      <c r="NE12" s="64" t="s">
        <v>42</v>
      </c>
      <c r="NF12" s="64" t="s">
        <v>42</v>
      </c>
      <c r="NG12" s="64" t="s">
        <v>42</v>
      </c>
      <c r="NH12" s="64" t="s">
        <v>42</v>
      </c>
      <c r="NI12" s="63"/>
      <c r="NJ12" s="63"/>
      <c r="NK12" s="63"/>
      <c r="NL12" s="64" t="s">
        <v>42</v>
      </c>
      <c r="NM12" s="64" t="s">
        <v>42</v>
      </c>
      <c r="NN12" s="64" t="s">
        <v>42</v>
      </c>
      <c r="NO12" s="64" t="s">
        <v>42</v>
      </c>
    </row>
    <row r="13" customFormat="false" ht="18.75" hidden="false" customHeight="true" outlineLevel="0" collapsed="false">
      <c r="A13" s="56" t="str">
        <f aca="false">IF($B13="","",TEXT(ROW()-9,"00"))</f>
        <v>04</v>
      </c>
      <c r="B13" s="57" t="s">
        <v>88</v>
      </c>
      <c r="C13" s="58" t="s">
        <v>89</v>
      </c>
      <c r="D13" s="59" t="n">
        <v>30</v>
      </c>
      <c r="E13" s="59" t="n">
        <v>2</v>
      </c>
      <c r="F13" s="60" t="n">
        <f aca="false">IF($B13="","",SUMPRODUCT(COUNTIF($H13:$NO13,Kuerzel)*Faktor))</f>
        <v>30</v>
      </c>
      <c r="G13" s="61" t="n">
        <f aca="false">IF($B13="","",$D13+$E13-$F13)</f>
        <v>2</v>
      </c>
      <c r="H13" s="62"/>
      <c r="I13" s="63"/>
      <c r="J13" s="63"/>
      <c r="K13" s="63"/>
      <c r="L13" s="63"/>
      <c r="M13" s="63"/>
      <c r="N13" s="63"/>
      <c r="O13" s="63"/>
      <c r="P13" s="63"/>
      <c r="Q13" s="63"/>
      <c r="R13" s="63"/>
      <c r="S13" s="64" t="s">
        <v>42</v>
      </c>
      <c r="T13" s="64" t="s">
        <v>42</v>
      </c>
      <c r="U13" s="64" t="s">
        <v>42</v>
      </c>
      <c r="V13" s="64" t="s">
        <v>42</v>
      </c>
      <c r="W13" s="64" t="s">
        <v>42</v>
      </c>
      <c r="X13" s="63"/>
      <c r="Y13" s="63"/>
      <c r="Z13" s="63"/>
      <c r="AA13" s="63"/>
      <c r="AB13" s="63"/>
      <c r="AC13" s="63"/>
      <c r="AD13" s="63"/>
      <c r="AE13" s="63"/>
      <c r="AF13" s="63"/>
      <c r="AG13" s="63"/>
      <c r="AH13" s="63"/>
      <c r="AI13" s="63"/>
      <c r="AJ13" s="63"/>
      <c r="AK13" s="63"/>
      <c r="AL13" s="63"/>
      <c r="AM13" s="62"/>
      <c r="AN13" s="63"/>
      <c r="AO13" s="63"/>
      <c r="AP13" s="63"/>
      <c r="AQ13" s="63"/>
      <c r="AR13" s="63"/>
      <c r="AS13" s="63"/>
      <c r="AT13" s="63"/>
      <c r="AU13" s="63"/>
      <c r="AV13" s="63"/>
      <c r="AW13" s="63"/>
      <c r="AX13" s="63"/>
      <c r="AY13" s="63"/>
      <c r="AZ13" s="63"/>
      <c r="BA13" s="63"/>
      <c r="BB13" s="63"/>
      <c r="BC13" s="63"/>
      <c r="BD13" s="63"/>
      <c r="BE13" s="63"/>
      <c r="BF13" s="63"/>
      <c r="BG13" s="63"/>
      <c r="BH13" s="63"/>
      <c r="BI13" s="63"/>
      <c r="BJ13" s="63"/>
      <c r="BK13" s="63"/>
      <c r="BL13" s="63"/>
      <c r="BM13" s="63"/>
      <c r="BN13" s="63"/>
      <c r="BO13" s="63"/>
      <c r="BP13" s="63"/>
      <c r="BQ13" s="63"/>
      <c r="BR13" s="62"/>
      <c r="BS13" s="63"/>
      <c r="BT13" s="63"/>
      <c r="BU13" s="63"/>
      <c r="BV13" s="63"/>
      <c r="BW13" s="63"/>
      <c r="BX13" s="63"/>
      <c r="BY13" s="63"/>
      <c r="BZ13" s="63"/>
      <c r="CA13" s="63"/>
      <c r="CB13" s="63"/>
      <c r="CC13" s="63"/>
      <c r="CD13" s="63"/>
      <c r="CE13" s="63"/>
      <c r="CF13" s="63"/>
      <c r="CG13" s="63"/>
      <c r="CH13" s="63"/>
      <c r="CI13" s="68" t="s">
        <v>47</v>
      </c>
      <c r="CJ13" s="68" t="s">
        <v>47</v>
      </c>
      <c r="CK13" s="63"/>
      <c r="CL13" s="63"/>
      <c r="CM13" s="63"/>
      <c r="CN13" s="63"/>
      <c r="CO13" s="63"/>
      <c r="CP13" s="63"/>
      <c r="CQ13" s="63"/>
      <c r="CR13" s="63"/>
      <c r="CS13" s="63"/>
      <c r="CT13" s="63"/>
      <c r="CU13" s="63"/>
      <c r="CV13" s="63"/>
      <c r="CW13" s="62"/>
      <c r="CX13" s="63"/>
      <c r="CY13" s="63"/>
      <c r="CZ13" s="63"/>
      <c r="DA13" s="63"/>
      <c r="DB13" s="63"/>
      <c r="DC13" s="63"/>
      <c r="DD13" s="63"/>
      <c r="DE13" s="63"/>
      <c r="DF13" s="63"/>
      <c r="DG13" s="63"/>
      <c r="DH13" s="63"/>
      <c r="DI13" s="63"/>
      <c r="DJ13" s="63"/>
      <c r="DK13" s="63"/>
      <c r="DL13" s="63"/>
      <c r="DM13" s="63"/>
      <c r="DN13" s="63"/>
      <c r="DO13" s="63"/>
      <c r="DP13" s="63"/>
      <c r="DQ13" s="63"/>
      <c r="DR13" s="63"/>
      <c r="DS13" s="63"/>
      <c r="DT13" s="63"/>
      <c r="DU13" s="63"/>
      <c r="DV13" s="63"/>
      <c r="DW13" s="63"/>
      <c r="DX13" s="63"/>
      <c r="DY13" s="63"/>
      <c r="DZ13" s="63"/>
      <c r="EA13" s="63"/>
      <c r="EB13" s="62"/>
      <c r="EC13" s="63"/>
      <c r="ED13" s="63"/>
      <c r="EE13" s="63"/>
      <c r="EF13" s="63"/>
      <c r="EG13" s="63"/>
      <c r="EH13" s="63"/>
      <c r="EI13" s="63"/>
      <c r="EJ13" s="63"/>
      <c r="EK13" s="63"/>
      <c r="EL13" s="63"/>
      <c r="EM13" s="63"/>
      <c r="EN13" s="63"/>
      <c r="EO13" s="63"/>
      <c r="EP13" s="63"/>
      <c r="EQ13" s="63"/>
      <c r="ER13" s="63"/>
      <c r="ES13" s="63"/>
      <c r="ET13" s="63"/>
      <c r="EU13" s="63"/>
      <c r="EV13" s="63"/>
      <c r="EW13" s="63"/>
      <c r="EX13" s="63"/>
      <c r="EY13" s="63"/>
      <c r="EZ13" s="63"/>
      <c r="FA13" s="63"/>
      <c r="FB13" s="63"/>
      <c r="FC13" s="63"/>
      <c r="FD13" s="63"/>
      <c r="FE13" s="63"/>
      <c r="FF13" s="63"/>
      <c r="FG13" s="62"/>
      <c r="FH13" s="63"/>
      <c r="FI13" s="63"/>
      <c r="FJ13" s="63"/>
      <c r="FK13" s="63"/>
      <c r="FL13" s="63"/>
      <c r="FM13" s="63"/>
      <c r="FN13" s="69" t="s">
        <v>49</v>
      </c>
      <c r="FO13" s="63"/>
      <c r="FP13" s="63"/>
      <c r="FQ13" s="63"/>
      <c r="FR13" s="63"/>
      <c r="FS13" s="63"/>
      <c r="FT13" s="63"/>
      <c r="FU13" s="63"/>
      <c r="FV13" s="63"/>
      <c r="FW13" s="63"/>
      <c r="FX13" s="63"/>
      <c r="FY13" s="63"/>
      <c r="FZ13" s="63"/>
      <c r="GA13" s="63"/>
      <c r="GB13" s="63"/>
      <c r="GC13" s="63"/>
      <c r="GD13" s="63"/>
      <c r="GE13" s="63"/>
      <c r="GF13" s="63"/>
      <c r="GG13" s="63"/>
      <c r="GH13" s="63"/>
      <c r="GI13" s="63"/>
      <c r="GJ13" s="63"/>
      <c r="GK13" s="63"/>
      <c r="GL13" s="62"/>
      <c r="GM13" s="63"/>
      <c r="GN13" s="63"/>
      <c r="GO13" s="63"/>
      <c r="GP13" s="63"/>
      <c r="GQ13" s="63"/>
      <c r="GR13" s="63"/>
      <c r="GS13" s="63"/>
      <c r="GT13" s="63"/>
      <c r="GU13" s="63"/>
      <c r="GV13" s="63"/>
      <c r="GW13" s="63"/>
      <c r="GX13" s="63"/>
      <c r="GY13" s="63"/>
      <c r="GZ13" s="63"/>
      <c r="HA13" s="63"/>
      <c r="HB13" s="63"/>
      <c r="HC13" s="63"/>
      <c r="HD13" s="63"/>
      <c r="HE13" s="64" t="s">
        <v>42</v>
      </c>
      <c r="HF13" s="64" t="s">
        <v>42</v>
      </c>
      <c r="HG13" s="64" t="s">
        <v>42</v>
      </c>
      <c r="HH13" s="64" t="s">
        <v>42</v>
      </c>
      <c r="HI13" s="64" t="s">
        <v>42</v>
      </c>
      <c r="HJ13" s="63"/>
      <c r="HK13" s="63"/>
      <c r="HL13" s="64" t="s">
        <v>42</v>
      </c>
      <c r="HM13" s="64" t="s">
        <v>42</v>
      </c>
      <c r="HN13" s="64" t="s">
        <v>42</v>
      </c>
      <c r="HO13" s="64" t="s">
        <v>42</v>
      </c>
      <c r="HP13" s="64" t="s">
        <v>42</v>
      </c>
      <c r="HQ13" s="62"/>
      <c r="HR13" s="63"/>
      <c r="HS13" s="64" t="s">
        <v>42</v>
      </c>
      <c r="HT13" s="64" t="s">
        <v>42</v>
      </c>
      <c r="HU13" s="64" t="s">
        <v>42</v>
      </c>
      <c r="HV13" s="64" t="s">
        <v>42</v>
      </c>
      <c r="HW13" s="64" t="s">
        <v>42</v>
      </c>
      <c r="HX13" s="63"/>
      <c r="HY13" s="63"/>
      <c r="HZ13" s="63"/>
      <c r="IA13" s="63"/>
      <c r="IB13" s="63"/>
      <c r="IC13" s="63"/>
      <c r="ID13" s="63"/>
      <c r="IE13" s="63"/>
      <c r="IF13" s="63"/>
      <c r="IG13" s="63"/>
      <c r="IH13" s="63"/>
      <c r="II13" s="63"/>
      <c r="IJ13" s="63"/>
      <c r="IK13" s="63"/>
      <c r="IL13" s="63"/>
      <c r="IM13" s="63"/>
      <c r="IN13" s="63"/>
      <c r="IO13" s="63"/>
      <c r="IP13" s="63"/>
      <c r="IQ13" s="63"/>
      <c r="IR13" s="63"/>
      <c r="IS13" s="63"/>
      <c r="IT13" s="63"/>
      <c r="IU13" s="63"/>
      <c r="IV13" s="62"/>
      <c r="IW13" s="63"/>
      <c r="IX13" s="63"/>
      <c r="IY13" s="63"/>
      <c r="IZ13" s="63"/>
      <c r="JA13" s="63"/>
      <c r="JB13" s="63"/>
      <c r="JC13" s="63"/>
      <c r="JD13" s="63"/>
      <c r="JE13" s="63"/>
      <c r="JF13" s="63"/>
      <c r="JG13" s="63"/>
      <c r="JH13" s="63"/>
      <c r="JI13" s="63"/>
      <c r="JJ13" s="63"/>
      <c r="JK13" s="63"/>
      <c r="JL13" s="63"/>
      <c r="JM13" s="63"/>
      <c r="JN13" s="63"/>
      <c r="JO13" s="63"/>
      <c r="JP13" s="63"/>
      <c r="JQ13" s="63"/>
      <c r="JR13" s="63"/>
      <c r="JS13" s="63"/>
      <c r="JT13" s="63"/>
      <c r="JU13" s="63"/>
      <c r="JV13" s="63"/>
      <c r="JW13" s="63"/>
      <c r="JX13" s="63"/>
      <c r="JY13" s="63"/>
      <c r="JZ13" s="63"/>
      <c r="KA13" s="62"/>
      <c r="KB13" s="63"/>
      <c r="KC13" s="63"/>
      <c r="KD13" s="63"/>
      <c r="KE13" s="63"/>
      <c r="KF13" s="63"/>
      <c r="KG13" s="63"/>
      <c r="KH13" s="63"/>
      <c r="KI13" s="63"/>
      <c r="KJ13" s="63"/>
      <c r="KK13" s="63"/>
      <c r="KL13" s="63"/>
      <c r="KM13" s="63"/>
      <c r="KN13" s="63"/>
      <c r="KO13" s="63"/>
      <c r="KP13" s="63"/>
      <c r="KQ13" s="63"/>
      <c r="KR13" s="63"/>
      <c r="KS13" s="63"/>
      <c r="KT13" s="63"/>
      <c r="KU13" s="63"/>
      <c r="KV13" s="63"/>
      <c r="KW13" s="63"/>
      <c r="KX13" s="63"/>
      <c r="KY13" s="63"/>
      <c r="KZ13" s="64" t="s">
        <v>42</v>
      </c>
      <c r="LA13" s="64" t="s">
        <v>42</v>
      </c>
      <c r="LB13" s="64" t="s">
        <v>42</v>
      </c>
      <c r="LC13" s="64" t="s">
        <v>42</v>
      </c>
      <c r="LD13" s="64" t="s">
        <v>42</v>
      </c>
      <c r="LE13" s="63"/>
      <c r="LF13" s="62"/>
      <c r="LG13" s="63"/>
      <c r="LH13" s="63"/>
      <c r="LI13" s="63"/>
      <c r="LJ13" s="63"/>
      <c r="LK13" s="63"/>
      <c r="LL13" s="63"/>
      <c r="LM13" s="63"/>
      <c r="LN13" s="63"/>
      <c r="LO13" s="63"/>
      <c r="LP13" s="63"/>
      <c r="LQ13" s="63"/>
      <c r="LR13" s="63"/>
      <c r="LS13" s="63"/>
      <c r="LT13" s="63"/>
      <c r="LU13" s="63"/>
      <c r="LV13" s="63"/>
      <c r="LW13" s="63"/>
      <c r="LX13" s="63"/>
      <c r="LY13" s="63"/>
      <c r="LZ13" s="63"/>
      <c r="MA13" s="63"/>
      <c r="MB13" s="63"/>
      <c r="MC13" s="63"/>
      <c r="MD13" s="63"/>
      <c r="ME13" s="63"/>
      <c r="MF13" s="63"/>
      <c r="MG13" s="63"/>
      <c r="MH13" s="63"/>
      <c r="MI13" s="63"/>
      <c r="MJ13" s="63"/>
      <c r="MK13" s="62"/>
      <c r="ML13" s="63"/>
      <c r="MM13" s="63"/>
      <c r="MN13" s="63"/>
      <c r="MO13" s="63"/>
      <c r="MP13" s="63"/>
      <c r="MQ13" s="63"/>
      <c r="MR13" s="63"/>
      <c r="MS13" s="63"/>
      <c r="MT13" s="63"/>
      <c r="MU13" s="63"/>
      <c r="MV13" s="63"/>
      <c r="MW13" s="63"/>
      <c r="MX13" s="63"/>
      <c r="MY13" s="63"/>
      <c r="MZ13" s="63"/>
      <c r="NA13" s="63"/>
      <c r="NB13" s="63"/>
      <c r="NC13" s="63"/>
      <c r="ND13" s="63"/>
      <c r="NE13" s="63"/>
      <c r="NF13" s="63"/>
      <c r="NG13" s="64" t="s">
        <v>42</v>
      </c>
      <c r="NH13" s="64" t="s">
        <v>42</v>
      </c>
      <c r="NI13" s="63"/>
      <c r="NJ13" s="63"/>
      <c r="NK13" s="63"/>
      <c r="NL13" s="64" t="s">
        <v>42</v>
      </c>
      <c r="NM13" s="64" t="s">
        <v>42</v>
      </c>
      <c r="NN13" s="64" t="s">
        <v>42</v>
      </c>
      <c r="NO13" s="63"/>
    </row>
    <row r="14" customFormat="false" ht="18.75" hidden="false" customHeight="true" outlineLevel="0" collapsed="false">
      <c r="A14" s="56" t="str">
        <f aca="false">IF($B14="","",TEXT(ROW()-9,"00"))</f>
        <v>05</v>
      </c>
      <c r="B14" s="57" t="s">
        <v>90</v>
      </c>
      <c r="C14" s="58" t="s">
        <v>89</v>
      </c>
      <c r="D14" s="59" t="n">
        <v>30</v>
      </c>
      <c r="E14" s="59" t="n">
        <v>0</v>
      </c>
      <c r="F14" s="60" t="n">
        <f aca="false">IF($B14="","",SUMPRODUCT(COUNTIF($H14:$NO14,Kuerzel)*Faktor))</f>
        <v>29</v>
      </c>
      <c r="G14" s="61" t="n">
        <f aca="false">IF($B14="","",$D14+$E14-$F14)</f>
        <v>1</v>
      </c>
      <c r="H14" s="62"/>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2"/>
      <c r="AN14" s="63"/>
      <c r="AO14" s="63"/>
      <c r="AP14" s="63"/>
      <c r="AQ14" s="63"/>
      <c r="AR14" s="63"/>
      <c r="AS14" s="63"/>
      <c r="AT14" s="63"/>
      <c r="AU14" s="63"/>
      <c r="AV14" s="63"/>
      <c r="AW14" s="63"/>
      <c r="AX14" s="63"/>
      <c r="AY14" s="63"/>
      <c r="AZ14" s="63"/>
      <c r="BA14" s="63"/>
      <c r="BB14" s="63"/>
      <c r="BC14" s="63"/>
      <c r="BD14" s="63"/>
      <c r="BE14" s="63"/>
      <c r="BF14" s="63"/>
      <c r="BG14" s="63"/>
      <c r="BH14" s="63"/>
      <c r="BI14" s="63"/>
      <c r="BJ14" s="63"/>
      <c r="BK14" s="63"/>
      <c r="BL14" s="63"/>
      <c r="BM14" s="63"/>
      <c r="BN14" s="63"/>
      <c r="BO14" s="63"/>
      <c r="BP14" s="63"/>
      <c r="BQ14" s="63"/>
      <c r="BR14" s="62"/>
      <c r="BS14" s="64" t="s">
        <v>42</v>
      </c>
      <c r="BT14" s="64" t="s">
        <v>42</v>
      </c>
      <c r="BU14" s="64" t="s">
        <v>42</v>
      </c>
      <c r="BV14" s="64" t="s">
        <v>42</v>
      </c>
      <c r="BW14" s="64" t="s">
        <v>42</v>
      </c>
      <c r="BX14" s="63"/>
      <c r="BY14" s="63"/>
      <c r="BZ14" s="63"/>
      <c r="CA14" s="63"/>
      <c r="CB14" s="63"/>
      <c r="CC14" s="63"/>
      <c r="CD14" s="63"/>
      <c r="CE14" s="63"/>
      <c r="CF14" s="63"/>
      <c r="CG14" s="63"/>
      <c r="CH14" s="63"/>
      <c r="CI14" s="63"/>
      <c r="CJ14" s="63"/>
      <c r="CK14" s="63"/>
      <c r="CL14" s="63"/>
      <c r="CM14" s="63"/>
      <c r="CN14" s="63"/>
      <c r="CO14" s="63"/>
      <c r="CP14" s="63"/>
      <c r="CQ14" s="63"/>
      <c r="CR14" s="63"/>
      <c r="CS14" s="63"/>
      <c r="CT14" s="63"/>
      <c r="CU14" s="63"/>
      <c r="CV14" s="63"/>
      <c r="CW14" s="62"/>
      <c r="CX14" s="63"/>
      <c r="CY14" s="63"/>
      <c r="CZ14" s="63"/>
      <c r="DA14" s="63"/>
      <c r="DB14" s="63"/>
      <c r="DC14" s="63"/>
      <c r="DD14" s="63"/>
      <c r="DE14" s="63"/>
      <c r="DF14" s="63"/>
      <c r="DG14" s="63"/>
      <c r="DH14" s="63"/>
      <c r="DI14" s="63"/>
      <c r="DJ14" s="63"/>
      <c r="DK14" s="63"/>
      <c r="DL14" s="63"/>
      <c r="DM14" s="63"/>
      <c r="DN14" s="63"/>
      <c r="DO14" s="63"/>
      <c r="DP14" s="63"/>
      <c r="DQ14" s="63"/>
      <c r="DR14" s="63"/>
      <c r="DS14" s="63"/>
      <c r="DT14" s="63"/>
      <c r="DU14" s="63"/>
      <c r="DV14" s="63"/>
      <c r="DW14" s="67" t="s">
        <v>44</v>
      </c>
      <c r="DX14" s="67" t="s">
        <v>44</v>
      </c>
      <c r="DY14" s="63"/>
      <c r="DZ14" s="63"/>
      <c r="EA14" s="63"/>
      <c r="EB14" s="62"/>
      <c r="EC14" s="63"/>
      <c r="ED14" s="63"/>
      <c r="EE14" s="63"/>
      <c r="EF14" s="63"/>
      <c r="EG14" s="63"/>
      <c r="EH14" s="63"/>
      <c r="EI14" s="63"/>
      <c r="EJ14" s="63"/>
      <c r="EK14" s="63"/>
      <c r="EL14" s="63"/>
      <c r="EM14" s="63"/>
      <c r="EN14" s="63"/>
      <c r="EO14" s="63"/>
      <c r="EP14" s="63"/>
      <c r="EQ14" s="63"/>
      <c r="ER14" s="63"/>
      <c r="ES14" s="63"/>
      <c r="ET14" s="63"/>
      <c r="EU14" s="63"/>
      <c r="EV14" s="63"/>
      <c r="EW14" s="63"/>
      <c r="EX14" s="63"/>
      <c r="EY14" s="63"/>
      <c r="EZ14" s="63"/>
      <c r="FA14" s="63"/>
      <c r="FB14" s="63"/>
      <c r="FC14" s="63"/>
      <c r="FD14" s="63"/>
      <c r="FE14" s="63"/>
      <c r="FF14" s="63"/>
      <c r="FG14" s="62"/>
      <c r="FH14" s="63"/>
      <c r="FI14" s="63"/>
      <c r="FJ14" s="63"/>
      <c r="FK14" s="63"/>
      <c r="FL14" s="63"/>
      <c r="FM14" s="63"/>
      <c r="FN14" s="63"/>
      <c r="FO14" s="63"/>
      <c r="FP14" s="63"/>
      <c r="FQ14" s="65" t="s">
        <v>46</v>
      </c>
      <c r="FR14" s="63"/>
      <c r="FS14" s="63"/>
      <c r="FT14" s="63"/>
      <c r="FU14" s="63"/>
      <c r="FV14" s="63"/>
      <c r="FW14" s="63"/>
      <c r="FX14" s="63"/>
      <c r="FY14" s="63"/>
      <c r="FZ14" s="63"/>
      <c r="GA14" s="63"/>
      <c r="GB14" s="63"/>
      <c r="GC14" s="63"/>
      <c r="GD14" s="63"/>
      <c r="GE14" s="63"/>
      <c r="GF14" s="63"/>
      <c r="GG14" s="63"/>
      <c r="GH14" s="63"/>
      <c r="GI14" s="63"/>
      <c r="GJ14" s="63"/>
      <c r="GK14" s="63"/>
      <c r="GL14" s="62"/>
      <c r="GM14" s="63"/>
      <c r="GN14" s="63"/>
      <c r="GO14" s="63"/>
      <c r="GP14" s="63"/>
      <c r="GQ14" s="63"/>
      <c r="GR14" s="63"/>
      <c r="GS14" s="63"/>
      <c r="GT14" s="63"/>
      <c r="GU14" s="63"/>
      <c r="GV14" s="63"/>
      <c r="GW14" s="63"/>
      <c r="GX14" s="63"/>
      <c r="GY14" s="63"/>
      <c r="GZ14" s="63"/>
      <c r="HA14" s="63"/>
      <c r="HB14" s="63"/>
      <c r="HC14" s="63"/>
      <c r="HD14" s="63"/>
      <c r="HE14" s="63"/>
      <c r="HF14" s="63"/>
      <c r="HG14" s="63"/>
      <c r="HH14" s="63"/>
      <c r="HI14" s="63"/>
      <c r="HJ14" s="63"/>
      <c r="HK14" s="63"/>
      <c r="HL14" s="63"/>
      <c r="HM14" s="63"/>
      <c r="HN14" s="63"/>
      <c r="HO14" s="63"/>
      <c r="HP14" s="63"/>
      <c r="HQ14" s="62"/>
      <c r="HR14" s="63"/>
      <c r="HS14" s="64" t="s">
        <v>42</v>
      </c>
      <c r="HT14" s="64" t="s">
        <v>42</v>
      </c>
      <c r="HU14" s="64" t="s">
        <v>42</v>
      </c>
      <c r="HV14" s="64" t="s">
        <v>42</v>
      </c>
      <c r="HW14" s="64" t="s">
        <v>42</v>
      </c>
      <c r="HX14" s="63"/>
      <c r="HY14" s="63"/>
      <c r="HZ14" s="64" t="s">
        <v>42</v>
      </c>
      <c r="IA14" s="64" t="s">
        <v>42</v>
      </c>
      <c r="IB14" s="64" t="s">
        <v>42</v>
      </c>
      <c r="IC14" s="64" t="s">
        <v>42</v>
      </c>
      <c r="ID14" s="64" t="s">
        <v>42</v>
      </c>
      <c r="IE14" s="63"/>
      <c r="IF14" s="63"/>
      <c r="IG14" s="64" t="s">
        <v>42</v>
      </c>
      <c r="IH14" s="64" t="s">
        <v>42</v>
      </c>
      <c r="II14" s="64" t="s">
        <v>42</v>
      </c>
      <c r="IJ14" s="64" t="s">
        <v>42</v>
      </c>
      <c r="IK14" s="64" t="s">
        <v>42</v>
      </c>
      <c r="IL14" s="63"/>
      <c r="IM14" s="63"/>
      <c r="IN14" s="63"/>
      <c r="IO14" s="63"/>
      <c r="IP14" s="63"/>
      <c r="IQ14" s="63"/>
      <c r="IR14" s="63"/>
      <c r="IS14" s="63"/>
      <c r="IT14" s="63"/>
      <c r="IU14" s="63"/>
      <c r="IV14" s="62"/>
      <c r="IW14" s="63"/>
      <c r="IX14" s="63"/>
      <c r="IY14" s="63"/>
      <c r="IZ14" s="63"/>
      <c r="JA14" s="63"/>
      <c r="JB14" s="63"/>
      <c r="JC14" s="63"/>
      <c r="JD14" s="63"/>
      <c r="JE14" s="63"/>
      <c r="JF14" s="63"/>
      <c r="JG14" s="63"/>
      <c r="JH14" s="63"/>
      <c r="JI14" s="63"/>
      <c r="JJ14" s="63"/>
      <c r="JK14" s="63"/>
      <c r="JL14" s="63"/>
      <c r="JM14" s="63"/>
      <c r="JN14" s="63"/>
      <c r="JO14" s="63"/>
      <c r="JP14" s="63"/>
      <c r="JQ14" s="63"/>
      <c r="JR14" s="63"/>
      <c r="JS14" s="63"/>
      <c r="JT14" s="63"/>
      <c r="JU14" s="63"/>
      <c r="JV14" s="63"/>
      <c r="JW14" s="63"/>
      <c r="JX14" s="63"/>
      <c r="JY14" s="63"/>
      <c r="JZ14" s="63"/>
      <c r="KA14" s="62"/>
      <c r="KB14" s="63"/>
      <c r="KC14" s="63"/>
      <c r="KD14" s="63"/>
      <c r="KE14" s="63"/>
      <c r="KF14" s="63"/>
      <c r="KG14" s="63"/>
      <c r="KH14" s="63"/>
      <c r="KI14" s="63"/>
      <c r="KJ14" s="63"/>
      <c r="KK14" s="63"/>
      <c r="KL14" s="63"/>
      <c r="KM14" s="63"/>
      <c r="KN14" s="63"/>
      <c r="KO14" s="63"/>
      <c r="KP14" s="63"/>
      <c r="KQ14" s="63"/>
      <c r="KR14" s="63"/>
      <c r="KS14" s="63"/>
      <c r="KT14" s="63"/>
      <c r="KU14" s="63"/>
      <c r="KV14" s="63"/>
      <c r="KW14" s="63"/>
      <c r="KX14" s="63"/>
      <c r="KY14" s="63"/>
      <c r="KZ14" s="63"/>
      <c r="LA14" s="63"/>
      <c r="LB14" s="63"/>
      <c r="LC14" s="63"/>
      <c r="LD14" s="63"/>
      <c r="LE14" s="63"/>
      <c r="LF14" s="62"/>
      <c r="LG14" s="64" t="s">
        <v>42</v>
      </c>
      <c r="LH14" s="64" t="s">
        <v>42</v>
      </c>
      <c r="LI14" s="64" t="s">
        <v>42</v>
      </c>
      <c r="LJ14" s="64" t="s">
        <v>42</v>
      </c>
      <c r="LK14" s="64" t="s">
        <v>42</v>
      </c>
      <c r="LL14" s="63"/>
      <c r="LM14" s="63"/>
      <c r="LN14" s="63"/>
      <c r="LO14" s="63"/>
      <c r="LP14" s="63"/>
      <c r="LQ14" s="63"/>
      <c r="LR14" s="63"/>
      <c r="LS14" s="63"/>
      <c r="LT14" s="63"/>
      <c r="LU14" s="63"/>
      <c r="LV14" s="63"/>
      <c r="LW14" s="63"/>
      <c r="LX14" s="63"/>
      <c r="LY14" s="63"/>
      <c r="LZ14" s="63"/>
      <c r="MA14" s="63"/>
      <c r="MB14" s="63"/>
      <c r="MC14" s="63"/>
      <c r="MD14" s="63"/>
      <c r="ME14" s="63"/>
      <c r="MF14" s="63"/>
      <c r="MG14" s="63"/>
      <c r="MH14" s="63"/>
      <c r="MI14" s="63"/>
      <c r="MJ14" s="63"/>
      <c r="MK14" s="62"/>
      <c r="ML14" s="63"/>
      <c r="MM14" s="63"/>
      <c r="MN14" s="63"/>
      <c r="MO14" s="63"/>
      <c r="MP14" s="63"/>
      <c r="MQ14" s="63"/>
      <c r="MR14" s="63"/>
      <c r="MS14" s="63"/>
      <c r="MT14" s="63"/>
      <c r="MU14" s="63"/>
      <c r="MV14" s="63"/>
      <c r="MW14" s="63"/>
      <c r="MX14" s="63"/>
      <c r="MY14" s="63"/>
      <c r="MZ14" s="63"/>
      <c r="NA14" s="63"/>
      <c r="NB14" s="63"/>
      <c r="NC14" s="63"/>
      <c r="ND14" s="63"/>
      <c r="NE14" s="63"/>
      <c r="NF14" s="63"/>
      <c r="NG14" s="63"/>
      <c r="NH14" s="63"/>
      <c r="NI14" s="63"/>
      <c r="NJ14" s="63"/>
      <c r="NK14" s="63"/>
      <c r="NL14" s="64" t="s">
        <v>42</v>
      </c>
      <c r="NM14" s="64" t="s">
        <v>42</v>
      </c>
      <c r="NN14" s="64" t="s">
        <v>42</v>
      </c>
      <c r="NO14" s="64" t="s">
        <v>42</v>
      </c>
    </row>
    <row r="15" customFormat="false" ht="18.75" hidden="false" customHeight="true" outlineLevel="0" collapsed="false">
      <c r="A15" s="56" t="str">
        <f aca="false">IF($B15="","",TEXT(ROW()-9,"00"))</f>
        <v>06</v>
      </c>
      <c r="B15" s="57" t="s">
        <v>91</v>
      </c>
      <c r="C15" s="58" t="s">
        <v>89</v>
      </c>
      <c r="D15" s="59" t="n">
        <v>27</v>
      </c>
      <c r="E15" s="59" t="n">
        <v>4</v>
      </c>
      <c r="F15" s="60" t="n">
        <f aca="false">IF($B15="","",SUMPRODUCT(COUNTIF($H15:$NO15,Kuerzel)*Faktor))</f>
        <v>23</v>
      </c>
      <c r="G15" s="61" t="n">
        <f aca="false">IF($B15="","",$D15+$E15-$F15)</f>
        <v>8</v>
      </c>
      <c r="H15" s="62"/>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4" t="s">
        <v>42</v>
      </c>
      <c r="AH15" s="64" t="s">
        <v>42</v>
      </c>
      <c r="AI15" s="64" t="s">
        <v>42</v>
      </c>
      <c r="AJ15" s="64" t="s">
        <v>42</v>
      </c>
      <c r="AK15" s="64" t="s">
        <v>42</v>
      </c>
      <c r="AL15" s="63"/>
      <c r="AM15" s="62"/>
      <c r="AN15" s="63"/>
      <c r="AO15" s="63"/>
      <c r="AP15" s="63"/>
      <c r="AQ15" s="63"/>
      <c r="AR15" s="63"/>
      <c r="AS15" s="63"/>
      <c r="AT15" s="63"/>
      <c r="AU15" s="63"/>
      <c r="AV15" s="63"/>
      <c r="AW15" s="63"/>
      <c r="AX15" s="63"/>
      <c r="AY15" s="63"/>
      <c r="AZ15" s="63"/>
      <c r="BA15" s="63"/>
      <c r="BB15" s="63"/>
      <c r="BC15" s="63"/>
      <c r="BD15" s="63"/>
      <c r="BE15" s="63"/>
      <c r="BF15" s="63"/>
      <c r="BG15" s="63"/>
      <c r="BH15" s="63"/>
      <c r="BI15" s="63"/>
      <c r="BJ15" s="63"/>
      <c r="BK15" s="63"/>
      <c r="BL15" s="63"/>
      <c r="BM15" s="63"/>
      <c r="BN15" s="63"/>
      <c r="BO15" s="63"/>
      <c r="BP15" s="63"/>
      <c r="BQ15" s="63"/>
      <c r="BR15" s="62"/>
      <c r="BS15" s="63"/>
      <c r="BT15" s="63"/>
      <c r="BU15" s="63"/>
      <c r="BV15" s="63"/>
      <c r="BW15" s="63"/>
      <c r="BX15" s="63"/>
      <c r="BY15" s="63"/>
      <c r="BZ15" s="63"/>
      <c r="CA15" s="63"/>
      <c r="CB15" s="63"/>
      <c r="CC15" s="63"/>
      <c r="CD15" s="63"/>
      <c r="CE15" s="63"/>
      <c r="CF15" s="63"/>
      <c r="CG15" s="63"/>
      <c r="CH15" s="63"/>
      <c r="CI15" s="63"/>
      <c r="CJ15" s="63"/>
      <c r="CK15" s="63"/>
      <c r="CL15" s="63"/>
      <c r="CM15" s="63"/>
      <c r="CN15" s="63"/>
      <c r="CO15" s="63"/>
      <c r="CP15" s="63"/>
      <c r="CQ15" s="63"/>
      <c r="CR15" s="63"/>
      <c r="CS15" s="63"/>
      <c r="CT15" s="63"/>
      <c r="CU15" s="63"/>
      <c r="CV15" s="63"/>
      <c r="CW15" s="62"/>
      <c r="CX15" s="63"/>
      <c r="CY15" s="63"/>
      <c r="CZ15" s="63"/>
      <c r="DA15" s="63"/>
      <c r="DB15" s="63"/>
      <c r="DC15" s="63"/>
      <c r="DD15" s="63"/>
      <c r="DE15" s="63"/>
      <c r="DF15" s="63"/>
      <c r="DG15" s="63"/>
      <c r="DH15" s="63"/>
      <c r="DI15" s="63"/>
      <c r="DJ15" s="63"/>
      <c r="DK15" s="63"/>
      <c r="DL15" s="63"/>
      <c r="DM15" s="63"/>
      <c r="DN15" s="63"/>
      <c r="DO15" s="63"/>
      <c r="DP15" s="63"/>
      <c r="DQ15" s="63"/>
      <c r="DR15" s="63"/>
      <c r="DS15" s="63"/>
      <c r="DT15" s="63"/>
      <c r="DU15" s="63"/>
      <c r="DV15" s="63"/>
      <c r="DW15" s="63"/>
      <c r="DX15" s="63"/>
      <c r="DY15" s="63"/>
      <c r="DZ15" s="63"/>
      <c r="EA15" s="63"/>
      <c r="EB15" s="62"/>
      <c r="EC15" s="63"/>
      <c r="ED15" s="63"/>
      <c r="EE15" s="63"/>
      <c r="EF15" s="71" t="s">
        <v>45</v>
      </c>
      <c r="EG15" s="63"/>
      <c r="EH15" s="63"/>
      <c r="EI15" s="63"/>
      <c r="EJ15" s="63"/>
      <c r="EK15" s="63"/>
      <c r="EL15" s="63"/>
      <c r="EM15" s="63"/>
      <c r="EN15" s="63"/>
      <c r="EO15" s="63"/>
      <c r="EP15" s="63"/>
      <c r="EQ15" s="63"/>
      <c r="ER15" s="63"/>
      <c r="ES15" s="63"/>
      <c r="ET15" s="63"/>
      <c r="EU15" s="63"/>
      <c r="EV15" s="63"/>
      <c r="EW15" s="63"/>
      <c r="EX15" s="63"/>
      <c r="EY15" s="63"/>
      <c r="EZ15" s="63"/>
      <c r="FA15" s="63"/>
      <c r="FB15" s="63"/>
      <c r="FC15" s="63"/>
      <c r="FD15" s="63"/>
      <c r="FE15" s="63"/>
      <c r="FF15" s="63"/>
      <c r="FG15" s="62"/>
      <c r="FH15" s="63"/>
      <c r="FI15" s="63"/>
      <c r="FJ15" s="63"/>
      <c r="FK15" s="63"/>
      <c r="FL15" s="63"/>
      <c r="FM15" s="63"/>
      <c r="FN15" s="63"/>
      <c r="FO15" s="63"/>
      <c r="FP15" s="63"/>
      <c r="FQ15" s="63"/>
      <c r="FR15" s="63"/>
      <c r="FS15" s="63"/>
      <c r="FT15" s="63"/>
      <c r="FU15" s="63"/>
      <c r="FV15" s="63"/>
      <c r="FW15" s="63"/>
      <c r="FX15" s="63"/>
      <c r="FY15" s="63"/>
      <c r="FZ15" s="63"/>
      <c r="GA15" s="63"/>
      <c r="GB15" s="63"/>
      <c r="GC15" s="63"/>
      <c r="GD15" s="63"/>
      <c r="GE15" s="63"/>
      <c r="GF15" s="63"/>
      <c r="GG15" s="63"/>
      <c r="GH15" s="63"/>
      <c r="GI15" s="63"/>
      <c r="GJ15" s="63"/>
      <c r="GK15" s="63"/>
      <c r="GL15" s="62"/>
      <c r="GM15" s="65" t="s">
        <v>46</v>
      </c>
      <c r="GN15" s="63"/>
      <c r="GO15" s="63"/>
      <c r="GP15" s="63"/>
      <c r="GQ15" s="63"/>
      <c r="GR15" s="63"/>
      <c r="GS15" s="63"/>
      <c r="GT15" s="63"/>
      <c r="GU15" s="63"/>
      <c r="GV15" s="63"/>
      <c r="GW15" s="63"/>
      <c r="GX15" s="63"/>
      <c r="GY15" s="63"/>
      <c r="GZ15" s="63"/>
      <c r="HA15" s="63"/>
      <c r="HB15" s="63"/>
      <c r="HC15" s="63"/>
      <c r="HD15" s="63"/>
      <c r="HE15" s="63"/>
      <c r="HF15" s="63"/>
      <c r="HG15" s="63"/>
      <c r="HH15" s="63"/>
      <c r="HI15" s="63"/>
      <c r="HJ15" s="63"/>
      <c r="HK15" s="63"/>
      <c r="HL15" s="63"/>
      <c r="HM15" s="63"/>
      <c r="HN15" s="63"/>
      <c r="HO15" s="63"/>
      <c r="HP15" s="63"/>
      <c r="HQ15" s="62"/>
      <c r="HR15" s="63"/>
      <c r="HS15" s="63"/>
      <c r="HT15" s="63"/>
      <c r="HU15" s="63"/>
      <c r="HV15" s="63"/>
      <c r="HW15" s="63"/>
      <c r="HX15" s="63"/>
      <c r="HY15" s="63"/>
      <c r="HZ15" s="63"/>
      <c r="IA15" s="63"/>
      <c r="IB15" s="63"/>
      <c r="IC15" s="63"/>
      <c r="ID15" s="63"/>
      <c r="IE15" s="63"/>
      <c r="IF15" s="63"/>
      <c r="IG15" s="64" t="s">
        <v>42</v>
      </c>
      <c r="IH15" s="64" t="s">
        <v>42</v>
      </c>
      <c r="II15" s="64" t="s">
        <v>42</v>
      </c>
      <c r="IJ15" s="64" t="s">
        <v>42</v>
      </c>
      <c r="IK15" s="64" t="s">
        <v>42</v>
      </c>
      <c r="IL15" s="63"/>
      <c r="IM15" s="63"/>
      <c r="IN15" s="64" t="s">
        <v>42</v>
      </c>
      <c r="IO15" s="64" t="s">
        <v>42</v>
      </c>
      <c r="IP15" s="64" t="s">
        <v>42</v>
      </c>
      <c r="IQ15" s="64" t="s">
        <v>42</v>
      </c>
      <c r="IR15" s="64" t="s">
        <v>42</v>
      </c>
      <c r="IS15" s="63"/>
      <c r="IT15" s="63"/>
      <c r="IU15" s="63"/>
      <c r="IV15" s="62"/>
      <c r="IW15" s="63"/>
      <c r="IX15" s="63"/>
      <c r="IY15" s="63"/>
      <c r="IZ15" s="63"/>
      <c r="JA15" s="63"/>
      <c r="JB15" s="63"/>
      <c r="JC15" s="63"/>
      <c r="JD15" s="63"/>
      <c r="JE15" s="63"/>
      <c r="JF15" s="63"/>
      <c r="JG15" s="63"/>
      <c r="JH15" s="63"/>
      <c r="JI15" s="68" t="s">
        <v>47</v>
      </c>
      <c r="JJ15" s="68" t="s">
        <v>47</v>
      </c>
      <c r="JK15" s="68" t="s">
        <v>47</v>
      </c>
      <c r="JL15" s="68" t="s">
        <v>47</v>
      </c>
      <c r="JM15" s="68" t="s">
        <v>47</v>
      </c>
      <c r="JN15" s="63"/>
      <c r="JO15" s="63"/>
      <c r="JP15" s="63"/>
      <c r="JQ15" s="63"/>
      <c r="JR15" s="63"/>
      <c r="JS15" s="63"/>
      <c r="JT15" s="63"/>
      <c r="JU15" s="63"/>
      <c r="JV15" s="63"/>
      <c r="JW15" s="63"/>
      <c r="JX15" s="63"/>
      <c r="JY15" s="63"/>
      <c r="JZ15" s="63"/>
      <c r="KA15" s="62"/>
      <c r="KB15" s="63"/>
      <c r="KC15" s="63"/>
      <c r="KD15" s="63"/>
      <c r="KE15" s="63"/>
      <c r="KF15" s="63"/>
      <c r="KG15" s="63"/>
      <c r="KH15" s="63"/>
      <c r="KI15" s="63"/>
      <c r="KJ15" s="63"/>
      <c r="KK15" s="63"/>
      <c r="KL15" s="64" t="s">
        <v>42</v>
      </c>
      <c r="KM15" s="64" t="s">
        <v>42</v>
      </c>
      <c r="KN15" s="64" t="s">
        <v>42</v>
      </c>
      <c r="KO15" s="64" t="s">
        <v>42</v>
      </c>
      <c r="KP15" s="64" t="s">
        <v>42</v>
      </c>
      <c r="KQ15" s="63"/>
      <c r="KR15" s="63"/>
      <c r="KS15" s="63"/>
      <c r="KT15" s="63"/>
      <c r="KU15" s="63"/>
      <c r="KV15" s="63"/>
      <c r="KW15" s="63"/>
      <c r="KX15" s="63"/>
      <c r="KY15" s="63"/>
      <c r="KZ15" s="63"/>
      <c r="LA15" s="63"/>
      <c r="LB15" s="63"/>
      <c r="LC15" s="63"/>
      <c r="LD15" s="63"/>
      <c r="LE15" s="63"/>
      <c r="LF15" s="62"/>
      <c r="LG15" s="63"/>
      <c r="LH15" s="63"/>
      <c r="LI15" s="63"/>
      <c r="LJ15" s="63"/>
      <c r="LK15" s="63"/>
      <c r="LL15" s="63"/>
      <c r="LM15" s="63"/>
      <c r="LN15" s="63"/>
      <c r="LO15" s="63"/>
      <c r="LP15" s="63"/>
      <c r="LQ15" s="63"/>
      <c r="LR15" s="63"/>
      <c r="LS15" s="63"/>
      <c r="LT15" s="63"/>
      <c r="LU15" s="63"/>
      <c r="LV15" s="63"/>
      <c r="LW15" s="63"/>
      <c r="LX15" s="63"/>
      <c r="LY15" s="63"/>
      <c r="LZ15" s="63"/>
      <c r="MA15" s="63"/>
      <c r="MB15" s="63"/>
      <c r="MC15" s="63"/>
      <c r="MD15" s="63"/>
      <c r="ME15" s="63"/>
      <c r="MF15" s="63"/>
      <c r="MG15" s="63"/>
      <c r="MH15" s="63"/>
      <c r="MI15" s="63"/>
      <c r="MJ15" s="63"/>
      <c r="MK15" s="62"/>
      <c r="ML15" s="63"/>
      <c r="MM15" s="63"/>
      <c r="MN15" s="63"/>
      <c r="MO15" s="63"/>
      <c r="MP15" s="63"/>
      <c r="MQ15" s="63"/>
      <c r="MR15" s="63"/>
      <c r="MS15" s="63"/>
      <c r="MT15" s="63"/>
      <c r="MU15" s="63"/>
      <c r="MV15" s="63"/>
      <c r="MW15" s="63"/>
      <c r="MX15" s="63"/>
      <c r="MY15" s="63"/>
      <c r="MZ15" s="63"/>
      <c r="NA15" s="63"/>
      <c r="NB15" s="63"/>
      <c r="NC15" s="63"/>
      <c r="ND15" s="63"/>
      <c r="NE15" s="64" t="s">
        <v>42</v>
      </c>
      <c r="NF15" s="64" t="s">
        <v>42</v>
      </c>
      <c r="NG15" s="64" t="s">
        <v>42</v>
      </c>
      <c r="NH15" s="63"/>
      <c r="NI15" s="63"/>
      <c r="NJ15" s="63"/>
      <c r="NK15" s="63"/>
      <c r="NL15" s="63"/>
      <c r="NM15" s="63"/>
      <c r="NN15" s="63"/>
      <c r="NO15" s="63"/>
    </row>
    <row r="16" customFormat="false" ht="18.75" hidden="false" customHeight="true" outlineLevel="0" collapsed="false">
      <c r="A16" s="56" t="str">
        <f aca="false">IF($B16="","",TEXT(ROW()-9,"00"))</f>
        <v>07</v>
      </c>
      <c r="B16" s="57" t="s">
        <v>92</v>
      </c>
      <c r="C16" s="58" t="s">
        <v>93</v>
      </c>
      <c r="D16" s="59" t="n">
        <v>30</v>
      </c>
      <c r="E16" s="59" t="n">
        <v>6</v>
      </c>
      <c r="F16" s="60" t="n">
        <f aca="false">IF($B16="","",SUMPRODUCT(COUNTIF($H16:$NO16,Kuerzel)*Faktor))</f>
        <v>33</v>
      </c>
      <c r="G16" s="61" t="n">
        <f aca="false">IF($B16="","",$D16+$E16-$F16)</f>
        <v>3</v>
      </c>
      <c r="H16" s="62"/>
      <c r="I16" s="63"/>
      <c r="J16" s="63"/>
      <c r="K16" s="63"/>
      <c r="L16" s="63"/>
      <c r="M16" s="63"/>
      <c r="N16" s="63"/>
      <c r="O16" s="63"/>
      <c r="P16" s="63"/>
      <c r="Q16" s="63"/>
      <c r="R16" s="63"/>
      <c r="S16" s="63"/>
      <c r="T16" s="63"/>
      <c r="U16" s="63"/>
      <c r="V16" s="63"/>
      <c r="W16" s="63"/>
      <c r="X16" s="63"/>
      <c r="Y16" s="63"/>
      <c r="Z16" s="63"/>
      <c r="AA16" s="63"/>
      <c r="AB16" s="63"/>
      <c r="AC16" s="63"/>
      <c r="AD16" s="63"/>
      <c r="AE16" s="63"/>
      <c r="AF16" s="63"/>
      <c r="AG16" s="63"/>
      <c r="AH16" s="63"/>
      <c r="AI16" s="63"/>
      <c r="AJ16" s="63"/>
      <c r="AK16" s="63"/>
      <c r="AL16" s="63"/>
      <c r="AM16" s="62"/>
      <c r="AN16" s="63"/>
      <c r="AO16" s="63"/>
      <c r="AP16" s="63"/>
      <c r="AQ16" s="63"/>
      <c r="AR16" s="63"/>
      <c r="AS16" s="63"/>
      <c r="AT16" s="63"/>
      <c r="AU16" s="63"/>
      <c r="AV16" s="63"/>
      <c r="AW16" s="63"/>
      <c r="AX16" s="63"/>
      <c r="AY16" s="63"/>
      <c r="AZ16" s="63"/>
      <c r="BA16" s="63"/>
      <c r="BB16" s="63"/>
      <c r="BC16" s="63"/>
      <c r="BD16" s="63"/>
      <c r="BE16" s="63"/>
      <c r="BF16" s="63"/>
      <c r="BG16" s="63"/>
      <c r="BH16" s="63"/>
      <c r="BI16" s="63"/>
      <c r="BJ16" s="63"/>
      <c r="BK16" s="63"/>
      <c r="BL16" s="63"/>
      <c r="BM16" s="63"/>
      <c r="BN16" s="63"/>
      <c r="BO16" s="63"/>
      <c r="BP16" s="63"/>
      <c r="BQ16" s="63"/>
      <c r="BR16" s="62"/>
      <c r="BS16" s="63"/>
      <c r="BT16" s="63"/>
      <c r="BU16" s="63"/>
      <c r="BV16" s="63"/>
      <c r="BW16" s="63"/>
      <c r="BX16" s="63"/>
      <c r="BY16" s="63"/>
      <c r="BZ16" s="64" t="s">
        <v>42</v>
      </c>
      <c r="CA16" s="64" t="s">
        <v>42</v>
      </c>
      <c r="CB16" s="64" t="s">
        <v>42</v>
      </c>
      <c r="CC16" s="64" t="s">
        <v>42</v>
      </c>
      <c r="CD16" s="64" t="s">
        <v>42</v>
      </c>
      <c r="CE16" s="63"/>
      <c r="CF16" s="63"/>
      <c r="CG16" s="63"/>
      <c r="CH16" s="63"/>
      <c r="CI16" s="63"/>
      <c r="CJ16" s="63"/>
      <c r="CK16" s="63"/>
      <c r="CL16" s="63"/>
      <c r="CM16" s="63"/>
      <c r="CN16" s="63"/>
      <c r="CO16" s="63"/>
      <c r="CP16" s="63"/>
      <c r="CQ16" s="63"/>
      <c r="CR16" s="63"/>
      <c r="CS16" s="63"/>
      <c r="CT16" s="63"/>
      <c r="CU16" s="63"/>
      <c r="CV16" s="63"/>
      <c r="CW16" s="62"/>
      <c r="CX16" s="63"/>
      <c r="CY16" s="63"/>
      <c r="CZ16" s="63"/>
      <c r="DA16" s="63"/>
      <c r="DB16" s="63"/>
      <c r="DC16" s="63"/>
      <c r="DD16" s="63"/>
      <c r="DE16" s="63"/>
      <c r="DF16" s="63"/>
      <c r="DG16" s="63"/>
      <c r="DH16" s="63"/>
      <c r="DI16" s="63"/>
      <c r="DJ16" s="63"/>
      <c r="DK16" s="63"/>
      <c r="DL16" s="65" t="s">
        <v>46</v>
      </c>
      <c r="DM16" s="63"/>
      <c r="DN16" s="63"/>
      <c r="DO16" s="63"/>
      <c r="DP16" s="63"/>
      <c r="DQ16" s="63"/>
      <c r="DR16" s="63"/>
      <c r="DS16" s="63"/>
      <c r="DT16" s="63"/>
      <c r="DU16" s="63"/>
      <c r="DV16" s="63"/>
      <c r="DW16" s="63"/>
      <c r="DX16" s="63"/>
      <c r="DY16" s="63"/>
      <c r="DZ16" s="63"/>
      <c r="EA16" s="63"/>
      <c r="EB16" s="62"/>
      <c r="EC16" s="63"/>
      <c r="ED16" s="63"/>
      <c r="EE16" s="63"/>
      <c r="EF16" s="63"/>
      <c r="EG16" s="63"/>
      <c r="EH16" s="63"/>
      <c r="EI16" s="63"/>
      <c r="EJ16" s="63"/>
      <c r="EK16" s="63"/>
      <c r="EL16" s="63"/>
      <c r="EM16" s="63"/>
      <c r="EN16" s="63"/>
      <c r="EO16" s="63"/>
      <c r="EP16" s="63"/>
      <c r="EQ16" s="63"/>
      <c r="ER16" s="63"/>
      <c r="ES16" s="63"/>
      <c r="ET16" s="63"/>
      <c r="EU16" s="69" t="s">
        <v>49</v>
      </c>
      <c r="EV16" s="63"/>
      <c r="EW16" s="63"/>
      <c r="EX16" s="63"/>
      <c r="EY16" s="63"/>
      <c r="EZ16" s="63"/>
      <c r="FA16" s="63"/>
      <c r="FB16" s="63"/>
      <c r="FC16" s="63"/>
      <c r="FD16" s="63"/>
      <c r="FE16" s="63"/>
      <c r="FF16" s="63"/>
      <c r="FG16" s="62"/>
      <c r="FH16" s="63"/>
      <c r="FI16" s="63"/>
      <c r="FJ16" s="63"/>
      <c r="FK16" s="63"/>
      <c r="FL16" s="63"/>
      <c r="FM16" s="63"/>
      <c r="FN16" s="63"/>
      <c r="FO16" s="63"/>
      <c r="FP16" s="63"/>
      <c r="FQ16" s="63"/>
      <c r="FR16" s="63"/>
      <c r="FS16" s="63"/>
      <c r="FT16" s="63"/>
      <c r="FU16" s="63"/>
      <c r="FV16" s="63"/>
      <c r="FW16" s="63"/>
      <c r="FX16" s="63"/>
      <c r="FY16" s="63"/>
      <c r="FZ16" s="63"/>
      <c r="GA16" s="63"/>
      <c r="GB16" s="63"/>
      <c r="GC16" s="63"/>
      <c r="GD16" s="63"/>
      <c r="GE16" s="63"/>
      <c r="GF16" s="63"/>
      <c r="GG16" s="63"/>
      <c r="GH16" s="63"/>
      <c r="GI16" s="63"/>
      <c r="GJ16" s="63"/>
      <c r="GK16" s="63"/>
      <c r="GL16" s="62"/>
      <c r="GM16" s="63"/>
      <c r="GN16" s="63"/>
      <c r="GO16" s="63"/>
      <c r="GP16" s="63"/>
      <c r="GQ16" s="64" t="s">
        <v>42</v>
      </c>
      <c r="GR16" s="64" t="s">
        <v>42</v>
      </c>
      <c r="GS16" s="64" t="s">
        <v>42</v>
      </c>
      <c r="GT16" s="64" t="s">
        <v>42</v>
      </c>
      <c r="GU16" s="64" t="s">
        <v>42</v>
      </c>
      <c r="GV16" s="63"/>
      <c r="GW16" s="63"/>
      <c r="GX16" s="64" t="s">
        <v>42</v>
      </c>
      <c r="GY16" s="64" t="s">
        <v>42</v>
      </c>
      <c r="GZ16" s="64" t="s">
        <v>42</v>
      </c>
      <c r="HA16" s="64" t="s">
        <v>42</v>
      </c>
      <c r="HB16" s="64" t="s">
        <v>42</v>
      </c>
      <c r="HC16" s="63"/>
      <c r="HD16" s="63"/>
      <c r="HE16" s="64" t="s">
        <v>42</v>
      </c>
      <c r="HF16" s="64" t="s">
        <v>42</v>
      </c>
      <c r="HG16" s="64" t="s">
        <v>42</v>
      </c>
      <c r="HH16" s="64" t="s">
        <v>42</v>
      </c>
      <c r="HI16" s="64" t="s">
        <v>42</v>
      </c>
      <c r="HJ16" s="63"/>
      <c r="HK16" s="63"/>
      <c r="HL16" s="63"/>
      <c r="HM16" s="63"/>
      <c r="HN16" s="63"/>
      <c r="HO16" s="63"/>
      <c r="HP16" s="63"/>
      <c r="HQ16" s="62"/>
      <c r="HR16" s="63"/>
      <c r="HS16" s="63"/>
      <c r="HT16" s="63"/>
      <c r="HU16" s="63"/>
      <c r="HV16" s="63"/>
      <c r="HW16" s="63"/>
      <c r="HX16" s="63"/>
      <c r="HY16" s="63"/>
      <c r="HZ16" s="63"/>
      <c r="IA16" s="63"/>
      <c r="IB16" s="63"/>
      <c r="IC16" s="63"/>
      <c r="ID16" s="63"/>
      <c r="IE16" s="63"/>
      <c r="IF16" s="63"/>
      <c r="IG16" s="63"/>
      <c r="IH16" s="63"/>
      <c r="II16" s="63"/>
      <c r="IJ16" s="63"/>
      <c r="IK16" s="63"/>
      <c r="IL16" s="63"/>
      <c r="IM16" s="63"/>
      <c r="IN16" s="63"/>
      <c r="IO16" s="63"/>
      <c r="IP16" s="63"/>
      <c r="IQ16" s="63"/>
      <c r="IR16" s="63"/>
      <c r="IS16" s="63"/>
      <c r="IT16" s="63"/>
      <c r="IU16" s="63"/>
      <c r="IV16" s="62"/>
      <c r="IW16" s="63"/>
      <c r="IX16" s="63"/>
      <c r="IY16" s="63"/>
      <c r="IZ16" s="63"/>
      <c r="JA16" s="63"/>
      <c r="JB16" s="63"/>
      <c r="JC16" s="63"/>
      <c r="JD16" s="63"/>
      <c r="JE16" s="63"/>
      <c r="JF16" s="63"/>
      <c r="JG16" s="63"/>
      <c r="JH16" s="63"/>
      <c r="JI16" s="63"/>
      <c r="JJ16" s="63"/>
      <c r="JK16" s="63"/>
      <c r="JL16" s="63"/>
      <c r="JM16" s="63"/>
      <c r="JN16" s="63"/>
      <c r="JO16" s="63"/>
      <c r="JP16" s="63"/>
      <c r="JQ16" s="63"/>
      <c r="JR16" s="63"/>
      <c r="JS16" s="63"/>
      <c r="JT16" s="63"/>
      <c r="JU16" s="63"/>
      <c r="JV16" s="63"/>
      <c r="JW16" s="64" t="s">
        <v>42</v>
      </c>
      <c r="JX16" s="64" t="s">
        <v>42</v>
      </c>
      <c r="JY16" s="64" t="s">
        <v>42</v>
      </c>
      <c r="JZ16" s="63"/>
      <c r="KA16" s="66" t="s">
        <v>42</v>
      </c>
      <c r="KB16" s="64" t="s">
        <v>42</v>
      </c>
      <c r="KC16" s="63"/>
      <c r="KD16" s="63"/>
      <c r="KE16" s="63"/>
      <c r="KF16" s="63"/>
      <c r="KG16" s="63"/>
      <c r="KH16" s="63"/>
      <c r="KI16" s="63"/>
      <c r="KJ16" s="63"/>
      <c r="KK16" s="63"/>
      <c r="KL16" s="63"/>
      <c r="KM16" s="63"/>
      <c r="KN16" s="63"/>
      <c r="KO16" s="63"/>
      <c r="KP16" s="63"/>
      <c r="KQ16" s="63"/>
      <c r="KR16" s="63"/>
      <c r="KS16" s="63"/>
      <c r="KT16" s="63"/>
      <c r="KU16" s="63"/>
      <c r="KV16" s="63"/>
      <c r="KW16" s="63"/>
      <c r="KX16" s="63"/>
      <c r="KY16" s="63"/>
      <c r="KZ16" s="63"/>
      <c r="LA16" s="63"/>
      <c r="LB16" s="63"/>
      <c r="LC16" s="63"/>
      <c r="LD16" s="63"/>
      <c r="LE16" s="63"/>
      <c r="LF16" s="62"/>
      <c r="LG16" s="63"/>
      <c r="LH16" s="63"/>
      <c r="LI16" s="63"/>
      <c r="LJ16" s="63"/>
      <c r="LK16" s="63"/>
      <c r="LL16" s="63"/>
      <c r="LM16" s="63"/>
      <c r="LN16" s="63"/>
      <c r="LO16" s="63"/>
      <c r="LP16" s="63"/>
      <c r="LQ16" s="63"/>
      <c r="LR16" s="63"/>
      <c r="LS16" s="63"/>
      <c r="LT16" s="63"/>
      <c r="LU16" s="63"/>
      <c r="LV16" s="63"/>
      <c r="LW16" s="63"/>
      <c r="LX16" s="63"/>
      <c r="LY16" s="63"/>
      <c r="LZ16" s="63"/>
      <c r="MA16" s="63"/>
      <c r="MB16" s="63"/>
      <c r="MC16" s="63"/>
      <c r="MD16" s="63"/>
      <c r="ME16" s="63"/>
      <c r="MF16" s="63"/>
      <c r="MG16" s="63"/>
      <c r="MH16" s="63"/>
      <c r="MI16" s="63"/>
      <c r="MJ16" s="63"/>
      <c r="MK16" s="62"/>
      <c r="ML16" s="63"/>
      <c r="MM16" s="63"/>
      <c r="MN16" s="63"/>
      <c r="MO16" s="63"/>
      <c r="MP16" s="63"/>
      <c r="MQ16" s="63"/>
      <c r="MR16" s="63"/>
      <c r="MS16" s="63"/>
      <c r="MT16" s="63"/>
      <c r="MU16" s="63"/>
      <c r="MV16" s="63"/>
      <c r="MW16" s="63"/>
      <c r="MX16" s="63"/>
      <c r="MY16" s="63"/>
      <c r="MZ16" s="63"/>
      <c r="NA16" s="63"/>
      <c r="NB16" s="63"/>
      <c r="NC16" s="63"/>
      <c r="ND16" s="63"/>
      <c r="NE16" s="64" t="s">
        <v>42</v>
      </c>
      <c r="NF16" s="64" t="s">
        <v>42</v>
      </c>
      <c r="NG16" s="64" t="s">
        <v>42</v>
      </c>
      <c r="NH16" s="64" t="s">
        <v>42</v>
      </c>
      <c r="NI16" s="63"/>
      <c r="NJ16" s="63"/>
      <c r="NK16" s="63"/>
      <c r="NL16" s="64" t="s">
        <v>42</v>
      </c>
      <c r="NM16" s="64" t="s">
        <v>42</v>
      </c>
      <c r="NN16" s="64" t="s">
        <v>42</v>
      </c>
      <c r="NO16" s="64" t="s">
        <v>42</v>
      </c>
    </row>
    <row r="17" customFormat="false" ht="18.75" hidden="false" customHeight="true" outlineLevel="0" collapsed="false">
      <c r="A17" s="56" t="str">
        <f aca="false">IF($B17="","",TEXT(ROW()-9,"00"))</f>
        <v>08</v>
      </c>
      <c r="B17" s="57" t="s">
        <v>94</v>
      </c>
      <c r="C17" s="58" t="s">
        <v>93</v>
      </c>
      <c r="D17" s="59" t="n">
        <v>30</v>
      </c>
      <c r="E17" s="59" t="n">
        <v>0</v>
      </c>
      <c r="F17" s="60" t="n">
        <f aca="false">IF($B17="","",SUMPRODUCT(COUNTIF($H17:$NO17,Kuerzel)*Faktor))</f>
        <v>23</v>
      </c>
      <c r="G17" s="61" t="n">
        <f aca="false">IF($B17="","",$D17+$E17-$F17)</f>
        <v>7</v>
      </c>
      <c r="H17" s="62"/>
      <c r="I17" s="63"/>
      <c r="J17" s="63"/>
      <c r="K17" s="63"/>
      <c r="L17" s="63"/>
      <c r="M17" s="63"/>
      <c r="N17" s="63"/>
      <c r="O17" s="63"/>
      <c r="P17" s="63"/>
      <c r="Q17" s="63"/>
      <c r="R17" s="63"/>
      <c r="S17" s="63"/>
      <c r="T17" s="63"/>
      <c r="U17" s="63"/>
      <c r="V17" s="63"/>
      <c r="W17" s="63"/>
      <c r="X17" s="63"/>
      <c r="Y17" s="63"/>
      <c r="Z17" s="64" t="s">
        <v>42</v>
      </c>
      <c r="AA17" s="64" t="s">
        <v>42</v>
      </c>
      <c r="AB17" s="64" t="s">
        <v>42</v>
      </c>
      <c r="AC17" s="64" t="s">
        <v>42</v>
      </c>
      <c r="AD17" s="64" t="s">
        <v>42</v>
      </c>
      <c r="AE17" s="63"/>
      <c r="AF17" s="63"/>
      <c r="AG17" s="63"/>
      <c r="AH17" s="63"/>
      <c r="AI17" s="63"/>
      <c r="AJ17" s="63"/>
      <c r="AK17" s="63"/>
      <c r="AL17" s="63"/>
      <c r="AM17" s="62"/>
      <c r="AN17" s="63"/>
      <c r="AO17" s="63"/>
      <c r="AP17" s="63"/>
      <c r="AQ17" s="63"/>
      <c r="AR17" s="63"/>
      <c r="AS17" s="63"/>
      <c r="AT17" s="63"/>
      <c r="AU17" s="63"/>
      <c r="AV17" s="63"/>
      <c r="AW17" s="63"/>
      <c r="AX17" s="63"/>
      <c r="AY17" s="63"/>
      <c r="AZ17" s="63"/>
      <c r="BA17" s="63"/>
      <c r="BB17" s="63"/>
      <c r="BC17" s="63"/>
      <c r="BD17" s="63"/>
      <c r="BE17" s="63"/>
      <c r="BF17" s="63"/>
      <c r="BG17" s="63"/>
      <c r="BH17" s="63"/>
      <c r="BI17" s="63"/>
      <c r="BJ17" s="67" t="s">
        <v>44</v>
      </c>
      <c r="BK17" s="67" t="s">
        <v>44</v>
      </c>
      <c r="BL17" s="67" t="s">
        <v>44</v>
      </c>
      <c r="BM17" s="63"/>
      <c r="BN17" s="63"/>
      <c r="BO17" s="63"/>
      <c r="BP17" s="63"/>
      <c r="BQ17" s="63"/>
      <c r="BR17" s="62"/>
      <c r="BS17" s="63"/>
      <c r="BT17" s="63"/>
      <c r="BU17" s="63"/>
      <c r="BV17" s="63"/>
      <c r="BW17" s="63"/>
      <c r="BX17" s="63"/>
      <c r="BY17" s="63"/>
      <c r="BZ17" s="63"/>
      <c r="CA17" s="63"/>
      <c r="CB17" s="63"/>
      <c r="CC17" s="63"/>
      <c r="CD17" s="63"/>
      <c r="CE17" s="63"/>
      <c r="CF17" s="63"/>
      <c r="CG17" s="63"/>
      <c r="CH17" s="63"/>
      <c r="CI17" s="63"/>
      <c r="CJ17" s="63"/>
      <c r="CK17" s="63"/>
      <c r="CL17" s="63"/>
      <c r="CM17" s="63"/>
      <c r="CN17" s="63"/>
      <c r="CO17" s="63"/>
      <c r="CP17" s="63"/>
      <c r="CQ17" s="63"/>
      <c r="CR17" s="63"/>
      <c r="CS17" s="63"/>
      <c r="CT17" s="63"/>
      <c r="CU17" s="63"/>
      <c r="CV17" s="63"/>
      <c r="CW17" s="62"/>
      <c r="CX17" s="63"/>
      <c r="CY17" s="63"/>
      <c r="CZ17" s="63"/>
      <c r="DA17" s="63"/>
      <c r="DB17" s="63"/>
      <c r="DC17" s="63"/>
      <c r="DD17" s="63"/>
      <c r="DE17" s="63"/>
      <c r="DF17" s="63"/>
      <c r="DG17" s="63"/>
      <c r="DH17" s="63"/>
      <c r="DI17" s="63"/>
      <c r="DJ17" s="63"/>
      <c r="DK17" s="63"/>
      <c r="DL17" s="63"/>
      <c r="DM17" s="63"/>
      <c r="DN17" s="63"/>
      <c r="DO17" s="63"/>
      <c r="DP17" s="63"/>
      <c r="DQ17" s="63"/>
      <c r="DR17" s="63"/>
      <c r="DS17" s="63"/>
      <c r="DT17" s="63"/>
      <c r="DU17" s="63"/>
      <c r="DV17" s="63"/>
      <c r="DW17" s="63"/>
      <c r="DX17" s="63"/>
      <c r="DY17" s="63"/>
      <c r="DZ17" s="63"/>
      <c r="EA17" s="63"/>
      <c r="EB17" s="62"/>
      <c r="EC17" s="63"/>
      <c r="ED17" s="63"/>
      <c r="EE17" s="63"/>
      <c r="EF17" s="63"/>
      <c r="EG17" s="63"/>
      <c r="EH17" s="63"/>
      <c r="EI17" s="63"/>
      <c r="EJ17" s="63"/>
      <c r="EK17" s="63"/>
      <c r="EL17" s="63"/>
      <c r="EM17" s="63"/>
      <c r="EN17" s="63"/>
      <c r="EO17" s="63"/>
      <c r="EP17" s="63"/>
      <c r="EQ17" s="63"/>
      <c r="ER17" s="63"/>
      <c r="ES17" s="63"/>
      <c r="ET17" s="63"/>
      <c r="EU17" s="63"/>
      <c r="EV17" s="63"/>
      <c r="EW17" s="63"/>
      <c r="EX17" s="63"/>
      <c r="EY17" s="63"/>
      <c r="EZ17" s="63"/>
      <c r="FA17" s="63"/>
      <c r="FB17" s="63"/>
      <c r="FC17" s="63"/>
      <c r="FD17" s="63"/>
      <c r="FE17" s="63"/>
      <c r="FF17" s="63"/>
      <c r="FG17" s="62"/>
      <c r="FH17" s="63"/>
      <c r="FI17" s="63"/>
      <c r="FJ17" s="63"/>
      <c r="FK17" s="63"/>
      <c r="FL17" s="63"/>
      <c r="FM17" s="63"/>
      <c r="FN17" s="63"/>
      <c r="FO17" s="63"/>
      <c r="FP17" s="63"/>
      <c r="FQ17" s="63"/>
      <c r="FR17" s="63"/>
      <c r="FS17" s="63"/>
      <c r="FT17" s="63"/>
      <c r="FU17" s="63"/>
      <c r="FV17" s="63"/>
      <c r="FW17" s="63"/>
      <c r="FX17" s="63"/>
      <c r="FY17" s="63"/>
      <c r="FZ17" s="63"/>
      <c r="GA17" s="63"/>
      <c r="GB17" s="63"/>
      <c r="GC17" s="63"/>
      <c r="GD17" s="63"/>
      <c r="GE17" s="63"/>
      <c r="GF17" s="63"/>
      <c r="GG17" s="63"/>
      <c r="GH17" s="63"/>
      <c r="GI17" s="63"/>
      <c r="GJ17" s="63"/>
      <c r="GK17" s="63"/>
      <c r="GL17" s="62"/>
      <c r="GM17" s="63"/>
      <c r="GN17" s="63"/>
      <c r="GO17" s="63"/>
      <c r="GP17" s="63"/>
      <c r="GQ17" s="63"/>
      <c r="GR17" s="63"/>
      <c r="GS17" s="63"/>
      <c r="GT17" s="63"/>
      <c r="GU17" s="63"/>
      <c r="GV17" s="63"/>
      <c r="GW17" s="63"/>
      <c r="GX17" s="63"/>
      <c r="GY17" s="63"/>
      <c r="GZ17" s="63"/>
      <c r="HA17" s="63"/>
      <c r="HB17" s="63"/>
      <c r="HC17" s="63"/>
      <c r="HD17" s="63"/>
      <c r="HE17" s="63"/>
      <c r="HF17" s="63"/>
      <c r="HG17" s="63"/>
      <c r="HH17" s="63"/>
      <c r="HI17" s="63"/>
      <c r="HJ17" s="63"/>
      <c r="HK17" s="63"/>
      <c r="HL17" s="63"/>
      <c r="HM17" s="63"/>
      <c r="HN17" s="63"/>
      <c r="HO17" s="63"/>
      <c r="HP17" s="63"/>
      <c r="HQ17" s="62"/>
      <c r="HR17" s="63"/>
      <c r="HS17" s="63"/>
      <c r="HT17" s="63"/>
      <c r="HU17" s="63"/>
      <c r="HV17" s="63"/>
      <c r="HW17" s="63"/>
      <c r="HX17" s="63"/>
      <c r="HY17" s="63"/>
      <c r="HZ17" s="63"/>
      <c r="IA17" s="63"/>
      <c r="IB17" s="63"/>
      <c r="IC17" s="63"/>
      <c r="ID17" s="63"/>
      <c r="IE17" s="63"/>
      <c r="IF17" s="63"/>
      <c r="IG17" s="64" t="s">
        <v>42</v>
      </c>
      <c r="IH17" s="64" t="s">
        <v>42</v>
      </c>
      <c r="II17" s="64" t="s">
        <v>42</v>
      </c>
      <c r="IJ17" s="64" t="s">
        <v>42</v>
      </c>
      <c r="IK17" s="64" t="s">
        <v>42</v>
      </c>
      <c r="IL17" s="63"/>
      <c r="IM17" s="63"/>
      <c r="IN17" s="64" t="s">
        <v>42</v>
      </c>
      <c r="IO17" s="64" t="s">
        <v>42</v>
      </c>
      <c r="IP17" s="64" t="s">
        <v>42</v>
      </c>
      <c r="IQ17" s="64" t="s">
        <v>42</v>
      </c>
      <c r="IR17" s="64" t="s">
        <v>42</v>
      </c>
      <c r="IS17" s="63"/>
      <c r="IT17" s="63"/>
      <c r="IU17" s="63"/>
      <c r="IV17" s="62"/>
      <c r="IW17" s="63"/>
      <c r="IX17" s="63"/>
      <c r="IY17" s="63"/>
      <c r="IZ17" s="63"/>
      <c r="JA17" s="63"/>
      <c r="JB17" s="63"/>
      <c r="JC17" s="63"/>
      <c r="JD17" s="63"/>
      <c r="JE17" s="63"/>
      <c r="JF17" s="63"/>
      <c r="JG17" s="63"/>
      <c r="JH17" s="63"/>
      <c r="JI17" s="63"/>
      <c r="JJ17" s="63"/>
      <c r="JK17" s="63"/>
      <c r="JL17" s="63"/>
      <c r="JM17" s="63"/>
      <c r="JN17" s="63"/>
      <c r="JO17" s="63"/>
      <c r="JP17" s="68" t="s">
        <v>47</v>
      </c>
      <c r="JQ17" s="68" t="s">
        <v>47</v>
      </c>
      <c r="JR17" s="63"/>
      <c r="JS17" s="63"/>
      <c r="JT17" s="63"/>
      <c r="JU17" s="63"/>
      <c r="JV17" s="63"/>
      <c r="JW17" s="63"/>
      <c r="JX17" s="63"/>
      <c r="JY17" s="63"/>
      <c r="JZ17" s="63"/>
      <c r="KA17" s="62"/>
      <c r="KB17" s="63"/>
      <c r="KC17" s="63"/>
      <c r="KD17" s="63"/>
      <c r="KE17" s="63"/>
      <c r="KF17" s="63"/>
      <c r="KG17" s="63"/>
      <c r="KH17" s="63"/>
      <c r="KI17" s="63"/>
      <c r="KJ17" s="63"/>
      <c r="KK17" s="63"/>
      <c r="KL17" s="63"/>
      <c r="KM17" s="63"/>
      <c r="KN17" s="63"/>
      <c r="KO17" s="63"/>
      <c r="KP17" s="63"/>
      <c r="KQ17" s="63"/>
      <c r="KR17" s="63"/>
      <c r="KS17" s="63"/>
      <c r="KT17" s="63"/>
      <c r="KU17" s="63"/>
      <c r="KV17" s="63"/>
      <c r="KW17" s="63"/>
      <c r="KX17" s="63"/>
      <c r="KY17" s="63"/>
      <c r="KZ17" s="63"/>
      <c r="LA17" s="63"/>
      <c r="LB17" s="63"/>
      <c r="LC17" s="63"/>
      <c r="LD17" s="63"/>
      <c r="LE17" s="63"/>
      <c r="LF17" s="62"/>
      <c r="LG17" s="63"/>
      <c r="LH17" s="63"/>
      <c r="LI17" s="63"/>
      <c r="LJ17" s="63"/>
      <c r="LK17" s="63"/>
      <c r="LL17" s="63"/>
      <c r="LM17" s="63"/>
      <c r="LN17" s="64" t="s">
        <v>42</v>
      </c>
      <c r="LO17" s="64" t="s">
        <v>42</v>
      </c>
      <c r="LP17" s="64" t="s">
        <v>42</v>
      </c>
      <c r="LQ17" s="64" t="s">
        <v>42</v>
      </c>
      <c r="LR17" s="64" t="s">
        <v>42</v>
      </c>
      <c r="LS17" s="63"/>
      <c r="LT17" s="63"/>
      <c r="LU17" s="63"/>
      <c r="LV17" s="63"/>
      <c r="LW17" s="63"/>
      <c r="LX17" s="63"/>
      <c r="LY17" s="63"/>
      <c r="LZ17" s="63"/>
      <c r="MA17" s="63"/>
      <c r="MB17" s="63"/>
      <c r="MC17" s="63"/>
      <c r="MD17" s="63"/>
      <c r="ME17" s="63"/>
      <c r="MF17" s="63"/>
      <c r="MG17" s="63"/>
      <c r="MH17" s="63"/>
      <c r="MI17" s="63"/>
      <c r="MJ17" s="63"/>
      <c r="MK17" s="62"/>
      <c r="ML17" s="63"/>
      <c r="MM17" s="63"/>
      <c r="MN17" s="63"/>
      <c r="MO17" s="63"/>
      <c r="MP17" s="63"/>
      <c r="MQ17" s="63"/>
      <c r="MR17" s="63"/>
      <c r="MS17" s="63"/>
      <c r="MT17" s="63"/>
      <c r="MU17" s="63"/>
      <c r="MV17" s="63"/>
      <c r="MW17" s="63"/>
      <c r="MX17" s="63"/>
      <c r="MY17" s="63"/>
      <c r="MZ17" s="63"/>
      <c r="NA17" s="63"/>
      <c r="NB17" s="63"/>
      <c r="NC17" s="63"/>
      <c r="ND17" s="63"/>
      <c r="NE17" s="63"/>
      <c r="NF17" s="63"/>
      <c r="NG17" s="63"/>
      <c r="NH17" s="63"/>
      <c r="NI17" s="63"/>
      <c r="NJ17" s="63"/>
      <c r="NK17" s="63"/>
      <c r="NL17" s="63"/>
      <c r="NM17" s="64" t="s">
        <v>42</v>
      </c>
      <c r="NN17" s="64" t="s">
        <v>42</v>
      </c>
      <c r="NO17" s="64" t="s">
        <v>42</v>
      </c>
    </row>
    <row r="18" customFormat="false" ht="18.75" hidden="false" customHeight="true" outlineLevel="0" collapsed="false">
      <c r="A18" s="56" t="str">
        <f aca="false">IF($B18="","",TEXT(ROW()-9,"00"))</f>
        <v>09</v>
      </c>
      <c r="B18" s="57" t="s">
        <v>95</v>
      </c>
      <c r="C18" s="58" t="s">
        <v>93</v>
      </c>
      <c r="D18" s="59" t="n">
        <v>25</v>
      </c>
      <c r="E18" s="59" t="n">
        <v>3</v>
      </c>
      <c r="F18" s="60" t="n">
        <f aca="false">IF($B18="","",SUMPRODUCT(COUNTIF($H18:$NO18,Kuerzel)*Faktor))</f>
        <v>23.5</v>
      </c>
      <c r="G18" s="61" t="n">
        <f aca="false">IF($B18="","",$D18+$E18-$F18)</f>
        <v>4.5</v>
      </c>
      <c r="H18" s="62"/>
      <c r="I18" s="63"/>
      <c r="J18" s="63"/>
      <c r="K18" s="63"/>
      <c r="L18" s="63"/>
      <c r="M18" s="63"/>
      <c r="N18" s="63"/>
      <c r="O18" s="63"/>
      <c r="P18" s="63"/>
      <c r="Q18" s="63"/>
      <c r="R18" s="63"/>
      <c r="S18" s="63"/>
      <c r="T18" s="63"/>
      <c r="U18" s="63"/>
      <c r="V18" s="63"/>
      <c r="W18" s="63"/>
      <c r="X18" s="63"/>
      <c r="Y18" s="63"/>
      <c r="Z18" s="63"/>
      <c r="AA18" s="63"/>
      <c r="AB18" s="63"/>
      <c r="AC18" s="63"/>
      <c r="AD18" s="63"/>
      <c r="AE18" s="63"/>
      <c r="AF18" s="63"/>
      <c r="AG18" s="63"/>
      <c r="AH18" s="63"/>
      <c r="AI18" s="63"/>
      <c r="AJ18" s="63"/>
      <c r="AK18" s="63"/>
      <c r="AL18" s="63"/>
      <c r="AM18" s="62"/>
      <c r="AN18" s="63"/>
      <c r="AO18" s="63"/>
      <c r="AP18" s="63"/>
      <c r="AQ18" s="63"/>
      <c r="AR18" s="63"/>
      <c r="AS18" s="63"/>
      <c r="AT18" s="63"/>
      <c r="AU18" s="63"/>
      <c r="AV18" s="63"/>
      <c r="AW18" s="63"/>
      <c r="AX18" s="63"/>
      <c r="AY18" s="63"/>
      <c r="AZ18" s="63"/>
      <c r="BA18" s="63"/>
      <c r="BB18" s="63"/>
      <c r="BC18" s="63"/>
      <c r="BD18" s="63"/>
      <c r="BE18" s="63"/>
      <c r="BF18" s="63"/>
      <c r="BG18" s="63"/>
      <c r="BH18" s="63"/>
      <c r="BI18" s="63"/>
      <c r="BJ18" s="63"/>
      <c r="BK18" s="63"/>
      <c r="BL18" s="63"/>
      <c r="BM18" s="63"/>
      <c r="BN18" s="63"/>
      <c r="BO18" s="63"/>
      <c r="BP18" s="63"/>
      <c r="BQ18" s="63"/>
      <c r="BR18" s="62"/>
      <c r="BS18" s="63"/>
      <c r="BT18" s="63"/>
      <c r="BU18" s="63"/>
      <c r="BV18" s="63"/>
      <c r="BW18" s="63"/>
      <c r="BX18" s="63"/>
      <c r="BY18" s="63"/>
      <c r="BZ18" s="63"/>
      <c r="CA18" s="63"/>
      <c r="CB18" s="63"/>
      <c r="CC18" s="63"/>
      <c r="CD18" s="63"/>
      <c r="CE18" s="63"/>
      <c r="CF18" s="63"/>
      <c r="CG18" s="63"/>
      <c r="CH18" s="63"/>
      <c r="CI18" s="63"/>
      <c r="CJ18" s="63"/>
      <c r="CK18" s="63"/>
      <c r="CL18" s="63"/>
      <c r="CM18" s="63"/>
      <c r="CN18" s="63"/>
      <c r="CO18" s="63"/>
      <c r="CP18" s="63"/>
      <c r="CQ18" s="63"/>
      <c r="CR18" s="63"/>
      <c r="CS18" s="63"/>
      <c r="CT18" s="63"/>
      <c r="CU18" s="63"/>
      <c r="CV18" s="63"/>
      <c r="CW18" s="62"/>
      <c r="CX18" s="63"/>
      <c r="CY18" s="63"/>
      <c r="CZ18" s="63"/>
      <c r="DA18" s="63"/>
      <c r="DB18" s="63"/>
      <c r="DC18" s="63"/>
      <c r="DD18" s="63"/>
      <c r="DE18" s="63"/>
      <c r="DF18" s="63"/>
      <c r="DG18" s="63"/>
      <c r="DH18" s="63"/>
      <c r="DI18" s="64" t="s">
        <v>42</v>
      </c>
      <c r="DJ18" s="64" t="s">
        <v>42</v>
      </c>
      <c r="DK18" s="64" t="s">
        <v>42</v>
      </c>
      <c r="DL18" s="64" t="s">
        <v>42</v>
      </c>
      <c r="DM18" s="64" t="s">
        <v>42</v>
      </c>
      <c r="DN18" s="63"/>
      <c r="DO18" s="63"/>
      <c r="DP18" s="63"/>
      <c r="DQ18" s="63"/>
      <c r="DR18" s="63"/>
      <c r="DS18" s="63"/>
      <c r="DT18" s="63"/>
      <c r="DU18" s="63"/>
      <c r="DV18" s="63"/>
      <c r="DW18" s="63"/>
      <c r="DX18" s="63"/>
      <c r="DY18" s="63"/>
      <c r="DZ18" s="63"/>
      <c r="EA18" s="63"/>
      <c r="EB18" s="62"/>
      <c r="EC18" s="63"/>
      <c r="ED18" s="63"/>
      <c r="EE18" s="63"/>
      <c r="EF18" s="63"/>
      <c r="EG18" s="63"/>
      <c r="EH18" s="63"/>
      <c r="EI18" s="63"/>
      <c r="EJ18" s="63"/>
      <c r="EK18" s="63"/>
      <c r="EL18" s="63"/>
      <c r="EM18" s="63"/>
      <c r="EN18" s="63"/>
      <c r="EO18" s="63"/>
      <c r="EP18" s="63"/>
      <c r="EQ18" s="63"/>
      <c r="ER18" s="63"/>
      <c r="ES18" s="63"/>
      <c r="ET18" s="63"/>
      <c r="EU18" s="63"/>
      <c r="EV18" s="63"/>
      <c r="EW18" s="63"/>
      <c r="EX18" s="63"/>
      <c r="EY18" s="63"/>
      <c r="EZ18" s="63"/>
      <c r="FA18" s="63"/>
      <c r="FB18" s="64" t="s">
        <v>43</v>
      </c>
      <c r="FC18" s="63"/>
      <c r="FD18" s="63"/>
      <c r="FE18" s="63"/>
      <c r="FF18" s="63"/>
      <c r="FG18" s="62"/>
      <c r="FH18" s="63"/>
      <c r="FI18" s="71" t="s">
        <v>45</v>
      </c>
      <c r="FJ18" s="63"/>
      <c r="FK18" s="63"/>
      <c r="FL18" s="63"/>
      <c r="FM18" s="63"/>
      <c r="FN18" s="63"/>
      <c r="FO18" s="63"/>
      <c r="FP18" s="63"/>
      <c r="FQ18" s="63"/>
      <c r="FR18" s="63"/>
      <c r="FS18" s="63"/>
      <c r="FT18" s="63"/>
      <c r="FU18" s="63"/>
      <c r="FV18" s="63"/>
      <c r="FW18" s="63"/>
      <c r="FX18" s="63"/>
      <c r="FY18" s="63"/>
      <c r="FZ18" s="63"/>
      <c r="GA18" s="63"/>
      <c r="GB18" s="63"/>
      <c r="GC18" s="63"/>
      <c r="GD18" s="63"/>
      <c r="GE18" s="63"/>
      <c r="GF18" s="63"/>
      <c r="GG18" s="63"/>
      <c r="GH18" s="63"/>
      <c r="GI18" s="63"/>
      <c r="GJ18" s="63"/>
      <c r="GK18" s="63"/>
      <c r="GL18" s="62"/>
      <c r="GM18" s="63"/>
      <c r="GN18" s="63"/>
      <c r="GO18" s="63"/>
      <c r="GP18" s="63"/>
      <c r="GQ18" s="63"/>
      <c r="GR18" s="63"/>
      <c r="GS18" s="63"/>
      <c r="GT18" s="63"/>
      <c r="GU18" s="63"/>
      <c r="GV18" s="63"/>
      <c r="GW18" s="63"/>
      <c r="GX18" s="63"/>
      <c r="GY18" s="63"/>
      <c r="GZ18" s="63"/>
      <c r="HA18" s="63"/>
      <c r="HB18" s="63"/>
      <c r="HC18" s="63"/>
      <c r="HD18" s="63"/>
      <c r="HE18" s="63"/>
      <c r="HF18" s="63"/>
      <c r="HG18" s="63"/>
      <c r="HH18" s="63"/>
      <c r="HI18" s="63"/>
      <c r="HJ18" s="63"/>
      <c r="HK18" s="63"/>
      <c r="HL18" s="63"/>
      <c r="HM18" s="63"/>
      <c r="HN18" s="63"/>
      <c r="HO18" s="63"/>
      <c r="HP18" s="63"/>
      <c r="HQ18" s="62"/>
      <c r="HR18" s="63"/>
      <c r="HS18" s="64" t="s">
        <v>42</v>
      </c>
      <c r="HT18" s="64" t="s">
        <v>42</v>
      </c>
      <c r="HU18" s="64" t="s">
        <v>42</v>
      </c>
      <c r="HV18" s="64" t="s">
        <v>42</v>
      </c>
      <c r="HW18" s="64" t="s">
        <v>42</v>
      </c>
      <c r="HX18" s="63"/>
      <c r="HY18" s="63"/>
      <c r="HZ18" s="64" t="s">
        <v>42</v>
      </c>
      <c r="IA18" s="64" t="s">
        <v>42</v>
      </c>
      <c r="IB18" s="64" t="s">
        <v>42</v>
      </c>
      <c r="IC18" s="64" t="s">
        <v>42</v>
      </c>
      <c r="ID18" s="64" t="s">
        <v>42</v>
      </c>
      <c r="IE18" s="63"/>
      <c r="IF18" s="63"/>
      <c r="IG18" s="63"/>
      <c r="IH18" s="63"/>
      <c r="II18" s="63"/>
      <c r="IJ18" s="63"/>
      <c r="IK18" s="63"/>
      <c r="IL18" s="63"/>
      <c r="IM18" s="63"/>
      <c r="IN18" s="63"/>
      <c r="IO18" s="63"/>
      <c r="IP18" s="63"/>
      <c r="IQ18" s="63"/>
      <c r="IR18" s="63"/>
      <c r="IS18" s="63"/>
      <c r="IT18" s="63"/>
      <c r="IU18" s="63"/>
      <c r="IV18" s="62"/>
      <c r="IW18" s="63"/>
      <c r="IX18" s="63"/>
      <c r="IY18" s="63"/>
      <c r="IZ18" s="63"/>
      <c r="JA18" s="63"/>
      <c r="JB18" s="63"/>
      <c r="JC18" s="63"/>
      <c r="JD18" s="63"/>
      <c r="JE18" s="63"/>
      <c r="JF18" s="63"/>
      <c r="JG18" s="63"/>
      <c r="JH18" s="63"/>
      <c r="JI18" s="63"/>
      <c r="JJ18" s="63"/>
      <c r="JK18" s="63"/>
      <c r="JL18" s="63"/>
      <c r="JM18" s="63"/>
      <c r="JN18" s="63"/>
      <c r="JO18" s="63"/>
      <c r="JP18" s="63"/>
      <c r="JQ18" s="63"/>
      <c r="JR18" s="63"/>
      <c r="JS18" s="63"/>
      <c r="JT18" s="63"/>
      <c r="JU18" s="63"/>
      <c r="JV18" s="63"/>
      <c r="JW18" s="63"/>
      <c r="JX18" s="63"/>
      <c r="JY18" s="63"/>
      <c r="JZ18" s="63"/>
      <c r="KA18" s="62"/>
      <c r="KB18" s="63"/>
      <c r="KC18" s="63"/>
      <c r="KD18" s="63"/>
      <c r="KE18" s="63"/>
      <c r="KF18" s="63"/>
      <c r="KG18" s="63"/>
      <c r="KH18" s="63"/>
      <c r="KI18" s="63"/>
      <c r="KJ18" s="63"/>
      <c r="KK18" s="63"/>
      <c r="KL18" s="63"/>
      <c r="KM18" s="63"/>
      <c r="KN18" s="63"/>
      <c r="KO18" s="63"/>
      <c r="KP18" s="63"/>
      <c r="KQ18" s="63"/>
      <c r="KR18" s="63"/>
      <c r="KS18" s="64" t="s">
        <v>42</v>
      </c>
      <c r="KT18" s="64" t="s">
        <v>42</v>
      </c>
      <c r="KU18" s="64" t="s">
        <v>42</v>
      </c>
      <c r="KV18" s="64" t="s">
        <v>42</v>
      </c>
      <c r="KW18" s="64" t="s">
        <v>42</v>
      </c>
      <c r="KX18" s="63"/>
      <c r="KY18" s="63"/>
      <c r="KZ18" s="63"/>
      <c r="LA18" s="63"/>
      <c r="LB18" s="63"/>
      <c r="LC18" s="63"/>
      <c r="LD18" s="63"/>
      <c r="LE18" s="63"/>
      <c r="LF18" s="62"/>
      <c r="LG18" s="63"/>
      <c r="LH18" s="63"/>
      <c r="LI18" s="63"/>
      <c r="LJ18" s="63"/>
      <c r="LK18" s="63"/>
      <c r="LL18" s="63"/>
      <c r="LM18" s="63"/>
      <c r="LN18" s="63"/>
      <c r="LO18" s="63"/>
      <c r="LP18" s="63"/>
      <c r="LQ18" s="63"/>
      <c r="LR18" s="65" t="s">
        <v>46</v>
      </c>
      <c r="LS18" s="63"/>
      <c r="LT18" s="63"/>
      <c r="LU18" s="63"/>
      <c r="LV18" s="63"/>
      <c r="LW18" s="63"/>
      <c r="LX18" s="63"/>
      <c r="LY18" s="63"/>
      <c r="LZ18" s="63"/>
      <c r="MA18" s="63"/>
      <c r="MB18" s="63"/>
      <c r="MC18" s="63"/>
      <c r="MD18" s="63"/>
      <c r="ME18" s="63"/>
      <c r="MF18" s="63"/>
      <c r="MG18" s="63"/>
      <c r="MH18" s="63"/>
      <c r="MI18" s="63"/>
      <c r="MJ18" s="63"/>
      <c r="MK18" s="62"/>
      <c r="ML18" s="63"/>
      <c r="MM18" s="63"/>
      <c r="MN18" s="63"/>
      <c r="MO18" s="63"/>
      <c r="MP18" s="63"/>
      <c r="MQ18" s="63"/>
      <c r="MR18" s="63"/>
      <c r="MS18" s="63"/>
      <c r="MT18" s="63"/>
      <c r="MU18" s="63"/>
      <c r="MV18" s="63"/>
      <c r="MW18" s="63"/>
      <c r="MX18" s="63"/>
      <c r="MY18" s="63"/>
      <c r="MZ18" s="63"/>
      <c r="NA18" s="63"/>
      <c r="NB18" s="63"/>
      <c r="NC18" s="63"/>
      <c r="ND18" s="63"/>
      <c r="NE18" s="63"/>
      <c r="NF18" s="63"/>
      <c r="NG18" s="63"/>
      <c r="NH18" s="63"/>
      <c r="NI18" s="63"/>
      <c r="NJ18" s="63"/>
      <c r="NK18" s="63"/>
      <c r="NL18" s="64" t="s">
        <v>42</v>
      </c>
      <c r="NM18" s="64" t="s">
        <v>42</v>
      </c>
      <c r="NN18" s="64" t="s">
        <v>42</v>
      </c>
      <c r="NO18" s="63"/>
    </row>
    <row r="19" customFormat="false" ht="18.75" hidden="false" customHeight="true" outlineLevel="0" collapsed="false">
      <c r="A19" s="56" t="str">
        <f aca="false">IF($B19="","",TEXT(ROW()-9,"00"))</f>
        <v>10</v>
      </c>
      <c r="B19" s="57" t="s">
        <v>96</v>
      </c>
      <c r="C19" s="58" t="s">
        <v>97</v>
      </c>
      <c r="D19" s="59" t="n">
        <v>30</v>
      </c>
      <c r="E19" s="59" t="n">
        <v>1</v>
      </c>
      <c r="F19" s="60" t="n">
        <f aca="false">IF($B19="","",SUMPRODUCT(COUNTIF($H19:$NO19,Kuerzel)*Faktor))</f>
        <v>28</v>
      </c>
      <c r="G19" s="61" t="n">
        <f aca="false">IF($B19="","",$D19+$E19-$F19)</f>
        <v>3</v>
      </c>
      <c r="H19" s="62"/>
      <c r="I19" s="63"/>
      <c r="J19" s="63"/>
      <c r="K19" s="63"/>
      <c r="L19" s="63"/>
      <c r="M19" s="63"/>
      <c r="N19" s="63"/>
      <c r="O19" s="63"/>
      <c r="P19" s="63"/>
      <c r="Q19" s="63"/>
      <c r="R19" s="63"/>
      <c r="S19" s="63"/>
      <c r="T19" s="63"/>
      <c r="U19" s="63"/>
      <c r="V19" s="63"/>
      <c r="W19" s="63"/>
      <c r="X19" s="63"/>
      <c r="Y19" s="63"/>
      <c r="Z19" s="63"/>
      <c r="AA19" s="63"/>
      <c r="AB19" s="63"/>
      <c r="AC19" s="63"/>
      <c r="AD19" s="63"/>
      <c r="AE19" s="63"/>
      <c r="AF19" s="63"/>
      <c r="AG19" s="63"/>
      <c r="AH19" s="63"/>
      <c r="AI19" s="63"/>
      <c r="AJ19" s="63"/>
      <c r="AK19" s="63"/>
      <c r="AL19" s="63"/>
      <c r="AM19" s="62"/>
      <c r="AN19" s="64" t="s">
        <v>42</v>
      </c>
      <c r="AO19" s="64" t="s">
        <v>42</v>
      </c>
      <c r="AP19" s="64" t="s">
        <v>42</v>
      </c>
      <c r="AQ19" s="64" t="s">
        <v>42</v>
      </c>
      <c r="AR19" s="64" t="s">
        <v>42</v>
      </c>
      <c r="AS19" s="63"/>
      <c r="AT19" s="63"/>
      <c r="AU19" s="63"/>
      <c r="AV19" s="63"/>
      <c r="AW19" s="63"/>
      <c r="AX19" s="63"/>
      <c r="AY19" s="63"/>
      <c r="AZ19" s="63"/>
      <c r="BA19" s="63"/>
      <c r="BB19" s="63"/>
      <c r="BC19" s="63"/>
      <c r="BD19" s="63"/>
      <c r="BE19" s="63"/>
      <c r="BF19" s="63"/>
      <c r="BG19" s="63"/>
      <c r="BH19" s="63"/>
      <c r="BI19" s="63"/>
      <c r="BJ19" s="63"/>
      <c r="BK19" s="63"/>
      <c r="BL19" s="63"/>
      <c r="BM19" s="63"/>
      <c r="BN19" s="63"/>
      <c r="BO19" s="63"/>
      <c r="BP19" s="63"/>
      <c r="BQ19" s="63"/>
      <c r="BR19" s="62"/>
      <c r="BS19" s="63"/>
      <c r="BT19" s="63"/>
      <c r="BU19" s="63"/>
      <c r="BV19" s="63"/>
      <c r="BW19" s="63"/>
      <c r="BX19" s="63"/>
      <c r="BY19" s="63"/>
      <c r="BZ19" s="63"/>
      <c r="CA19" s="63"/>
      <c r="CB19" s="63"/>
      <c r="CC19" s="63"/>
      <c r="CD19" s="63"/>
      <c r="CE19" s="63"/>
      <c r="CF19" s="63"/>
      <c r="CG19" s="63"/>
      <c r="CH19" s="63"/>
      <c r="CI19" s="63"/>
      <c r="CJ19" s="63"/>
      <c r="CK19" s="63"/>
      <c r="CL19" s="63"/>
      <c r="CM19" s="63"/>
      <c r="CN19" s="63"/>
      <c r="CO19" s="63"/>
      <c r="CP19" s="63"/>
      <c r="CQ19" s="63"/>
      <c r="CR19" s="63"/>
      <c r="CS19" s="63"/>
      <c r="CT19" s="63"/>
      <c r="CU19" s="63"/>
      <c r="CV19" s="63"/>
      <c r="CW19" s="62"/>
      <c r="CX19" s="63"/>
      <c r="CY19" s="63"/>
      <c r="CZ19" s="63"/>
      <c r="DA19" s="63"/>
      <c r="DB19" s="63"/>
      <c r="DC19" s="67" t="s">
        <v>44</v>
      </c>
      <c r="DD19" s="67" t="s">
        <v>44</v>
      </c>
      <c r="DE19" s="63"/>
      <c r="DF19" s="63"/>
      <c r="DG19" s="63"/>
      <c r="DH19" s="63"/>
      <c r="DI19" s="63"/>
      <c r="DJ19" s="63"/>
      <c r="DK19" s="63"/>
      <c r="DL19" s="63"/>
      <c r="DM19" s="63"/>
      <c r="DN19" s="63"/>
      <c r="DO19" s="63"/>
      <c r="DP19" s="63"/>
      <c r="DQ19" s="63"/>
      <c r="DR19" s="63"/>
      <c r="DS19" s="63"/>
      <c r="DT19" s="63"/>
      <c r="DU19" s="63"/>
      <c r="DV19" s="63"/>
      <c r="DW19" s="63"/>
      <c r="DX19" s="63"/>
      <c r="DY19" s="63"/>
      <c r="DZ19" s="63"/>
      <c r="EA19" s="63"/>
      <c r="EB19" s="62"/>
      <c r="EC19" s="63"/>
      <c r="ED19" s="63"/>
      <c r="EE19" s="63"/>
      <c r="EF19" s="63"/>
      <c r="EG19" s="63"/>
      <c r="EH19" s="63"/>
      <c r="EI19" s="63"/>
      <c r="EJ19" s="63"/>
      <c r="EK19" s="63"/>
      <c r="EL19" s="63"/>
      <c r="EM19" s="63"/>
      <c r="EN19" s="63"/>
      <c r="EO19" s="63"/>
      <c r="EP19" s="63"/>
      <c r="EQ19" s="63"/>
      <c r="ER19" s="63"/>
      <c r="ES19" s="63"/>
      <c r="ET19" s="63"/>
      <c r="EU19" s="63"/>
      <c r="EV19" s="63"/>
      <c r="EW19" s="63"/>
      <c r="EX19" s="63"/>
      <c r="EY19" s="63"/>
      <c r="EZ19" s="63"/>
      <c r="FA19" s="63"/>
      <c r="FB19" s="63"/>
      <c r="FC19" s="63"/>
      <c r="FD19" s="63"/>
      <c r="FE19" s="63"/>
      <c r="FF19" s="63"/>
      <c r="FG19" s="62"/>
      <c r="FH19" s="63"/>
      <c r="FI19" s="63"/>
      <c r="FJ19" s="63"/>
      <c r="FK19" s="63"/>
      <c r="FL19" s="63"/>
      <c r="FM19" s="63"/>
      <c r="FN19" s="63"/>
      <c r="FO19" s="63"/>
      <c r="FP19" s="63"/>
      <c r="FQ19" s="63"/>
      <c r="FR19" s="63"/>
      <c r="FS19" s="63"/>
      <c r="FT19" s="63"/>
      <c r="FU19" s="63"/>
      <c r="FV19" s="63"/>
      <c r="FW19" s="63"/>
      <c r="FX19" s="63"/>
      <c r="FY19" s="63"/>
      <c r="FZ19" s="63"/>
      <c r="GA19" s="63"/>
      <c r="GB19" s="63"/>
      <c r="GC19" s="63"/>
      <c r="GD19" s="63"/>
      <c r="GE19" s="69" t="s">
        <v>49</v>
      </c>
      <c r="GF19" s="63"/>
      <c r="GG19" s="63"/>
      <c r="GH19" s="63"/>
      <c r="GI19" s="63"/>
      <c r="GJ19" s="63"/>
      <c r="GK19" s="63"/>
      <c r="GL19" s="62"/>
      <c r="GM19" s="63"/>
      <c r="GN19" s="63"/>
      <c r="GO19" s="63"/>
      <c r="GP19" s="63"/>
      <c r="GQ19" s="63"/>
      <c r="GR19" s="63"/>
      <c r="GS19" s="63"/>
      <c r="GT19" s="63"/>
      <c r="GU19" s="63"/>
      <c r="GV19" s="63"/>
      <c r="GW19" s="63"/>
      <c r="GX19" s="63"/>
      <c r="GY19" s="63"/>
      <c r="GZ19" s="63"/>
      <c r="HA19" s="63"/>
      <c r="HB19" s="63"/>
      <c r="HC19" s="63"/>
      <c r="HD19" s="63"/>
      <c r="HE19" s="63"/>
      <c r="HF19" s="63"/>
      <c r="HG19" s="63"/>
      <c r="HH19" s="63"/>
      <c r="HI19" s="63"/>
      <c r="HJ19" s="63"/>
      <c r="HK19" s="63"/>
      <c r="HL19" s="63"/>
      <c r="HM19" s="63"/>
      <c r="HN19" s="63"/>
      <c r="HO19" s="63"/>
      <c r="HP19" s="63"/>
      <c r="HQ19" s="62"/>
      <c r="HR19" s="63"/>
      <c r="HS19" s="63"/>
      <c r="HT19" s="63"/>
      <c r="HU19" s="63"/>
      <c r="HV19" s="63"/>
      <c r="HW19" s="63"/>
      <c r="HX19" s="63"/>
      <c r="HY19" s="63"/>
      <c r="HZ19" s="63"/>
      <c r="IA19" s="63"/>
      <c r="IB19" s="63"/>
      <c r="IC19" s="63"/>
      <c r="ID19" s="63"/>
      <c r="IE19" s="63"/>
      <c r="IF19" s="63"/>
      <c r="IG19" s="63"/>
      <c r="IH19" s="63"/>
      <c r="II19" s="63"/>
      <c r="IJ19" s="63"/>
      <c r="IK19" s="63"/>
      <c r="IL19" s="63"/>
      <c r="IM19" s="63"/>
      <c r="IN19" s="64" t="s">
        <v>42</v>
      </c>
      <c r="IO19" s="64" t="s">
        <v>42</v>
      </c>
      <c r="IP19" s="64" t="s">
        <v>42</v>
      </c>
      <c r="IQ19" s="64" t="s">
        <v>42</v>
      </c>
      <c r="IR19" s="64" t="s">
        <v>42</v>
      </c>
      <c r="IS19" s="63"/>
      <c r="IT19" s="63"/>
      <c r="IU19" s="64" t="s">
        <v>42</v>
      </c>
      <c r="IV19" s="66" t="s">
        <v>42</v>
      </c>
      <c r="IW19" s="64" t="s">
        <v>42</v>
      </c>
      <c r="IX19" s="64" t="s">
        <v>42</v>
      </c>
      <c r="IY19" s="64" t="s">
        <v>42</v>
      </c>
      <c r="IZ19" s="63"/>
      <c r="JA19" s="63"/>
      <c r="JB19" s="63"/>
      <c r="JC19" s="63"/>
      <c r="JD19" s="63"/>
      <c r="JE19" s="63"/>
      <c r="JF19" s="63"/>
      <c r="JG19" s="63"/>
      <c r="JH19" s="63"/>
      <c r="JI19" s="63"/>
      <c r="JJ19" s="63"/>
      <c r="JK19" s="63"/>
      <c r="JL19" s="63"/>
      <c r="JM19" s="63"/>
      <c r="JN19" s="63"/>
      <c r="JO19" s="63"/>
      <c r="JP19" s="63"/>
      <c r="JQ19" s="63"/>
      <c r="JR19" s="63"/>
      <c r="JS19" s="63"/>
      <c r="JT19" s="63"/>
      <c r="JU19" s="63"/>
      <c r="JV19" s="63"/>
      <c r="JW19" s="63"/>
      <c r="JX19" s="63"/>
      <c r="JY19" s="63"/>
      <c r="JZ19" s="63"/>
      <c r="KA19" s="62"/>
      <c r="KB19" s="63"/>
      <c r="KC19" s="63"/>
      <c r="KD19" s="63"/>
      <c r="KE19" s="63"/>
      <c r="KF19" s="63"/>
      <c r="KG19" s="63"/>
      <c r="KH19" s="63"/>
      <c r="KI19" s="63"/>
      <c r="KJ19" s="63"/>
      <c r="KK19" s="63"/>
      <c r="KL19" s="63"/>
      <c r="KM19" s="63"/>
      <c r="KN19" s="63"/>
      <c r="KO19" s="63"/>
      <c r="KP19" s="63"/>
      <c r="KQ19" s="63"/>
      <c r="KR19" s="63"/>
      <c r="KS19" s="63"/>
      <c r="KT19" s="63"/>
      <c r="KU19" s="63"/>
      <c r="KV19" s="63"/>
      <c r="KW19" s="63"/>
      <c r="KX19" s="63"/>
      <c r="KY19" s="63"/>
      <c r="KZ19" s="64" t="s">
        <v>42</v>
      </c>
      <c r="LA19" s="64" t="s">
        <v>42</v>
      </c>
      <c r="LB19" s="64" t="s">
        <v>42</v>
      </c>
      <c r="LC19" s="64" t="s">
        <v>42</v>
      </c>
      <c r="LD19" s="64" t="s">
        <v>42</v>
      </c>
      <c r="LE19" s="63"/>
      <c r="LF19" s="62"/>
      <c r="LG19" s="63"/>
      <c r="LH19" s="63"/>
      <c r="LI19" s="63"/>
      <c r="LJ19" s="63"/>
      <c r="LK19" s="63"/>
      <c r="LL19" s="63"/>
      <c r="LM19" s="63"/>
      <c r="LN19" s="63"/>
      <c r="LO19" s="63"/>
      <c r="LP19" s="63"/>
      <c r="LQ19" s="63"/>
      <c r="LR19" s="63"/>
      <c r="LS19" s="63"/>
      <c r="LT19" s="63"/>
      <c r="LU19" s="63"/>
      <c r="LV19" s="63"/>
      <c r="LW19" s="63"/>
      <c r="LX19" s="63"/>
      <c r="LY19" s="63"/>
      <c r="LZ19" s="63"/>
      <c r="MA19" s="63"/>
      <c r="MB19" s="63"/>
      <c r="MC19" s="63"/>
      <c r="MD19" s="63"/>
      <c r="ME19" s="63"/>
      <c r="MF19" s="63"/>
      <c r="MG19" s="63"/>
      <c r="MH19" s="63"/>
      <c r="MI19" s="63"/>
      <c r="MJ19" s="63"/>
      <c r="MK19" s="62"/>
      <c r="ML19" s="63"/>
      <c r="MM19" s="63"/>
      <c r="MN19" s="63"/>
      <c r="MO19" s="63"/>
      <c r="MP19" s="63"/>
      <c r="MQ19" s="63"/>
      <c r="MR19" s="63"/>
      <c r="MS19" s="63"/>
      <c r="MT19" s="63"/>
      <c r="MU19" s="63"/>
      <c r="MV19" s="63"/>
      <c r="MW19" s="63"/>
      <c r="MX19" s="63"/>
      <c r="MY19" s="63"/>
      <c r="MZ19" s="63"/>
      <c r="NA19" s="63"/>
      <c r="NB19" s="63"/>
      <c r="NC19" s="63"/>
      <c r="ND19" s="63"/>
      <c r="NE19" s="64" t="s">
        <v>42</v>
      </c>
      <c r="NF19" s="64" t="s">
        <v>42</v>
      </c>
      <c r="NG19" s="64" t="s">
        <v>42</v>
      </c>
      <c r="NH19" s="64" t="s">
        <v>42</v>
      </c>
      <c r="NI19" s="63"/>
      <c r="NJ19" s="63"/>
      <c r="NK19" s="63"/>
      <c r="NL19" s="64" t="s">
        <v>42</v>
      </c>
      <c r="NM19" s="64" t="s">
        <v>42</v>
      </c>
      <c r="NN19" s="64" t="s">
        <v>42</v>
      </c>
      <c r="NO19" s="64" t="s">
        <v>42</v>
      </c>
    </row>
    <row r="20" customFormat="false" ht="18.75" hidden="false" customHeight="true" outlineLevel="0" collapsed="false">
      <c r="A20" s="56" t="str">
        <f aca="false">IF($B20="","",TEXT(ROW()-9,"00"))</f>
        <v>11</v>
      </c>
      <c r="B20" s="57" t="s">
        <v>98</v>
      </c>
      <c r="C20" s="58" t="s">
        <v>97</v>
      </c>
      <c r="D20" s="59" t="n">
        <v>28</v>
      </c>
      <c r="E20" s="59" t="n">
        <v>0</v>
      </c>
      <c r="F20" s="60" t="n">
        <f aca="false">IF($B20="","",SUMPRODUCT(COUNTIF($H20:$NO20,Kuerzel)*Faktor))</f>
        <v>25</v>
      </c>
      <c r="G20" s="61" t="n">
        <f aca="false">IF($B20="","",$D20+$E20-$F20)</f>
        <v>3</v>
      </c>
      <c r="H20" s="62"/>
      <c r="I20" s="63"/>
      <c r="J20" s="63"/>
      <c r="K20" s="63"/>
      <c r="L20" s="63"/>
      <c r="M20" s="63"/>
      <c r="N20" s="63"/>
      <c r="O20" s="63"/>
      <c r="P20" s="63"/>
      <c r="Q20" s="63"/>
      <c r="R20" s="63"/>
      <c r="S20" s="63"/>
      <c r="T20" s="63"/>
      <c r="U20" s="63"/>
      <c r="V20" s="63"/>
      <c r="W20" s="63"/>
      <c r="X20" s="63"/>
      <c r="Y20" s="63"/>
      <c r="Z20" s="63"/>
      <c r="AA20" s="63"/>
      <c r="AB20" s="63"/>
      <c r="AC20" s="63"/>
      <c r="AD20" s="63"/>
      <c r="AE20" s="63"/>
      <c r="AF20" s="63"/>
      <c r="AG20" s="63"/>
      <c r="AH20" s="63"/>
      <c r="AI20" s="63"/>
      <c r="AJ20" s="63"/>
      <c r="AK20" s="63"/>
      <c r="AL20" s="63"/>
      <c r="AM20" s="62"/>
      <c r="AN20" s="63"/>
      <c r="AO20" s="63"/>
      <c r="AP20" s="63"/>
      <c r="AQ20" s="63"/>
      <c r="AR20" s="63"/>
      <c r="AS20" s="63"/>
      <c r="AT20" s="63"/>
      <c r="AU20" s="63"/>
      <c r="AV20" s="63"/>
      <c r="AW20" s="63"/>
      <c r="AX20" s="63"/>
      <c r="AY20" s="63"/>
      <c r="AZ20" s="63"/>
      <c r="BA20" s="63"/>
      <c r="BB20" s="63"/>
      <c r="BC20" s="63"/>
      <c r="BD20" s="63"/>
      <c r="BE20" s="63"/>
      <c r="BF20" s="63"/>
      <c r="BG20" s="63"/>
      <c r="BH20" s="63"/>
      <c r="BI20" s="63"/>
      <c r="BJ20" s="63"/>
      <c r="BK20" s="63"/>
      <c r="BL20" s="63"/>
      <c r="BM20" s="63"/>
      <c r="BN20" s="63"/>
      <c r="BO20" s="63"/>
      <c r="BP20" s="63"/>
      <c r="BQ20" s="63"/>
      <c r="BR20" s="62"/>
      <c r="BS20" s="63"/>
      <c r="BT20" s="63"/>
      <c r="BU20" s="63"/>
      <c r="BV20" s="63"/>
      <c r="BW20" s="63"/>
      <c r="BX20" s="63"/>
      <c r="BY20" s="63"/>
      <c r="BZ20" s="63"/>
      <c r="CA20" s="63"/>
      <c r="CB20" s="63"/>
      <c r="CC20" s="63"/>
      <c r="CD20" s="63"/>
      <c r="CE20" s="63"/>
      <c r="CF20" s="63"/>
      <c r="CG20" s="64" t="s">
        <v>42</v>
      </c>
      <c r="CH20" s="64" t="s">
        <v>42</v>
      </c>
      <c r="CI20" s="64" t="s">
        <v>42</v>
      </c>
      <c r="CJ20" s="64" t="s">
        <v>42</v>
      </c>
      <c r="CK20" s="64" t="s">
        <v>42</v>
      </c>
      <c r="CL20" s="63"/>
      <c r="CM20" s="63"/>
      <c r="CN20" s="63"/>
      <c r="CO20" s="63"/>
      <c r="CP20" s="63"/>
      <c r="CQ20" s="63"/>
      <c r="CR20" s="63"/>
      <c r="CS20" s="63"/>
      <c r="CT20" s="63"/>
      <c r="CU20" s="63"/>
      <c r="CV20" s="63"/>
      <c r="CW20" s="62"/>
      <c r="CX20" s="63"/>
      <c r="CY20" s="63"/>
      <c r="CZ20" s="63"/>
      <c r="DA20" s="63"/>
      <c r="DB20" s="63"/>
      <c r="DC20" s="63"/>
      <c r="DD20" s="63"/>
      <c r="DE20" s="63"/>
      <c r="DF20" s="63"/>
      <c r="DG20" s="63"/>
      <c r="DH20" s="63"/>
      <c r="DI20" s="63"/>
      <c r="DJ20" s="63"/>
      <c r="DK20" s="63"/>
      <c r="DL20" s="63"/>
      <c r="DM20" s="63"/>
      <c r="DN20" s="63"/>
      <c r="DO20" s="63"/>
      <c r="DP20" s="63"/>
      <c r="DQ20" s="63"/>
      <c r="DR20" s="63"/>
      <c r="DS20" s="63"/>
      <c r="DT20" s="63"/>
      <c r="DU20" s="63"/>
      <c r="DV20" s="63"/>
      <c r="DW20" s="63"/>
      <c r="DX20" s="63"/>
      <c r="DY20" s="63"/>
      <c r="DZ20" s="63"/>
      <c r="EA20" s="63"/>
      <c r="EB20" s="62"/>
      <c r="EC20" s="63"/>
      <c r="ED20" s="63"/>
      <c r="EE20" s="63"/>
      <c r="EF20" s="63"/>
      <c r="EG20" s="63"/>
      <c r="EH20" s="63"/>
      <c r="EI20" s="63"/>
      <c r="EJ20" s="63"/>
      <c r="EK20" s="63"/>
      <c r="EL20" s="63"/>
      <c r="EM20" s="68" t="s">
        <v>47</v>
      </c>
      <c r="EN20" s="68" t="s">
        <v>47</v>
      </c>
      <c r="EO20" s="63"/>
      <c r="EP20" s="63"/>
      <c r="EQ20" s="63"/>
      <c r="ER20" s="63"/>
      <c r="ES20" s="63"/>
      <c r="ET20" s="63"/>
      <c r="EU20" s="63"/>
      <c r="EV20" s="63"/>
      <c r="EW20" s="63"/>
      <c r="EX20" s="63"/>
      <c r="EY20" s="63"/>
      <c r="EZ20" s="63"/>
      <c r="FA20" s="63"/>
      <c r="FB20" s="63"/>
      <c r="FC20" s="63"/>
      <c r="FD20" s="63"/>
      <c r="FE20" s="63"/>
      <c r="FF20" s="63"/>
      <c r="FG20" s="62"/>
      <c r="FH20" s="63"/>
      <c r="FI20" s="63"/>
      <c r="FJ20" s="63"/>
      <c r="FK20" s="63"/>
      <c r="FL20" s="63"/>
      <c r="FM20" s="63"/>
      <c r="FN20" s="63"/>
      <c r="FO20" s="63"/>
      <c r="FP20" s="63"/>
      <c r="FQ20" s="63"/>
      <c r="FR20" s="63"/>
      <c r="FS20" s="63"/>
      <c r="FT20" s="63"/>
      <c r="FU20" s="63"/>
      <c r="FV20" s="63"/>
      <c r="FW20" s="63"/>
      <c r="FX20" s="63"/>
      <c r="FY20" s="63"/>
      <c r="FZ20" s="63"/>
      <c r="GA20" s="63"/>
      <c r="GB20" s="63"/>
      <c r="GC20" s="63"/>
      <c r="GD20" s="63"/>
      <c r="GE20" s="63"/>
      <c r="GF20" s="63"/>
      <c r="GG20" s="63"/>
      <c r="GH20" s="63"/>
      <c r="GI20" s="63"/>
      <c r="GJ20" s="63"/>
      <c r="GK20" s="63"/>
      <c r="GL20" s="62"/>
      <c r="GM20" s="63"/>
      <c r="GN20" s="63"/>
      <c r="GO20" s="63"/>
      <c r="GP20" s="63"/>
      <c r="GQ20" s="63"/>
      <c r="GR20" s="63"/>
      <c r="GS20" s="63"/>
      <c r="GT20" s="63"/>
      <c r="GU20" s="63"/>
      <c r="GV20" s="63"/>
      <c r="GW20" s="63"/>
      <c r="GX20" s="64" t="s">
        <v>42</v>
      </c>
      <c r="GY20" s="64" t="s">
        <v>42</v>
      </c>
      <c r="GZ20" s="64" t="s">
        <v>42</v>
      </c>
      <c r="HA20" s="64" t="s">
        <v>42</v>
      </c>
      <c r="HB20" s="64" t="s">
        <v>42</v>
      </c>
      <c r="HC20" s="63"/>
      <c r="HD20" s="63"/>
      <c r="HE20" s="64" t="s">
        <v>42</v>
      </c>
      <c r="HF20" s="64" t="s">
        <v>42</v>
      </c>
      <c r="HG20" s="64" t="s">
        <v>42</v>
      </c>
      <c r="HH20" s="64" t="s">
        <v>42</v>
      </c>
      <c r="HI20" s="64" t="s">
        <v>42</v>
      </c>
      <c r="HJ20" s="63"/>
      <c r="HK20" s="63"/>
      <c r="HL20" s="63"/>
      <c r="HM20" s="63"/>
      <c r="HN20" s="63"/>
      <c r="HO20" s="63"/>
      <c r="HP20" s="63"/>
      <c r="HQ20" s="62"/>
      <c r="HR20" s="63"/>
      <c r="HS20" s="63"/>
      <c r="HT20" s="63"/>
      <c r="HU20" s="63"/>
      <c r="HV20" s="63"/>
      <c r="HW20" s="63"/>
      <c r="HX20" s="63"/>
      <c r="HY20" s="63"/>
      <c r="HZ20" s="63"/>
      <c r="IA20" s="63"/>
      <c r="IB20" s="63"/>
      <c r="IC20" s="63"/>
      <c r="ID20" s="63"/>
      <c r="IE20" s="63"/>
      <c r="IF20" s="63"/>
      <c r="IG20" s="63"/>
      <c r="IH20" s="63"/>
      <c r="II20" s="63"/>
      <c r="IJ20" s="63"/>
      <c r="IK20" s="63"/>
      <c r="IL20" s="63"/>
      <c r="IM20" s="63"/>
      <c r="IN20" s="63"/>
      <c r="IO20" s="63"/>
      <c r="IP20" s="63"/>
      <c r="IQ20" s="63"/>
      <c r="IR20" s="63"/>
      <c r="IS20" s="63"/>
      <c r="IT20" s="63"/>
      <c r="IU20" s="63"/>
      <c r="IV20" s="62"/>
      <c r="IW20" s="63"/>
      <c r="IX20" s="63"/>
      <c r="IY20" s="65" t="s">
        <v>46</v>
      </c>
      <c r="IZ20" s="63"/>
      <c r="JA20" s="63"/>
      <c r="JB20" s="63"/>
      <c r="JC20" s="63"/>
      <c r="JD20" s="63"/>
      <c r="JE20" s="63"/>
      <c r="JF20" s="63"/>
      <c r="JG20" s="63"/>
      <c r="JH20" s="63"/>
      <c r="JI20" s="63"/>
      <c r="JJ20" s="63"/>
      <c r="JK20" s="63"/>
      <c r="JL20" s="63"/>
      <c r="JM20" s="63"/>
      <c r="JN20" s="63"/>
      <c r="JO20" s="63"/>
      <c r="JP20" s="63"/>
      <c r="JQ20" s="63"/>
      <c r="JR20" s="63"/>
      <c r="JS20" s="63"/>
      <c r="JT20" s="63"/>
      <c r="JU20" s="63"/>
      <c r="JV20" s="63"/>
      <c r="JW20" s="63"/>
      <c r="JX20" s="63"/>
      <c r="JY20" s="63"/>
      <c r="JZ20" s="63"/>
      <c r="KA20" s="62"/>
      <c r="KB20" s="63"/>
      <c r="KC20" s="63"/>
      <c r="KD20" s="63"/>
      <c r="KE20" s="64" t="s">
        <v>42</v>
      </c>
      <c r="KF20" s="64" t="s">
        <v>42</v>
      </c>
      <c r="KG20" s="64" t="s">
        <v>42</v>
      </c>
      <c r="KH20" s="64" t="s">
        <v>42</v>
      </c>
      <c r="KI20" s="64" t="s">
        <v>42</v>
      </c>
      <c r="KJ20" s="63"/>
      <c r="KK20" s="63"/>
      <c r="KL20" s="63"/>
      <c r="KM20" s="63"/>
      <c r="KN20" s="63"/>
      <c r="KO20" s="63"/>
      <c r="KP20" s="63"/>
      <c r="KQ20" s="63"/>
      <c r="KR20" s="63"/>
      <c r="KS20" s="63"/>
      <c r="KT20" s="63"/>
      <c r="KU20" s="63"/>
      <c r="KV20" s="63"/>
      <c r="KW20" s="63"/>
      <c r="KX20" s="63"/>
      <c r="KY20" s="63"/>
      <c r="KZ20" s="63"/>
      <c r="LA20" s="63"/>
      <c r="LB20" s="63"/>
      <c r="LC20" s="63"/>
      <c r="LD20" s="63"/>
      <c r="LE20" s="63"/>
      <c r="LF20" s="62"/>
      <c r="LG20" s="63"/>
      <c r="LH20" s="63"/>
      <c r="LI20" s="63"/>
      <c r="LJ20" s="63"/>
      <c r="LK20" s="63"/>
      <c r="LL20" s="63"/>
      <c r="LM20" s="63"/>
      <c r="LN20" s="63"/>
      <c r="LO20" s="63"/>
      <c r="LP20" s="63"/>
      <c r="LQ20" s="63"/>
      <c r="LR20" s="63"/>
      <c r="LS20" s="63"/>
      <c r="LT20" s="63"/>
      <c r="LU20" s="63"/>
      <c r="LV20" s="63"/>
      <c r="LW20" s="63"/>
      <c r="LX20" s="63"/>
      <c r="LY20" s="63"/>
      <c r="LZ20" s="63"/>
      <c r="MA20" s="63"/>
      <c r="MB20" s="63"/>
      <c r="MC20" s="63"/>
      <c r="MD20" s="63"/>
      <c r="ME20" s="63"/>
      <c r="MF20" s="63"/>
      <c r="MG20" s="63"/>
      <c r="MH20" s="63"/>
      <c r="MI20" s="63"/>
      <c r="MJ20" s="63"/>
      <c r="MK20" s="62"/>
      <c r="ML20" s="63"/>
      <c r="MM20" s="63"/>
      <c r="MN20" s="63"/>
      <c r="MO20" s="63"/>
      <c r="MP20" s="63"/>
      <c r="MQ20" s="63"/>
      <c r="MR20" s="63"/>
      <c r="MS20" s="63"/>
      <c r="MT20" s="63"/>
      <c r="MU20" s="63"/>
      <c r="MV20" s="63"/>
      <c r="MW20" s="63"/>
      <c r="MX20" s="63"/>
      <c r="MY20" s="63"/>
      <c r="MZ20" s="63"/>
      <c r="NA20" s="63"/>
      <c r="NB20" s="63"/>
      <c r="NC20" s="63"/>
      <c r="ND20" s="63"/>
      <c r="NE20" s="63"/>
      <c r="NF20" s="63"/>
      <c r="NG20" s="64" t="s">
        <v>42</v>
      </c>
      <c r="NH20" s="64" t="s">
        <v>42</v>
      </c>
      <c r="NI20" s="63"/>
      <c r="NJ20" s="63"/>
      <c r="NK20" s="63"/>
      <c r="NL20" s="64" t="s">
        <v>42</v>
      </c>
      <c r="NM20" s="64" t="s">
        <v>42</v>
      </c>
      <c r="NN20" s="64" t="s">
        <v>42</v>
      </c>
      <c r="NO20" s="63"/>
    </row>
    <row r="21" customFormat="false" ht="18.75" hidden="false" customHeight="true" outlineLevel="0" collapsed="false">
      <c r="A21" s="56" t="str">
        <f aca="false">IF($B21="","",TEXT(ROW()-9,"00"))</f>
        <v>12</v>
      </c>
      <c r="B21" s="57" t="s">
        <v>99</v>
      </c>
      <c r="C21" s="58" t="s">
        <v>97</v>
      </c>
      <c r="D21" s="59" t="n">
        <v>30</v>
      </c>
      <c r="E21" s="59" t="n">
        <v>4</v>
      </c>
      <c r="F21" s="60" t="n">
        <f aca="false">IF($B21="","",SUMPRODUCT(COUNTIF($H21:$NO21,Kuerzel)*Faktor))</f>
        <v>24.5</v>
      </c>
      <c r="G21" s="61" t="n">
        <f aca="false">IF($B21="","",$D21+$E21-$F21)</f>
        <v>9.5</v>
      </c>
      <c r="H21" s="62"/>
      <c r="I21" s="63"/>
      <c r="J21" s="63"/>
      <c r="K21" s="63"/>
      <c r="L21" s="64" t="s">
        <v>42</v>
      </c>
      <c r="M21" s="64" t="s">
        <v>42</v>
      </c>
      <c r="N21" s="64" t="s">
        <v>42</v>
      </c>
      <c r="O21" s="64" t="s">
        <v>42</v>
      </c>
      <c r="P21" s="64" t="s">
        <v>42</v>
      </c>
      <c r="Q21" s="63"/>
      <c r="R21" s="63"/>
      <c r="S21" s="63"/>
      <c r="T21" s="63"/>
      <c r="U21" s="63"/>
      <c r="V21" s="63"/>
      <c r="W21" s="63"/>
      <c r="X21" s="63"/>
      <c r="Y21" s="63"/>
      <c r="Z21" s="63"/>
      <c r="AA21" s="63"/>
      <c r="AB21" s="63"/>
      <c r="AC21" s="63"/>
      <c r="AD21" s="63"/>
      <c r="AE21" s="63"/>
      <c r="AF21" s="63"/>
      <c r="AG21" s="63"/>
      <c r="AH21" s="63"/>
      <c r="AI21" s="63"/>
      <c r="AJ21" s="63"/>
      <c r="AK21" s="63"/>
      <c r="AL21" s="63"/>
      <c r="AM21" s="62"/>
      <c r="AN21" s="63"/>
      <c r="AO21" s="63"/>
      <c r="AP21" s="63"/>
      <c r="AQ21" s="63"/>
      <c r="AR21" s="63"/>
      <c r="AS21" s="63"/>
      <c r="AT21" s="63"/>
      <c r="AU21" s="63"/>
      <c r="AV21" s="63"/>
      <c r="AW21" s="63"/>
      <c r="AX21" s="63"/>
      <c r="AY21" s="63"/>
      <c r="AZ21" s="63"/>
      <c r="BA21" s="63"/>
      <c r="BB21" s="63"/>
      <c r="BC21" s="63"/>
      <c r="BD21" s="70" t="s">
        <v>48</v>
      </c>
      <c r="BE21" s="63"/>
      <c r="BF21" s="63"/>
      <c r="BG21" s="63"/>
      <c r="BH21" s="63"/>
      <c r="BI21" s="63"/>
      <c r="BJ21" s="63"/>
      <c r="BK21" s="63"/>
      <c r="BL21" s="63"/>
      <c r="BM21" s="63"/>
      <c r="BN21" s="63"/>
      <c r="BO21" s="63"/>
      <c r="BP21" s="63"/>
      <c r="BQ21" s="63"/>
      <c r="BR21" s="62"/>
      <c r="BS21" s="63"/>
      <c r="BT21" s="63"/>
      <c r="BU21" s="63"/>
      <c r="BV21" s="63"/>
      <c r="BW21" s="63"/>
      <c r="BX21" s="63"/>
      <c r="BY21" s="63"/>
      <c r="BZ21" s="63"/>
      <c r="CA21" s="63"/>
      <c r="CB21" s="63"/>
      <c r="CC21" s="63"/>
      <c r="CD21" s="63"/>
      <c r="CE21" s="63"/>
      <c r="CF21" s="63"/>
      <c r="CG21" s="63"/>
      <c r="CH21" s="63"/>
      <c r="CI21" s="63"/>
      <c r="CJ21" s="63"/>
      <c r="CK21" s="63"/>
      <c r="CL21" s="63"/>
      <c r="CM21" s="63"/>
      <c r="CN21" s="63"/>
      <c r="CO21" s="63"/>
      <c r="CP21" s="63"/>
      <c r="CQ21" s="63"/>
      <c r="CR21" s="63"/>
      <c r="CS21" s="63"/>
      <c r="CT21" s="63"/>
      <c r="CU21" s="63"/>
      <c r="CV21" s="63"/>
      <c r="CW21" s="62"/>
      <c r="CX21" s="63"/>
      <c r="CY21" s="63"/>
      <c r="CZ21" s="63"/>
      <c r="DA21" s="63"/>
      <c r="DB21" s="63"/>
      <c r="DC21" s="63"/>
      <c r="DD21" s="63"/>
      <c r="DE21" s="63"/>
      <c r="DF21" s="63"/>
      <c r="DG21" s="63"/>
      <c r="DH21" s="63"/>
      <c r="DI21" s="63"/>
      <c r="DJ21" s="63"/>
      <c r="DK21" s="63"/>
      <c r="DL21" s="63"/>
      <c r="DM21" s="63"/>
      <c r="DN21" s="63"/>
      <c r="DO21" s="63"/>
      <c r="DP21" s="63"/>
      <c r="DQ21" s="63"/>
      <c r="DR21" s="63"/>
      <c r="DS21" s="63"/>
      <c r="DT21" s="63"/>
      <c r="DU21" s="63"/>
      <c r="DV21" s="63"/>
      <c r="DW21" s="63"/>
      <c r="DX21" s="63"/>
      <c r="DY21" s="63"/>
      <c r="DZ21" s="64" t="s">
        <v>43</v>
      </c>
      <c r="EA21" s="63"/>
      <c r="EB21" s="62"/>
      <c r="EC21" s="63"/>
      <c r="ED21" s="63"/>
      <c r="EE21" s="63"/>
      <c r="EF21" s="63"/>
      <c r="EG21" s="63"/>
      <c r="EH21" s="63"/>
      <c r="EI21" s="63"/>
      <c r="EJ21" s="63"/>
      <c r="EK21" s="63"/>
      <c r="EL21" s="63"/>
      <c r="EM21" s="63"/>
      <c r="EN21" s="63"/>
      <c r="EO21" s="63"/>
      <c r="EP21" s="63"/>
      <c r="EQ21" s="63"/>
      <c r="ER21" s="63"/>
      <c r="ES21" s="63"/>
      <c r="ET21" s="63"/>
      <c r="EU21" s="63"/>
      <c r="EV21" s="63"/>
      <c r="EW21" s="63"/>
      <c r="EX21" s="63"/>
      <c r="EY21" s="63"/>
      <c r="EZ21" s="63"/>
      <c r="FA21" s="63"/>
      <c r="FB21" s="63"/>
      <c r="FC21" s="63"/>
      <c r="FD21" s="63"/>
      <c r="FE21" s="63"/>
      <c r="FF21" s="63"/>
      <c r="FG21" s="62"/>
      <c r="FH21" s="63"/>
      <c r="FI21" s="63"/>
      <c r="FJ21" s="63"/>
      <c r="FK21" s="63"/>
      <c r="FL21" s="63"/>
      <c r="FM21" s="63"/>
      <c r="FN21" s="63"/>
      <c r="FO21" s="63"/>
      <c r="FP21" s="65" t="s">
        <v>46</v>
      </c>
      <c r="FQ21" s="63"/>
      <c r="FR21" s="63"/>
      <c r="FS21" s="63"/>
      <c r="FT21" s="63"/>
      <c r="FU21" s="63"/>
      <c r="FV21" s="63"/>
      <c r="FW21" s="63"/>
      <c r="FX21" s="63"/>
      <c r="FY21" s="63"/>
      <c r="FZ21" s="63"/>
      <c r="GA21" s="63"/>
      <c r="GB21" s="63"/>
      <c r="GC21" s="63"/>
      <c r="GD21" s="63"/>
      <c r="GE21" s="63"/>
      <c r="GF21" s="63"/>
      <c r="GG21" s="63"/>
      <c r="GH21" s="63"/>
      <c r="GI21" s="63"/>
      <c r="GJ21" s="63"/>
      <c r="GK21" s="63"/>
      <c r="GL21" s="62"/>
      <c r="GM21" s="63"/>
      <c r="GN21" s="63"/>
      <c r="GO21" s="63"/>
      <c r="GP21" s="63"/>
      <c r="GQ21" s="63"/>
      <c r="GR21" s="63"/>
      <c r="GS21" s="63"/>
      <c r="GT21" s="63"/>
      <c r="GU21" s="63"/>
      <c r="GV21" s="63"/>
      <c r="GW21" s="63"/>
      <c r="GX21" s="63"/>
      <c r="GY21" s="63"/>
      <c r="GZ21" s="63"/>
      <c r="HA21" s="63"/>
      <c r="HB21" s="63"/>
      <c r="HC21" s="63"/>
      <c r="HD21" s="63"/>
      <c r="HE21" s="63"/>
      <c r="HF21" s="63"/>
      <c r="HG21" s="63"/>
      <c r="HH21" s="63"/>
      <c r="HI21" s="63"/>
      <c r="HJ21" s="63"/>
      <c r="HK21" s="63"/>
      <c r="HL21" s="63"/>
      <c r="HM21" s="63"/>
      <c r="HN21" s="63"/>
      <c r="HO21" s="63"/>
      <c r="HP21" s="63"/>
      <c r="HQ21" s="62"/>
      <c r="HR21" s="63"/>
      <c r="HS21" s="63"/>
      <c r="HT21" s="63"/>
      <c r="HU21" s="63"/>
      <c r="HV21" s="63"/>
      <c r="HW21" s="63"/>
      <c r="HX21" s="63"/>
      <c r="HY21" s="63"/>
      <c r="HZ21" s="63"/>
      <c r="IA21" s="63"/>
      <c r="IB21" s="63"/>
      <c r="IC21" s="63"/>
      <c r="ID21" s="63"/>
      <c r="IE21" s="63"/>
      <c r="IF21" s="63"/>
      <c r="IG21" s="64" t="s">
        <v>42</v>
      </c>
      <c r="IH21" s="64" t="s">
        <v>42</v>
      </c>
      <c r="II21" s="64" t="s">
        <v>42</v>
      </c>
      <c r="IJ21" s="64" t="s">
        <v>42</v>
      </c>
      <c r="IK21" s="64" t="s">
        <v>42</v>
      </c>
      <c r="IL21" s="63"/>
      <c r="IM21" s="63"/>
      <c r="IN21" s="64" t="s">
        <v>42</v>
      </c>
      <c r="IO21" s="64" t="s">
        <v>42</v>
      </c>
      <c r="IP21" s="64" t="s">
        <v>42</v>
      </c>
      <c r="IQ21" s="64" t="s">
        <v>42</v>
      </c>
      <c r="IR21" s="64" t="s">
        <v>42</v>
      </c>
      <c r="IS21" s="63"/>
      <c r="IT21" s="63"/>
      <c r="IU21" s="63"/>
      <c r="IV21" s="62"/>
      <c r="IW21" s="63"/>
      <c r="IX21" s="63"/>
      <c r="IY21" s="63"/>
      <c r="IZ21" s="63"/>
      <c r="JA21" s="63"/>
      <c r="JB21" s="63"/>
      <c r="JC21" s="63"/>
      <c r="JD21" s="63"/>
      <c r="JE21" s="63"/>
      <c r="JF21" s="63"/>
      <c r="JG21" s="63"/>
      <c r="JH21" s="63"/>
      <c r="JI21" s="63"/>
      <c r="JJ21" s="63"/>
      <c r="JK21" s="63"/>
      <c r="JL21" s="63"/>
      <c r="JM21" s="63"/>
      <c r="JN21" s="63"/>
      <c r="JO21" s="63"/>
      <c r="JP21" s="63"/>
      <c r="JQ21" s="63"/>
      <c r="JR21" s="63"/>
      <c r="JS21" s="63"/>
      <c r="JT21" s="63"/>
      <c r="JU21" s="63"/>
      <c r="JV21" s="63"/>
      <c r="JW21" s="63"/>
      <c r="JX21" s="63"/>
      <c r="JY21" s="63"/>
      <c r="JZ21" s="63"/>
      <c r="KA21" s="72" t="s">
        <v>44</v>
      </c>
      <c r="KB21" s="67" t="s">
        <v>44</v>
      </c>
      <c r="KC21" s="63"/>
      <c r="KD21" s="63"/>
      <c r="KE21" s="63"/>
      <c r="KF21" s="63"/>
      <c r="KG21" s="63"/>
      <c r="KH21" s="63"/>
      <c r="KI21" s="63"/>
      <c r="KJ21" s="63"/>
      <c r="KK21" s="63"/>
      <c r="KL21" s="63"/>
      <c r="KM21" s="63"/>
      <c r="KN21" s="63"/>
      <c r="KO21" s="63"/>
      <c r="KP21" s="63"/>
      <c r="KQ21" s="63"/>
      <c r="KR21" s="63"/>
      <c r="KS21" s="63"/>
      <c r="KT21" s="63"/>
      <c r="KU21" s="63"/>
      <c r="KV21" s="63"/>
      <c r="KW21" s="63"/>
      <c r="KX21" s="63"/>
      <c r="KY21" s="63"/>
      <c r="KZ21" s="63"/>
      <c r="LA21" s="63"/>
      <c r="LB21" s="63"/>
      <c r="LC21" s="63"/>
      <c r="LD21" s="63"/>
      <c r="LE21" s="63"/>
      <c r="LF21" s="62"/>
      <c r="LG21" s="63"/>
      <c r="LH21" s="63"/>
      <c r="LI21" s="63"/>
      <c r="LJ21" s="63"/>
      <c r="LK21" s="63"/>
      <c r="LL21" s="63"/>
      <c r="LM21" s="63"/>
      <c r="LN21" s="63"/>
      <c r="LO21" s="63"/>
      <c r="LP21" s="63"/>
      <c r="LQ21" s="63"/>
      <c r="LR21" s="63"/>
      <c r="LS21" s="63"/>
      <c r="LT21" s="63"/>
      <c r="LU21" s="64" t="s">
        <v>42</v>
      </c>
      <c r="LV21" s="64" t="s">
        <v>42</v>
      </c>
      <c r="LW21" s="64" t="s">
        <v>42</v>
      </c>
      <c r="LX21" s="64" t="s">
        <v>42</v>
      </c>
      <c r="LY21" s="64" t="s">
        <v>42</v>
      </c>
      <c r="LZ21" s="63"/>
      <c r="MA21" s="63"/>
      <c r="MB21" s="63"/>
      <c r="MC21" s="63"/>
      <c r="MD21" s="63"/>
      <c r="ME21" s="63"/>
      <c r="MF21" s="63"/>
      <c r="MG21" s="63"/>
      <c r="MH21" s="63"/>
      <c r="MI21" s="63"/>
      <c r="MJ21" s="63"/>
      <c r="MK21" s="62"/>
      <c r="ML21" s="63"/>
      <c r="MM21" s="63"/>
      <c r="MN21" s="63"/>
      <c r="MO21" s="63"/>
      <c r="MP21" s="63"/>
      <c r="MQ21" s="63"/>
      <c r="MR21" s="63"/>
      <c r="MS21" s="63"/>
      <c r="MT21" s="63"/>
      <c r="MU21" s="63"/>
      <c r="MV21" s="63"/>
      <c r="MW21" s="63"/>
      <c r="MX21" s="63"/>
      <c r="MY21" s="63"/>
      <c r="MZ21" s="63"/>
      <c r="NA21" s="63"/>
      <c r="NB21" s="63"/>
      <c r="NC21" s="63"/>
      <c r="ND21" s="63"/>
      <c r="NE21" s="63"/>
      <c r="NF21" s="63"/>
      <c r="NG21" s="63"/>
      <c r="NH21" s="63"/>
      <c r="NI21" s="63"/>
      <c r="NJ21" s="63"/>
      <c r="NK21" s="63"/>
      <c r="NL21" s="64" t="s">
        <v>42</v>
      </c>
      <c r="NM21" s="64" t="s">
        <v>42</v>
      </c>
      <c r="NN21" s="64" t="s">
        <v>42</v>
      </c>
      <c r="NO21" s="64" t="s">
        <v>42</v>
      </c>
    </row>
    <row r="22" customFormat="false" ht="18.75" hidden="false" customHeight="true" outlineLevel="0" collapsed="false">
      <c r="A22" s="56" t="str">
        <f aca="false">IF($B22="","",TEXT(ROW()-9,"00"))</f>
        <v>13</v>
      </c>
      <c r="B22" s="57" t="s">
        <v>100</v>
      </c>
      <c r="C22" s="58" t="s">
        <v>101</v>
      </c>
      <c r="D22" s="59" t="n">
        <v>30</v>
      </c>
      <c r="E22" s="59" t="n">
        <v>2</v>
      </c>
      <c r="F22" s="60" t="n">
        <f aca="false">IF($B22="","",SUMPRODUCT(COUNTIF($H22:$NO22,Kuerzel)*Faktor))</f>
        <v>28.5</v>
      </c>
      <c r="G22" s="61" t="n">
        <f aca="false">IF($B22="","",$D22+$E22-$F22)</f>
        <v>3.5</v>
      </c>
      <c r="H22" s="62"/>
      <c r="I22" s="63"/>
      <c r="J22" s="63"/>
      <c r="K22" s="63"/>
      <c r="L22" s="63"/>
      <c r="M22" s="63"/>
      <c r="N22" s="63"/>
      <c r="O22" s="63"/>
      <c r="P22" s="63"/>
      <c r="Q22" s="63"/>
      <c r="R22" s="63"/>
      <c r="S22" s="63"/>
      <c r="T22" s="63"/>
      <c r="U22" s="63"/>
      <c r="V22" s="63"/>
      <c r="W22" s="63"/>
      <c r="X22" s="63"/>
      <c r="Y22" s="63"/>
      <c r="Z22" s="63"/>
      <c r="AA22" s="63"/>
      <c r="AB22" s="63"/>
      <c r="AC22" s="63"/>
      <c r="AD22" s="63"/>
      <c r="AE22" s="63"/>
      <c r="AF22" s="63"/>
      <c r="AG22" s="63"/>
      <c r="AH22" s="63"/>
      <c r="AI22" s="63"/>
      <c r="AJ22" s="63"/>
      <c r="AK22" s="63"/>
      <c r="AL22" s="63"/>
      <c r="AM22" s="62"/>
      <c r="AN22" s="63"/>
      <c r="AO22" s="63"/>
      <c r="AP22" s="63"/>
      <c r="AQ22" s="63"/>
      <c r="AR22" s="63"/>
      <c r="AS22" s="63"/>
      <c r="AT22" s="63"/>
      <c r="AU22" s="63"/>
      <c r="AV22" s="63"/>
      <c r="AW22" s="63"/>
      <c r="AX22" s="63"/>
      <c r="AY22" s="63"/>
      <c r="AZ22" s="63"/>
      <c r="BA22" s="63"/>
      <c r="BB22" s="63"/>
      <c r="BC22" s="63"/>
      <c r="BD22" s="63"/>
      <c r="BE22" s="63"/>
      <c r="BF22" s="63"/>
      <c r="BG22" s="63"/>
      <c r="BH22" s="63"/>
      <c r="BI22" s="64" t="s">
        <v>42</v>
      </c>
      <c r="BJ22" s="64" t="s">
        <v>42</v>
      </c>
      <c r="BK22" s="64" t="s">
        <v>42</v>
      </c>
      <c r="BL22" s="64" t="s">
        <v>42</v>
      </c>
      <c r="BM22" s="64" t="s">
        <v>42</v>
      </c>
      <c r="BN22" s="63"/>
      <c r="BO22" s="63"/>
      <c r="BP22" s="63"/>
      <c r="BQ22" s="63"/>
      <c r="BR22" s="62"/>
      <c r="BS22" s="63"/>
      <c r="BT22" s="63"/>
      <c r="BU22" s="63"/>
      <c r="BV22" s="63"/>
      <c r="BW22" s="63"/>
      <c r="BX22" s="63"/>
      <c r="BY22" s="63"/>
      <c r="BZ22" s="63"/>
      <c r="CA22" s="63"/>
      <c r="CB22" s="63"/>
      <c r="CC22" s="63"/>
      <c r="CD22" s="63"/>
      <c r="CE22" s="63"/>
      <c r="CF22" s="63"/>
      <c r="CG22" s="63"/>
      <c r="CH22" s="63"/>
      <c r="CI22" s="63"/>
      <c r="CJ22" s="63"/>
      <c r="CK22" s="63"/>
      <c r="CL22" s="63"/>
      <c r="CM22" s="63"/>
      <c r="CN22" s="63"/>
      <c r="CO22" s="63"/>
      <c r="CP22" s="63"/>
      <c r="CQ22" s="63"/>
      <c r="CR22" s="63"/>
      <c r="CS22" s="63"/>
      <c r="CT22" s="63"/>
      <c r="CU22" s="63"/>
      <c r="CV22" s="63"/>
      <c r="CW22" s="62"/>
      <c r="CX22" s="63"/>
      <c r="CY22" s="63"/>
      <c r="CZ22" s="63"/>
      <c r="DA22" s="63"/>
      <c r="DB22" s="63"/>
      <c r="DC22" s="63"/>
      <c r="DD22" s="63"/>
      <c r="DE22" s="63"/>
      <c r="DF22" s="63"/>
      <c r="DG22" s="63"/>
      <c r="DH22" s="63"/>
      <c r="DI22" s="63"/>
      <c r="DJ22" s="63"/>
      <c r="DK22" s="69" t="s">
        <v>49</v>
      </c>
      <c r="DL22" s="63"/>
      <c r="DM22" s="63"/>
      <c r="DN22" s="63"/>
      <c r="DO22" s="63"/>
      <c r="DP22" s="63"/>
      <c r="DQ22" s="63"/>
      <c r="DR22" s="63"/>
      <c r="DS22" s="63"/>
      <c r="DT22" s="63"/>
      <c r="DU22" s="63"/>
      <c r="DV22" s="63"/>
      <c r="DW22" s="63"/>
      <c r="DX22" s="63"/>
      <c r="DY22" s="63"/>
      <c r="DZ22" s="63"/>
      <c r="EA22" s="63"/>
      <c r="EB22" s="62"/>
      <c r="EC22" s="63"/>
      <c r="ED22" s="63"/>
      <c r="EE22" s="63"/>
      <c r="EF22" s="63"/>
      <c r="EG22" s="63"/>
      <c r="EH22" s="63"/>
      <c r="EI22" s="63"/>
      <c r="EJ22" s="63"/>
      <c r="EK22" s="63"/>
      <c r="EL22" s="63"/>
      <c r="EM22" s="63"/>
      <c r="EN22" s="63"/>
      <c r="EO22" s="63"/>
      <c r="EP22" s="63"/>
      <c r="EQ22" s="63"/>
      <c r="ER22" s="63"/>
      <c r="ES22" s="63"/>
      <c r="ET22" s="63"/>
      <c r="EU22" s="63"/>
      <c r="EV22" s="63"/>
      <c r="EW22" s="63"/>
      <c r="EX22" s="63"/>
      <c r="EY22" s="63"/>
      <c r="EZ22" s="63"/>
      <c r="FA22" s="63"/>
      <c r="FB22" s="63"/>
      <c r="FC22" s="63"/>
      <c r="FD22" s="63"/>
      <c r="FE22" s="63"/>
      <c r="FF22" s="63"/>
      <c r="FG22" s="62"/>
      <c r="FH22" s="64" t="s">
        <v>43</v>
      </c>
      <c r="FI22" s="63"/>
      <c r="FJ22" s="63"/>
      <c r="FK22" s="63"/>
      <c r="FL22" s="63"/>
      <c r="FM22" s="63"/>
      <c r="FN22" s="63"/>
      <c r="FO22" s="63"/>
      <c r="FP22" s="63"/>
      <c r="FQ22" s="63"/>
      <c r="FR22" s="63"/>
      <c r="FS22" s="63"/>
      <c r="FT22" s="63"/>
      <c r="FU22" s="63"/>
      <c r="FV22" s="63"/>
      <c r="FW22" s="63"/>
      <c r="FX22" s="63"/>
      <c r="FY22" s="63"/>
      <c r="FZ22" s="63"/>
      <c r="GA22" s="63"/>
      <c r="GB22" s="63"/>
      <c r="GC22" s="63"/>
      <c r="GD22" s="63"/>
      <c r="GE22" s="63"/>
      <c r="GF22" s="63"/>
      <c r="GG22" s="63"/>
      <c r="GH22" s="63"/>
      <c r="GI22" s="63"/>
      <c r="GJ22" s="63"/>
      <c r="GK22" s="63"/>
      <c r="GL22" s="62"/>
      <c r="GM22" s="63"/>
      <c r="GN22" s="63"/>
      <c r="GO22" s="63"/>
      <c r="GP22" s="63"/>
      <c r="GQ22" s="63"/>
      <c r="GR22" s="63"/>
      <c r="GS22" s="63"/>
      <c r="GT22" s="63"/>
      <c r="GU22" s="63"/>
      <c r="GV22" s="63"/>
      <c r="GW22" s="63"/>
      <c r="GX22" s="63"/>
      <c r="GY22" s="63"/>
      <c r="GZ22" s="63"/>
      <c r="HA22" s="63"/>
      <c r="HB22" s="63"/>
      <c r="HC22" s="63"/>
      <c r="HD22" s="63"/>
      <c r="HE22" s="64" t="s">
        <v>42</v>
      </c>
      <c r="HF22" s="64" t="s">
        <v>42</v>
      </c>
      <c r="HG22" s="64" t="s">
        <v>42</v>
      </c>
      <c r="HH22" s="64" t="s">
        <v>42</v>
      </c>
      <c r="HI22" s="64" t="s">
        <v>42</v>
      </c>
      <c r="HJ22" s="63"/>
      <c r="HK22" s="63"/>
      <c r="HL22" s="64" t="s">
        <v>42</v>
      </c>
      <c r="HM22" s="64" t="s">
        <v>42</v>
      </c>
      <c r="HN22" s="64" t="s">
        <v>42</v>
      </c>
      <c r="HO22" s="64" t="s">
        <v>42</v>
      </c>
      <c r="HP22" s="64" t="s">
        <v>42</v>
      </c>
      <c r="HQ22" s="62"/>
      <c r="HR22" s="63"/>
      <c r="HS22" s="64" t="s">
        <v>42</v>
      </c>
      <c r="HT22" s="64" t="s">
        <v>42</v>
      </c>
      <c r="HU22" s="64" t="s">
        <v>42</v>
      </c>
      <c r="HV22" s="64" t="s">
        <v>42</v>
      </c>
      <c r="HW22" s="64" t="s">
        <v>42</v>
      </c>
      <c r="HX22" s="63"/>
      <c r="HY22" s="63"/>
      <c r="HZ22" s="63"/>
      <c r="IA22" s="63"/>
      <c r="IB22" s="63"/>
      <c r="IC22" s="63"/>
      <c r="ID22" s="63"/>
      <c r="IE22" s="63"/>
      <c r="IF22" s="63"/>
      <c r="IG22" s="63"/>
      <c r="IH22" s="63"/>
      <c r="II22" s="63"/>
      <c r="IJ22" s="63"/>
      <c r="IK22" s="63"/>
      <c r="IL22" s="63"/>
      <c r="IM22" s="63"/>
      <c r="IN22" s="63"/>
      <c r="IO22" s="63"/>
      <c r="IP22" s="63"/>
      <c r="IQ22" s="63"/>
      <c r="IR22" s="63"/>
      <c r="IS22" s="63"/>
      <c r="IT22" s="63"/>
      <c r="IU22" s="63"/>
      <c r="IV22" s="62"/>
      <c r="IW22" s="63"/>
      <c r="IX22" s="63"/>
      <c r="IY22" s="63"/>
      <c r="IZ22" s="63"/>
      <c r="JA22" s="63"/>
      <c r="JB22" s="63"/>
      <c r="JC22" s="63"/>
      <c r="JD22" s="63"/>
      <c r="JE22" s="63"/>
      <c r="JF22" s="63"/>
      <c r="JG22" s="63"/>
      <c r="JH22" s="63"/>
      <c r="JI22" s="63"/>
      <c r="JJ22" s="63"/>
      <c r="JK22" s="63"/>
      <c r="JL22" s="63"/>
      <c r="JM22" s="63"/>
      <c r="JN22" s="63"/>
      <c r="JO22" s="63"/>
      <c r="JP22" s="63"/>
      <c r="JQ22" s="63"/>
      <c r="JR22" s="63"/>
      <c r="JS22" s="63"/>
      <c r="JT22" s="63"/>
      <c r="JU22" s="63"/>
      <c r="JV22" s="63"/>
      <c r="JW22" s="63"/>
      <c r="JX22" s="63"/>
      <c r="JY22" s="63"/>
      <c r="JZ22" s="63"/>
      <c r="KA22" s="62"/>
      <c r="KB22" s="63"/>
      <c r="KC22" s="63"/>
      <c r="KD22" s="63"/>
      <c r="KE22" s="63"/>
      <c r="KF22" s="63"/>
      <c r="KG22" s="63"/>
      <c r="KH22" s="63"/>
      <c r="KI22" s="63"/>
      <c r="KJ22" s="63"/>
      <c r="KK22" s="63"/>
      <c r="KL22" s="64" t="s">
        <v>42</v>
      </c>
      <c r="KM22" s="64" t="s">
        <v>42</v>
      </c>
      <c r="KN22" s="64" t="s">
        <v>42</v>
      </c>
      <c r="KO22" s="64" t="s">
        <v>42</v>
      </c>
      <c r="KP22" s="64" t="s">
        <v>42</v>
      </c>
      <c r="KQ22" s="63"/>
      <c r="KR22" s="63"/>
      <c r="KS22" s="63"/>
      <c r="KT22" s="63"/>
      <c r="KU22" s="63"/>
      <c r="KV22" s="63"/>
      <c r="KW22" s="63"/>
      <c r="KX22" s="63"/>
      <c r="KY22" s="63"/>
      <c r="KZ22" s="63"/>
      <c r="LA22" s="63"/>
      <c r="LB22" s="63"/>
      <c r="LC22" s="63"/>
      <c r="LD22" s="63"/>
      <c r="LE22" s="63"/>
      <c r="LF22" s="62"/>
      <c r="LG22" s="63"/>
      <c r="LH22" s="63"/>
      <c r="LI22" s="63"/>
      <c r="LJ22" s="63"/>
      <c r="LK22" s="63"/>
      <c r="LL22" s="63"/>
      <c r="LM22" s="63"/>
      <c r="LN22" s="63"/>
      <c r="LO22" s="63"/>
      <c r="LP22" s="63"/>
      <c r="LQ22" s="63"/>
      <c r="LR22" s="63"/>
      <c r="LS22" s="63"/>
      <c r="LT22" s="63"/>
      <c r="LU22" s="63"/>
      <c r="LV22" s="63"/>
      <c r="LW22" s="63"/>
      <c r="LX22" s="63"/>
      <c r="LY22" s="63"/>
      <c r="LZ22" s="63"/>
      <c r="MA22" s="63"/>
      <c r="MB22" s="63"/>
      <c r="MC22" s="63"/>
      <c r="MD22" s="63"/>
      <c r="ME22" s="65" t="s">
        <v>46</v>
      </c>
      <c r="MF22" s="63"/>
      <c r="MG22" s="63"/>
      <c r="MH22" s="63"/>
      <c r="MI22" s="63"/>
      <c r="MJ22" s="63"/>
      <c r="MK22" s="62"/>
      <c r="ML22" s="63"/>
      <c r="MM22" s="63"/>
      <c r="MN22" s="63"/>
      <c r="MO22" s="63"/>
      <c r="MP22" s="63"/>
      <c r="MQ22" s="63"/>
      <c r="MR22" s="63"/>
      <c r="MS22" s="63"/>
      <c r="MT22" s="63"/>
      <c r="MU22" s="63"/>
      <c r="MV22" s="63"/>
      <c r="MW22" s="63"/>
      <c r="MX22" s="63"/>
      <c r="MY22" s="63"/>
      <c r="MZ22" s="63"/>
      <c r="NA22" s="63"/>
      <c r="NB22" s="63"/>
      <c r="NC22" s="63"/>
      <c r="ND22" s="63"/>
      <c r="NE22" s="63"/>
      <c r="NF22" s="63"/>
      <c r="NG22" s="63"/>
      <c r="NH22" s="63"/>
      <c r="NI22" s="63"/>
      <c r="NJ22" s="63"/>
      <c r="NK22" s="63"/>
      <c r="NL22" s="63"/>
      <c r="NM22" s="64" t="s">
        <v>42</v>
      </c>
      <c r="NN22" s="64" t="s">
        <v>42</v>
      </c>
      <c r="NO22" s="64" t="s">
        <v>42</v>
      </c>
    </row>
    <row r="23" customFormat="false" ht="18.75" hidden="false" customHeight="true" outlineLevel="0" collapsed="false">
      <c r="A23" s="56" t="str">
        <f aca="false">IF($B23="","",TEXT(ROW()-9,"00"))</f>
        <v>14</v>
      </c>
      <c r="B23" s="57" t="s">
        <v>102</v>
      </c>
      <c r="C23" s="58" t="s">
        <v>101</v>
      </c>
      <c r="D23" s="59" t="n">
        <v>30</v>
      </c>
      <c r="E23" s="59" t="n">
        <v>0</v>
      </c>
      <c r="F23" s="60" t="n">
        <f aca="false">IF($B23="","",SUMPRODUCT(COUNTIF($H23:$NO23,Kuerzel)*Faktor))</f>
        <v>24</v>
      </c>
      <c r="G23" s="61" t="n">
        <f aca="false">IF($B23="","",$D23+$E23-$F23)</f>
        <v>6</v>
      </c>
      <c r="H23" s="62"/>
      <c r="I23" s="63"/>
      <c r="J23" s="63"/>
      <c r="K23" s="63"/>
      <c r="L23" s="63"/>
      <c r="M23" s="63"/>
      <c r="N23" s="63"/>
      <c r="O23" s="63"/>
      <c r="P23" s="63"/>
      <c r="Q23" s="63"/>
      <c r="R23" s="63"/>
      <c r="S23" s="63"/>
      <c r="T23" s="63"/>
      <c r="U23" s="63"/>
      <c r="V23" s="63"/>
      <c r="W23" s="63"/>
      <c r="X23" s="63"/>
      <c r="Y23" s="63"/>
      <c r="Z23" s="63"/>
      <c r="AA23" s="63"/>
      <c r="AB23" s="63"/>
      <c r="AC23" s="63"/>
      <c r="AD23" s="63"/>
      <c r="AE23" s="63"/>
      <c r="AF23" s="63"/>
      <c r="AG23" s="63"/>
      <c r="AH23" s="63"/>
      <c r="AI23" s="63"/>
      <c r="AJ23" s="63"/>
      <c r="AK23" s="63"/>
      <c r="AL23" s="63"/>
      <c r="AM23" s="62"/>
      <c r="AN23" s="63"/>
      <c r="AO23" s="63"/>
      <c r="AP23" s="63"/>
      <c r="AQ23" s="63"/>
      <c r="AR23" s="63"/>
      <c r="AS23" s="63"/>
      <c r="AT23" s="63"/>
      <c r="AU23" s="64" t="s">
        <v>42</v>
      </c>
      <c r="AV23" s="64" t="s">
        <v>42</v>
      </c>
      <c r="AW23" s="64" t="s">
        <v>42</v>
      </c>
      <c r="AX23" s="64" t="s">
        <v>42</v>
      </c>
      <c r="AY23" s="64" t="s">
        <v>42</v>
      </c>
      <c r="AZ23" s="63"/>
      <c r="BA23" s="63"/>
      <c r="BB23" s="63"/>
      <c r="BC23" s="63"/>
      <c r="BD23" s="63"/>
      <c r="BE23" s="63"/>
      <c r="BF23" s="63"/>
      <c r="BG23" s="63"/>
      <c r="BH23" s="63"/>
      <c r="BI23" s="63"/>
      <c r="BJ23" s="63"/>
      <c r="BK23" s="63"/>
      <c r="BL23" s="63"/>
      <c r="BM23" s="63"/>
      <c r="BN23" s="63"/>
      <c r="BO23" s="63"/>
      <c r="BP23" s="63"/>
      <c r="BQ23" s="63"/>
      <c r="BR23" s="62"/>
      <c r="BS23" s="63"/>
      <c r="BT23" s="63"/>
      <c r="BU23" s="63"/>
      <c r="BV23" s="63"/>
      <c r="BW23" s="63"/>
      <c r="BX23" s="63"/>
      <c r="BY23" s="63"/>
      <c r="BZ23" s="63"/>
      <c r="CA23" s="63"/>
      <c r="CB23" s="63"/>
      <c r="CC23" s="63"/>
      <c r="CD23" s="63"/>
      <c r="CE23" s="63"/>
      <c r="CF23" s="63"/>
      <c r="CG23" s="63"/>
      <c r="CH23" s="63"/>
      <c r="CI23" s="63"/>
      <c r="CJ23" s="63"/>
      <c r="CK23" s="63"/>
      <c r="CL23" s="63"/>
      <c r="CM23" s="63"/>
      <c r="CN23" s="63"/>
      <c r="CO23" s="63"/>
      <c r="CP23" s="63"/>
      <c r="CQ23" s="63"/>
      <c r="CR23" s="63"/>
      <c r="CS23" s="63"/>
      <c r="CT23" s="63"/>
      <c r="CU23" s="63"/>
      <c r="CV23" s="63"/>
      <c r="CW23" s="62"/>
      <c r="CX23" s="63"/>
      <c r="CY23" s="63"/>
      <c r="CZ23" s="63"/>
      <c r="DA23" s="63"/>
      <c r="DB23" s="63"/>
      <c r="DC23" s="63"/>
      <c r="DD23" s="63"/>
      <c r="DE23" s="63"/>
      <c r="DF23" s="63"/>
      <c r="DG23" s="63"/>
      <c r="DH23" s="63"/>
      <c r="DI23" s="63"/>
      <c r="DJ23" s="63"/>
      <c r="DK23" s="63"/>
      <c r="DL23" s="63"/>
      <c r="DM23" s="63"/>
      <c r="DN23" s="63"/>
      <c r="DO23" s="63"/>
      <c r="DP23" s="63"/>
      <c r="DQ23" s="63"/>
      <c r="DR23" s="63"/>
      <c r="DS23" s="63"/>
      <c r="DT23" s="63"/>
      <c r="DU23" s="63"/>
      <c r="DV23" s="63"/>
      <c r="DW23" s="63"/>
      <c r="DX23" s="63"/>
      <c r="DY23" s="63"/>
      <c r="DZ23" s="63"/>
      <c r="EA23" s="63"/>
      <c r="EB23" s="62"/>
      <c r="EC23" s="63"/>
      <c r="ED23" s="63"/>
      <c r="EE23" s="63"/>
      <c r="EF23" s="63"/>
      <c r="EG23" s="63"/>
      <c r="EH23" s="63"/>
      <c r="EI23" s="63"/>
      <c r="EJ23" s="63"/>
      <c r="EK23" s="63"/>
      <c r="EL23" s="63"/>
      <c r="EM23" s="63"/>
      <c r="EN23" s="63"/>
      <c r="EO23" s="63"/>
      <c r="EP23" s="63"/>
      <c r="EQ23" s="63"/>
      <c r="ER23" s="63"/>
      <c r="ES23" s="63"/>
      <c r="ET23" s="67" t="s">
        <v>44</v>
      </c>
      <c r="EU23" s="67" t="s">
        <v>44</v>
      </c>
      <c r="EV23" s="63"/>
      <c r="EW23" s="63"/>
      <c r="EX23" s="63"/>
      <c r="EY23" s="63"/>
      <c r="EZ23" s="63"/>
      <c r="FA23" s="63"/>
      <c r="FB23" s="63"/>
      <c r="FC23" s="63"/>
      <c r="FD23" s="63"/>
      <c r="FE23" s="63"/>
      <c r="FF23" s="63"/>
      <c r="FG23" s="62"/>
      <c r="FH23" s="63"/>
      <c r="FI23" s="63"/>
      <c r="FJ23" s="63"/>
      <c r="FK23" s="63"/>
      <c r="FL23" s="63"/>
      <c r="FM23" s="63"/>
      <c r="FN23" s="63"/>
      <c r="FO23" s="63"/>
      <c r="FP23" s="63"/>
      <c r="FQ23" s="63"/>
      <c r="FR23" s="63"/>
      <c r="FS23" s="63"/>
      <c r="FT23" s="63"/>
      <c r="FU23" s="63"/>
      <c r="FV23" s="63"/>
      <c r="FW23" s="63"/>
      <c r="FX23" s="63"/>
      <c r="FY23" s="63"/>
      <c r="FZ23" s="63"/>
      <c r="GA23" s="63"/>
      <c r="GB23" s="63"/>
      <c r="GC23" s="63"/>
      <c r="GD23" s="63"/>
      <c r="GE23" s="63"/>
      <c r="GF23" s="63"/>
      <c r="GG23" s="63"/>
      <c r="GH23" s="63"/>
      <c r="GI23" s="63"/>
      <c r="GJ23" s="63"/>
      <c r="GK23" s="63"/>
      <c r="GL23" s="62"/>
      <c r="GM23" s="63"/>
      <c r="GN23" s="63"/>
      <c r="GO23" s="63"/>
      <c r="GP23" s="63"/>
      <c r="GQ23" s="63"/>
      <c r="GR23" s="63"/>
      <c r="GS23" s="63"/>
      <c r="GT23" s="63"/>
      <c r="GU23" s="63"/>
      <c r="GV23" s="63"/>
      <c r="GW23" s="63"/>
      <c r="GX23" s="63"/>
      <c r="GY23" s="63"/>
      <c r="GZ23" s="63"/>
      <c r="HA23" s="63"/>
      <c r="HB23" s="63"/>
      <c r="HC23" s="63"/>
      <c r="HD23" s="63"/>
      <c r="HE23" s="63"/>
      <c r="HF23" s="63"/>
      <c r="HG23" s="63"/>
      <c r="HH23" s="63"/>
      <c r="HI23" s="63"/>
      <c r="HJ23" s="63"/>
      <c r="HK23" s="63"/>
      <c r="HL23" s="63"/>
      <c r="HM23" s="63"/>
      <c r="HN23" s="63"/>
      <c r="HO23" s="63"/>
      <c r="HP23" s="63"/>
      <c r="HQ23" s="62"/>
      <c r="HR23" s="63"/>
      <c r="HS23" s="63"/>
      <c r="HT23" s="63"/>
      <c r="HU23" s="63"/>
      <c r="HV23" s="63"/>
      <c r="HW23" s="63"/>
      <c r="HX23" s="63"/>
      <c r="HY23" s="63"/>
      <c r="HZ23" s="63"/>
      <c r="IA23" s="63"/>
      <c r="IB23" s="63"/>
      <c r="IC23" s="63"/>
      <c r="ID23" s="63"/>
      <c r="IE23" s="63"/>
      <c r="IF23" s="63"/>
      <c r="IG23" s="63"/>
      <c r="IH23" s="63"/>
      <c r="II23" s="63"/>
      <c r="IJ23" s="63"/>
      <c r="IK23" s="63"/>
      <c r="IL23" s="63"/>
      <c r="IM23" s="63"/>
      <c r="IN23" s="64" t="s">
        <v>42</v>
      </c>
      <c r="IO23" s="64" t="s">
        <v>42</v>
      </c>
      <c r="IP23" s="64" t="s">
        <v>42</v>
      </c>
      <c r="IQ23" s="64" t="s">
        <v>42</v>
      </c>
      <c r="IR23" s="64" t="s">
        <v>42</v>
      </c>
      <c r="IS23" s="63"/>
      <c r="IT23" s="63"/>
      <c r="IU23" s="64" t="s">
        <v>42</v>
      </c>
      <c r="IV23" s="66" t="s">
        <v>42</v>
      </c>
      <c r="IW23" s="64" t="s">
        <v>42</v>
      </c>
      <c r="IX23" s="64" t="s">
        <v>42</v>
      </c>
      <c r="IY23" s="64" t="s">
        <v>42</v>
      </c>
      <c r="IZ23" s="63"/>
      <c r="JA23" s="63"/>
      <c r="JB23" s="63"/>
      <c r="JC23" s="63"/>
      <c r="JD23" s="63"/>
      <c r="JE23" s="63"/>
      <c r="JF23" s="63"/>
      <c r="JG23" s="63"/>
      <c r="JH23" s="63"/>
      <c r="JI23" s="63"/>
      <c r="JJ23" s="63"/>
      <c r="JK23" s="63"/>
      <c r="JL23" s="63"/>
      <c r="JM23" s="63"/>
      <c r="JN23" s="63"/>
      <c r="JO23" s="63"/>
      <c r="JP23" s="63"/>
      <c r="JQ23" s="63"/>
      <c r="JR23" s="63"/>
      <c r="JS23" s="63"/>
      <c r="JT23" s="63"/>
      <c r="JU23" s="63"/>
      <c r="JV23" s="63"/>
      <c r="JW23" s="63"/>
      <c r="JX23" s="63"/>
      <c r="JY23" s="63"/>
      <c r="JZ23" s="63"/>
      <c r="KA23" s="62"/>
      <c r="KB23" s="63"/>
      <c r="KC23" s="63"/>
      <c r="KD23" s="63"/>
      <c r="KE23" s="63"/>
      <c r="KF23" s="63"/>
      <c r="KG23" s="63"/>
      <c r="KH23" s="68" t="s">
        <v>47</v>
      </c>
      <c r="KI23" s="68" t="s">
        <v>47</v>
      </c>
      <c r="KJ23" s="63"/>
      <c r="KK23" s="63"/>
      <c r="KL23" s="63"/>
      <c r="KM23" s="63"/>
      <c r="KN23" s="63"/>
      <c r="KO23" s="63"/>
      <c r="KP23" s="63"/>
      <c r="KQ23" s="63"/>
      <c r="KR23" s="63"/>
      <c r="KS23" s="63"/>
      <c r="KT23" s="63"/>
      <c r="KU23" s="63"/>
      <c r="KV23" s="63"/>
      <c r="KW23" s="63"/>
      <c r="KX23" s="63"/>
      <c r="KY23" s="63"/>
      <c r="KZ23" s="63"/>
      <c r="LA23" s="63"/>
      <c r="LB23" s="63"/>
      <c r="LC23" s="63"/>
      <c r="LD23" s="63"/>
      <c r="LE23" s="63"/>
      <c r="LF23" s="62"/>
      <c r="LG23" s="64" t="s">
        <v>42</v>
      </c>
      <c r="LH23" s="64" t="s">
        <v>42</v>
      </c>
      <c r="LI23" s="64" t="s">
        <v>42</v>
      </c>
      <c r="LJ23" s="64" t="s">
        <v>42</v>
      </c>
      <c r="LK23" s="64" t="s">
        <v>42</v>
      </c>
      <c r="LL23" s="63"/>
      <c r="LM23" s="63"/>
      <c r="LN23" s="63"/>
      <c r="LO23" s="63"/>
      <c r="LP23" s="63"/>
      <c r="LQ23" s="63"/>
      <c r="LR23" s="63"/>
      <c r="LS23" s="63"/>
      <c r="LT23" s="63"/>
      <c r="LU23" s="63"/>
      <c r="LV23" s="63"/>
      <c r="LW23" s="63"/>
      <c r="LX23" s="63"/>
      <c r="LY23" s="63"/>
      <c r="LZ23" s="63"/>
      <c r="MA23" s="63"/>
      <c r="MB23" s="63"/>
      <c r="MC23" s="63"/>
      <c r="MD23" s="63"/>
      <c r="ME23" s="63"/>
      <c r="MF23" s="63"/>
      <c r="MG23" s="63"/>
      <c r="MH23" s="63"/>
      <c r="MI23" s="63"/>
      <c r="MJ23" s="63"/>
      <c r="MK23" s="62"/>
      <c r="ML23" s="63"/>
      <c r="MM23" s="63"/>
      <c r="MN23" s="63"/>
      <c r="MO23" s="63"/>
      <c r="MP23" s="63"/>
      <c r="MQ23" s="63"/>
      <c r="MR23" s="63"/>
      <c r="MS23" s="63"/>
      <c r="MT23" s="63"/>
      <c r="MU23" s="63"/>
      <c r="MV23" s="63"/>
      <c r="MW23" s="63"/>
      <c r="MX23" s="63"/>
      <c r="MY23" s="63"/>
      <c r="MZ23" s="63"/>
      <c r="NA23" s="63"/>
      <c r="NB23" s="63"/>
      <c r="NC23" s="63"/>
      <c r="ND23" s="63"/>
      <c r="NE23" s="64" t="s">
        <v>42</v>
      </c>
      <c r="NF23" s="64" t="s">
        <v>42</v>
      </c>
      <c r="NG23" s="64" t="s">
        <v>42</v>
      </c>
      <c r="NH23" s="64" t="s">
        <v>42</v>
      </c>
      <c r="NI23" s="63"/>
      <c r="NJ23" s="63"/>
      <c r="NK23" s="63"/>
      <c r="NL23" s="63"/>
      <c r="NM23" s="63"/>
      <c r="NN23" s="63"/>
      <c r="NO23" s="63"/>
    </row>
    <row r="24" customFormat="false" ht="18.75" hidden="false" customHeight="true" outlineLevel="0" collapsed="false">
      <c r="A24" s="56" t="str">
        <f aca="false">IF($B24="","",TEXT(ROW()-9,"00"))</f>
        <v>15</v>
      </c>
      <c r="B24" s="57" t="s">
        <v>103</v>
      </c>
      <c r="C24" s="58" t="s">
        <v>101</v>
      </c>
      <c r="D24" s="59" t="n">
        <v>26</v>
      </c>
      <c r="E24" s="59" t="n">
        <v>5</v>
      </c>
      <c r="F24" s="60" t="n">
        <f aca="false">IF($B24="","",SUMPRODUCT(COUNTIF($H24:$NO24,Kuerzel)*Faktor))</f>
        <v>23</v>
      </c>
      <c r="G24" s="61" t="n">
        <f aca="false">IF($B24="","",$D24+$E24-$F24)</f>
        <v>8</v>
      </c>
      <c r="H24" s="62"/>
      <c r="I24" s="63"/>
      <c r="J24" s="63"/>
      <c r="K24" s="63"/>
      <c r="L24" s="63"/>
      <c r="M24" s="63"/>
      <c r="N24" s="63"/>
      <c r="O24" s="63"/>
      <c r="P24" s="63"/>
      <c r="Q24" s="63"/>
      <c r="R24" s="63"/>
      <c r="S24" s="63"/>
      <c r="T24" s="63"/>
      <c r="U24" s="63"/>
      <c r="V24" s="63"/>
      <c r="W24" s="63"/>
      <c r="X24" s="63"/>
      <c r="Y24" s="63"/>
      <c r="Z24" s="63"/>
      <c r="AA24" s="63"/>
      <c r="AB24" s="63"/>
      <c r="AC24" s="63"/>
      <c r="AD24" s="63"/>
      <c r="AE24" s="63"/>
      <c r="AF24" s="63"/>
      <c r="AG24" s="63"/>
      <c r="AH24" s="63"/>
      <c r="AI24" s="63"/>
      <c r="AJ24" s="63"/>
      <c r="AK24" s="63"/>
      <c r="AL24" s="63"/>
      <c r="AM24" s="62"/>
      <c r="AN24" s="63"/>
      <c r="AO24" s="63"/>
      <c r="AP24" s="63"/>
      <c r="AQ24" s="63"/>
      <c r="AR24" s="63"/>
      <c r="AS24" s="63"/>
      <c r="AT24" s="63"/>
      <c r="AU24" s="63"/>
      <c r="AV24" s="63"/>
      <c r="AW24" s="63"/>
      <c r="AX24" s="63"/>
      <c r="AY24" s="63"/>
      <c r="AZ24" s="63"/>
      <c r="BA24" s="63"/>
      <c r="BB24" s="63"/>
      <c r="BC24" s="63"/>
      <c r="BD24" s="63"/>
      <c r="BE24" s="63"/>
      <c r="BF24" s="63"/>
      <c r="BG24" s="63"/>
      <c r="BH24" s="63"/>
      <c r="BI24" s="63"/>
      <c r="BJ24" s="63"/>
      <c r="BK24" s="63"/>
      <c r="BL24" s="63"/>
      <c r="BM24" s="63"/>
      <c r="BN24" s="63"/>
      <c r="BO24" s="63"/>
      <c r="BP24" s="63"/>
      <c r="BQ24" s="63"/>
      <c r="BR24" s="62"/>
      <c r="BS24" s="63"/>
      <c r="BT24" s="63"/>
      <c r="BU24" s="63"/>
      <c r="BV24" s="63"/>
      <c r="BW24" s="63"/>
      <c r="BX24" s="63"/>
      <c r="BY24" s="63"/>
      <c r="BZ24" s="63"/>
      <c r="CA24" s="63"/>
      <c r="CB24" s="69" t="s">
        <v>49</v>
      </c>
      <c r="CC24" s="63"/>
      <c r="CD24" s="63"/>
      <c r="CE24" s="63"/>
      <c r="CF24" s="63"/>
      <c r="CG24" s="63"/>
      <c r="CH24" s="63"/>
      <c r="CI24" s="63"/>
      <c r="CJ24" s="63"/>
      <c r="CK24" s="63"/>
      <c r="CL24" s="63"/>
      <c r="CM24" s="63"/>
      <c r="CN24" s="63"/>
      <c r="CO24" s="63"/>
      <c r="CP24" s="63"/>
      <c r="CQ24" s="63"/>
      <c r="CR24" s="63"/>
      <c r="CS24" s="63"/>
      <c r="CT24" s="63"/>
      <c r="CU24" s="64" t="s">
        <v>42</v>
      </c>
      <c r="CV24" s="64" t="s">
        <v>42</v>
      </c>
      <c r="CW24" s="66" t="s">
        <v>42</v>
      </c>
      <c r="CX24" s="64" t="s">
        <v>42</v>
      </c>
      <c r="CY24" s="63"/>
      <c r="CZ24" s="63"/>
      <c r="DA24" s="63"/>
      <c r="DB24" s="63"/>
      <c r="DC24" s="63"/>
      <c r="DD24" s="63"/>
      <c r="DE24" s="63"/>
      <c r="DF24" s="63"/>
      <c r="DG24" s="63"/>
      <c r="DH24" s="63"/>
      <c r="DI24" s="63"/>
      <c r="DJ24" s="63"/>
      <c r="DK24" s="63"/>
      <c r="DL24" s="63"/>
      <c r="DM24" s="63"/>
      <c r="DN24" s="63"/>
      <c r="DO24" s="63"/>
      <c r="DP24" s="63"/>
      <c r="DQ24" s="63"/>
      <c r="DR24" s="63"/>
      <c r="DS24" s="63"/>
      <c r="DT24" s="63"/>
      <c r="DU24" s="63"/>
      <c r="DV24" s="63"/>
      <c r="DW24" s="63"/>
      <c r="DX24" s="63"/>
      <c r="DY24" s="63"/>
      <c r="DZ24" s="63"/>
      <c r="EA24" s="63"/>
      <c r="EB24" s="62"/>
      <c r="EC24" s="63"/>
      <c r="ED24" s="63"/>
      <c r="EE24" s="63"/>
      <c r="EF24" s="63"/>
      <c r="EG24" s="63"/>
      <c r="EH24" s="63"/>
      <c r="EI24" s="63"/>
      <c r="EJ24" s="63"/>
      <c r="EK24" s="63"/>
      <c r="EL24" s="63"/>
      <c r="EM24" s="63"/>
      <c r="EN24" s="63"/>
      <c r="EO24" s="63"/>
      <c r="EP24" s="63"/>
      <c r="EQ24" s="63"/>
      <c r="ER24" s="63"/>
      <c r="ES24" s="63"/>
      <c r="ET24" s="63"/>
      <c r="EU24" s="63"/>
      <c r="EV24" s="63"/>
      <c r="EW24" s="63"/>
      <c r="EX24" s="63"/>
      <c r="EY24" s="63"/>
      <c r="EZ24" s="63"/>
      <c r="FA24" s="63"/>
      <c r="FB24" s="63"/>
      <c r="FC24" s="63"/>
      <c r="FD24" s="63"/>
      <c r="FE24" s="63"/>
      <c r="FF24" s="63"/>
      <c r="FG24" s="62"/>
      <c r="FH24" s="63"/>
      <c r="FI24" s="63"/>
      <c r="FJ24" s="63"/>
      <c r="FK24" s="63"/>
      <c r="FL24" s="63"/>
      <c r="FM24" s="63"/>
      <c r="FN24" s="63"/>
      <c r="FO24" s="63"/>
      <c r="FP24" s="63"/>
      <c r="FQ24" s="63"/>
      <c r="FR24" s="63"/>
      <c r="FS24" s="63"/>
      <c r="FT24" s="63"/>
      <c r="FU24" s="63"/>
      <c r="FV24" s="63"/>
      <c r="FW24" s="63"/>
      <c r="FX24" s="63"/>
      <c r="FY24" s="63"/>
      <c r="FZ24" s="63"/>
      <c r="GA24" s="63"/>
      <c r="GB24" s="63"/>
      <c r="GC24" s="63"/>
      <c r="GD24" s="63"/>
      <c r="GE24" s="63"/>
      <c r="GF24" s="63"/>
      <c r="GG24" s="63"/>
      <c r="GH24" s="63"/>
      <c r="GI24" s="63"/>
      <c r="GJ24" s="63"/>
      <c r="GK24" s="63"/>
      <c r="GL24" s="62"/>
      <c r="GM24" s="63"/>
      <c r="GN24" s="63"/>
      <c r="GO24" s="63"/>
      <c r="GP24" s="63"/>
      <c r="GQ24" s="63"/>
      <c r="GR24" s="71" t="s">
        <v>45</v>
      </c>
      <c r="GS24" s="63"/>
      <c r="GT24" s="63"/>
      <c r="GU24" s="63"/>
      <c r="GV24" s="63"/>
      <c r="GW24" s="63"/>
      <c r="GX24" s="63"/>
      <c r="GY24" s="63"/>
      <c r="GZ24" s="63"/>
      <c r="HA24" s="63"/>
      <c r="HB24" s="63"/>
      <c r="HC24" s="63"/>
      <c r="HD24" s="63"/>
      <c r="HE24" s="63"/>
      <c r="HF24" s="63"/>
      <c r="HG24" s="63"/>
      <c r="HH24" s="63"/>
      <c r="HI24" s="63"/>
      <c r="HJ24" s="63"/>
      <c r="HK24" s="63"/>
      <c r="HL24" s="63"/>
      <c r="HM24" s="63"/>
      <c r="HN24" s="63"/>
      <c r="HO24" s="63"/>
      <c r="HP24" s="63"/>
      <c r="HQ24" s="62"/>
      <c r="HR24" s="63"/>
      <c r="HS24" s="63"/>
      <c r="HT24" s="63"/>
      <c r="HU24" s="63"/>
      <c r="HV24" s="63"/>
      <c r="HW24" s="63"/>
      <c r="HX24" s="63"/>
      <c r="HY24" s="63"/>
      <c r="HZ24" s="64" t="s">
        <v>42</v>
      </c>
      <c r="IA24" s="64" t="s">
        <v>42</v>
      </c>
      <c r="IB24" s="64" t="s">
        <v>42</v>
      </c>
      <c r="IC24" s="64" t="s">
        <v>42</v>
      </c>
      <c r="ID24" s="64" t="s">
        <v>42</v>
      </c>
      <c r="IE24" s="63"/>
      <c r="IF24" s="63"/>
      <c r="IG24" s="64" t="s">
        <v>42</v>
      </c>
      <c r="IH24" s="64" t="s">
        <v>42</v>
      </c>
      <c r="II24" s="64" t="s">
        <v>42</v>
      </c>
      <c r="IJ24" s="64" t="s">
        <v>42</v>
      </c>
      <c r="IK24" s="64" t="s">
        <v>42</v>
      </c>
      <c r="IL24" s="63"/>
      <c r="IM24" s="63"/>
      <c r="IN24" s="63"/>
      <c r="IO24" s="63"/>
      <c r="IP24" s="63"/>
      <c r="IQ24" s="63"/>
      <c r="IR24" s="63"/>
      <c r="IS24" s="63"/>
      <c r="IT24" s="63"/>
      <c r="IU24" s="63"/>
      <c r="IV24" s="62"/>
      <c r="IW24" s="63"/>
      <c r="IX24" s="63"/>
      <c r="IY24" s="63"/>
      <c r="IZ24" s="63"/>
      <c r="JA24" s="63"/>
      <c r="JB24" s="63"/>
      <c r="JC24" s="63"/>
      <c r="JD24" s="63"/>
      <c r="JE24" s="63"/>
      <c r="JF24" s="63"/>
      <c r="JG24" s="63"/>
      <c r="JH24" s="63"/>
      <c r="JI24" s="63"/>
      <c r="JJ24" s="63"/>
      <c r="JK24" s="63"/>
      <c r="JL24" s="63"/>
      <c r="JM24" s="63"/>
      <c r="JN24" s="63"/>
      <c r="JO24" s="63"/>
      <c r="JP24" s="63"/>
      <c r="JQ24" s="63"/>
      <c r="JR24" s="63"/>
      <c r="JS24" s="65" t="s">
        <v>46</v>
      </c>
      <c r="JT24" s="63"/>
      <c r="JU24" s="63"/>
      <c r="JV24" s="63"/>
      <c r="JW24" s="63"/>
      <c r="JX24" s="63"/>
      <c r="JY24" s="63"/>
      <c r="JZ24" s="63"/>
      <c r="KA24" s="62"/>
      <c r="KB24" s="63"/>
      <c r="KC24" s="63"/>
      <c r="KD24" s="63"/>
      <c r="KE24" s="63"/>
      <c r="KF24" s="63"/>
      <c r="KG24" s="63"/>
      <c r="KH24" s="63"/>
      <c r="KI24" s="63"/>
      <c r="KJ24" s="63"/>
      <c r="KK24" s="63"/>
      <c r="KL24" s="63"/>
      <c r="KM24" s="63"/>
      <c r="KN24" s="63"/>
      <c r="KO24" s="63"/>
      <c r="KP24" s="63"/>
      <c r="KQ24" s="63"/>
      <c r="KR24" s="63"/>
      <c r="KS24" s="63"/>
      <c r="KT24" s="63"/>
      <c r="KU24" s="63"/>
      <c r="KV24" s="63"/>
      <c r="KW24" s="63"/>
      <c r="KX24" s="63"/>
      <c r="KY24" s="63"/>
      <c r="KZ24" s="63"/>
      <c r="LA24" s="63"/>
      <c r="LB24" s="63"/>
      <c r="LC24" s="63"/>
      <c r="LD24" s="63"/>
      <c r="LE24" s="63"/>
      <c r="LF24" s="62"/>
      <c r="LG24" s="63"/>
      <c r="LH24" s="63"/>
      <c r="LI24" s="63"/>
      <c r="LJ24" s="63"/>
      <c r="LK24" s="63"/>
      <c r="LL24" s="63"/>
      <c r="LM24" s="63"/>
      <c r="LN24" s="64" t="s">
        <v>42</v>
      </c>
      <c r="LO24" s="64" t="s">
        <v>42</v>
      </c>
      <c r="LP24" s="64" t="s">
        <v>42</v>
      </c>
      <c r="LQ24" s="64" t="s">
        <v>42</v>
      </c>
      <c r="LR24" s="64" t="s">
        <v>42</v>
      </c>
      <c r="LS24" s="63"/>
      <c r="LT24" s="63"/>
      <c r="LU24" s="63"/>
      <c r="LV24" s="63"/>
      <c r="LW24" s="63"/>
      <c r="LX24" s="63"/>
      <c r="LY24" s="63"/>
      <c r="LZ24" s="63"/>
      <c r="MA24" s="63"/>
      <c r="MB24" s="63"/>
      <c r="MC24" s="63"/>
      <c r="MD24" s="63"/>
      <c r="ME24" s="63"/>
      <c r="MF24" s="63"/>
      <c r="MG24" s="63"/>
      <c r="MH24" s="63"/>
      <c r="MI24" s="63"/>
      <c r="MJ24" s="63"/>
      <c r="MK24" s="62"/>
      <c r="ML24" s="63"/>
      <c r="MM24" s="63"/>
      <c r="MN24" s="63"/>
      <c r="MO24" s="63"/>
      <c r="MP24" s="63"/>
      <c r="MQ24" s="63"/>
      <c r="MR24" s="63"/>
      <c r="MS24" s="63"/>
      <c r="MT24" s="63"/>
      <c r="MU24" s="63"/>
      <c r="MV24" s="63"/>
      <c r="MW24" s="63"/>
      <c r="MX24" s="63"/>
      <c r="MY24" s="63"/>
      <c r="MZ24" s="63"/>
      <c r="NA24" s="63"/>
      <c r="NB24" s="63"/>
      <c r="NC24" s="63"/>
      <c r="ND24" s="63"/>
      <c r="NE24" s="63"/>
      <c r="NF24" s="63"/>
      <c r="NG24" s="63"/>
      <c r="NH24" s="63"/>
      <c r="NI24" s="63"/>
      <c r="NJ24" s="63"/>
      <c r="NK24" s="63"/>
      <c r="NL24" s="64" t="s">
        <v>42</v>
      </c>
      <c r="NM24" s="64" t="s">
        <v>42</v>
      </c>
      <c r="NN24" s="64" t="s">
        <v>42</v>
      </c>
      <c r="NO24" s="64" t="s">
        <v>42</v>
      </c>
    </row>
    <row r="25" customFormat="false" ht="18.75" hidden="false" customHeight="true" outlineLevel="0" collapsed="false">
      <c r="A25" s="56" t="str">
        <f aca="false">IF($B25="","",TEXT(ROW()-9,"00"))</f>
        <v/>
      </c>
      <c r="B25" s="57"/>
      <c r="C25" s="58"/>
      <c r="D25" s="59"/>
      <c r="E25" s="59"/>
      <c r="F25" s="60" t="str">
        <f aca="false">IF($B25="","",SUMPRODUCT(COUNTIF($H25:$NO25,Kuerzel)*Faktor))</f>
        <v/>
      </c>
      <c r="G25" s="61" t="str">
        <f aca="false">IF($B25="","",$D25+$E25-$F25)</f>
        <v/>
      </c>
      <c r="H25" s="62"/>
      <c r="I25" s="63"/>
      <c r="J25" s="63"/>
      <c r="K25" s="63"/>
      <c r="L25" s="63"/>
      <c r="M25" s="63"/>
      <c r="N25" s="63"/>
      <c r="O25" s="63"/>
      <c r="P25" s="63"/>
      <c r="Q25" s="63"/>
      <c r="R25" s="63"/>
      <c r="S25" s="63"/>
      <c r="T25" s="63"/>
      <c r="U25" s="63"/>
      <c r="V25" s="63"/>
      <c r="W25" s="63"/>
      <c r="X25" s="63"/>
      <c r="Y25" s="63"/>
      <c r="Z25" s="63"/>
      <c r="AA25" s="63"/>
      <c r="AB25" s="63"/>
      <c r="AC25" s="63"/>
      <c r="AD25" s="63"/>
      <c r="AE25" s="63"/>
      <c r="AF25" s="63"/>
      <c r="AG25" s="63"/>
      <c r="AH25" s="63"/>
      <c r="AI25" s="63"/>
      <c r="AJ25" s="63"/>
      <c r="AK25" s="63"/>
      <c r="AL25" s="63"/>
      <c r="AM25" s="62"/>
      <c r="AN25" s="63"/>
      <c r="AO25" s="63"/>
      <c r="AP25" s="63"/>
      <c r="AQ25" s="63"/>
      <c r="AR25" s="63"/>
      <c r="AS25" s="63"/>
      <c r="AT25" s="63"/>
      <c r="AU25" s="63"/>
      <c r="AV25" s="63"/>
      <c r="AW25" s="63"/>
      <c r="AX25" s="63"/>
      <c r="AY25" s="63"/>
      <c r="AZ25" s="63"/>
      <c r="BA25" s="63"/>
      <c r="BB25" s="63"/>
      <c r="BC25" s="63"/>
      <c r="BD25" s="63"/>
      <c r="BE25" s="63"/>
      <c r="BF25" s="63"/>
      <c r="BG25" s="63"/>
      <c r="BH25" s="63"/>
      <c r="BI25" s="63"/>
      <c r="BJ25" s="63"/>
      <c r="BK25" s="63"/>
      <c r="BL25" s="63"/>
      <c r="BM25" s="63"/>
      <c r="BN25" s="63"/>
      <c r="BO25" s="63"/>
      <c r="BP25" s="63"/>
      <c r="BQ25" s="63"/>
      <c r="BR25" s="62"/>
      <c r="BS25" s="63"/>
      <c r="BT25" s="63"/>
      <c r="BU25" s="63"/>
      <c r="BV25" s="63"/>
      <c r="BW25" s="63"/>
      <c r="BX25" s="63"/>
      <c r="BY25" s="63"/>
      <c r="BZ25" s="63"/>
      <c r="CA25" s="63"/>
      <c r="CB25" s="63"/>
      <c r="CC25" s="63"/>
      <c r="CD25" s="63"/>
      <c r="CE25" s="63"/>
      <c r="CF25" s="63"/>
      <c r="CG25" s="63"/>
      <c r="CH25" s="63"/>
      <c r="CI25" s="63"/>
      <c r="CJ25" s="63"/>
      <c r="CK25" s="63"/>
      <c r="CL25" s="63"/>
      <c r="CM25" s="63"/>
      <c r="CN25" s="63"/>
      <c r="CO25" s="63"/>
      <c r="CP25" s="63"/>
      <c r="CQ25" s="63"/>
      <c r="CR25" s="63"/>
      <c r="CS25" s="63"/>
      <c r="CT25" s="63"/>
      <c r="CU25" s="63"/>
      <c r="CV25" s="63"/>
      <c r="CW25" s="62"/>
      <c r="CX25" s="63"/>
      <c r="CY25" s="63"/>
      <c r="CZ25" s="63"/>
      <c r="DA25" s="63"/>
      <c r="DB25" s="63"/>
      <c r="DC25" s="63"/>
      <c r="DD25" s="63"/>
      <c r="DE25" s="63"/>
      <c r="DF25" s="63"/>
      <c r="DG25" s="63"/>
      <c r="DH25" s="63"/>
      <c r="DI25" s="63"/>
      <c r="DJ25" s="63"/>
      <c r="DK25" s="63"/>
      <c r="DL25" s="63"/>
      <c r="DM25" s="63"/>
      <c r="DN25" s="63"/>
      <c r="DO25" s="63"/>
      <c r="DP25" s="63"/>
      <c r="DQ25" s="63"/>
      <c r="DR25" s="63"/>
      <c r="DS25" s="63"/>
      <c r="DT25" s="63"/>
      <c r="DU25" s="63"/>
      <c r="DV25" s="63"/>
      <c r="DW25" s="63"/>
      <c r="DX25" s="63"/>
      <c r="DY25" s="63"/>
      <c r="DZ25" s="63"/>
      <c r="EA25" s="63"/>
      <c r="EB25" s="62"/>
      <c r="EC25" s="63"/>
      <c r="ED25" s="63"/>
      <c r="EE25" s="63"/>
      <c r="EF25" s="63"/>
      <c r="EG25" s="63"/>
      <c r="EH25" s="63"/>
      <c r="EI25" s="63"/>
      <c r="EJ25" s="63"/>
      <c r="EK25" s="63"/>
      <c r="EL25" s="63"/>
      <c r="EM25" s="63"/>
      <c r="EN25" s="63"/>
      <c r="EO25" s="63"/>
      <c r="EP25" s="63"/>
      <c r="EQ25" s="63"/>
      <c r="ER25" s="63"/>
      <c r="ES25" s="63"/>
      <c r="ET25" s="63"/>
      <c r="EU25" s="63"/>
      <c r="EV25" s="63"/>
      <c r="EW25" s="63"/>
      <c r="EX25" s="63"/>
      <c r="EY25" s="63"/>
      <c r="EZ25" s="63"/>
      <c r="FA25" s="63"/>
      <c r="FB25" s="63"/>
      <c r="FC25" s="63"/>
      <c r="FD25" s="63"/>
      <c r="FE25" s="63"/>
      <c r="FF25" s="63"/>
      <c r="FG25" s="62"/>
      <c r="FH25" s="63"/>
      <c r="FI25" s="63"/>
      <c r="FJ25" s="63"/>
      <c r="FK25" s="63"/>
      <c r="FL25" s="63"/>
      <c r="FM25" s="63"/>
      <c r="FN25" s="63"/>
      <c r="FO25" s="63"/>
      <c r="FP25" s="63"/>
      <c r="FQ25" s="63"/>
      <c r="FR25" s="63"/>
      <c r="FS25" s="63"/>
      <c r="FT25" s="63"/>
      <c r="FU25" s="63"/>
      <c r="FV25" s="63"/>
      <c r="FW25" s="63"/>
      <c r="FX25" s="63"/>
      <c r="FY25" s="63"/>
      <c r="FZ25" s="63"/>
      <c r="GA25" s="63"/>
      <c r="GB25" s="63"/>
      <c r="GC25" s="63"/>
      <c r="GD25" s="63"/>
      <c r="GE25" s="63"/>
      <c r="GF25" s="63"/>
      <c r="GG25" s="63"/>
      <c r="GH25" s="63"/>
      <c r="GI25" s="63"/>
      <c r="GJ25" s="63"/>
      <c r="GK25" s="63"/>
      <c r="GL25" s="62"/>
      <c r="GM25" s="63"/>
      <c r="GN25" s="63"/>
      <c r="GO25" s="63"/>
      <c r="GP25" s="63"/>
      <c r="GQ25" s="63"/>
      <c r="GR25" s="63"/>
      <c r="GS25" s="63"/>
      <c r="GT25" s="63"/>
      <c r="GU25" s="63"/>
      <c r="GV25" s="63"/>
      <c r="GW25" s="63"/>
      <c r="GX25" s="63"/>
      <c r="GY25" s="63"/>
      <c r="GZ25" s="63"/>
      <c r="HA25" s="63"/>
      <c r="HB25" s="63"/>
      <c r="HC25" s="63"/>
      <c r="HD25" s="63"/>
      <c r="HE25" s="63"/>
      <c r="HF25" s="63"/>
      <c r="HG25" s="63"/>
      <c r="HH25" s="63"/>
      <c r="HI25" s="63"/>
      <c r="HJ25" s="63"/>
      <c r="HK25" s="63"/>
      <c r="HL25" s="63"/>
      <c r="HM25" s="63"/>
      <c r="HN25" s="63"/>
      <c r="HO25" s="63"/>
      <c r="HP25" s="63"/>
      <c r="HQ25" s="62"/>
      <c r="HR25" s="63"/>
      <c r="HS25" s="63"/>
      <c r="HT25" s="63"/>
      <c r="HU25" s="63"/>
      <c r="HV25" s="63"/>
      <c r="HW25" s="63"/>
      <c r="HX25" s="63"/>
      <c r="HY25" s="63"/>
      <c r="HZ25" s="63"/>
      <c r="IA25" s="63"/>
      <c r="IB25" s="63"/>
      <c r="IC25" s="63"/>
      <c r="ID25" s="63"/>
      <c r="IE25" s="63"/>
      <c r="IF25" s="63"/>
      <c r="IG25" s="63"/>
      <c r="IH25" s="63"/>
      <c r="II25" s="63"/>
      <c r="IJ25" s="63"/>
      <c r="IK25" s="63"/>
      <c r="IL25" s="63"/>
      <c r="IM25" s="63"/>
      <c r="IN25" s="63"/>
      <c r="IO25" s="63"/>
      <c r="IP25" s="63"/>
      <c r="IQ25" s="63"/>
      <c r="IR25" s="63"/>
      <c r="IS25" s="63"/>
      <c r="IT25" s="63"/>
      <c r="IU25" s="63"/>
      <c r="IV25" s="62"/>
      <c r="IW25" s="63"/>
      <c r="IX25" s="63"/>
      <c r="IY25" s="63"/>
      <c r="IZ25" s="63"/>
      <c r="JA25" s="63"/>
      <c r="JB25" s="63"/>
      <c r="JC25" s="63"/>
      <c r="JD25" s="63"/>
      <c r="JE25" s="63"/>
      <c r="JF25" s="63"/>
      <c r="JG25" s="63"/>
      <c r="JH25" s="63"/>
      <c r="JI25" s="63"/>
      <c r="JJ25" s="63"/>
      <c r="JK25" s="63"/>
      <c r="JL25" s="63"/>
      <c r="JM25" s="63"/>
      <c r="JN25" s="63"/>
      <c r="JO25" s="63"/>
      <c r="JP25" s="63"/>
      <c r="JQ25" s="63"/>
      <c r="JR25" s="63"/>
      <c r="JS25" s="63"/>
      <c r="JT25" s="63"/>
      <c r="JU25" s="63"/>
      <c r="JV25" s="63"/>
      <c r="JW25" s="63"/>
      <c r="JX25" s="63"/>
      <c r="JY25" s="63"/>
      <c r="JZ25" s="63"/>
      <c r="KA25" s="62"/>
      <c r="KB25" s="63"/>
      <c r="KC25" s="63"/>
      <c r="KD25" s="63"/>
      <c r="KE25" s="63"/>
      <c r="KF25" s="63"/>
      <c r="KG25" s="63"/>
      <c r="KH25" s="63"/>
      <c r="KI25" s="63"/>
      <c r="KJ25" s="63"/>
      <c r="KK25" s="63"/>
      <c r="KL25" s="63"/>
      <c r="KM25" s="63"/>
      <c r="KN25" s="63"/>
      <c r="KO25" s="63"/>
      <c r="KP25" s="63"/>
      <c r="KQ25" s="63"/>
      <c r="KR25" s="63"/>
      <c r="KS25" s="63"/>
      <c r="KT25" s="63"/>
      <c r="KU25" s="63"/>
      <c r="KV25" s="63"/>
      <c r="KW25" s="63"/>
      <c r="KX25" s="63"/>
      <c r="KY25" s="63"/>
      <c r="KZ25" s="63"/>
      <c r="LA25" s="63"/>
      <c r="LB25" s="63"/>
      <c r="LC25" s="63"/>
      <c r="LD25" s="63"/>
      <c r="LE25" s="63"/>
      <c r="LF25" s="62"/>
      <c r="LG25" s="63"/>
      <c r="LH25" s="63"/>
      <c r="LI25" s="63"/>
      <c r="LJ25" s="63"/>
      <c r="LK25" s="63"/>
      <c r="LL25" s="63"/>
      <c r="LM25" s="63"/>
      <c r="LN25" s="63"/>
      <c r="LO25" s="63"/>
      <c r="LP25" s="63"/>
      <c r="LQ25" s="63"/>
      <c r="LR25" s="63"/>
      <c r="LS25" s="63"/>
      <c r="LT25" s="63"/>
      <c r="LU25" s="63"/>
      <c r="LV25" s="63"/>
      <c r="LW25" s="63"/>
      <c r="LX25" s="63"/>
      <c r="LY25" s="63"/>
      <c r="LZ25" s="63"/>
      <c r="MA25" s="63"/>
      <c r="MB25" s="63"/>
      <c r="MC25" s="63"/>
      <c r="MD25" s="63"/>
      <c r="ME25" s="63"/>
      <c r="MF25" s="63"/>
      <c r="MG25" s="63"/>
      <c r="MH25" s="63"/>
      <c r="MI25" s="63"/>
      <c r="MJ25" s="63"/>
      <c r="MK25" s="62"/>
      <c r="ML25" s="63"/>
      <c r="MM25" s="63"/>
      <c r="MN25" s="63"/>
      <c r="MO25" s="63"/>
      <c r="MP25" s="63"/>
      <c r="MQ25" s="63"/>
      <c r="MR25" s="63"/>
      <c r="MS25" s="63"/>
      <c r="MT25" s="63"/>
      <c r="MU25" s="63"/>
      <c r="MV25" s="63"/>
      <c r="MW25" s="63"/>
      <c r="MX25" s="63"/>
      <c r="MY25" s="63"/>
      <c r="MZ25" s="63"/>
      <c r="NA25" s="63"/>
      <c r="NB25" s="63"/>
      <c r="NC25" s="63"/>
      <c r="ND25" s="63"/>
      <c r="NE25" s="63"/>
      <c r="NF25" s="63"/>
      <c r="NG25" s="63"/>
      <c r="NH25" s="63"/>
      <c r="NI25" s="63"/>
      <c r="NJ25" s="63"/>
      <c r="NK25" s="63"/>
      <c r="NL25" s="63"/>
      <c r="NM25" s="63"/>
      <c r="NN25" s="63"/>
      <c r="NO25" s="63"/>
    </row>
    <row r="26" customFormat="false" ht="18.75" hidden="false" customHeight="true" outlineLevel="0" collapsed="false">
      <c r="A26" s="56" t="str">
        <f aca="false">IF($B26="","",TEXT(ROW()-9,"00"))</f>
        <v/>
      </c>
      <c r="B26" s="57"/>
      <c r="C26" s="58"/>
      <c r="D26" s="59"/>
      <c r="E26" s="59"/>
      <c r="F26" s="60" t="str">
        <f aca="false">IF($B26="","",SUMPRODUCT(COUNTIF($H26:$NO26,Kuerzel)*Faktor))</f>
        <v/>
      </c>
      <c r="G26" s="61" t="str">
        <f aca="false">IF($B26="","",$D26+$E26-$F26)</f>
        <v/>
      </c>
      <c r="H26" s="62"/>
      <c r="I26" s="63"/>
      <c r="J26" s="63"/>
      <c r="K26" s="63"/>
      <c r="L26" s="63"/>
      <c r="M26" s="63"/>
      <c r="N26" s="63"/>
      <c r="O26" s="63"/>
      <c r="P26" s="63"/>
      <c r="Q26" s="63"/>
      <c r="R26" s="63"/>
      <c r="S26" s="63"/>
      <c r="T26" s="63"/>
      <c r="U26" s="63"/>
      <c r="V26" s="63"/>
      <c r="W26" s="63"/>
      <c r="X26" s="63"/>
      <c r="Y26" s="63"/>
      <c r="Z26" s="63"/>
      <c r="AA26" s="63"/>
      <c r="AB26" s="63"/>
      <c r="AC26" s="63"/>
      <c r="AD26" s="63"/>
      <c r="AE26" s="63"/>
      <c r="AF26" s="63"/>
      <c r="AG26" s="63"/>
      <c r="AH26" s="63"/>
      <c r="AI26" s="63"/>
      <c r="AJ26" s="63"/>
      <c r="AK26" s="63"/>
      <c r="AL26" s="63"/>
      <c r="AM26" s="62"/>
      <c r="AN26" s="63"/>
      <c r="AO26" s="63"/>
      <c r="AP26" s="63"/>
      <c r="AQ26" s="63"/>
      <c r="AR26" s="63"/>
      <c r="AS26" s="63"/>
      <c r="AT26" s="63"/>
      <c r="AU26" s="63"/>
      <c r="AV26" s="63"/>
      <c r="AW26" s="63"/>
      <c r="AX26" s="63"/>
      <c r="AY26" s="63"/>
      <c r="AZ26" s="63"/>
      <c r="BA26" s="63"/>
      <c r="BB26" s="63"/>
      <c r="BC26" s="63"/>
      <c r="BD26" s="63"/>
      <c r="BE26" s="63"/>
      <c r="BF26" s="63"/>
      <c r="BG26" s="63"/>
      <c r="BH26" s="63"/>
      <c r="BI26" s="63"/>
      <c r="BJ26" s="63"/>
      <c r="BK26" s="63"/>
      <c r="BL26" s="63"/>
      <c r="BM26" s="63"/>
      <c r="BN26" s="63"/>
      <c r="BO26" s="63"/>
      <c r="BP26" s="63"/>
      <c r="BQ26" s="63"/>
      <c r="BR26" s="62"/>
      <c r="BS26" s="63"/>
      <c r="BT26" s="63"/>
      <c r="BU26" s="63"/>
      <c r="BV26" s="63"/>
      <c r="BW26" s="63"/>
      <c r="BX26" s="63"/>
      <c r="BY26" s="63"/>
      <c r="BZ26" s="63"/>
      <c r="CA26" s="63"/>
      <c r="CB26" s="63"/>
      <c r="CC26" s="63"/>
      <c r="CD26" s="63"/>
      <c r="CE26" s="63"/>
      <c r="CF26" s="63"/>
      <c r="CG26" s="63"/>
      <c r="CH26" s="63"/>
      <c r="CI26" s="63"/>
      <c r="CJ26" s="63"/>
      <c r="CK26" s="63"/>
      <c r="CL26" s="63"/>
      <c r="CM26" s="63"/>
      <c r="CN26" s="63"/>
      <c r="CO26" s="63"/>
      <c r="CP26" s="63"/>
      <c r="CQ26" s="63"/>
      <c r="CR26" s="63"/>
      <c r="CS26" s="63"/>
      <c r="CT26" s="63"/>
      <c r="CU26" s="63"/>
      <c r="CV26" s="63"/>
      <c r="CW26" s="62"/>
      <c r="CX26" s="63"/>
      <c r="CY26" s="63"/>
      <c r="CZ26" s="63"/>
      <c r="DA26" s="63"/>
      <c r="DB26" s="63"/>
      <c r="DC26" s="63"/>
      <c r="DD26" s="63"/>
      <c r="DE26" s="63"/>
      <c r="DF26" s="63"/>
      <c r="DG26" s="63"/>
      <c r="DH26" s="63"/>
      <c r="DI26" s="63"/>
      <c r="DJ26" s="63"/>
      <c r="DK26" s="63"/>
      <c r="DL26" s="63"/>
      <c r="DM26" s="63"/>
      <c r="DN26" s="63"/>
      <c r="DO26" s="63"/>
      <c r="DP26" s="63"/>
      <c r="DQ26" s="63"/>
      <c r="DR26" s="63"/>
      <c r="DS26" s="63"/>
      <c r="DT26" s="63"/>
      <c r="DU26" s="63"/>
      <c r="DV26" s="63"/>
      <c r="DW26" s="63"/>
      <c r="DX26" s="63"/>
      <c r="DY26" s="63"/>
      <c r="DZ26" s="63"/>
      <c r="EA26" s="63"/>
      <c r="EB26" s="62"/>
      <c r="EC26" s="63"/>
      <c r="ED26" s="63"/>
      <c r="EE26" s="63"/>
      <c r="EF26" s="63"/>
      <c r="EG26" s="63"/>
      <c r="EH26" s="63"/>
      <c r="EI26" s="63"/>
      <c r="EJ26" s="63"/>
      <c r="EK26" s="63"/>
      <c r="EL26" s="63"/>
      <c r="EM26" s="63"/>
      <c r="EN26" s="63"/>
      <c r="EO26" s="63"/>
      <c r="EP26" s="63"/>
      <c r="EQ26" s="63"/>
      <c r="ER26" s="63"/>
      <c r="ES26" s="63"/>
      <c r="ET26" s="63"/>
      <c r="EU26" s="63"/>
      <c r="EV26" s="63"/>
      <c r="EW26" s="63"/>
      <c r="EX26" s="63"/>
      <c r="EY26" s="63"/>
      <c r="EZ26" s="63"/>
      <c r="FA26" s="63"/>
      <c r="FB26" s="63"/>
      <c r="FC26" s="63"/>
      <c r="FD26" s="63"/>
      <c r="FE26" s="63"/>
      <c r="FF26" s="63"/>
      <c r="FG26" s="62"/>
      <c r="FH26" s="63"/>
      <c r="FI26" s="63"/>
      <c r="FJ26" s="63"/>
      <c r="FK26" s="63"/>
      <c r="FL26" s="63"/>
      <c r="FM26" s="63"/>
      <c r="FN26" s="63"/>
      <c r="FO26" s="63"/>
      <c r="FP26" s="63"/>
      <c r="FQ26" s="63"/>
      <c r="FR26" s="63"/>
      <c r="FS26" s="63"/>
      <c r="FT26" s="63"/>
      <c r="FU26" s="63"/>
      <c r="FV26" s="63"/>
      <c r="FW26" s="63"/>
      <c r="FX26" s="63"/>
      <c r="FY26" s="63"/>
      <c r="FZ26" s="63"/>
      <c r="GA26" s="63"/>
      <c r="GB26" s="63"/>
      <c r="GC26" s="63"/>
      <c r="GD26" s="63"/>
      <c r="GE26" s="63"/>
      <c r="GF26" s="63"/>
      <c r="GG26" s="63"/>
      <c r="GH26" s="63"/>
      <c r="GI26" s="63"/>
      <c r="GJ26" s="63"/>
      <c r="GK26" s="63"/>
      <c r="GL26" s="62"/>
      <c r="GM26" s="63"/>
      <c r="GN26" s="63"/>
      <c r="GO26" s="63"/>
      <c r="GP26" s="63"/>
      <c r="GQ26" s="63"/>
      <c r="GR26" s="63"/>
      <c r="GS26" s="63"/>
      <c r="GT26" s="63"/>
      <c r="GU26" s="63"/>
      <c r="GV26" s="63"/>
      <c r="GW26" s="63"/>
      <c r="GX26" s="63"/>
      <c r="GY26" s="63"/>
      <c r="GZ26" s="63"/>
      <c r="HA26" s="63"/>
      <c r="HB26" s="63"/>
      <c r="HC26" s="63"/>
      <c r="HD26" s="63"/>
      <c r="HE26" s="63"/>
      <c r="HF26" s="63"/>
      <c r="HG26" s="63"/>
      <c r="HH26" s="63"/>
      <c r="HI26" s="63"/>
      <c r="HJ26" s="63"/>
      <c r="HK26" s="63"/>
      <c r="HL26" s="63"/>
      <c r="HM26" s="63"/>
      <c r="HN26" s="63"/>
      <c r="HO26" s="63"/>
      <c r="HP26" s="63"/>
      <c r="HQ26" s="62"/>
      <c r="HR26" s="63"/>
      <c r="HS26" s="63"/>
      <c r="HT26" s="63"/>
      <c r="HU26" s="63"/>
      <c r="HV26" s="63"/>
      <c r="HW26" s="63"/>
      <c r="HX26" s="63"/>
      <c r="HY26" s="63"/>
      <c r="HZ26" s="63"/>
      <c r="IA26" s="63"/>
      <c r="IB26" s="63"/>
      <c r="IC26" s="63"/>
      <c r="ID26" s="63"/>
      <c r="IE26" s="63"/>
      <c r="IF26" s="63"/>
      <c r="IG26" s="63"/>
      <c r="IH26" s="63"/>
      <c r="II26" s="63"/>
      <c r="IJ26" s="63"/>
      <c r="IK26" s="63"/>
      <c r="IL26" s="63"/>
      <c r="IM26" s="63"/>
      <c r="IN26" s="63"/>
      <c r="IO26" s="63"/>
      <c r="IP26" s="63"/>
      <c r="IQ26" s="63"/>
      <c r="IR26" s="63"/>
      <c r="IS26" s="63"/>
      <c r="IT26" s="63"/>
      <c r="IU26" s="63"/>
      <c r="IV26" s="62"/>
      <c r="IW26" s="63"/>
      <c r="IX26" s="63"/>
      <c r="IY26" s="63"/>
      <c r="IZ26" s="63"/>
      <c r="JA26" s="63"/>
      <c r="JB26" s="63"/>
      <c r="JC26" s="63"/>
      <c r="JD26" s="63"/>
      <c r="JE26" s="63"/>
      <c r="JF26" s="63"/>
      <c r="JG26" s="63"/>
      <c r="JH26" s="63"/>
      <c r="JI26" s="63"/>
      <c r="JJ26" s="63"/>
      <c r="JK26" s="63"/>
      <c r="JL26" s="63"/>
      <c r="JM26" s="63"/>
      <c r="JN26" s="63"/>
      <c r="JO26" s="63"/>
      <c r="JP26" s="63"/>
      <c r="JQ26" s="63"/>
      <c r="JR26" s="63"/>
      <c r="JS26" s="63"/>
      <c r="JT26" s="63"/>
      <c r="JU26" s="63"/>
      <c r="JV26" s="63"/>
      <c r="JW26" s="63"/>
      <c r="JX26" s="63"/>
      <c r="JY26" s="63"/>
      <c r="JZ26" s="63"/>
      <c r="KA26" s="62"/>
      <c r="KB26" s="63"/>
      <c r="KC26" s="63"/>
      <c r="KD26" s="63"/>
      <c r="KE26" s="63"/>
      <c r="KF26" s="63"/>
      <c r="KG26" s="63"/>
      <c r="KH26" s="63"/>
      <c r="KI26" s="63"/>
      <c r="KJ26" s="63"/>
      <c r="KK26" s="63"/>
      <c r="KL26" s="63"/>
      <c r="KM26" s="63"/>
      <c r="KN26" s="63"/>
      <c r="KO26" s="63"/>
      <c r="KP26" s="63"/>
      <c r="KQ26" s="63"/>
      <c r="KR26" s="63"/>
      <c r="KS26" s="63"/>
      <c r="KT26" s="63"/>
      <c r="KU26" s="63"/>
      <c r="KV26" s="63"/>
      <c r="KW26" s="63"/>
      <c r="KX26" s="63"/>
      <c r="KY26" s="63"/>
      <c r="KZ26" s="63"/>
      <c r="LA26" s="63"/>
      <c r="LB26" s="63"/>
      <c r="LC26" s="63"/>
      <c r="LD26" s="63"/>
      <c r="LE26" s="63"/>
      <c r="LF26" s="62"/>
      <c r="LG26" s="63"/>
      <c r="LH26" s="63"/>
      <c r="LI26" s="63"/>
      <c r="LJ26" s="63"/>
      <c r="LK26" s="63"/>
      <c r="LL26" s="63"/>
      <c r="LM26" s="63"/>
      <c r="LN26" s="63"/>
      <c r="LO26" s="63"/>
      <c r="LP26" s="63"/>
      <c r="LQ26" s="63"/>
      <c r="LR26" s="63"/>
      <c r="LS26" s="63"/>
      <c r="LT26" s="63"/>
      <c r="LU26" s="63"/>
      <c r="LV26" s="63"/>
      <c r="LW26" s="63"/>
      <c r="LX26" s="63"/>
      <c r="LY26" s="63"/>
      <c r="LZ26" s="63"/>
      <c r="MA26" s="63"/>
      <c r="MB26" s="63"/>
      <c r="MC26" s="63"/>
      <c r="MD26" s="63"/>
      <c r="ME26" s="63"/>
      <c r="MF26" s="63"/>
      <c r="MG26" s="63"/>
      <c r="MH26" s="63"/>
      <c r="MI26" s="63"/>
      <c r="MJ26" s="63"/>
      <c r="MK26" s="62"/>
      <c r="ML26" s="63"/>
      <c r="MM26" s="63"/>
      <c r="MN26" s="63"/>
      <c r="MO26" s="63"/>
      <c r="MP26" s="63"/>
      <c r="MQ26" s="63"/>
      <c r="MR26" s="63"/>
      <c r="MS26" s="63"/>
      <c r="MT26" s="63"/>
      <c r="MU26" s="63"/>
      <c r="MV26" s="63"/>
      <c r="MW26" s="63"/>
      <c r="MX26" s="63"/>
      <c r="MY26" s="63"/>
      <c r="MZ26" s="63"/>
      <c r="NA26" s="63"/>
      <c r="NB26" s="63"/>
      <c r="NC26" s="63"/>
      <c r="ND26" s="63"/>
      <c r="NE26" s="63"/>
      <c r="NF26" s="63"/>
      <c r="NG26" s="63"/>
      <c r="NH26" s="63"/>
      <c r="NI26" s="63"/>
      <c r="NJ26" s="63"/>
      <c r="NK26" s="63"/>
      <c r="NL26" s="63"/>
      <c r="NM26" s="63"/>
      <c r="NN26" s="63"/>
      <c r="NO26" s="63"/>
    </row>
    <row r="27" customFormat="false" ht="18.75" hidden="false" customHeight="true" outlineLevel="0" collapsed="false">
      <c r="A27" s="56" t="str">
        <f aca="false">IF($B27="","",TEXT(ROW()-9,"00"))</f>
        <v/>
      </c>
      <c r="B27" s="57"/>
      <c r="C27" s="58"/>
      <c r="D27" s="59"/>
      <c r="E27" s="59"/>
      <c r="F27" s="60" t="str">
        <f aca="false">IF($B27="","",SUMPRODUCT(COUNTIF($H27:$NO27,Kuerzel)*Faktor))</f>
        <v/>
      </c>
      <c r="G27" s="61" t="str">
        <f aca="false">IF($B27="","",$D27+$E27-$F27)</f>
        <v/>
      </c>
      <c r="H27" s="62"/>
      <c r="I27" s="63"/>
      <c r="J27" s="63"/>
      <c r="K27" s="63"/>
      <c r="L27" s="63"/>
      <c r="M27" s="63"/>
      <c r="N27" s="63"/>
      <c r="O27" s="63"/>
      <c r="P27" s="63"/>
      <c r="Q27" s="63"/>
      <c r="R27" s="63"/>
      <c r="S27" s="63"/>
      <c r="T27" s="63"/>
      <c r="U27" s="63"/>
      <c r="V27" s="63"/>
      <c r="W27" s="63"/>
      <c r="X27" s="63"/>
      <c r="Y27" s="63"/>
      <c r="Z27" s="63"/>
      <c r="AA27" s="63"/>
      <c r="AB27" s="63"/>
      <c r="AC27" s="63"/>
      <c r="AD27" s="63"/>
      <c r="AE27" s="63"/>
      <c r="AF27" s="63"/>
      <c r="AG27" s="63"/>
      <c r="AH27" s="63"/>
      <c r="AI27" s="63"/>
      <c r="AJ27" s="63"/>
      <c r="AK27" s="63"/>
      <c r="AL27" s="63"/>
      <c r="AM27" s="62"/>
      <c r="AN27" s="63"/>
      <c r="AO27" s="63"/>
      <c r="AP27" s="63"/>
      <c r="AQ27" s="63"/>
      <c r="AR27" s="63"/>
      <c r="AS27" s="63"/>
      <c r="AT27" s="63"/>
      <c r="AU27" s="63"/>
      <c r="AV27" s="63"/>
      <c r="AW27" s="63"/>
      <c r="AX27" s="63"/>
      <c r="AY27" s="63"/>
      <c r="AZ27" s="63"/>
      <c r="BA27" s="63"/>
      <c r="BB27" s="63"/>
      <c r="BC27" s="63"/>
      <c r="BD27" s="63"/>
      <c r="BE27" s="63"/>
      <c r="BF27" s="63"/>
      <c r="BG27" s="63"/>
      <c r="BH27" s="63"/>
      <c r="BI27" s="63"/>
      <c r="BJ27" s="63"/>
      <c r="BK27" s="63"/>
      <c r="BL27" s="63"/>
      <c r="BM27" s="63"/>
      <c r="BN27" s="63"/>
      <c r="BO27" s="63"/>
      <c r="BP27" s="63"/>
      <c r="BQ27" s="63"/>
      <c r="BR27" s="62"/>
      <c r="BS27" s="63"/>
      <c r="BT27" s="63"/>
      <c r="BU27" s="63"/>
      <c r="BV27" s="63"/>
      <c r="BW27" s="63"/>
      <c r="BX27" s="63"/>
      <c r="BY27" s="63"/>
      <c r="BZ27" s="63"/>
      <c r="CA27" s="63"/>
      <c r="CB27" s="63"/>
      <c r="CC27" s="63"/>
      <c r="CD27" s="63"/>
      <c r="CE27" s="63"/>
      <c r="CF27" s="63"/>
      <c r="CG27" s="63"/>
      <c r="CH27" s="63"/>
      <c r="CI27" s="63"/>
      <c r="CJ27" s="63"/>
      <c r="CK27" s="63"/>
      <c r="CL27" s="63"/>
      <c r="CM27" s="63"/>
      <c r="CN27" s="63"/>
      <c r="CO27" s="63"/>
      <c r="CP27" s="63"/>
      <c r="CQ27" s="63"/>
      <c r="CR27" s="63"/>
      <c r="CS27" s="63"/>
      <c r="CT27" s="63"/>
      <c r="CU27" s="63"/>
      <c r="CV27" s="63"/>
      <c r="CW27" s="62"/>
      <c r="CX27" s="63"/>
      <c r="CY27" s="63"/>
      <c r="CZ27" s="63"/>
      <c r="DA27" s="63"/>
      <c r="DB27" s="63"/>
      <c r="DC27" s="63"/>
      <c r="DD27" s="63"/>
      <c r="DE27" s="63"/>
      <c r="DF27" s="63"/>
      <c r="DG27" s="63"/>
      <c r="DH27" s="63"/>
      <c r="DI27" s="63"/>
      <c r="DJ27" s="63"/>
      <c r="DK27" s="63"/>
      <c r="DL27" s="63"/>
      <c r="DM27" s="63"/>
      <c r="DN27" s="63"/>
      <c r="DO27" s="63"/>
      <c r="DP27" s="63"/>
      <c r="DQ27" s="63"/>
      <c r="DR27" s="63"/>
      <c r="DS27" s="63"/>
      <c r="DT27" s="63"/>
      <c r="DU27" s="63"/>
      <c r="DV27" s="63"/>
      <c r="DW27" s="63"/>
      <c r="DX27" s="63"/>
      <c r="DY27" s="63"/>
      <c r="DZ27" s="63"/>
      <c r="EA27" s="63"/>
      <c r="EB27" s="62"/>
      <c r="EC27" s="63"/>
      <c r="ED27" s="63"/>
      <c r="EE27" s="63"/>
      <c r="EF27" s="63"/>
      <c r="EG27" s="63"/>
      <c r="EH27" s="63"/>
      <c r="EI27" s="63"/>
      <c r="EJ27" s="63"/>
      <c r="EK27" s="63"/>
      <c r="EL27" s="63"/>
      <c r="EM27" s="63"/>
      <c r="EN27" s="63"/>
      <c r="EO27" s="63"/>
      <c r="EP27" s="63"/>
      <c r="EQ27" s="63"/>
      <c r="ER27" s="63"/>
      <c r="ES27" s="63"/>
      <c r="ET27" s="63"/>
      <c r="EU27" s="63"/>
      <c r="EV27" s="63"/>
      <c r="EW27" s="63"/>
      <c r="EX27" s="63"/>
      <c r="EY27" s="63"/>
      <c r="EZ27" s="63"/>
      <c r="FA27" s="63"/>
      <c r="FB27" s="63"/>
      <c r="FC27" s="63"/>
      <c r="FD27" s="63"/>
      <c r="FE27" s="63"/>
      <c r="FF27" s="63"/>
      <c r="FG27" s="62"/>
      <c r="FH27" s="63"/>
      <c r="FI27" s="63"/>
      <c r="FJ27" s="63"/>
      <c r="FK27" s="63"/>
      <c r="FL27" s="63"/>
      <c r="FM27" s="63"/>
      <c r="FN27" s="63"/>
      <c r="FO27" s="63"/>
      <c r="FP27" s="63"/>
      <c r="FQ27" s="63"/>
      <c r="FR27" s="63"/>
      <c r="FS27" s="63"/>
      <c r="FT27" s="63"/>
      <c r="FU27" s="63"/>
      <c r="FV27" s="63"/>
      <c r="FW27" s="63"/>
      <c r="FX27" s="63"/>
      <c r="FY27" s="63"/>
      <c r="FZ27" s="63"/>
      <c r="GA27" s="63"/>
      <c r="GB27" s="63"/>
      <c r="GC27" s="63"/>
      <c r="GD27" s="63"/>
      <c r="GE27" s="63"/>
      <c r="GF27" s="63"/>
      <c r="GG27" s="63"/>
      <c r="GH27" s="63"/>
      <c r="GI27" s="63"/>
      <c r="GJ27" s="63"/>
      <c r="GK27" s="63"/>
      <c r="GL27" s="62"/>
      <c r="GM27" s="63"/>
      <c r="GN27" s="63"/>
      <c r="GO27" s="63"/>
      <c r="GP27" s="63"/>
      <c r="GQ27" s="63"/>
      <c r="GR27" s="63"/>
      <c r="GS27" s="63"/>
      <c r="GT27" s="63"/>
      <c r="GU27" s="63"/>
      <c r="GV27" s="63"/>
      <c r="GW27" s="63"/>
      <c r="GX27" s="63"/>
      <c r="GY27" s="63"/>
      <c r="GZ27" s="63"/>
      <c r="HA27" s="63"/>
      <c r="HB27" s="63"/>
      <c r="HC27" s="63"/>
      <c r="HD27" s="63"/>
      <c r="HE27" s="63"/>
      <c r="HF27" s="63"/>
      <c r="HG27" s="63"/>
      <c r="HH27" s="63"/>
      <c r="HI27" s="63"/>
      <c r="HJ27" s="63"/>
      <c r="HK27" s="63"/>
      <c r="HL27" s="63"/>
      <c r="HM27" s="63"/>
      <c r="HN27" s="63"/>
      <c r="HO27" s="63"/>
      <c r="HP27" s="63"/>
      <c r="HQ27" s="62"/>
      <c r="HR27" s="63"/>
      <c r="HS27" s="63"/>
      <c r="HT27" s="63"/>
      <c r="HU27" s="63"/>
      <c r="HV27" s="63"/>
      <c r="HW27" s="63"/>
      <c r="HX27" s="63"/>
      <c r="HY27" s="63"/>
      <c r="HZ27" s="63"/>
      <c r="IA27" s="63"/>
      <c r="IB27" s="63"/>
      <c r="IC27" s="63"/>
      <c r="ID27" s="63"/>
      <c r="IE27" s="63"/>
      <c r="IF27" s="63"/>
      <c r="IG27" s="63"/>
      <c r="IH27" s="63"/>
      <c r="II27" s="63"/>
      <c r="IJ27" s="63"/>
      <c r="IK27" s="63"/>
      <c r="IL27" s="63"/>
      <c r="IM27" s="63"/>
      <c r="IN27" s="63"/>
      <c r="IO27" s="63"/>
      <c r="IP27" s="63"/>
      <c r="IQ27" s="63"/>
      <c r="IR27" s="63"/>
      <c r="IS27" s="63"/>
      <c r="IT27" s="63"/>
      <c r="IU27" s="63"/>
      <c r="IV27" s="62"/>
      <c r="IW27" s="63"/>
      <c r="IX27" s="63"/>
      <c r="IY27" s="63"/>
      <c r="IZ27" s="63"/>
      <c r="JA27" s="63"/>
      <c r="JB27" s="63"/>
      <c r="JC27" s="63"/>
      <c r="JD27" s="63"/>
      <c r="JE27" s="63"/>
      <c r="JF27" s="63"/>
      <c r="JG27" s="63"/>
      <c r="JH27" s="63"/>
      <c r="JI27" s="63"/>
      <c r="JJ27" s="63"/>
      <c r="JK27" s="63"/>
      <c r="JL27" s="63"/>
      <c r="JM27" s="63"/>
      <c r="JN27" s="63"/>
      <c r="JO27" s="63"/>
      <c r="JP27" s="63"/>
      <c r="JQ27" s="63"/>
      <c r="JR27" s="63"/>
      <c r="JS27" s="63"/>
      <c r="JT27" s="63"/>
      <c r="JU27" s="63"/>
      <c r="JV27" s="63"/>
      <c r="JW27" s="63"/>
      <c r="JX27" s="63"/>
      <c r="JY27" s="63"/>
      <c r="JZ27" s="63"/>
      <c r="KA27" s="62"/>
      <c r="KB27" s="63"/>
      <c r="KC27" s="63"/>
      <c r="KD27" s="63"/>
      <c r="KE27" s="63"/>
      <c r="KF27" s="63"/>
      <c r="KG27" s="63"/>
      <c r="KH27" s="63"/>
      <c r="KI27" s="63"/>
      <c r="KJ27" s="63"/>
      <c r="KK27" s="63"/>
      <c r="KL27" s="63"/>
      <c r="KM27" s="63"/>
      <c r="KN27" s="63"/>
      <c r="KO27" s="63"/>
      <c r="KP27" s="63"/>
      <c r="KQ27" s="63"/>
      <c r="KR27" s="63"/>
      <c r="KS27" s="63"/>
      <c r="KT27" s="63"/>
      <c r="KU27" s="63"/>
      <c r="KV27" s="63"/>
      <c r="KW27" s="63"/>
      <c r="KX27" s="63"/>
      <c r="KY27" s="63"/>
      <c r="KZ27" s="63"/>
      <c r="LA27" s="63"/>
      <c r="LB27" s="63"/>
      <c r="LC27" s="63"/>
      <c r="LD27" s="63"/>
      <c r="LE27" s="63"/>
      <c r="LF27" s="62"/>
      <c r="LG27" s="63"/>
      <c r="LH27" s="63"/>
      <c r="LI27" s="63"/>
      <c r="LJ27" s="63"/>
      <c r="LK27" s="63"/>
      <c r="LL27" s="63"/>
      <c r="LM27" s="63"/>
      <c r="LN27" s="63"/>
      <c r="LO27" s="63"/>
      <c r="LP27" s="63"/>
      <c r="LQ27" s="63"/>
      <c r="LR27" s="63"/>
      <c r="LS27" s="63"/>
      <c r="LT27" s="63"/>
      <c r="LU27" s="63"/>
      <c r="LV27" s="63"/>
      <c r="LW27" s="63"/>
      <c r="LX27" s="63"/>
      <c r="LY27" s="63"/>
      <c r="LZ27" s="63"/>
      <c r="MA27" s="63"/>
      <c r="MB27" s="63"/>
      <c r="MC27" s="63"/>
      <c r="MD27" s="63"/>
      <c r="ME27" s="63"/>
      <c r="MF27" s="63"/>
      <c r="MG27" s="63"/>
      <c r="MH27" s="63"/>
      <c r="MI27" s="63"/>
      <c r="MJ27" s="63"/>
      <c r="MK27" s="62"/>
      <c r="ML27" s="63"/>
      <c r="MM27" s="63"/>
      <c r="MN27" s="63"/>
      <c r="MO27" s="63"/>
      <c r="MP27" s="63"/>
      <c r="MQ27" s="63"/>
      <c r="MR27" s="63"/>
      <c r="MS27" s="63"/>
      <c r="MT27" s="63"/>
      <c r="MU27" s="63"/>
      <c r="MV27" s="63"/>
      <c r="MW27" s="63"/>
      <c r="MX27" s="63"/>
      <c r="MY27" s="63"/>
      <c r="MZ27" s="63"/>
      <c r="NA27" s="63"/>
      <c r="NB27" s="63"/>
      <c r="NC27" s="63"/>
      <c r="ND27" s="63"/>
      <c r="NE27" s="63"/>
      <c r="NF27" s="63"/>
      <c r="NG27" s="63"/>
      <c r="NH27" s="63"/>
      <c r="NI27" s="63"/>
      <c r="NJ27" s="63"/>
      <c r="NK27" s="63"/>
      <c r="NL27" s="63"/>
      <c r="NM27" s="63"/>
      <c r="NN27" s="63"/>
      <c r="NO27" s="63"/>
    </row>
    <row r="28" customFormat="false" ht="18.75" hidden="false" customHeight="true" outlineLevel="0" collapsed="false">
      <c r="A28" s="56" t="str">
        <f aca="false">IF($B28="","",TEXT(ROW()-9,"00"))</f>
        <v/>
      </c>
      <c r="B28" s="57"/>
      <c r="C28" s="58"/>
      <c r="D28" s="59"/>
      <c r="E28" s="59"/>
      <c r="F28" s="60" t="str">
        <f aca="false">IF($B28="","",SUMPRODUCT(COUNTIF($H28:$NO28,Kuerzel)*Faktor))</f>
        <v/>
      </c>
      <c r="G28" s="61" t="str">
        <f aca="false">IF($B28="","",$D28+$E28-$F28)</f>
        <v/>
      </c>
      <c r="H28" s="62"/>
      <c r="I28" s="63"/>
      <c r="J28" s="63"/>
      <c r="K28" s="63"/>
      <c r="L28" s="63"/>
      <c r="M28" s="63"/>
      <c r="N28" s="63"/>
      <c r="O28" s="63"/>
      <c r="P28" s="63"/>
      <c r="Q28" s="63"/>
      <c r="R28" s="63"/>
      <c r="S28" s="63"/>
      <c r="T28" s="63"/>
      <c r="U28" s="63"/>
      <c r="V28" s="63"/>
      <c r="W28" s="63"/>
      <c r="X28" s="63"/>
      <c r="Y28" s="63"/>
      <c r="Z28" s="63"/>
      <c r="AA28" s="63"/>
      <c r="AB28" s="63"/>
      <c r="AC28" s="63"/>
      <c r="AD28" s="63"/>
      <c r="AE28" s="63"/>
      <c r="AF28" s="63"/>
      <c r="AG28" s="63"/>
      <c r="AH28" s="63"/>
      <c r="AI28" s="63"/>
      <c r="AJ28" s="63"/>
      <c r="AK28" s="63"/>
      <c r="AL28" s="63"/>
      <c r="AM28" s="62"/>
      <c r="AN28" s="63"/>
      <c r="AO28" s="63"/>
      <c r="AP28" s="63"/>
      <c r="AQ28" s="63"/>
      <c r="AR28" s="63"/>
      <c r="AS28" s="63"/>
      <c r="AT28" s="63"/>
      <c r="AU28" s="63"/>
      <c r="AV28" s="63"/>
      <c r="AW28" s="63"/>
      <c r="AX28" s="63"/>
      <c r="AY28" s="63"/>
      <c r="AZ28" s="63"/>
      <c r="BA28" s="63"/>
      <c r="BB28" s="63"/>
      <c r="BC28" s="63"/>
      <c r="BD28" s="63"/>
      <c r="BE28" s="63"/>
      <c r="BF28" s="63"/>
      <c r="BG28" s="63"/>
      <c r="BH28" s="63"/>
      <c r="BI28" s="63"/>
      <c r="BJ28" s="63"/>
      <c r="BK28" s="63"/>
      <c r="BL28" s="63"/>
      <c r="BM28" s="63"/>
      <c r="BN28" s="63"/>
      <c r="BO28" s="63"/>
      <c r="BP28" s="63"/>
      <c r="BQ28" s="63"/>
      <c r="BR28" s="62"/>
      <c r="BS28" s="63"/>
      <c r="BT28" s="63"/>
      <c r="BU28" s="63"/>
      <c r="BV28" s="63"/>
      <c r="BW28" s="63"/>
      <c r="BX28" s="63"/>
      <c r="BY28" s="63"/>
      <c r="BZ28" s="63"/>
      <c r="CA28" s="63"/>
      <c r="CB28" s="63"/>
      <c r="CC28" s="63"/>
      <c r="CD28" s="63"/>
      <c r="CE28" s="63"/>
      <c r="CF28" s="63"/>
      <c r="CG28" s="63"/>
      <c r="CH28" s="63"/>
      <c r="CI28" s="63"/>
      <c r="CJ28" s="63"/>
      <c r="CK28" s="63"/>
      <c r="CL28" s="63"/>
      <c r="CM28" s="63"/>
      <c r="CN28" s="63"/>
      <c r="CO28" s="63"/>
      <c r="CP28" s="63"/>
      <c r="CQ28" s="63"/>
      <c r="CR28" s="63"/>
      <c r="CS28" s="63"/>
      <c r="CT28" s="63"/>
      <c r="CU28" s="63"/>
      <c r="CV28" s="63"/>
      <c r="CW28" s="62"/>
      <c r="CX28" s="63"/>
      <c r="CY28" s="63"/>
      <c r="CZ28" s="63"/>
      <c r="DA28" s="63"/>
      <c r="DB28" s="63"/>
      <c r="DC28" s="63"/>
      <c r="DD28" s="63"/>
      <c r="DE28" s="63"/>
      <c r="DF28" s="63"/>
      <c r="DG28" s="63"/>
      <c r="DH28" s="63"/>
      <c r="DI28" s="63"/>
      <c r="DJ28" s="63"/>
      <c r="DK28" s="63"/>
      <c r="DL28" s="63"/>
      <c r="DM28" s="63"/>
      <c r="DN28" s="63"/>
      <c r="DO28" s="63"/>
      <c r="DP28" s="63"/>
      <c r="DQ28" s="63"/>
      <c r="DR28" s="63"/>
      <c r="DS28" s="63"/>
      <c r="DT28" s="63"/>
      <c r="DU28" s="63"/>
      <c r="DV28" s="63"/>
      <c r="DW28" s="63"/>
      <c r="DX28" s="63"/>
      <c r="DY28" s="63"/>
      <c r="DZ28" s="63"/>
      <c r="EA28" s="63"/>
      <c r="EB28" s="62"/>
      <c r="EC28" s="63"/>
      <c r="ED28" s="63"/>
      <c r="EE28" s="63"/>
      <c r="EF28" s="63"/>
      <c r="EG28" s="63"/>
      <c r="EH28" s="63"/>
      <c r="EI28" s="63"/>
      <c r="EJ28" s="63"/>
      <c r="EK28" s="63"/>
      <c r="EL28" s="63"/>
      <c r="EM28" s="63"/>
      <c r="EN28" s="63"/>
      <c r="EO28" s="63"/>
      <c r="EP28" s="63"/>
      <c r="EQ28" s="63"/>
      <c r="ER28" s="63"/>
      <c r="ES28" s="63"/>
      <c r="ET28" s="63"/>
      <c r="EU28" s="63"/>
      <c r="EV28" s="63"/>
      <c r="EW28" s="63"/>
      <c r="EX28" s="63"/>
      <c r="EY28" s="63"/>
      <c r="EZ28" s="63"/>
      <c r="FA28" s="63"/>
      <c r="FB28" s="63"/>
      <c r="FC28" s="63"/>
      <c r="FD28" s="63"/>
      <c r="FE28" s="63"/>
      <c r="FF28" s="63"/>
      <c r="FG28" s="62"/>
      <c r="FH28" s="63"/>
      <c r="FI28" s="63"/>
      <c r="FJ28" s="63"/>
      <c r="FK28" s="63"/>
      <c r="FL28" s="63"/>
      <c r="FM28" s="63"/>
      <c r="FN28" s="63"/>
      <c r="FO28" s="63"/>
      <c r="FP28" s="63"/>
      <c r="FQ28" s="63"/>
      <c r="FR28" s="63"/>
      <c r="FS28" s="63"/>
      <c r="FT28" s="63"/>
      <c r="FU28" s="63"/>
      <c r="FV28" s="63"/>
      <c r="FW28" s="63"/>
      <c r="FX28" s="63"/>
      <c r="FY28" s="63"/>
      <c r="FZ28" s="63"/>
      <c r="GA28" s="63"/>
      <c r="GB28" s="63"/>
      <c r="GC28" s="63"/>
      <c r="GD28" s="63"/>
      <c r="GE28" s="63"/>
      <c r="GF28" s="63"/>
      <c r="GG28" s="63"/>
      <c r="GH28" s="63"/>
      <c r="GI28" s="63"/>
      <c r="GJ28" s="63"/>
      <c r="GK28" s="63"/>
      <c r="GL28" s="62"/>
      <c r="GM28" s="63"/>
      <c r="GN28" s="63"/>
      <c r="GO28" s="63"/>
      <c r="GP28" s="63"/>
      <c r="GQ28" s="63"/>
      <c r="GR28" s="63"/>
      <c r="GS28" s="63"/>
      <c r="GT28" s="63"/>
      <c r="GU28" s="63"/>
      <c r="GV28" s="63"/>
      <c r="GW28" s="63"/>
      <c r="GX28" s="63"/>
      <c r="GY28" s="63"/>
      <c r="GZ28" s="63"/>
      <c r="HA28" s="63"/>
      <c r="HB28" s="63"/>
      <c r="HC28" s="63"/>
      <c r="HD28" s="63"/>
      <c r="HE28" s="63"/>
      <c r="HF28" s="63"/>
      <c r="HG28" s="63"/>
      <c r="HH28" s="63"/>
      <c r="HI28" s="63"/>
      <c r="HJ28" s="63"/>
      <c r="HK28" s="63"/>
      <c r="HL28" s="63"/>
      <c r="HM28" s="63"/>
      <c r="HN28" s="63"/>
      <c r="HO28" s="63"/>
      <c r="HP28" s="63"/>
      <c r="HQ28" s="62"/>
      <c r="HR28" s="63"/>
      <c r="HS28" s="63"/>
      <c r="HT28" s="63"/>
      <c r="HU28" s="63"/>
      <c r="HV28" s="63"/>
      <c r="HW28" s="63"/>
      <c r="HX28" s="63"/>
      <c r="HY28" s="63"/>
      <c r="HZ28" s="63"/>
      <c r="IA28" s="63"/>
      <c r="IB28" s="63"/>
      <c r="IC28" s="63"/>
      <c r="ID28" s="63"/>
      <c r="IE28" s="63"/>
      <c r="IF28" s="63"/>
      <c r="IG28" s="63"/>
      <c r="IH28" s="63"/>
      <c r="II28" s="63"/>
      <c r="IJ28" s="63"/>
      <c r="IK28" s="63"/>
      <c r="IL28" s="63"/>
      <c r="IM28" s="63"/>
      <c r="IN28" s="63"/>
      <c r="IO28" s="63"/>
      <c r="IP28" s="63"/>
      <c r="IQ28" s="63"/>
      <c r="IR28" s="63"/>
      <c r="IS28" s="63"/>
      <c r="IT28" s="63"/>
      <c r="IU28" s="63"/>
      <c r="IV28" s="62"/>
      <c r="IW28" s="63"/>
      <c r="IX28" s="63"/>
      <c r="IY28" s="63"/>
      <c r="IZ28" s="63"/>
      <c r="JA28" s="63"/>
      <c r="JB28" s="63"/>
      <c r="JC28" s="63"/>
      <c r="JD28" s="63"/>
      <c r="JE28" s="63"/>
      <c r="JF28" s="63"/>
      <c r="JG28" s="63"/>
      <c r="JH28" s="63"/>
      <c r="JI28" s="63"/>
      <c r="JJ28" s="63"/>
      <c r="JK28" s="63"/>
      <c r="JL28" s="63"/>
      <c r="JM28" s="63"/>
      <c r="JN28" s="63"/>
      <c r="JO28" s="63"/>
      <c r="JP28" s="63"/>
      <c r="JQ28" s="63"/>
      <c r="JR28" s="63"/>
      <c r="JS28" s="63"/>
      <c r="JT28" s="63"/>
      <c r="JU28" s="63"/>
      <c r="JV28" s="63"/>
      <c r="JW28" s="63"/>
      <c r="JX28" s="63"/>
      <c r="JY28" s="63"/>
      <c r="JZ28" s="63"/>
      <c r="KA28" s="62"/>
      <c r="KB28" s="63"/>
      <c r="KC28" s="63"/>
      <c r="KD28" s="63"/>
      <c r="KE28" s="63"/>
      <c r="KF28" s="63"/>
      <c r="KG28" s="63"/>
      <c r="KH28" s="63"/>
      <c r="KI28" s="63"/>
      <c r="KJ28" s="63"/>
      <c r="KK28" s="63"/>
      <c r="KL28" s="63"/>
      <c r="KM28" s="63"/>
      <c r="KN28" s="63"/>
      <c r="KO28" s="63"/>
      <c r="KP28" s="63"/>
      <c r="KQ28" s="63"/>
      <c r="KR28" s="63"/>
      <c r="KS28" s="63"/>
      <c r="KT28" s="63"/>
      <c r="KU28" s="63"/>
      <c r="KV28" s="63"/>
      <c r="KW28" s="63"/>
      <c r="KX28" s="63"/>
      <c r="KY28" s="63"/>
      <c r="KZ28" s="63"/>
      <c r="LA28" s="63"/>
      <c r="LB28" s="63"/>
      <c r="LC28" s="63"/>
      <c r="LD28" s="63"/>
      <c r="LE28" s="63"/>
      <c r="LF28" s="62"/>
      <c r="LG28" s="63"/>
      <c r="LH28" s="63"/>
      <c r="LI28" s="63"/>
      <c r="LJ28" s="63"/>
      <c r="LK28" s="63"/>
      <c r="LL28" s="63"/>
      <c r="LM28" s="63"/>
      <c r="LN28" s="63"/>
      <c r="LO28" s="63"/>
      <c r="LP28" s="63"/>
      <c r="LQ28" s="63"/>
      <c r="LR28" s="63"/>
      <c r="LS28" s="63"/>
      <c r="LT28" s="63"/>
      <c r="LU28" s="63"/>
      <c r="LV28" s="63"/>
      <c r="LW28" s="63"/>
      <c r="LX28" s="63"/>
      <c r="LY28" s="63"/>
      <c r="LZ28" s="63"/>
      <c r="MA28" s="63"/>
      <c r="MB28" s="63"/>
      <c r="MC28" s="63"/>
      <c r="MD28" s="63"/>
      <c r="ME28" s="63"/>
      <c r="MF28" s="63"/>
      <c r="MG28" s="63"/>
      <c r="MH28" s="63"/>
      <c r="MI28" s="63"/>
      <c r="MJ28" s="63"/>
      <c r="MK28" s="62"/>
      <c r="ML28" s="63"/>
      <c r="MM28" s="63"/>
      <c r="MN28" s="63"/>
      <c r="MO28" s="63"/>
      <c r="MP28" s="63"/>
      <c r="MQ28" s="63"/>
      <c r="MR28" s="63"/>
      <c r="MS28" s="63"/>
      <c r="MT28" s="63"/>
      <c r="MU28" s="63"/>
      <c r="MV28" s="63"/>
      <c r="MW28" s="63"/>
      <c r="MX28" s="63"/>
      <c r="MY28" s="63"/>
      <c r="MZ28" s="63"/>
      <c r="NA28" s="63"/>
      <c r="NB28" s="63"/>
      <c r="NC28" s="63"/>
      <c r="ND28" s="63"/>
      <c r="NE28" s="63"/>
      <c r="NF28" s="63"/>
      <c r="NG28" s="63"/>
      <c r="NH28" s="63"/>
      <c r="NI28" s="63"/>
      <c r="NJ28" s="63"/>
      <c r="NK28" s="63"/>
      <c r="NL28" s="63"/>
      <c r="NM28" s="63"/>
      <c r="NN28" s="63"/>
      <c r="NO28" s="63"/>
    </row>
    <row r="29" customFormat="false" ht="18.75" hidden="false" customHeight="true" outlineLevel="0" collapsed="false">
      <c r="A29" s="56" t="str">
        <f aca="false">IF($B29="","",TEXT(ROW()-9,"00"))</f>
        <v/>
      </c>
      <c r="B29" s="57"/>
      <c r="C29" s="58"/>
      <c r="D29" s="59"/>
      <c r="E29" s="59"/>
      <c r="F29" s="60" t="str">
        <f aca="false">IF($B29="","",SUMPRODUCT(COUNTIF($H29:$NO29,Kuerzel)*Faktor))</f>
        <v/>
      </c>
      <c r="G29" s="61" t="str">
        <f aca="false">IF($B29="","",$D29+$E29-$F29)</f>
        <v/>
      </c>
      <c r="H29" s="62"/>
      <c r="I29" s="63"/>
      <c r="J29" s="63"/>
      <c r="K29" s="63"/>
      <c r="L29" s="63"/>
      <c r="M29" s="63"/>
      <c r="N29" s="63"/>
      <c r="O29" s="63"/>
      <c r="P29" s="63"/>
      <c r="Q29" s="63"/>
      <c r="R29" s="63"/>
      <c r="S29" s="63"/>
      <c r="T29" s="63"/>
      <c r="U29" s="63"/>
      <c r="V29" s="63"/>
      <c r="W29" s="63"/>
      <c r="X29" s="63"/>
      <c r="Y29" s="63"/>
      <c r="Z29" s="63"/>
      <c r="AA29" s="63"/>
      <c r="AB29" s="63"/>
      <c r="AC29" s="63"/>
      <c r="AD29" s="63"/>
      <c r="AE29" s="63"/>
      <c r="AF29" s="63"/>
      <c r="AG29" s="63"/>
      <c r="AH29" s="63"/>
      <c r="AI29" s="63"/>
      <c r="AJ29" s="63"/>
      <c r="AK29" s="63"/>
      <c r="AL29" s="63"/>
      <c r="AM29" s="62"/>
      <c r="AN29" s="63"/>
      <c r="AO29" s="63"/>
      <c r="AP29" s="63"/>
      <c r="AQ29" s="63"/>
      <c r="AR29" s="63"/>
      <c r="AS29" s="63"/>
      <c r="AT29" s="63"/>
      <c r="AU29" s="63"/>
      <c r="AV29" s="63"/>
      <c r="AW29" s="63"/>
      <c r="AX29" s="63"/>
      <c r="AY29" s="63"/>
      <c r="AZ29" s="63"/>
      <c r="BA29" s="63"/>
      <c r="BB29" s="63"/>
      <c r="BC29" s="63"/>
      <c r="BD29" s="63"/>
      <c r="BE29" s="63"/>
      <c r="BF29" s="63"/>
      <c r="BG29" s="63"/>
      <c r="BH29" s="63"/>
      <c r="BI29" s="63"/>
      <c r="BJ29" s="63"/>
      <c r="BK29" s="63"/>
      <c r="BL29" s="63"/>
      <c r="BM29" s="63"/>
      <c r="BN29" s="63"/>
      <c r="BO29" s="63"/>
      <c r="BP29" s="63"/>
      <c r="BQ29" s="63"/>
      <c r="BR29" s="62"/>
      <c r="BS29" s="63"/>
      <c r="BT29" s="63"/>
      <c r="BU29" s="63"/>
      <c r="BV29" s="63"/>
      <c r="BW29" s="63"/>
      <c r="BX29" s="63"/>
      <c r="BY29" s="63"/>
      <c r="BZ29" s="63"/>
      <c r="CA29" s="63"/>
      <c r="CB29" s="63"/>
      <c r="CC29" s="63"/>
      <c r="CD29" s="63"/>
      <c r="CE29" s="63"/>
      <c r="CF29" s="63"/>
      <c r="CG29" s="63"/>
      <c r="CH29" s="63"/>
      <c r="CI29" s="63"/>
      <c r="CJ29" s="63"/>
      <c r="CK29" s="63"/>
      <c r="CL29" s="63"/>
      <c r="CM29" s="63"/>
      <c r="CN29" s="63"/>
      <c r="CO29" s="63"/>
      <c r="CP29" s="63"/>
      <c r="CQ29" s="63"/>
      <c r="CR29" s="63"/>
      <c r="CS29" s="63"/>
      <c r="CT29" s="63"/>
      <c r="CU29" s="63"/>
      <c r="CV29" s="63"/>
      <c r="CW29" s="62"/>
      <c r="CX29" s="63"/>
      <c r="CY29" s="63"/>
      <c r="CZ29" s="63"/>
      <c r="DA29" s="63"/>
      <c r="DB29" s="63"/>
      <c r="DC29" s="63"/>
      <c r="DD29" s="63"/>
      <c r="DE29" s="63"/>
      <c r="DF29" s="63"/>
      <c r="DG29" s="63"/>
      <c r="DH29" s="63"/>
      <c r="DI29" s="63"/>
      <c r="DJ29" s="63"/>
      <c r="DK29" s="63"/>
      <c r="DL29" s="63"/>
      <c r="DM29" s="63"/>
      <c r="DN29" s="63"/>
      <c r="DO29" s="63"/>
      <c r="DP29" s="63"/>
      <c r="DQ29" s="63"/>
      <c r="DR29" s="63"/>
      <c r="DS29" s="63"/>
      <c r="DT29" s="63"/>
      <c r="DU29" s="63"/>
      <c r="DV29" s="63"/>
      <c r="DW29" s="63"/>
      <c r="DX29" s="63"/>
      <c r="DY29" s="63"/>
      <c r="DZ29" s="63"/>
      <c r="EA29" s="63"/>
      <c r="EB29" s="62"/>
      <c r="EC29" s="63"/>
      <c r="ED29" s="63"/>
      <c r="EE29" s="63"/>
      <c r="EF29" s="63"/>
      <c r="EG29" s="63"/>
      <c r="EH29" s="63"/>
      <c r="EI29" s="63"/>
      <c r="EJ29" s="63"/>
      <c r="EK29" s="63"/>
      <c r="EL29" s="63"/>
      <c r="EM29" s="63"/>
      <c r="EN29" s="63"/>
      <c r="EO29" s="63"/>
      <c r="EP29" s="63"/>
      <c r="EQ29" s="63"/>
      <c r="ER29" s="63"/>
      <c r="ES29" s="63"/>
      <c r="ET29" s="63"/>
      <c r="EU29" s="63"/>
      <c r="EV29" s="63"/>
      <c r="EW29" s="63"/>
      <c r="EX29" s="63"/>
      <c r="EY29" s="63"/>
      <c r="EZ29" s="63"/>
      <c r="FA29" s="63"/>
      <c r="FB29" s="63"/>
      <c r="FC29" s="63"/>
      <c r="FD29" s="63"/>
      <c r="FE29" s="63"/>
      <c r="FF29" s="63"/>
      <c r="FG29" s="62"/>
      <c r="FH29" s="63"/>
      <c r="FI29" s="63"/>
      <c r="FJ29" s="63"/>
      <c r="FK29" s="63"/>
      <c r="FL29" s="63"/>
      <c r="FM29" s="63"/>
      <c r="FN29" s="63"/>
      <c r="FO29" s="63"/>
      <c r="FP29" s="63"/>
      <c r="FQ29" s="63"/>
      <c r="FR29" s="63"/>
      <c r="FS29" s="63"/>
      <c r="FT29" s="63"/>
      <c r="FU29" s="63"/>
      <c r="FV29" s="63"/>
      <c r="FW29" s="63"/>
      <c r="FX29" s="63"/>
      <c r="FY29" s="63"/>
      <c r="FZ29" s="63"/>
      <c r="GA29" s="63"/>
      <c r="GB29" s="63"/>
      <c r="GC29" s="63"/>
      <c r="GD29" s="63"/>
      <c r="GE29" s="63"/>
      <c r="GF29" s="63"/>
      <c r="GG29" s="63"/>
      <c r="GH29" s="63"/>
      <c r="GI29" s="63"/>
      <c r="GJ29" s="63"/>
      <c r="GK29" s="63"/>
      <c r="GL29" s="62"/>
      <c r="GM29" s="63"/>
      <c r="GN29" s="63"/>
      <c r="GO29" s="63"/>
      <c r="GP29" s="63"/>
      <c r="GQ29" s="63"/>
      <c r="GR29" s="63"/>
      <c r="GS29" s="63"/>
      <c r="GT29" s="63"/>
      <c r="GU29" s="63"/>
      <c r="GV29" s="63"/>
      <c r="GW29" s="63"/>
      <c r="GX29" s="63"/>
      <c r="GY29" s="63"/>
      <c r="GZ29" s="63"/>
      <c r="HA29" s="63"/>
      <c r="HB29" s="63"/>
      <c r="HC29" s="63"/>
      <c r="HD29" s="63"/>
      <c r="HE29" s="63"/>
      <c r="HF29" s="63"/>
      <c r="HG29" s="63"/>
      <c r="HH29" s="63"/>
      <c r="HI29" s="63"/>
      <c r="HJ29" s="63"/>
      <c r="HK29" s="63"/>
      <c r="HL29" s="63"/>
      <c r="HM29" s="63"/>
      <c r="HN29" s="63"/>
      <c r="HO29" s="63"/>
      <c r="HP29" s="63"/>
      <c r="HQ29" s="62"/>
      <c r="HR29" s="63"/>
      <c r="HS29" s="63"/>
      <c r="HT29" s="63"/>
      <c r="HU29" s="63"/>
      <c r="HV29" s="63"/>
      <c r="HW29" s="63"/>
      <c r="HX29" s="63"/>
      <c r="HY29" s="63"/>
      <c r="HZ29" s="63"/>
      <c r="IA29" s="63"/>
      <c r="IB29" s="63"/>
      <c r="IC29" s="63"/>
      <c r="ID29" s="63"/>
      <c r="IE29" s="63"/>
      <c r="IF29" s="63"/>
      <c r="IG29" s="63"/>
      <c r="IH29" s="63"/>
      <c r="II29" s="63"/>
      <c r="IJ29" s="63"/>
      <c r="IK29" s="63"/>
      <c r="IL29" s="63"/>
      <c r="IM29" s="63"/>
      <c r="IN29" s="63"/>
      <c r="IO29" s="63"/>
      <c r="IP29" s="63"/>
      <c r="IQ29" s="63"/>
      <c r="IR29" s="63"/>
      <c r="IS29" s="63"/>
      <c r="IT29" s="63"/>
      <c r="IU29" s="63"/>
      <c r="IV29" s="62"/>
      <c r="IW29" s="63"/>
      <c r="IX29" s="63"/>
      <c r="IY29" s="63"/>
      <c r="IZ29" s="63"/>
      <c r="JA29" s="63"/>
      <c r="JB29" s="63"/>
      <c r="JC29" s="63"/>
      <c r="JD29" s="63"/>
      <c r="JE29" s="63"/>
      <c r="JF29" s="63"/>
      <c r="JG29" s="63"/>
      <c r="JH29" s="63"/>
      <c r="JI29" s="63"/>
      <c r="JJ29" s="63"/>
      <c r="JK29" s="63"/>
      <c r="JL29" s="63"/>
      <c r="JM29" s="63"/>
      <c r="JN29" s="63"/>
      <c r="JO29" s="63"/>
      <c r="JP29" s="63"/>
      <c r="JQ29" s="63"/>
      <c r="JR29" s="63"/>
      <c r="JS29" s="63"/>
      <c r="JT29" s="63"/>
      <c r="JU29" s="63"/>
      <c r="JV29" s="63"/>
      <c r="JW29" s="63"/>
      <c r="JX29" s="63"/>
      <c r="JY29" s="63"/>
      <c r="JZ29" s="63"/>
      <c r="KA29" s="62"/>
      <c r="KB29" s="63"/>
      <c r="KC29" s="63"/>
      <c r="KD29" s="63"/>
      <c r="KE29" s="63"/>
      <c r="KF29" s="63"/>
      <c r="KG29" s="63"/>
      <c r="KH29" s="63"/>
      <c r="KI29" s="63"/>
      <c r="KJ29" s="63"/>
      <c r="KK29" s="63"/>
      <c r="KL29" s="63"/>
      <c r="KM29" s="63"/>
      <c r="KN29" s="63"/>
      <c r="KO29" s="63"/>
      <c r="KP29" s="63"/>
      <c r="KQ29" s="63"/>
      <c r="KR29" s="63"/>
      <c r="KS29" s="63"/>
      <c r="KT29" s="63"/>
      <c r="KU29" s="63"/>
      <c r="KV29" s="63"/>
      <c r="KW29" s="63"/>
      <c r="KX29" s="63"/>
      <c r="KY29" s="63"/>
      <c r="KZ29" s="63"/>
      <c r="LA29" s="63"/>
      <c r="LB29" s="63"/>
      <c r="LC29" s="63"/>
      <c r="LD29" s="63"/>
      <c r="LE29" s="63"/>
      <c r="LF29" s="62"/>
      <c r="LG29" s="63"/>
      <c r="LH29" s="63"/>
      <c r="LI29" s="63"/>
      <c r="LJ29" s="63"/>
      <c r="LK29" s="63"/>
      <c r="LL29" s="63"/>
      <c r="LM29" s="63"/>
      <c r="LN29" s="63"/>
      <c r="LO29" s="63"/>
      <c r="LP29" s="63"/>
      <c r="LQ29" s="63"/>
      <c r="LR29" s="63"/>
      <c r="LS29" s="63"/>
      <c r="LT29" s="63"/>
      <c r="LU29" s="63"/>
      <c r="LV29" s="63"/>
      <c r="LW29" s="63"/>
      <c r="LX29" s="63"/>
      <c r="LY29" s="63"/>
      <c r="LZ29" s="63"/>
      <c r="MA29" s="63"/>
      <c r="MB29" s="63"/>
      <c r="MC29" s="63"/>
      <c r="MD29" s="63"/>
      <c r="ME29" s="63"/>
      <c r="MF29" s="63"/>
      <c r="MG29" s="63"/>
      <c r="MH29" s="63"/>
      <c r="MI29" s="63"/>
      <c r="MJ29" s="63"/>
      <c r="MK29" s="62"/>
      <c r="ML29" s="63"/>
      <c r="MM29" s="63"/>
      <c r="MN29" s="63"/>
      <c r="MO29" s="63"/>
      <c r="MP29" s="63"/>
      <c r="MQ29" s="63"/>
      <c r="MR29" s="63"/>
      <c r="MS29" s="63"/>
      <c r="MT29" s="63"/>
      <c r="MU29" s="63"/>
      <c r="MV29" s="63"/>
      <c r="MW29" s="63"/>
      <c r="MX29" s="63"/>
      <c r="MY29" s="63"/>
      <c r="MZ29" s="63"/>
      <c r="NA29" s="63"/>
      <c r="NB29" s="63"/>
      <c r="NC29" s="63"/>
      <c r="ND29" s="63"/>
      <c r="NE29" s="63"/>
      <c r="NF29" s="63"/>
      <c r="NG29" s="63"/>
      <c r="NH29" s="63"/>
      <c r="NI29" s="63"/>
      <c r="NJ29" s="63"/>
      <c r="NK29" s="63"/>
      <c r="NL29" s="63"/>
      <c r="NM29" s="63"/>
      <c r="NN29" s="63"/>
      <c r="NO29" s="63"/>
    </row>
    <row r="30" customFormat="false" ht="6" hidden="false" customHeight="true" outlineLevel="0" collapsed="false"/>
    <row r="31" customFormat="false" ht="19.5" hidden="false" customHeight="true" outlineLevel="0" collapsed="false">
      <c r="A31" s="37" t="s">
        <v>104</v>
      </c>
      <c r="B31" s="37"/>
      <c r="C31" s="37"/>
      <c r="D31" s="73" t="n">
        <f aca="false">SUM($D$10:$D$29)</f>
        <v>434</v>
      </c>
      <c r="E31" s="73" t="n">
        <f aca="false">SUM($E$10:$E$29)</f>
        <v>35</v>
      </c>
      <c r="F31" s="73" t="n">
        <f aca="false">SUM($F$10:$F$29)</f>
        <v>396</v>
      </c>
      <c r="G31" s="73" t="n">
        <f aca="false">SUM($G$10:$G$29)</f>
        <v>73</v>
      </c>
      <c r="H31" s="74" t="str">
        <f aca="false">IF(H$5="","",IF(WEEKDAY(H$5,2)&gt;5,"",IF(COUNTIF(Feiertage,H$5)&gt;0,"",COUNTA(H$10:H$29)-COUNTIF(H$10:H$29,"HO"))))</f>
        <v/>
      </c>
      <c r="I31" s="74" t="n">
        <f aca="false">IF(I$5="","",IF(WEEKDAY(I$5,2)&gt;5,"",IF(COUNTIF(Feiertage,I$5)&gt;0,"",COUNTA(I$10:I$29)-COUNTIF(I$10:I$29,"HO"))))</f>
        <v>0</v>
      </c>
      <c r="J31" s="74" t="str">
        <f aca="false">IF(J$5="","",IF(WEEKDAY(J$5,2)&gt;5,"",IF(COUNTIF(Feiertage,J$5)&gt;0,"",COUNTA(J$10:J$29)-COUNTIF(J$10:J$29,"HO"))))</f>
        <v/>
      </c>
      <c r="K31" s="74" t="str">
        <f aca="false">IF(K$5="","",IF(WEEKDAY(K$5,2)&gt;5,"",IF(COUNTIF(Feiertage,K$5)&gt;0,"",COUNTA(K$10:K$29)-COUNTIF(K$10:K$29,"HO"))))</f>
        <v/>
      </c>
      <c r="L31" s="74" t="n">
        <f aca="false">IF(L$5="","",IF(WEEKDAY(L$5,2)&gt;5,"",IF(COUNTIF(Feiertage,L$5)&gt;0,"",COUNTA(L$10:L$29)-COUNTIF(L$10:L$29,"HO"))))</f>
        <v>1</v>
      </c>
      <c r="M31" s="74" t="str">
        <f aca="false">IF(M$5="","",IF(WEEKDAY(M$5,2)&gt;5,"",IF(COUNTIF(Feiertage,M$5)&gt;0,"",COUNTA(M$10:M$29)-COUNTIF(M$10:M$29,"HO"))))</f>
        <v/>
      </c>
      <c r="N31" s="74" t="n">
        <f aca="false">IF(N$5="","",IF(WEEKDAY(N$5,2)&gt;5,"",IF(COUNTIF(Feiertage,N$5)&gt;0,"",COUNTA(N$10:N$29)-COUNTIF(N$10:N$29,"HO"))))</f>
        <v>1</v>
      </c>
      <c r="O31" s="74" t="n">
        <f aca="false">IF(O$5="","",IF(WEEKDAY(O$5,2)&gt;5,"",IF(COUNTIF(Feiertage,O$5)&gt;0,"",COUNTA(O$10:O$29)-COUNTIF(O$10:O$29,"HO"))))</f>
        <v>1</v>
      </c>
      <c r="P31" s="74" t="n">
        <f aca="false">IF(P$5="","",IF(WEEKDAY(P$5,2)&gt;5,"",IF(COUNTIF(Feiertage,P$5)&gt;0,"",COUNTA(P$10:P$29)-COUNTIF(P$10:P$29,"HO"))))</f>
        <v>1</v>
      </c>
      <c r="Q31" s="74" t="str">
        <f aca="false">IF(Q$5="","",IF(WEEKDAY(Q$5,2)&gt;5,"",IF(COUNTIF(Feiertage,Q$5)&gt;0,"",COUNTA(Q$10:Q$29)-COUNTIF(Q$10:Q$29,"HO"))))</f>
        <v/>
      </c>
      <c r="R31" s="74" t="str">
        <f aca="false">IF(R$5="","",IF(WEEKDAY(R$5,2)&gt;5,"",IF(COUNTIF(Feiertage,R$5)&gt;0,"",COUNTA(R$10:R$29)-COUNTIF(R$10:R$29,"HO"))))</f>
        <v/>
      </c>
      <c r="S31" s="74" t="n">
        <f aca="false">IF(S$5="","",IF(WEEKDAY(S$5,2)&gt;5,"",IF(COUNTIF(Feiertage,S$5)&gt;0,"",COUNTA(S$10:S$29)-COUNTIF(S$10:S$29,"HO"))))</f>
        <v>1</v>
      </c>
      <c r="T31" s="74" t="n">
        <f aca="false">IF(T$5="","",IF(WEEKDAY(T$5,2)&gt;5,"",IF(COUNTIF(Feiertage,T$5)&gt;0,"",COUNTA(T$10:T$29)-COUNTIF(T$10:T$29,"HO"))))</f>
        <v>1</v>
      </c>
      <c r="U31" s="74" t="n">
        <f aca="false">IF(U$5="","",IF(WEEKDAY(U$5,2)&gt;5,"",IF(COUNTIF(Feiertage,U$5)&gt;0,"",COUNTA(U$10:U$29)-COUNTIF(U$10:U$29,"HO"))))</f>
        <v>1</v>
      </c>
      <c r="V31" s="74" t="n">
        <f aca="false">IF(V$5="","",IF(WEEKDAY(V$5,2)&gt;5,"",IF(COUNTIF(Feiertage,V$5)&gt;0,"",COUNTA(V$10:V$29)-COUNTIF(V$10:V$29,"HO"))))</f>
        <v>1</v>
      </c>
      <c r="W31" s="74" t="n">
        <f aca="false">IF(W$5="","",IF(WEEKDAY(W$5,2)&gt;5,"",IF(COUNTIF(Feiertage,W$5)&gt;0,"",COUNTA(W$10:W$29)-COUNTIF(W$10:W$29,"HO"))))</f>
        <v>1</v>
      </c>
      <c r="X31" s="74" t="str">
        <f aca="false">IF(X$5="","",IF(WEEKDAY(X$5,2)&gt;5,"",IF(COUNTIF(Feiertage,X$5)&gt;0,"",COUNTA(X$10:X$29)-COUNTIF(X$10:X$29,"HO"))))</f>
        <v/>
      </c>
      <c r="Y31" s="74" t="str">
        <f aca="false">IF(Y$5="","",IF(WEEKDAY(Y$5,2)&gt;5,"",IF(COUNTIF(Feiertage,Y$5)&gt;0,"",COUNTA(Y$10:Y$29)-COUNTIF(Y$10:Y$29,"HO"))))</f>
        <v/>
      </c>
      <c r="Z31" s="74" t="n">
        <f aca="false">IF(Z$5="","",IF(WEEKDAY(Z$5,2)&gt;5,"",IF(COUNTIF(Feiertage,Z$5)&gt;0,"",COUNTA(Z$10:Z$29)-COUNTIF(Z$10:Z$29,"HO"))))</f>
        <v>1</v>
      </c>
      <c r="AA31" s="74" t="n">
        <f aca="false">IF(AA$5="","",IF(WEEKDAY(AA$5,2)&gt;5,"",IF(COUNTIF(Feiertage,AA$5)&gt;0,"",COUNTA(AA$10:AA$29)-COUNTIF(AA$10:AA$29,"HO"))))</f>
        <v>1</v>
      </c>
      <c r="AB31" s="74" t="n">
        <f aca="false">IF(AB$5="","",IF(WEEKDAY(AB$5,2)&gt;5,"",IF(COUNTIF(Feiertage,AB$5)&gt;0,"",COUNTA(AB$10:AB$29)-COUNTIF(AB$10:AB$29,"HO"))))</f>
        <v>1</v>
      </c>
      <c r="AC31" s="74" t="n">
        <f aca="false">IF(AC$5="","",IF(WEEKDAY(AC$5,2)&gt;5,"",IF(COUNTIF(Feiertage,AC$5)&gt;0,"",COUNTA(AC$10:AC$29)-COUNTIF(AC$10:AC$29,"HO"))))</f>
        <v>1</v>
      </c>
      <c r="AD31" s="74" t="n">
        <f aca="false">IF(AD$5="","",IF(WEEKDAY(AD$5,2)&gt;5,"",IF(COUNTIF(Feiertage,AD$5)&gt;0,"",COUNTA(AD$10:AD$29)-COUNTIF(AD$10:AD$29,"HO"))))</f>
        <v>1</v>
      </c>
      <c r="AE31" s="74" t="str">
        <f aca="false">IF(AE$5="","",IF(WEEKDAY(AE$5,2)&gt;5,"",IF(COUNTIF(Feiertage,AE$5)&gt;0,"",COUNTA(AE$10:AE$29)-COUNTIF(AE$10:AE$29,"HO"))))</f>
        <v/>
      </c>
      <c r="AF31" s="74" t="str">
        <f aca="false">IF(AF$5="","",IF(WEEKDAY(AF$5,2)&gt;5,"",IF(COUNTIF(Feiertage,AF$5)&gt;0,"",COUNTA(AF$10:AF$29)-COUNTIF(AF$10:AF$29,"HO"))))</f>
        <v/>
      </c>
      <c r="AG31" s="74" t="n">
        <f aca="false">IF(AG$5="","",IF(WEEKDAY(AG$5,2)&gt;5,"",IF(COUNTIF(Feiertage,AG$5)&gt;0,"",COUNTA(AG$10:AG$29)-COUNTIF(AG$10:AG$29,"HO"))))</f>
        <v>1</v>
      </c>
      <c r="AH31" s="74" t="n">
        <f aca="false">IF(AH$5="","",IF(WEEKDAY(AH$5,2)&gt;5,"",IF(COUNTIF(Feiertage,AH$5)&gt;0,"",COUNTA(AH$10:AH$29)-COUNTIF(AH$10:AH$29,"HO"))))</f>
        <v>1</v>
      </c>
      <c r="AI31" s="74" t="n">
        <f aca="false">IF(AI$5="","",IF(WEEKDAY(AI$5,2)&gt;5,"",IF(COUNTIF(Feiertage,AI$5)&gt;0,"",COUNTA(AI$10:AI$29)-COUNTIF(AI$10:AI$29,"HO"))))</f>
        <v>1</v>
      </c>
      <c r="AJ31" s="74" t="n">
        <f aca="false">IF(AJ$5="","",IF(WEEKDAY(AJ$5,2)&gt;5,"",IF(COUNTIF(Feiertage,AJ$5)&gt;0,"",COUNTA(AJ$10:AJ$29)-COUNTIF(AJ$10:AJ$29,"HO"))))</f>
        <v>1</v>
      </c>
      <c r="AK31" s="74" t="n">
        <f aca="false">IF(AK$5="","",IF(WEEKDAY(AK$5,2)&gt;5,"",IF(COUNTIF(Feiertage,AK$5)&gt;0,"",COUNTA(AK$10:AK$29)-COUNTIF(AK$10:AK$29,"HO"))))</f>
        <v>1</v>
      </c>
      <c r="AL31" s="74" t="str">
        <f aca="false">IF(AL$5="","",IF(WEEKDAY(AL$5,2)&gt;5,"",IF(COUNTIF(Feiertage,AL$5)&gt;0,"",COUNTA(AL$10:AL$29)-COUNTIF(AL$10:AL$29,"HO"))))</f>
        <v/>
      </c>
      <c r="AM31" s="74" t="str">
        <f aca="false">IF(AM$5="","",IF(WEEKDAY(AM$5,2)&gt;5,"",IF(COUNTIF(Feiertage,AM$5)&gt;0,"",COUNTA(AM$10:AM$29)-COUNTIF(AM$10:AM$29,"HO"))))</f>
        <v/>
      </c>
      <c r="AN31" s="74" t="n">
        <f aca="false">IF(AN$5="","",IF(WEEKDAY(AN$5,2)&gt;5,"",IF(COUNTIF(Feiertage,AN$5)&gt;0,"",COUNTA(AN$10:AN$29)-COUNTIF(AN$10:AN$29,"HO"))))</f>
        <v>1</v>
      </c>
      <c r="AO31" s="74" t="n">
        <f aca="false">IF(AO$5="","",IF(WEEKDAY(AO$5,2)&gt;5,"",IF(COUNTIF(Feiertage,AO$5)&gt;0,"",COUNTA(AO$10:AO$29)-COUNTIF(AO$10:AO$29,"HO"))))</f>
        <v>1</v>
      </c>
      <c r="AP31" s="74" t="n">
        <f aca="false">IF(AP$5="","",IF(WEEKDAY(AP$5,2)&gt;5,"",IF(COUNTIF(Feiertage,AP$5)&gt;0,"",COUNTA(AP$10:AP$29)-COUNTIF(AP$10:AP$29,"HO"))))</f>
        <v>1</v>
      </c>
      <c r="AQ31" s="74" t="n">
        <f aca="false">IF(AQ$5="","",IF(WEEKDAY(AQ$5,2)&gt;5,"",IF(COUNTIF(Feiertage,AQ$5)&gt;0,"",COUNTA(AQ$10:AQ$29)-COUNTIF(AQ$10:AQ$29,"HO"))))</f>
        <v>1</v>
      </c>
      <c r="AR31" s="74" t="n">
        <f aca="false">IF(AR$5="","",IF(WEEKDAY(AR$5,2)&gt;5,"",IF(COUNTIF(Feiertage,AR$5)&gt;0,"",COUNTA(AR$10:AR$29)-COUNTIF(AR$10:AR$29,"HO"))))</f>
        <v>1</v>
      </c>
      <c r="AS31" s="74" t="str">
        <f aca="false">IF(AS$5="","",IF(WEEKDAY(AS$5,2)&gt;5,"",IF(COUNTIF(Feiertage,AS$5)&gt;0,"",COUNTA(AS$10:AS$29)-COUNTIF(AS$10:AS$29,"HO"))))</f>
        <v/>
      </c>
      <c r="AT31" s="74" t="str">
        <f aca="false">IF(AT$5="","",IF(WEEKDAY(AT$5,2)&gt;5,"",IF(COUNTIF(Feiertage,AT$5)&gt;0,"",COUNTA(AT$10:AT$29)-COUNTIF(AT$10:AT$29,"HO"))))</f>
        <v/>
      </c>
      <c r="AU31" s="74" t="n">
        <f aca="false">IF(AU$5="","",IF(WEEKDAY(AU$5,2)&gt;5,"",IF(COUNTIF(Feiertage,AU$5)&gt;0,"",COUNTA(AU$10:AU$29)-COUNTIF(AU$10:AU$29,"HO"))))</f>
        <v>2</v>
      </c>
      <c r="AV31" s="74" t="n">
        <f aca="false">IF(AV$5="","",IF(WEEKDAY(AV$5,2)&gt;5,"",IF(COUNTIF(Feiertage,AV$5)&gt;0,"",COUNTA(AV$10:AV$29)-COUNTIF(AV$10:AV$29,"HO"))))</f>
        <v>2</v>
      </c>
      <c r="AW31" s="74" t="n">
        <f aca="false">IF(AW$5="","",IF(WEEKDAY(AW$5,2)&gt;5,"",IF(COUNTIF(Feiertage,AW$5)&gt;0,"",COUNTA(AW$10:AW$29)-COUNTIF(AW$10:AW$29,"HO"))))</f>
        <v>2</v>
      </c>
      <c r="AX31" s="74" t="n">
        <f aca="false">IF(AX$5="","",IF(WEEKDAY(AX$5,2)&gt;5,"",IF(COUNTIF(Feiertage,AX$5)&gt;0,"",COUNTA(AX$10:AX$29)-COUNTIF(AX$10:AX$29,"HO"))))</f>
        <v>2</v>
      </c>
      <c r="AY31" s="74" t="n">
        <f aca="false">IF(AY$5="","",IF(WEEKDAY(AY$5,2)&gt;5,"",IF(COUNTIF(Feiertage,AY$5)&gt;0,"",COUNTA(AY$10:AY$29)-COUNTIF(AY$10:AY$29,"HO"))))</f>
        <v>2</v>
      </c>
      <c r="AZ31" s="74" t="str">
        <f aca="false">IF(AZ$5="","",IF(WEEKDAY(AZ$5,2)&gt;5,"",IF(COUNTIF(Feiertage,AZ$5)&gt;0,"",COUNTA(AZ$10:AZ$29)-COUNTIF(AZ$10:AZ$29,"HO"))))</f>
        <v/>
      </c>
      <c r="BA31" s="74" t="str">
        <f aca="false">IF(BA$5="","",IF(WEEKDAY(BA$5,2)&gt;5,"",IF(COUNTIF(Feiertage,BA$5)&gt;0,"",COUNTA(BA$10:BA$29)-COUNTIF(BA$10:BA$29,"HO"))))</f>
        <v/>
      </c>
      <c r="BB31" s="74" t="n">
        <f aca="false">IF(BB$5="","",IF(WEEKDAY(BB$5,2)&gt;5,"",IF(COUNTIF(Feiertage,BB$5)&gt;0,"",COUNTA(BB$10:BB$29)-COUNTIF(BB$10:BB$29,"HO"))))</f>
        <v>1</v>
      </c>
      <c r="BC31" s="74" t="n">
        <f aca="false">IF(BC$5="","",IF(WEEKDAY(BC$5,2)&gt;5,"",IF(COUNTIF(Feiertage,BC$5)&gt;0,"",COUNTA(BC$10:BC$29)-COUNTIF(BC$10:BC$29,"HO"))))</f>
        <v>1</v>
      </c>
      <c r="BD31" s="74" t="n">
        <f aca="false">IF(BD$5="","",IF(WEEKDAY(BD$5,2)&gt;5,"",IF(COUNTIF(Feiertage,BD$5)&gt;0,"",COUNTA(BD$10:BD$29)-COUNTIF(BD$10:BD$29,"HO"))))</f>
        <v>2</v>
      </c>
      <c r="BE31" s="74" t="n">
        <f aca="false">IF(BE$5="","",IF(WEEKDAY(BE$5,2)&gt;5,"",IF(COUNTIF(Feiertage,BE$5)&gt;0,"",COUNTA(BE$10:BE$29)-COUNTIF(BE$10:BE$29,"HO"))))</f>
        <v>1</v>
      </c>
      <c r="BF31" s="74" t="n">
        <f aca="false">IF(BF$5="","",IF(WEEKDAY(BF$5,2)&gt;5,"",IF(COUNTIF(Feiertage,BF$5)&gt;0,"",COUNTA(BF$10:BF$29)-COUNTIF(BF$10:BF$29,"HO"))))</f>
        <v>1</v>
      </c>
      <c r="BG31" s="74" t="str">
        <f aca="false">IF(BG$5="","",IF(WEEKDAY(BG$5,2)&gt;5,"",IF(COUNTIF(Feiertage,BG$5)&gt;0,"",COUNTA(BG$10:BG$29)-COUNTIF(BG$10:BG$29,"HO"))))</f>
        <v/>
      </c>
      <c r="BH31" s="74" t="str">
        <f aca="false">IF(BH$5="","",IF(WEEKDAY(BH$5,2)&gt;5,"",IF(COUNTIF(Feiertage,BH$5)&gt;0,"",COUNTA(BH$10:BH$29)-COUNTIF(BH$10:BH$29,"HO"))))</f>
        <v/>
      </c>
      <c r="BI31" s="74" t="n">
        <f aca="false">IF(BI$5="","",IF(WEEKDAY(BI$5,2)&gt;5,"",IF(COUNTIF(Feiertage,BI$5)&gt;0,"",COUNTA(BI$10:BI$29)-COUNTIF(BI$10:BI$29,"HO"))))</f>
        <v>1</v>
      </c>
      <c r="BJ31" s="74" t="n">
        <f aca="false">IF(BJ$5="","",IF(WEEKDAY(BJ$5,2)&gt;5,"",IF(COUNTIF(Feiertage,BJ$5)&gt;0,"",COUNTA(BJ$10:BJ$29)-COUNTIF(BJ$10:BJ$29,"HO"))))</f>
        <v>2</v>
      </c>
      <c r="BK31" s="74" t="n">
        <f aca="false">IF(BK$5="","",IF(WEEKDAY(BK$5,2)&gt;5,"",IF(COUNTIF(Feiertage,BK$5)&gt;0,"",COUNTA(BK$10:BK$29)-COUNTIF(BK$10:BK$29,"HO"))))</f>
        <v>2</v>
      </c>
      <c r="BL31" s="74" t="n">
        <f aca="false">IF(BL$5="","",IF(WEEKDAY(BL$5,2)&gt;5,"",IF(COUNTIF(Feiertage,BL$5)&gt;0,"",COUNTA(BL$10:BL$29)-COUNTIF(BL$10:BL$29,"HO"))))</f>
        <v>2</v>
      </c>
      <c r="BM31" s="74" t="n">
        <f aca="false">IF(BM$5="","",IF(WEEKDAY(BM$5,2)&gt;5,"",IF(COUNTIF(Feiertage,BM$5)&gt;0,"",COUNTA(BM$10:BM$29)-COUNTIF(BM$10:BM$29,"HO"))))</f>
        <v>1</v>
      </c>
      <c r="BN31" s="74" t="str">
        <f aca="false">IF(BN$5="","",IF(WEEKDAY(BN$5,2)&gt;5,"",IF(COUNTIF(Feiertage,BN$5)&gt;0,"",COUNTA(BN$10:BN$29)-COUNTIF(BN$10:BN$29,"HO"))))</f>
        <v/>
      </c>
      <c r="BO31" s="74" t="str">
        <f aca="false">IF(BO$5="","",IF(WEEKDAY(BO$5,2)&gt;5,"",IF(COUNTIF(Feiertage,BO$5)&gt;0,"",COUNTA(BO$10:BO$29)-COUNTIF(BO$10:BO$29,"HO"))))</f>
        <v/>
      </c>
      <c r="BP31" s="74" t="str">
        <f aca="false">IF(BP$5="","",IF(WEEKDAY(BP$5,2)&gt;5,"",IF(COUNTIF(Feiertage,BP$5)&gt;0,"",COUNTA(BP$10:BP$29)-COUNTIF(BP$10:BP$29,"HO"))))</f>
        <v/>
      </c>
      <c r="BQ31" s="74" t="str">
        <f aca="false">IF(BQ$5="","",IF(WEEKDAY(BQ$5,2)&gt;5,"",IF(COUNTIF(Feiertage,BQ$5)&gt;0,"",COUNTA(BQ$10:BQ$29)-COUNTIF(BQ$10:BQ$29,"HO"))))</f>
        <v/>
      </c>
      <c r="BR31" s="74" t="str">
        <f aca="false">IF(BR$5="","",IF(WEEKDAY(BR$5,2)&gt;5,"",IF(COUNTIF(Feiertage,BR$5)&gt;0,"",COUNTA(BR$10:BR$29)-COUNTIF(BR$10:BR$29,"HO"))))</f>
        <v/>
      </c>
      <c r="BS31" s="74" t="n">
        <f aca="false">IF(BS$5="","",IF(WEEKDAY(BS$5,2)&gt;5,"",IF(COUNTIF(Feiertage,BS$5)&gt;0,"",COUNTA(BS$10:BS$29)-COUNTIF(BS$10:BS$29,"HO"))))</f>
        <v>1</v>
      </c>
      <c r="BT31" s="74" t="n">
        <f aca="false">IF(BT$5="","",IF(WEEKDAY(BT$5,2)&gt;5,"",IF(COUNTIF(Feiertage,BT$5)&gt;0,"",COUNTA(BT$10:BT$29)-COUNTIF(BT$10:BT$29,"HO"))))</f>
        <v>2</v>
      </c>
      <c r="BU31" s="74" t="n">
        <f aca="false">IF(BU$5="","",IF(WEEKDAY(BU$5,2)&gt;5,"",IF(COUNTIF(Feiertage,BU$5)&gt;0,"",COUNTA(BU$10:BU$29)-COUNTIF(BU$10:BU$29,"HO"))))</f>
        <v>2</v>
      </c>
      <c r="BV31" s="74" t="n">
        <f aca="false">IF(BV$5="","",IF(WEEKDAY(BV$5,2)&gt;5,"",IF(COUNTIF(Feiertage,BV$5)&gt;0,"",COUNTA(BV$10:BV$29)-COUNTIF(BV$10:BV$29,"HO"))))</f>
        <v>2</v>
      </c>
      <c r="BW31" s="74" t="n">
        <f aca="false">IF(BW$5="","",IF(WEEKDAY(BW$5,2)&gt;5,"",IF(COUNTIF(Feiertage,BW$5)&gt;0,"",COUNTA(BW$10:BW$29)-COUNTIF(BW$10:BW$29,"HO"))))</f>
        <v>1</v>
      </c>
      <c r="BX31" s="74" t="str">
        <f aca="false">IF(BX$5="","",IF(WEEKDAY(BX$5,2)&gt;5,"",IF(COUNTIF(Feiertage,BX$5)&gt;0,"",COUNTA(BX$10:BX$29)-COUNTIF(BX$10:BX$29,"HO"))))</f>
        <v/>
      </c>
      <c r="BY31" s="74" t="str">
        <f aca="false">IF(BY$5="","",IF(WEEKDAY(BY$5,2)&gt;5,"",IF(COUNTIF(Feiertage,BY$5)&gt;0,"",COUNTA(BY$10:BY$29)-COUNTIF(BY$10:BY$29,"HO"))))</f>
        <v/>
      </c>
      <c r="BZ31" s="74" t="n">
        <f aca="false">IF(BZ$5="","",IF(WEEKDAY(BZ$5,2)&gt;5,"",IF(COUNTIF(Feiertage,BZ$5)&gt;0,"",COUNTA(BZ$10:BZ$29)-COUNTIF(BZ$10:BZ$29,"HO"))))</f>
        <v>1</v>
      </c>
      <c r="CA31" s="74" t="n">
        <f aca="false">IF(CA$5="","",IF(WEEKDAY(CA$5,2)&gt;5,"",IF(COUNTIF(Feiertage,CA$5)&gt;0,"",COUNTA(CA$10:CA$29)-COUNTIF(CA$10:CA$29,"HO"))))</f>
        <v>1</v>
      </c>
      <c r="CB31" s="74" t="n">
        <f aca="false">IF(CB$5="","",IF(WEEKDAY(CB$5,2)&gt;5,"",IF(COUNTIF(Feiertage,CB$5)&gt;0,"",COUNTA(CB$10:CB$29)-COUNTIF(CB$10:CB$29,"HO"))))</f>
        <v>2</v>
      </c>
      <c r="CC31" s="74" t="n">
        <f aca="false">IF(CC$5="","",IF(WEEKDAY(CC$5,2)&gt;5,"",IF(COUNTIF(Feiertage,CC$5)&gt;0,"",COUNTA(CC$10:CC$29)-COUNTIF(CC$10:CC$29,"HO"))))</f>
        <v>1</v>
      </c>
      <c r="CD31" s="74" t="n">
        <f aca="false">IF(CD$5="","",IF(WEEKDAY(CD$5,2)&gt;5,"",IF(COUNTIF(Feiertage,CD$5)&gt;0,"",COUNTA(CD$10:CD$29)-COUNTIF(CD$10:CD$29,"HO"))))</f>
        <v>1</v>
      </c>
      <c r="CE31" s="74" t="str">
        <f aca="false">IF(CE$5="","",IF(WEEKDAY(CE$5,2)&gt;5,"",IF(COUNTIF(Feiertage,CE$5)&gt;0,"",COUNTA(CE$10:CE$29)-COUNTIF(CE$10:CE$29,"HO"))))</f>
        <v/>
      </c>
      <c r="CF31" s="74" t="str">
        <f aca="false">IF(CF$5="","",IF(WEEKDAY(CF$5,2)&gt;5,"",IF(COUNTIF(Feiertage,CF$5)&gt;0,"",COUNTA(CF$10:CF$29)-COUNTIF(CF$10:CF$29,"HO"))))</f>
        <v/>
      </c>
      <c r="CG31" s="74" t="n">
        <f aca="false">IF(CG$5="","",IF(WEEKDAY(CG$5,2)&gt;5,"",IF(COUNTIF(Feiertage,CG$5)&gt;0,"",COUNTA(CG$10:CG$29)-COUNTIF(CG$10:CG$29,"HO"))))</f>
        <v>1</v>
      </c>
      <c r="CH31" s="74" t="n">
        <f aca="false">IF(CH$5="","",IF(WEEKDAY(CH$5,2)&gt;5,"",IF(COUNTIF(Feiertage,CH$5)&gt;0,"",COUNTA(CH$10:CH$29)-COUNTIF(CH$10:CH$29,"HO"))))</f>
        <v>1</v>
      </c>
      <c r="CI31" s="74" t="n">
        <f aca="false">IF(CI$5="","",IF(WEEKDAY(CI$5,2)&gt;5,"",IF(COUNTIF(Feiertage,CI$5)&gt;0,"",COUNTA(CI$10:CI$29)-COUNTIF(CI$10:CI$29,"HO"))))</f>
        <v>2</v>
      </c>
      <c r="CJ31" s="74" t="n">
        <f aca="false">IF(CJ$5="","",IF(WEEKDAY(CJ$5,2)&gt;5,"",IF(COUNTIF(Feiertage,CJ$5)&gt;0,"",COUNTA(CJ$10:CJ$29)-COUNTIF(CJ$10:CJ$29,"HO"))))</f>
        <v>2</v>
      </c>
      <c r="CK31" s="74" t="n">
        <f aca="false">IF(CK$5="","",IF(WEEKDAY(CK$5,2)&gt;5,"",IF(COUNTIF(Feiertage,CK$5)&gt;0,"",COUNTA(CK$10:CK$29)-COUNTIF(CK$10:CK$29,"HO"))))</f>
        <v>1</v>
      </c>
      <c r="CL31" s="74" t="str">
        <f aca="false">IF(CL$5="","",IF(WEEKDAY(CL$5,2)&gt;5,"",IF(COUNTIF(Feiertage,CL$5)&gt;0,"",COUNTA(CL$10:CL$29)-COUNTIF(CL$10:CL$29,"HO"))))</f>
        <v/>
      </c>
      <c r="CM31" s="74" t="str">
        <f aca="false">IF(CM$5="","",IF(WEEKDAY(CM$5,2)&gt;5,"",IF(COUNTIF(Feiertage,CM$5)&gt;0,"",COUNTA(CM$10:CM$29)-COUNTIF(CM$10:CM$29,"HO"))))</f>
        <v/>
      </c>
      <c r="CN31" s="74" t="n">
        <f aca="false">IF(CN$5="","",IF(WEEKDAY(CN$5,2)&gt;5,"",IF(COUNTIF(Feiertage,CN$5)&gt;0,"",COUNTA(CN$10:CN$29)-COUNTIF(CN$10:CN$29,"HO"))))</f>
        <v>1</v>
      </c>
      <c r="CO31" s="74" t="n">
        <f aca="false">IF(CO$5="","",IF(WEEKDAY(CO$5,2)&gt;5,"",IF(COUNTIF(Feiertage,CO$5)&gt;0,"",COUNTA(CO$10:CO$29)-COUNTIF(CO$10:CO$29,"HO"))))</f>
        <v>1</v>
      </c>
      <c r="CP31" s="74" t="n">
        <f aca="false">IF(CP$5="","",IF(WEEKDAY(CP$5,2)&gt;5,"",IF(COUNTIF(Feiertage,CP$5)&gt;0,"",COUNTA(CP$10:CP$29)-COUNTIF(CP$10:CP$29,"HO"))))</f>
        <v>1</v>
      </c>
      <c r="CQ31" s="74" t="n">
        <f aca="false">IF(CQ$5="","",IF(WEEKDAY(CQ$5,2)&gt;5,"",IF(COUNTIF(Feiertage,CQ$5)&gt;0,"",COUNTA(CQ$10:CQ$29)-COUNTIF(CQ$10:CQ$29,"HO"))))</f>
        <v>1</v>
      </c>
      <c r="CR31" s="74" t="n">
        <f aca="false">IF(CR$5="","",IF(WEEKDAY(CR$5,2)&gt;5,"",IF(COUNTIF(Feiertage,CR$5)&gt;0,"",COUNTA(CR$10:CR$29)-COUNTIF(CR$10:CR$29,"HO"))))</f>
        <v>1</v>
      </c>
      <c r="CS31" s="74" t="str">
        <f aca="false">IF(CS$5="","",IF(WEEKDAY(CS$5,2)&gt;5,"",IF(COUNTIF(Feiertage,CS$5)&gt;0,"",COUNTA(CS$10:CS$29)-COUNTIF(CS$10:CS$29,"HO"))))</f>
        <v/>
      </c>
      <c r="CT31" s="74" t="str">
        <f aca="false">IF(CT$5="","",IF(WEEKDAY(CT$5,2)&gt;5,"",IF(COUNTIF(Feiertage,CT$5)&gt;0,"",COUNTA(CT$10:CT$29)-COUNTIF(CT$10:CT$29,"HO"))))</f>
        <v/>
      </c>
      <c r="CU31" s="74" t="n">
        <f aca="false">IF(CU$5="","",IF(WEEKDAY(CU$5,2)&gt;5,"",IF(COUNTIF(Feiertage,CU$5)&gt;0,"",COUNTA(CU$10:CU$29)-COUNTIF(CU$10:CU$29,"HO"))))</f>
        <v>2</v>
      </c>
      <c r="CV31" s="74" t="n">
        <f aca="false">IF(CV$5="","",IF(WEEKDAY(CV$5,2)&gt;5,"",IF(COUNTIF(Feiertage,CV$5)&gt;0,"",COUNTA(CV$10:CV$29)-COUNTIF(CV$10:CV$29,"HO"))))</f>
        <v>2</v>
      </c>
      <c r="CW31" s="74" t="n">
        <f aca="false">IF(CW$5="","",IF(WEEKDAY(CW$5,2)&gt;5,"",IF(COUNTIF(Feiertage,CW$5)&gt;0,"",COUNTA(CW$10:CW$29)-COUNTIF(CW$10:CW$29,"HO"))))</f>
        <v>2</v>
      </c>
      <c r="CX31" s="74" t="n">
        <f aca="false">IF(CX$5="","",IF(WEEKDAY(CX$5,2)&gt;5,"",IF(COUNTIF(Feiertage,CX$5)&gt;0,"",COUNTA(CX$10:CX$29)-COUNTIF(CX$10:CX$29,"HO"))))</f>
        <v>2</v>
      </c>
      <c r="CY31" s="74" t="str">
        <f aca="false">IF(CY$5="","",IF(WEEKDAY(CY$5,2)&gt;5,"",IF(COUNTIF(Feiertage,CY$5)&gt;0,"",COUNTA(CY$10:CY$29)-COUNTIF(CY$10:CY$29,"HO"))))</f>
        <v/>
      </c>
      <c r="CZ31" s="74" t="str">
        <f aca="false">IF(CZ$5="","",IF(WEEKDAY(CZ$5,2)&gt;5,"",IF(COUNTIF(Feiertage,CZ$5)&gt;0,"",COUNTA(CZ$10:CZ$29)-COUNTIF(CZ$10:CZ$29,"HO"))))</f>
        <v/>
      </c>
      <c r="DA31" s="74" t="str">
        <f aca="false">IF(DA$5="","",IF(WEEKDAY(DA$5,2)&gt;5,"",IF(COUNTIF(Feiertage,DA$5)&gt;0,"",COUNTA(DA$10:DA$29)-COUNTIF(DA$10:DA$29,"HO"))))</f>
        <v/>
      </c>
      <c r="DB31" s="74" t="str">
        <f aca="false">IF(DB$5="","",IF(WEEKDAY(DB$5,2)&gt;5,"",IF(COUNTIF(Feiertage,DB$5)&gt;0,"",COUNTA(DB$10:DB$29)-COUNTIF(DB$10:DB$29,"HO"))))</f>
        <v/>
      </c>
      <c r="DC31" s="74" t="n">
        <f aca="false">IF(DC$5="","",IF(WEEKDAY(DC$5,2)&gt;5,"",IF(COUNTIF(Feiertage,DC$5)&gt;0,"",COUNTA(DC$10:DC$29)-COUNTIF(DC$10:DC$29,"HO"))))</f>
        <v>1</v>
      </c>
      <c r="DD31" s="74" t="n">
        <f aca="false">IF(DD$5="","",IF(WEEKDAY(DD$5,2)&gt;5,"",IF(COUNTIF(Feiertage,DD$5)&gt;0,"",COUNTA(DD$10:DD$29)-COUNTIF(DD$10:DD$29,"HO"))))</f>
        <v>1</v>
      </c>
      <c r="DE31" s="74" t="n">
        <f aca="false">IF(DE$5="","",IF(WEEKDAY(DE$5,2)&gt;5,"",IF(COUNTIF(Feiertage,DE$5)&gt;0,"",COUNTA(DE$10:DE$29)-COUNTIF(DE$10:DE$29,"HO"))))</f>
        <v>0</v>
      </c>
      <c r="DF31" s="74" t="n">
        <f aca="false">IF(DF$5="","",IF(WEEKDAY(DF$5,2)&gt;5,"",IF(COUNTIF(Feiertage,DF$5)&gt;0,"",COUNTA(DF$10:DF$29)-COUNTIF(DF$10:DF$29,"HO"))))</f>
        <v>0</v>
      </c>
      <c r="DG31" s="74" t="str">
        <f aca="false">IF(DG$5="","",IF(WEEKDAY(DG$5,2)&gt;5,"",IF(COUNTIF(Feiertage,DG$5)&gt;0,"",COUNTA(DG$10:DG$29)-COUNTIF(DG$10:DG$29,"HO"))))</f>
        <v/>
      </c>
      <c r="DH31" s="74" t="str">
        <f aca="false">IF(DH$5="","",IF(WEEKDAY(DH$5,2)&gt;5,"",IF(COUNTIF(Feiertage,DH$5)&gt;0,"",COUNTA(DH$10:DH$29)-COUNTIF(DH$10:DH$29,"HO"))))</f>
        <v/>
      </c>
      <c r="DI31" s="74" t="n">
        <f aca="false">IF(DI$5="","",IF(WEEKDAY(DI$5,2)&gt;5,"",IF(COUNTIF(Feiertage,DI$5)&gt;0,"",COUNTA(DI$10:DI$29)-COUNTIF(DI$10:DI$29,"HO"))))</f>
        <v>1</v>
      </c>
      <c r="DJ31" s="74" t="n">
        <f aca="false">IF(DJ$5="","",IF(WEEKDAY(DJ$5,2)&gt;5,"",IF(COUNTIF(Feiertage,DJ$5)&gt;0,"",COUNTA(DJ$10:DJ$29)-COUNTIF(DJ$10:DJ$29,"HO"))))</f>
        <v>1</v>
      </c>
      <c r="DK31" s="74" t="n">
        <f aca="false">IF(DK$5="","",IF(WEEKDAY(DK$5,2)&gt;5,"",IF(COUNTIF(Feiertage,DK$5)&gt;0,"",COUNTA(DK$10:DK$29)-COUNTIF(DK$10:DK$29,"HO"))))</f>
        <v>2</v>
      </c>
      <c r="DL31" s="74" t="n">
        <f aca="false">IF(DL$5="","",IF(WEEKDAY(DL$5,2)&gt;5,"",IF(COUNTIF(Feiertage,DL$5)&gt;0,"",COUNTA(DL$10:DL$29)-COUNTIF(DL$10:DL$29,"HO"))))</f>
        <v>1</v>
      </c>
      <c r="DM31" s="74" t="n">
        <f aca="false">IF(DM$5="","",IF(WEEKDAY(DM$5,2)&gt;5,"",IF(COUNTIF(Feiertage,DM$5)&gt;0,"",COUNTA(DM$10:DM$29)-COUNTIF(DM$10:DM$29,"HO"))))</f>
        <v>1</v>
      </c>
      <c r="DN31" s="74" t="str">
        <f aca="false">IF(DN$5="","",IF(WEEKDAY(DN$5,2)&gt;5,"",IF(COUNTIF(Feiertage,DN$5)&gt;0,"",COUNTA(DN$10:DN$29)-COUNTIF(DN$10:DN$29,"HO"))))</f>
        <v/>
      </c>
      <c r="DO31" s="74" t="str">
        <f aca="false">IF(DO$5="","",IF(WEEKDAY(DO$5,2)&gt;5,"",IF(COUNTIF(Feiertage,DO$5)&gt;0,"",COUNTA(DO$10:DO$29)-COUNTIF(DO$10:DO$29,"HO"))))</f>
        <v/>
      </c>
      <c r="DP31" s="74" t="n">
        <f aca="false">IF(DP$5="","",IF(WEEKDAY(DP$5,2)&gt;5,"",IF(COUNTIF(Feiertage,DP$5)&gt;0,"",COUNTA(DP$10:DP$29)-COUNTIF(DP$10:DP$29,"HO"))))</f>
        <v>0</v>
      </c>
      <c r="DQ31" s="74" t="n">
        <f aca="false">IF(DQ$5="","",IF(WEEKDAY(DQ$5,2)&gt;5,"",IF(COUNTIF(Feiertage,DQ$5)&gt;0,"",COUNTA(DQ$10:DQ$29)-COUNTIF(DQ$10:DQ$29,"HO"))))</f>
        <v>0</v>
      </c>
      <c r="DR31" s="74" t="n">
        <f aca="false">IF(DR$5="","",IF(WEEKDAY(DR$5,2)&gt;5,"",IF(COUNTIF(Feiertage,DR$5)&gt;0,"",COUNTA(DR$10:DR$29)-COUNTIF(DR$10:DR$29,"HO"))))</f>
        <v>1</v>
      </c>
      <c r="DS31" s="74" t="n">
        <f aca="false">IF(DS$5="","",IF(WEEKDAY(DS$5,2)&gt;5,"",IF(COUNTIF(Feiertage,DS$5)&gt;0,"",COUNTA(DS$10:DS$29)-COUNTIF(DS$10:DS$29,"HO"))))</f>
        <v>0</v>
      </c>
      <c r="DT31" s="74" t="n">
        <f aca="false">IF(DT$5="","",IF(WEEKDAY(DT$5,2)&gt;5,"",IF(COUNTIF(Feiertage,DT$5)&gt;0,"",COUNTA(DT$10:DT$29)-COUNTIF(DT$10:DT$29,"HO"))))</f>
        <v>0</v>
      </c>
      <c r="DU31" s="74" t="str">
        <f aca="false">IF(DU$5="","",IF(WEEKDAY(DU$5,2)&gt;5,"",IF(COUNTIF(Feiertage,DU$5)&gt;0,"",COUNTA(DU$10:DU$29)-COUNTIF(DU$10:DU$29,"HO"))))</f>
        <v/>
      </c>
      <c r="DV31" s="74" t="str">
        <f aca="false">IF(DV$5="","",IF(WEEKDAY(DV$5,2)&gt;5,"",IF(COUNTIF(Feiertage,DV$5)&gt;0,"",COUNTA(DV$10:DV$29)-COUNTIF(DV$10:DV$29,"HO"))))</f>
        <v/>
      </c>
      <c r="DW31" s="74" t="n">
        <f aca="false">IF(DW$5="","",IF(WEEKDAY(DW$5,2)&gt;5,"",IF(COUNTIF(Feiertage,DW$5)&gt;0,"",COUNTA(DW$10:DW$29)-COUNTIF(DW$10:DW$29,"HO"))))</f>
        <v>1</v>
      </c>
      <c r="DX31" s="74" t="n">
        <f aca="false">IF(DX$5="","",IF(WEEKDAY(DX$5,2)&gt;5,"",IF(COUNTIF(Feiertage,DX$5)&gt;0,"",COUNTA(DX$10:DX$29)-COUNTIF(DX$10:DX$29,"HO"))))</f>
        <v>1</v>
      </c>
      <c r="DY31" s="74" t="n">
        <f aca="false">IF(DY$5="","",IF(WEEKDAY(DY$5,2)&gt;5,"",IF(COUNTIF(Feiertage,DY$5)&gt;0,"",COUNTA(DY$10:DY$29)-COUNTIF(DY$10:DY$29,"HO"))))</f>
        <v>0</v>
      </c>
      <c r="DZ31" s="74" t="n">
        <f aca="false">IF(DZ$5="","",IF(WEEKDAY(DZ$5,2)&gt;5,"",IF(COUNTIF(Feiertage,DZ$5)&gt;0,"",COUNTA(DZ$10:DZ$29)-COUNTIF(DZ$10:DZ$29,"HO"))))</f>
        <v>1</v>
      </c>
      <c r="EA31" s="74" t="str">
        <f aca="false">IF(EA$5="","",IF(WEEKDAY(EA$5,2)&gt;5,"",IF(COUNTIF(Feiertage,EA$5)&gt;0,"",COUNTA(EA$10:EA$29)-COUNTIF(EA$10:EA$29,"HO"))))</f>
        <v/>
      </c>
      <c r="EB31" s="74" t="str">
        <f aca="false">IF(EB$5="","",IF(WEEKDAY(EB$5,2)&gt;5,"",IF(COUNTIF(Feiertage,EB$5)&gt;0,"",COUNTA(EB$10:EB$29)-COUNTIF(EB$10:EB$29,"HO"))))</f>
        <v/>
      </c>
      <c r="EC31" s="74" t="str">
        <f aca="false">IF(EC$5="","",IF(WEEKDAY(EC$5,2)&gt;5,"",IF(COUNTIF(Feiertage,EC$5)&gt;0,"",COUNTA(EC$10:EC$29)-COUNTIF(EC$10:EC$29,"HO"))))</f>
        <v/>
      </c>
      <c r="ED31" s="74" t="str">
        <f aca="false">IF(ED$5="","",IF(WEEKDAY(ED$5,2)&gt;5,"",IF(COUNTIF(Feiertage,ED$5)&gt;0,"",COUNTA(ED$10:ED$29)-COUNTIF(ED$10:ED$29,"HO"))))</f>
        <v/>
      </c>
      <c r="EE31" s="74" t="n">
        <f aca="false">IF(EE$5="","",IF(WEEKDAY(EE$5,2)&gt;5,"",IF(COUNTIF(Feiertage,EE$5)&gt;0,"",COUNTA(EE$10:EE$29)-COUNTIF(EE$10:EE$29,"HO"))))</f>
        <v>0</v>
      </c>
      <c r="EF31" s="74" t="n">
        <f aca="false">IF(EF$5="","",IF(WEEKDAY(EF$5,2)&gt;5,"",IF(COUNTIF(Feiertage,EF$5)&gt;0,"",COUNTA(EF$10:EF$29)-COUNTIF(EF$10:EF$29,"HO"))))</f>
        <v>1</v>
      </c>
      <c r="EG31" s="74" t="n">
        <f aca="false">IF(EG$5="","",IF(WEEKDAY(EG$5,2)&gt;5,"",IF(COUNTIF(Feiertage,EG$5)&gt;0,"",COUNTA(EG$10:EG$29)-COUNTIF(EG$10:EG$29,"HO"))))</f>
        <v>0</v>
      </c>
      <c r="EH31" s="74" t="n">
        <f aca="false">IF(EH$5="","",IF(WEEKDAY(EH$5,2)&gt;5,"",IF(COUNTIF(Feiertage,EH$5)&gt;0,"",COUNTA(EH$10:EH$29)-COUNTIF(EH$10:EH$29,"HO"))))</f>
        <v>0</v>
      </c>
      <c r="EI31" s="74" t="n">
        <f aca="false">IF(EI$5="","",IF(WEEKDAY(EI$5,2)&gt;5,"",IF(COUNTIF(Feiertage,EI$5)&gt;0,"",COUNTA(EI$10:EI$29)-COUNTIF(EI$10:EI$29,"HO"))))</f>
        <v>0</v>
      </c>
      <c r="EJ31" s="74" t="str">
        <f aca="false">IF(EJ$5="","",IF(WEEKDAY(EJ$5,2)&gt;5,"",IF(COUNTIF(Feiertage,EJ$5)&gt;0,"",COUNTA(EJ$10:EJ$29)-COUNTIF(EJ$10:EJ$29,"HO"))))</f>
        <v/>
      </c>
      <c r="EK31" s="74" t="str">
        <f aca="false">IF(EK$5="","",IF(WEEKDAY(EK$5,2)&gt;5,"",IF(COUNTIF(Feiertage,EK$5)&gt;0,"",COUNTA(EK$10:EK$29)-COUNTIF(EK$10:EK$29,"HO"))))</f>
        <v/>
      </c>
      <c r="EL31" s="74" t="n">
        <f aca="false">IF(EL$5="","",IF(WEEKDAY(EL$5,2)&gt;5,"",IF(COUNTIF(Feiertage,EL$5)&gt;0,"",COUNTA(EL$10:EL$29)-COUNTIF(EL$10:EL$29,"HO"))))</f>
        <v>1</v>
      </c>
      <c r="EM31" s="74" t="n">
        <f aca="false">IF(EM$5="","",IF(WEEKDAY(EM$5,2)&gt;5,"",IF(COUNTIF(Feiertage,EM$5)&gt;0,"",COUNTA(EM$10:EM$29)-COUNTIF(EM$10:EM$29,"HO"))))</f>
        <v>2</v>
      </c>
      <c r="EN31" s="74" t="n">
        <f aca="false">IF(EN$5="","",IF(WEEKDAY(EN$5,2)&gt;5,"",IF(COUNTIF(Feiertage,EN$5)&gt;0,"",COUNTA(EN$10:EN$29)-COUNTIF(EN$10:EN$29,"HO"))))</f>
        <v>1</v>
      </c>
      <c r="EO31" s="74" t="str">
        <f aca="false">IF(EO$5="","",IF(WEEKDAY(EO$5,2)&gt;5,"",IF(COUNTIF(Feiertage,EO$5)&gt;0,"",COUNTA(EO$10:EO$29)-COUNTIF(EO$10:EO$29,"HO"))))</f>
        <v/>
      </c>
      <c r="EP31" s="74" t="n">
        <f aca="false">IF(EP$5="","",IF(WEEKDAY(EP$5,2)&gt;5,"",IF(COUNTIF(Feiertage,EP$5)&gt;0,"",COUNTA(EP$10:EP$29)-COUNTIF(EP$10:EP$29,"HO"))))</f>
        <v>1</v>
      </c>
      <c r="EQ31" s="74" t="str">
        <f aca="false">IF(EQ$5="","",IF(WEEKDAY(EQ$5,2)&gt;5,"",IF(COUNTIF(Feiertage,EQ$5)&gt;0,"",COUNTA(EQ$10:EQ$29)-COUNTIF(EQ$10:EQ$29,"HO"))))</f>
        <v/>
      </c>
      <c r="ER31" s="74" t="str">
        <f aca="false">IF(ER$5="","",IF(WEEKDAY(ER$5,2)&gt;5,"",IF(COUNTIF(Feiertage,ER$5)&gt;0,"",COUNTA(ER$10:ER$29)-COUNTIF(ER$10:ER$29,"HO"))))</f>
        <v/>
      </c>
      <c r="ES31" s="74" t="n">
        <f aca="false">IF(ES$5="","",IF(WEEKDAY(ES$5,2)&gt;5,"",IF(COUNTIF(Feiertage,ES$5)&gt;0,"",COUNTA(ES$10:ES$29)-COUNTIF(ES$10:ES$29,"HO"))))</f>
        <v>0</v>
      </c>
      <c r="ET31" s="74" t="n">
        <f aca="false">IF(ET$5="","",IF(WEEKDAY(ET$5,2)&gt;5,"",IF(COUNTIF(Feiertage,ET$5)&gt;0,"",COUNTA(ET$10:ET$29)-COUNTIF(ET$10:ET$29,"HO"))))</f>
        <v>1</v>
      </c>
      <c r="EU31" s="74" t="n">
        <f aca="false">IF(EU$5="","",IF(WEEKDAY(EU$5,2)&gt;5,"",IF(COUNTIF(Feiertage,EU$5)&gt;0,"",COUNTA(EU$10:EU$29)-COUNTIF(EU$10:EU$29,"HO"))))</f>
        <v>2</v>
      </c>
      <c r="EV31" s="74" t="n">
        <f aca="false">IF(EV$5="","",IF(WEEKDAY(EV$5,2)&gt;5,"",IF(COUNTIF(Feiertage,EV$5)&gt;0,"",COUNTA(EV$10:EV$29)-COUNTIF(EV$10:EV$29,"HO"))))</f>
        <v>0</v>
      </c>
      <c r="EW31" s="74" t="n">
        <f aca="false">IF(EW$5="","",IF(WEEKDAY(EW$5,2)&gt;5,"",IF(COUNTIF(Feiertage,EW$5)&gt;0,"",COUNTA(EW$10:EW$29)-COUNTIF(EW$10:EW$29,"HO"))))</f>
        <v>0</v>
      </c>
      <c r="EX31" s="74" t="str">
        <f aca="false">IF(EX$5="","",IF(WEEKDAY(EX$5,2)&gt;5,"",IF(COUNTIF(Feiertage,EX$5)&gt;0,"",COUNTA(EX$10:EX$29)-COUNTIF(EX$10:EX$29,"HO"))))</f>
        <v/>
      </c>
      <c r="EY31" s="74" t="str">
        <f aca="false">IF(EY$5="","",IF(WEEKDAY(EY$5,2)&gt;5,"",IF(COUNTIF(Feiertage,EY$5)&gt;0,"",COUNTA(EY$10:EY$29)-COUNTIF(EY$10:EY$29,"HO"))))</f>
        <v/>
      </c>
      <c r="EZ31" s="74" t="str">
        <f aca="false">IF(EZ$5="","",IF(WEEKDAY(EZ$5,2)&gt;5,"",IF(COUNTIF(Feiertage,EZ$5)&gt;0,"",COUNTA(EZ$10:EZ$29)-COUNTIF(EZ$10:EZ$29,"HO"))))</f>
        <v/>
      </c>
      <c r="FA31" s="74" t="n">
        <f aca="false">IF(FA$5="","",IF(WEEKDAY(FA$5,2)&gt;5,"",IF(COUNTIF(Feiertage,FA$5)&gt;0,"",COUNTA(FA$10:FA$29)-COUNTIF(FA$10:FA$29,"HO"))))</f>
        <v>0</v>
      </c>
      <c r="FB31" s="74" t="n">
        <f aca="false">IF(FB$5="","",IF(WEEKDAY(FB$5,2)&gt;5,"",IF(COUNTIF(Feiertage,FB$5)&gt;0,"",COUNTA(FB$10:FB$29)-COUNTIF(FB$10:FB$29,"HO"))))</f>
        <v>1</v>
      </c>
      <c r="FC31" s="74" t="n">
        <f aca="false">IF(FC$5="","",IF(WEEKDAY(FC$5,2)&gt;5,"",IF(COUNTIF(Feiertage,FC$5)&gt;0,"",COUNTA(FC$10:FC$29)-COUNTIF(FC$10:FC$29,"HO"))))</f>
        <v>0</v>
      </c>
      <c r="FD31" s="74" t="n">
        <f aca="false">IF(FD$5="","",IF(WEEKDAY(FD$5,2)&gt;5,"",IF(COUNTIF(Feiertage,FD$5)&gt;0,"",COUNTA(FD$10:FD$29)-COUNTIF(FD$10:FD$29,"HO"))))</f>
        <v>0</v>
      </c>
      <c r="FE31" s="74" t="str">
        <f aca="false">IF(FE$5="","",IF(WEEKDAY(FE$5,2)&gt;5,"",IF(COUNTIF(Feiertage,FE$5)&gt;0,"",COUNTA(FE$10:FE$29)-COUNTIF(FE$10:FE$29,"HO"))))</f>
        <v/>
      </c>
      <c r="FF31" s="74" t="str">
        <f aca="false">IF(FF$5="","",IF(WEEKDAY(FF$5,2)&gt;5,"",IF(COUNTIF(Feiertage,FF$5)&gt;0,"",COUNTA(FF$10:FF$29)-COUNTIF(FF$10:FF$29,"HO"))))</f>
        <v/>
      </c>
      <c r="FG31" s="74" t="n">
        <f aca="false">IF(FG$5="","",IF(WEEKDAY(FG$5,2)&gt;5,"",IF(COUNTIF(Feiertage,FG$5)&gt;0,"",COUNTA(FG$10:FG$29)-COUNTIF(FG$10:FG$29,"HO"))))</f>
        <v>0</v>
      </c>
      <c r="FH31" s="74" t="n">
        <f aca="false">IF(FH$5="","",IF(WEEKDAY(FH$5,2)&gt;5,"",IF(COUNTIF(Feiertage,FH$5)&gt;0,"",COUNTA(FH$10:FH$29)-COUNTIF(FH$10:FH$29,"HO"))))</f>
        <v>1</v>
      </c>
      <c r="FI31" s="74" t="n">
        <f aca="false">IF(FI$5="","",IF(WEEKDAY(FI$5,2)&gt;5,"",IF(COUNTIF(Feiertage,FI$5)&gt;0,"",COUNTA(FI$10:FI$29)-COUNTIF(FI$10:FI$29,"HO"))))</f>
        <v>1</v>
      </c>
      <c r="FJ31" s="74" t="str">
        <f aca="false">IF(FJ$5="","",IF(WEEKDAY(FJ$5,2)&gt;5,"",IF(COUNTIF(Feiertage,FJ$5)&gt;0,"",COUNTA(FJ$10:FJ$29)-COUNTIF(FJ$10:FJ$29,"HO"))))</f>
        <v/>
      </c>
      <c r="FK31" s="74" t="n">
        <f aca="false">IF(FK$5="","",IF(WEEKDAY(FK$5,2)&gt;5,"",IF(COUNTIF(Feiertage,FK$5)&gt;0,"",COUNTA(FK$10:FK$29)-COUNTIF(FK$10:FK$29,"HO"))))</f>
        <v>0</v>
      </c>
      <c r="FL31" s="74" t="str">
        <f aca="false">IF(FL$5="","",IF(WEEKDAY(FL$5,2)&gt;5,"",IF(COUNTIF(Feiertage,FL$5)&gt;0,"",COUNTA(FL$10:FL$29)-COUNTIF(FL$10:FL$29,"HO"))))</f>
        <v/>
      </c>
      <c r="FM31" s="74" t="str">
        <f aca="false">IF(FM$5="","",IF(WEEKDAY(FM$5,2)&gt;5,"",IF(COUNTIF(Feiertage,FM$5)&gt;0,"",COUNTA(FM$10:FM$29)-COUNTIF(FM$10:FM$29,"HO"))))</f>
        <v/>
      </c>
      <c r="FN31" s="74" t="n">
        <f aca="false">IF(FN$5="","",IF(WEEKDAY(FN$5,2)&gt;5,"",IF(COUNTIF(Feiertage,FN$5)&gt;0,"",COUNTA(FN$10:FN$29)-COUNTIF(FN$10:FN$29,"HO"))))</f>
        <v>1</v>
      </c>
      <c r="FO31" s="74" t="n">
        <f aca="false">IF(FO$5="","",IF(WEEKDAY(FO$5,2)&gt;5,"",IF(COUNTIF(Feiertage,FO$5)&gt;0,"",COUNTA(FO$10:FO$29)-COUNTIF(FO$10:FO$29,"HO"))))</f>
        <v>0</v>
      </c>
      <c r="FP31" s="74" t="n">
        <f aca="false">IF(FP$5="","",IF(WEEKDAY(FP$5,2)&gt;5,"",IF(COUNTIF(Feiertage,FP$5)&gt;0,"",COUNTA(FP$10:FP$29)-COUNTIF(FP$10:FP$29,"HO"))))</f>
        <v>0</v>
      </c>
      <c r="FQ31" s="74" t="n">
        <f aca="false">IF(FQ$5="","",IF(WEEKDAY(FQ$5,2)&gt;5,"",IF(COUNTIF(Feiertage,FQ$5)&gt;0,"",COUNTA(FQ$10:FQ$29)-COUNTIF(FQ$10:FQ$29,"HO"))))</f>
        <v>0</v>
      </c>
      <c r="FR31" s="74" t="n">
        <f aca="false">IF(FR$5="","",IF(WEEKDAY(FR$5,2)&gt;5,"",IF(COUNTIF(Feiertage,FR$5)&gt;0,"",COUNTA(FR$10:FR$29)-COUNTIF(FR$10:FR$29,"HO"))))</f>
        <v>0</v>
      </c>
      <c r="FS31" s="74" t="str">
        <f aca="false">IF(FS$5="","",IF(WEEKDAY(FS$5,2)&gt;5,"",IF(COUNTIF(Feiertage,FS$5)&gt;0,"",COUNTA(FS$10:FS$29)-COUNTIF(FS$10:FS$29,"HO"))))</f>
        <v/>
      </c>
      <c r="FT31" s="74" t="str">
        <f aca="false">IF(FT$5="","",IF(WEEKDAY(FT$5,2)&gt;5,"",IF(COUNTIF(Feiertage,FT$5)&gt;0,"",COUNTA(FT$10:FT$29)-COUNTIF(FT$10:FT$29,"HO"))))</f>
        <v/>
      </c>
      <c r="FU31" s="74" t="n">
        <f aca="false">IF(FU$5="","",IF(WEEKDAY(FU$5,2)&gt;5,"",IF(COUNTIF(Feiertage,FU$5)&gt;0,"",COUNTA(FU$10:FU$29)-COUNTIF(FU$10:FU$29,"HO"))))</f>
        <v>0</v>
      </c>
      <c r="FV31" s="74" t="n">
        <f aca="false">IF(FV$5="","",IF(WEEKDAY(FV$5,2)&gt;5,"",IF(COUNTIF(Feiertage,FV$5)&gt;0,"",COUNTA(FV$10:FV$29)-COUNTIF(FV$10:FV$29,"HO"))))</f>
        <v>0</v>
      </c>
      <c r="FW31" s="74" t="n">
        <f aca="false">IF(FW$5="","",IF(WEEKDAY(FW$5,2)&gt;5,"",IF(COUNTIF(Feiertage,FW$5)&gt;0,"",COUNTA(FW$10:FW$29)-COUNTIF(FW$10:FW$29,"HO"))))</f>
        <v>0</v>
      </c>
      <c r="FX31" s="74" t="n">
        <f aca="false">IF(FX$5="","",IF(WEEKDAY(FX$5,2)&gt;5,"",IF(COUNTIF(Feiertage,FX$5)&gt;0,"",COUNTA(FX$10:FX$29)-COUNTIF(FX$10:FX$29,"HO"))))</f>
        <v>0</v>
      </c>
      <c r="FY31" s="74" t="n">
        <f aca="false">IF(FY$5="","",IF(WEEKDAY(FY$5,2)&gt;5,"",IF(COUNTIF(Feiertage,FY$5)&gt;0,"",COUNTA(FY$10:FY$29)-COUNTIF(FY$10:FY$29,"HO"))))</f>
        <v>0</v>
      </c>
      <c r="FZ31" s="74" t="str">
        <f aca="false">IF(FZ$5="","",IF(WEEKDAY(FZ$5,2)&gt;5,"",IF(COUNTIF(Feiertage,FZ$5)&gt;0,"",COUNTA(FZ$10:FZ$29)-COUNTIF(FZ$10:FZ$29,"HO"))))</f>
        <v/>
      </c>
      <c r="GA31" s="74" t="str">
        <f aca="false">IF(GA$5="","",IF(WEEKDAY(GA$5,2)&gt;5,"",IF(COUNTIF(Feiertage,GA$5)&gt;0,"",COUNTA(GA$10:GA$29)-COUNTIF(GA$10:GA$29,"HO"))))</f>
        <v/>
      </c>
      <c r="GB31" s="74" t="n">
        <f aca="false">IF(GB$5="","",IF(WEEKDAY(GB$5,2)&gt;5,"",IF(COUNTIF(Feiertage,GB$5)&gt;0,"",COUNTA(GB$10:GB$29)-COUNTIF(GB$10:GB$29,"HO"))))</f>
        <v>0</v>
      </c>
      <c r="GC31" s="74" t="n">
        <f aca="false">IF(GC$5="","",IF(WEEKDAY(GC$5,2)&gt;5,"",IF(COUNTIF(Feiertage,GC$5)&gt;0,"",COUNTA(GC$10:GC$29)-COUNTIF(GC$10:GC$29,"HO"))))</f>
        <v>0</v>
      </c>
      <c r="GD31" s="74" t="n">
        <f aca="false">IF(GD$5="","",IF(WEEKDAY(GD$5,2)&gt;5,"",IF(COUNTIF(Feiertage,GD$5)&gt;0,"",COUNTA(GD$10:GD$29)-COUNTIF(GD$10:GD$29,"HO"))))</f>
        <v>0</v>
      </c>
      <c r="GE31" s="74" t="n">
        <f aca="false">IF(GE$5="","",IF(WEEKDAY(GE$5,2)&gt;5,"",IF(COUNTIF(Feiertage,GE$5)&gt;0,"",COUNTA(GE$10:GE$29)-COUNTIF(GE$10:GE$29,"HO"))))</f>
        <v>1</v>
      </c>
      <c r="GF31" s="74" t="n">
        <f aca="false">IF(GF$5="","",IF(WEEKDAY(GF$5,2)&gt;5,"",IF(COUNTIF(Feiertage,GF$5)&gt;0,"",COUNTA(GF$10:GF$29)-COUNTIF(GF$10:GF$29,"HO"))))</f>
        <v>0</v>
      </c>
      <c r="GG31" s="74" t="str">
        <f aca="false">IF(GG$5="","",IF(WEEKDAY(GG$5,2)&gt;5,"",IF(COUNTIF(Feiertage,GG$5)&gt;0,"",COUNTA(GG$10:GG$29)-COUNTIF(GG$10:GG$29,"HO"))))</f>
        <v/>
      </c>
      <c r="GH31" s="74" t="str">
        <f aca="false">IF(GH$5="","",IF(WEEKDAY(GH$5,2)&gt;5,"",IF(COUNTIF(Feiertage,GH$5)&gt;0,"",COUNTA(GH$10:GH$29)-COUNTIF(GH$10:GH$29,"HO"))))</f>
        <v/>
      </c>
      <c r="GI31" s="74" t="n">
        <f aca="false">IF(GI$5="","",IF(WEEKDAY(GI$5,2)&gt;5,"",IF(COUNTIF(Feiertage,GI$5)&gt;0,"",COUNTA(GI$10:GI$29)-COUNTIF(GI$10:GI$29,"HO"))))</f>
        <v>0</v>
      </c>
      <c r="GJ31" s="74" t="n">
        <f aca="false">IF(GJ$5="","",IF(WEEKDAY(GJ$5,2)&gt;5,"",IF(COUNTIF(Feiertage,GJ$5)&gt;0,"",COUNTA(GJ$10:GJ$29)-COUNTIF(GJ$10:GJ$29,"HO"))))</f>
        <v>0</v>
      </c>
      <c r="GK31" s="74" t="str">
        <f aca="false">IF(GK$5="","",IF(WEEKDAY(GK$5,2)&gt;5,"",IF(COUNTIF(Feiertage,GK$5)&gt;0,"",COUNTA(GK$10:GK$29)-COUNTIF(GK$10:GK$29,"HO"))))</f>
        <v/>
      </c>
      <c r="GL31" s="74" t="n">
        <f aca="false">IF(GL$5="","",IF(WEEKDAY(GL$5,2)&gt;5,"",IF(COUNTIF(Feiertage,GL$5)&gt;0,"",COUNTA(GL$10:GL$29)-COUNTIF(GL$10:GL$29,"HO"))))</f>
        <v>0</v>
      </c>
      <c r="GM31" s="74" t="n">
        <f aca="false">IF(GM$5="","",IF(WEEKDAY(GM$5,2)&gt;5,"",IF(COUNTIF(Feiertage,GM$5)&gt;0,"",COUNTA(GM$10:GM$29)-COUNTIF(GM$10:GM$29,"HO"))))</f>
        <v>0</v>
      </c>
      <c r="GN31" s="74" t="n">
        <f aca="false">IF(GN$5="","",IF(WEEKDAY(GN$5,2)&gt;5,"",IF(COUNTIF(Feiertage,GN$5)&gt;0,"",COUNTA(GN$10:GN$29)-COUNTIF(GN$10:GN$29,"HO"))))</f>
        <v>0</v>
      </c>
      <c r="GO31" s="74" t="str">
        <f aca="false">IF(GO$5="","",IF(WEEKDAY(GO$5,2)&gt;5,"",IF(COUNTIF(Feiertage,GO$5)&gt;0,"",COUNTA(GO$10:GO$29)-COUNTIF(GO$10:GO$29,"HO"))))</f>
        <v/>
      </c>
      <c r="GP31" s="74" t="str">
        <f aca="false">IF(GP$5="","",IF(WEEKDAY(GP$5,2)&gt;5,"",IF(COUNTIF(Feiertage,GP$5)&gt;0,"",COUNTA(GP$10:GP$29)-COUNTIF(GP$10:GP$29,"HO"))))</f>
        <v/>
      </c>
      <c r="GQ31" s="74" t="n">
        <f aca="false">IF(GQ$5="","",IF(WEEKDAY(GQ$5,2)&gt;5,"",IF(COUNTIF(Feiertage,GQ$5)&gt;0,"",COUNTA(GQ$10:GQ$29)-COUNTIF(GQ$10:GQ$29,"HO"))))</f>
        <v>2</v>
      </c>
      <c r="GR31" s="74" t="n">
        <f aca="false">IF(GR$5="","",IF(WEEKDAY(GR$5,2)&gt;5,"",IF(COUNTIF(Feiertage,GR$5)&gt;0,"",COUNTA(GR$10:GR$29)-COUNTIF(GR$10:GR$29,"HO"))))</f>
        <v>3</v>
      </c>
      <c r="GS31" s="74" t="n">
        <f aca="false">IF(GS$5="","",IF(WEEKDAY(GS$5,2)&gt;5,"",IF(COUNTIF(Feiertage,GS$5)&gt;0,"",COUNTA(GS$10:GS$29)-COUNTIF(GS$10:GS$29,"HO"))))</f>
        <v>2</v>
      </c>
      <c r="GT31" s="74" t="n">
        <f aca="false">IF(GT$5="","",IF(WEEKDAY(GT$5,2)&gt;5,"",IF(COUNTIF(Feiertage,GT$5)&gt;0,"",COUNTA(GT$10:GT$29)-COUNTIF(GT$10:GT$29,"HO"))))</f>
        <v>2</v>
      </c>
      <c r="GU31" s="74" t="n">
        <f aca="false">IF(GU$5="","",IF(WEEKDAY(GU$5,2)&gt;5,"",IF(COUNTIF(Feiertage,GU$5)&gt;0,"",COUNTA(GU$10:GU$29)-COUNTIF(GU$10:GU$29,"HO"))))</f>
        <v>2</v>
      </c>
      <c r="GV31" s="74" t="str">
        <f aca="false">IF(GV$5="","",IF(WEEKDAY(GV$5,2)&gt;5,"",IF(COUNTIF(Feiertage,GV$5)&gt;0,"",COUNTA(GV$10:GV$29)-COUNTIF(GV$10:GV$29,"HO"))))</f>
        <v/>
      </c>
      <c r="GW31" s="74" t="str">
        <f aca="false">IF(GW$5="","",IF(WEEKDAY(GW$5,2)&gt;5,"",IF(COUNTIF(Feiertage,GW$5)&gt;0,"",COUNTA(GW$10:GW$29)-COUNTIF(GW$10:GW$29,"HO"))))</f>
        <v/>
      </c>
      <c r="GX31" s="74" t="n">
        <f aca="false">IF(GX$5="","",IF(WEEKDAY(GX$5,2)&gt;5,"",IF(COUNTIF(Feiertage,GX$5)&gt;0,"",COUNTA(GX$10:GX$29)-COUNTIF(GX$10:GX$29,"HO"))))</f>
        <v>4</v>
      </c>
      <c r="GY31" s="74" t="n">
        <f aca="false">IF(GY$5="","",IF(WEEKDAY(GY$5,2)&gt;5,"",IF(COUNTIF(Feiertage,GY$5)&gt;0,"",COUNTA(GY$10:GY$29)-COUNTIF(GY$10:GY$29,"HO"))))</f>
        <v>4</v>
      </c>
      <c r="GZ31" s="74" t="n">
        <f aca="false">IF(GZ$5="","",IF(WEEKDAY(GZ$5,2)&gt;5,"",IF(COUNTIF(Feiertage,GZ$5)&gt;0,"",COUNTA(GZ$10:GZ$29)-COUNTIF(GZ$10:GZ$29,"HO"))))</f>
        <v>4</v>
      </c>
      <c r="HA31" s="74" t="n">
        <f aca="false">IF(HA$5="","",IF(WEEKDAY(HA$5,2)&gt;5,"",IF(COUNTIF(Feiertage,HA$5)&gt;0,"",COUNTA(HA$10:HA$29)-COUNTIF(HA$10:HA$29,"HO"))))</f>
        <v>4</v>
      </c>
      <c r="HB31" s="74" t="n">
        <f aca="false">IF(HB$5="","",IF(WEEKDAY(HB$5,2)&gt;5,"",IF(COUNTIF(Feiertage,HB$5)&gt;0,"",COUNTA(HB$10:HB$29)-COUNTIF(HB$10:HB$29,"HO"))))</f>
        <v>4</v>
      </c>
      <c r="HC31" s="74" t="str">
        <f aca="false">IF(HC$5="","",IF(WEEKDAY(HC$5,2)&gt;5,"",IF(COUNTIF(Feiertage,HC$5)&gt;0,"",COUNTA(HC$10:HC$29)-COUNTIF(HC$10:HC$29,"HO"))))</f>
        <v/>
      </c>
      <c r="HD31" s="74" t="str">
        <f aca="false">IF(HD$5="","",IF(WEEKDAY(HD$5,2)&gt;5,"",IF(COUNTIF(Feiertage,HD$5)&gt;0,"",COUNTA(HD$10:HD$29)-COUNTIF(HD$10:HD$29,"HO"))))</f>
        <v/>
      </c>
      <c r="HE31" s="74" t="n">
        <f aca="false">IF(HE$5="","",IF(WEEKDAY(HE$5,2)&gt;5,"",IF(COUNTIF(Feiertage,HE$5)&gt;0,"",COUNTA(HE$10:HE$29)-COUNTIF(HE$10:HE$29,"HO"))))</f>
        <v>5</v>
      </c>
      <c r="HF31" s="74" t="n">
        <f aca="false">IF(HF$5="","",IF(WEEKDAY(HF$5,2)&gt;5,"",IF(COUNTIF(Feiertage,HF$5)&gt;0,"",COUNTA(HF$10:HF$29)-COUNTIF(HF$10:HF$29,"HO"))))</f>
        <v>5</v>
      </c>
      <c r="HG31" s="74" t="n">
        <f aca="false">IF(HG$5="","",IF(WEEKDAY(HG$5,2)&gt;5,"",IF(COUNTIF(Feiertage,HG$5)&gt;0,"",COUNTA(HG$10:HG$29)-COUNTIF(HG$10:HG$29,"HO"))))</f>
        <v>5</v>
      </c>
      <c r="HH31" s="74" t="n">
        <f aca="false">IF(HH$5="","",IF(WEEKDAY(HH$5,2)&gt;5,"",IF(COUNTIF(Feiertage,HH$5)&gt;0,"",COUNTA(HH$10:HH$29)-COUNTIF(HH$10:HH$29,"HO"))))</f>
        <v>5</v>
      </c>
      <c r="HI31" s="74" t="n">
        <f aca="false">IF(HI$5="","",IF(WEEKDAY(HI$5,2)&gt;5,"",IF(COUNTIF(Feiertage,HI$5)&gt;0,"",COUNTA(HI$10:HI$29)-COUNTIF(HI$10:HI$29,"HO"))))</f>
        <v>5</v>
      </c>
      <c r="HJ31" s="74" t="str">
        <f aca="false">IF(HJ$5="","",IF(WEEKDAY(HJ$5,2)&gt;5,"",IF(COUNTIF(Feiertage,HJ$5)&gt;0,"",COUNTA(HJ$10:HJ$29)-COUNTIF(HJ$10:HJ$29,"HO"))))</f>
        <v/>
      </c>
      <c r="HK31" s="74" t="str">
        <f aca="false">IF(HK$5="","",IF(WEEKDAY(HK$5,2)&gt;5,"",IF(COUNTIF(Feiertage,HK$5)&gt;0,"",COUNTA(HK$10:HK$29)-COUNTIF(HK$10:HK$29,"HO"))))</f>
        <v/>
      </c>
      <c r="HL31" s="74" t="n">
        <f aca="false">IF(HL$5="","",IF(WEEKDAY(HL$5,2)&gt;5,"",IF(COUNTIF(Feiertage,HL$5)&gt;0,"",COUNTA(HL$10:HL$29)-COUNTIF(HL$10:HL$29,"HO"))))</f>
        <v>3</v>
      </c>
      <c r="HM31" s="74" t="n">
        <f aca="false">IF(HM$5="","",IF(WEEKDAY(HM$5,2)&gt;5,"",IF(COUNTIF(Feiertage,HM$5)&gt;0,"",COUNTA(HM$10:HM$29)-COUNTIF(HM$10:HM$29,"HO"))))</f>
        <v>3</v>
      </c>
      <c r="HN31" s="74" t="n">
        <f aca="false">IF(HN$5="","",IF(WEEKDAY(HN$5,2)&gt;5,"",IF(COUNTIF(Feiertage,HN$5)&gt;0,"",COUNTA(HN$10:HN$29)-COUNTIF(HN$10:HN$29,"HO"))))</f>
        <v>3</v>
      </c>
      <c r="HO31" s="74" t="n">
        <f aca="false">IF(HO$5="","",IF(WEEKDAY(HO$5,2)&gt;5,"",IF(COUNTIF(Feiertage,HO$5)&gt;0,"",COUNTA(HO$10:HO$29)-COUNTIF(HO$10:HO$29,"HO"))))</f>
        <v>3</v>
      </c>
      <c r="HP31" s="74" t="n">
        <f aca="false">IF(HP$5="","",IF(WEEKDAY(HP$5,2)&gt;5,"",IF(COUNTIF(Feiertage,HP$5)&gt;0,"",COUNTA(HP$10:HP$29)-COUNTIF(HP$10:HP$29,"HO"))))</f>
        <v>3</v>
      </c>
      <c r="HQ31" s="74" t="str">
        <f aca="false">IF(HQ$5="","",IF(WEEKDAY(HQ$5,2)&gt;5,"",IF(COUNTIF(Feiertage,HQ$5)&gt;0,"",COUNTA(HQ$10:HQ$29)-COUNTIF(HQ$10:HQ$29,"HO"))))</f>
        <v/>
      </c>
      <c r="HR31" s="74" t="str">
        <f aca="false">IF(HR$5="","",IF(WEEKDAY(HR$5,2)&gt;5,"",IF(COUNTIF(Feiertage,HR$5)&gt;0,"",COUNTA(HR$10:HR$29)-COUNTIF(HR$10:HR$29,"HO"))))</f>
        <v/>
      </c>
      <c r="HS31" s="74" t="n">
        <f aca="false">IF(HS$5="","",IF(WEEKDAY(HS$5,2)&gt;5,"",IF(COUNTIF(Feiertage,HS$5)&gt;0,"",COUNTA(HS$10:HS$29)-COUNTIF(HS$10:HS$29,"HO"))))</f>
        <v>5</v>
      </c>
      <c r="HT31" s="74" t="n">
        <f aca="false">IF(HT$5="","",IF(WEEKDAY(HT$5,2)&gt;5,"",IF(COUNTIF(Feiertage,HT$5)&gt;0,"",COUNTA(HT$10:HT$29)-COUNTIF(HT$10:HT$29,"HO"))))</f>
        <v>5</v>
      </c>
      <c r="HU31" s="74" t="n">
        <f aca="false">IF(HU$5="","",IF(WEEKDAY(HU$5,2)&gt;5,"",IF(COUNTIF(Feiertage,HU$5)&gt;0,"",COUNTA(HU$10:HU$29)-COUNTIF(HU$10:HU$29,"HO"))))</f>
        <v>5</v>
      </c>
      <c r="HV31" s="74" t="n">
        <f aca="false">IF(HV$5="","",IF(WEEKDAY(HV$5,2)&gt;5,"",IF(COUNTIF(Feiertage,HV$5)&gt;0,"",COUNTA(HV$10:HV$29)-COUNTIF(HV$10:HV$29,"HO"))))</f>
        <v>5</v>
      </c>
      <c r="HW31" s="74" t="n">
        <f aca="false">IF(HW$5="","",IF(WEEKDAY(HW$5,2)&gt;5,"",IF(COUNTIF(Feiertage,HW$5)&gt;0,"",COUNTA(HW$10:HW$29)-COUNTIF(HW$10:HW$29,"HO"))))</f>
        <v>5</v>
      </c>
      <c r="HX31" s="74" t="str">
        <f aca="false">IF(HX$5="","",IF(WEEKDAY(HX$5,2)&gt;5,"",IF(COUNTIF(Feiertage,HX$5)&gt;0,"",COUNTA(HX$10:HX$29)-COUNTIF(HX$10:HX$29,"HO"))))</f>
        <v/>
      </c>
      <c r="HY31" s="74" t="str">
        <f aca="false">IF(HY$5="","",IF(WEEKDAY(HY$5,2)&gt;5,"",IF(COUNTIF(Feiertage,HY$5)&gt;0,"",COUNTA(HY$10:HY$29)-COUNTIF(HY$10:HY$29,"HO"))))</f>
        <v/>
      </c>
      <c r="HZ31" s="74" t="n">
        <f aca="false">IF(HZ$5="","",IF(WEEKDAY(HZ$5,2)&gt;5,"",IF(COUNTIF(Feiertage,HZ$5)&gt;0,"",COUNTA(HZ$10:HZ$29)-COUNTIF(HZ$10:HZ$29,"HO"))))</f>
        <v>4</v>
      </c>
      <c r="IA31" s="74" t="n">
        <f aca="false">IF(IA$5="","",IF(WEEKDAY(IA$5,2)&gt;5,"",IF(COUNTIF(Feiertage,IA$5)&gt;0,"",COUNTA(IA$10:IA$29)-COUNTIF(IA$10:IA$29,"HO"))))</f>
        <v>4</v>
      </c>
      <c r="IB31" s="74" t="n">
        <f aca="false">IF(IB$5="","",IF(WEEKDAY(IB$5,2)&gt;5,"",IF(COUNTIF(Feiertage,IB$5)&gt;0,"",COUNTA(IB$10:IB$29)-COUNTIF(IB$10:IB$29,"HO"))))</f>
        <v>4</v>
      </c>
      <c r="IC31" s="74" t="n">
        <f aca="false">IF(IC$5="","",IF(WEEKDAY(IC$5,2)&gt;5,"",IF(COUNTIF(Feiertage,IC$5)&gt;0,"",COUNTA(IC$10:IC$29)-COUNTIF(IC$10:IC$29,"HO"))))</f>
        <v>4</v>
      </c>
      <c r="ID31" s="74" t="n">
        <f aca="false">IF(ID$5="","",IF(WEEKDAY(ID$5,2)&gt;5,"",IF(COUNTIF(Feiertage,ID$5)&gt;0,"",COUNTA(ID$10:ID$29)-COUNTIF(ID$10:ID$29,"HO"))))</f>
        <v>4</v>
      </c>
      <c r="IE31" s="74" t="str">
        <f aca="false">IF(IE$5="","",IF(WEEKDAY(IE$5,2)&gt;5,"",IF(COUNTIF(Feiertage,IE$5)&gt;0,"",COUNTA(IE$10:IE$29)-COUNTIF(IE$10:IE$29,"HO"))))</f>
        <v/>
      </c>
      <c r="IF31" s="74" t="str">
        <f aca="false">IF(IF$5="","",IF(WEEKDAY(IF$5,2)&gt;5,"",IF(COUNTIF(Feiertage,IF$5)&gt;0,"",COUNTA(IF$10:IF$29)-COUNTIF(IF$10:IF$29,"HO"))))</f>
        <v/>
      </c>
      <c r="IG31" s="74" t="n">
        <f aca="false">IF(IG$5="","",IF(WEEKDAY(IG$5,2)&gt;5,"",IF(COUNTIF(Feiertage,IG$5)&gt;0,"",COUNTA(IG$10:IG$29)-COUNTIF(IG$10:IG$29,"HO"))))</f>
        <v>5</v>
      </c>
      <c r="IH31" s="74" t="n">
        <f aca="false">IF(IH$5="","",IF(WEEKDAY(IH$5,2)&gt;5,"",IF(COUNTIF(Feiertage,IH$5)&gt;0,"",COUNTA(IH$10:IH$29)-COUNTIF(IH$10:IH$29,"HO"))))</f>
        <v>5</v>
      </c>
      <c r="II31" s="74" t="n">
        <f aca="false">IF(II$5="","",IF(WEEKDAY(II$5,2)&gt;5,"",IF(COUNTIF(Feiertage,II$5)&gt;0,"",COUNTA(II$10:II$29)-COUNTIF(II$10:II$29,"HO"))))</f>
        <v>5</v>
      </c>
      <c r="IJ31" s="74" t="n">
        <f aca="false">IF(IJ$5="","",IF(WEEKDAY(IJ$5,2)&gt;5,"",IF(COUNTIF(Feiertage,IJ$5)&gt;0,"",COUNTA(IJ$10:IJ$29)-COUNTIF(IJ$10:IJ$29,"HO"))))</f>
        <v>5</v>
      </c>
      <c r="IK31" s="74" t="n">
        <f aca="false">IF(IK$5="","",IF(WEEKDAY(IK$5,2)&gt;5,"",IF(COUNTIF(Feiertage,IK$5)&gt;0,"",COUNTA(IK$10:IK$29)-COUNTIF(IK$10:IK$29,"HO"))))</f>
        <v>5</v>
      </c>
      <c r="IL31" s="74" t="str">
        <f aca="false">IF(IL$5="","",IF(WEEKDAY(IL$5,2)&gt;5,"",IF(COUNTIF(Feiertage,IL$5)&gt;0,"",COUNTA(IL$10:IL$29)-COUNTIF(IL$10:IL$29,"HO"))))</f>
        <v/>
      </c>
      <c r="IM31" s="74" t="str">
        <f aca="false">IF(IM$5="","",IF(WEEKDAY(IM$5,2)&gt;5,"",IF(COUNTIF(Feiertage,IM$5)&gt;0,"",COUNTA(IM$10:IM$29)-COUNTIF(IM$10:IM$29,"HO"))))</f>
        <v/>
      </c>
      <c r="IN31" s="74" t="n">
        <f aca="false">IF(IN$5="","",IF(WEEKDAY(IN$5,2)&gt;5,"",IF(COUNTIF(Feiertage,IN$5)&gt;0,"",COUNTA(IN$10:IN$29)-COUNTIF(IN$10:IN$29,"HO"))))</f>
        <v>5</v>
      </c>
      <c r="IO31" s="74" t="n">
        <f aca="false">IF(IO$5="","",IF(WEEKDAY(IO$5,2)&gt;5,"",IF(COUNTIF(Feiertage,IO$5)&gt;0,"",COUNTA(IO$10:IO$29)-COUNTIF(IO$10:IO$29,"HO"))))</f>
        <v>5</v>
      </c>
      <c r="IP31" s="74" t="n">
        <f aca="false">IF(IP$5="","",IF(WEEKDAY(IP$5,2)&gt;5,"",IF(COUNTIF(Feiertage,IP$5)&gt;0,"",COUNTA(IP$10:IP$29)-COUNTIF(IP$10:IP$29,"HO"))))</f>
        <v>5</v>
      </c>
      <c r="IQ31" s="74" t="n">
        <f aca="false">IF(IQ$5="","",IF(WEEKDAY(IQ$5,2)&gt;5,"",IF(COUNTIF(Feiertage,IQ$5)&gt;0,"",COUNTA(IQ$10:IQ$29)-COUNTIF(IQ$10:IQ$29,"HO"))))</f>
        <v>5</v>
      </c>
      <c r="IR31" s="74" t="n">
        <f aca="false">IF(IR$5="","",IF(WEEKDAY(IR$5,2)&gt;5,"",IF(COUNTIF(Feiertage,IR$5)&gt;0,"",COUNTA(IR$10:IR$29)-COUNTIF(IR$10:IR$29,"HO"))))</f>
        <v>5</v>
      </c>
      <c r="IS31" s="74" t="str">
        <f aca="false">IF(IS$5="","",IF(WEEKDAY(IS$5,2)&gt;5,"",IF(COUNTIF(Feiertage,IS$5)&gt;0,"",COUNTA(IS$10:IS$29)-COUNTIF(IS$10:IS$29,"HO"))))</f>
        <v/>
      </c>
      <c r="IT31" s="74" t="str">
        <f aca="false">IF(IT$5="","",IF(WEEKDAY(IT$5,2)&gt;5,"",IF(COUNTIF(Feiertage,IT$5)&gt;0,"",COUNTA(IT$10:IT$29)-COUNTIF(IT$10:IT$29,"HO"))))</f>
        <v/>
      </c>
      <c r="IU31" s="74" t="n">
        <f aca="false">IF(IU$5="","",IF(WEEKDAY(IU$5,2)&gt;5,"",IF(COUNTIF(Feiertage,IU$5)&gt;0,"",COUNTA(IU$10:IU$29)-COUNTIF(IU$10:IU$29,"HO"))))</f>
        <v>2</v>
      </c>
      <c r="IV31" s="74" t="n">
        <f aca="false">IF(IV$5="","",IF(WEEKDAY(IV$5,2)&gt;5,"",IF(COUNTIF(Feiertage,IV$5)&gt;0,"",COUNTA(IV$10:IV$29)-COUNTIF(IV$10:IV$29,"HO"))))</f>
        <v>2</v>
      </c>
      <c r="IW31" s="74" t="n">
        <f aca="false">IF(IW$5="","",IF(WEEKDAY(IW$5,2)&gt;5,"",IF(COUNTIF(Feiertage,IW$5)&gt;0,"",COUNTA(IW$10:IW$29)-COUNTIF(IW$10:IW$29,"HO"))))</f>
        <v>2</v>
      </c>
      <c r="IX31" s="74" t="n">
        <f aca="false">IF(IX$5="","",IF(WEEKDAY(IX$5,2)&gt;5,"",IF(COUNTIF(Feiertage,IX$5)&gt;0,"",COUNTA(IX$10:IX$29)-COUNTIF(IX$10:IX$29,"HO"))))</f>
        <v>2</v>
      </c>
      <c r="IY31" s="74" t="n">
        <f aca="false">IF(IY$5="","",IF(WEEKDAY(IY$5,2)&gt;5,"",IF(COUNTIF(Feiertage,IY$5)&gt;0,"",COUNTA(IY$10:IY$29)-COUNTIF(IY$10:IY$29,"HO"))))</f>
        <v>2</v>
      </c>
      <c r="IZ31" s="74" t="str">
        <f aca="false">IF(IZ$5="","",IF(WEEKDAY(IZ$5,2)&gt;5,"",IF(COUNTIF(Feiertage,IZ$5)&gt;0,"",COUNTA(IZ$10:IZ$29)-COUNTIF(IZ$10:IZ$29,"HO"))))</f>
        <v/>
      </c>
      <c r="JA31" s="74" t="str">
        <f aca="false">IF(JA$5="","",IF(WEEKDAY(JA$5,2)&gt;5,"",IF(COUNTIF(Feiertage,JA$5)&gt;0,"",COUNTA(JA$10:JA$29)-COUNTIF(JA$10:JA$29,"HO"))))</f>
        <v/>
      </c>
      <c r="JB31" s="74" t="n">
        <f aca="false">IF(JB$5="","",IF(WEEKDAY(JB$5,2)&gt;5,"",IF(COUNTIF(Feiertage,JB$5)&gt;0,"",COUNTA(JB$10:JB$29)-COUNTIF(JB$10:JB$29,"HO"))))</f>
        <v>0</v>
      </c>
      <c r="JC31" s="74" t="n">
        <f aca="false">IF(JC$5="","",IF(WEEKDAY(JC$5,2)&gt;5,"",IF(COUNTIF(Feiertage,JC$5)&gt;0,"",COUNTA(JC$10:JC$29)-COUNTIF(JC$10:JC$29,"HO"))))</f>
        <v>0</v>
      </c>
      <c r="JD31" s="74" t="n">
        <f aca="false">IF(JD$5="","",IF(WEEKDAY(JD$5,2)&gt;5,"",IF(COUNTIF(Feiertage,JD$5)&gt;0,"",COUNTA(JD$10:JD$29)-COUNTIF(JD$10:JD$29,"HO"))))</f>
        <v>0</v>
      </c>
      <c r="JE31" s="74" t="n">
        <f aca="false">IF(JE$5="","",IF(WEEKDAY(JE$5,2)&gt;5,"",IF(COUNTIF(Feiertage,JE$5)&gt;0,"",COUNTA(JE$10:JE$29)-COUNTIF(JE$10:JE$29,"HO"))))</f>
        <v>0</v>
      </c>
      <c r="JF31" s="74" t="n">
        <f aca="false">IF(JF$5="","",IF(WEEKDAY(JF$5,2)&gt;5,"",IF(COUNTIF(Feiertage,JF$5)&gt;0,"",COUNTA(JF$10:JF$29)-COUNTIF(JF$10:JF$29,"HO"))))</f>
        <v>0</v>
      </c>
      <c r="JG31" s="74" t="str">
        <f aca="false">IF(JG$5="","",IF(WEEKDAY(JG$5,2)&gt;5,"",IF(COUNTIF(Feiertage,JG$5)&gt;0,"",COUNTA(JG$10:JG$29)-COUNTIF(JG$10:JG$29,"HO"))))</f>
        <v/>
      </c>
      <c r="JH31" s="74" t="str">
        <f aca="false">IF(JH$5="","",IF(WEEKDAY(JH$5,2)&gt;5,"",IF(COUNTIF(Feiertage,JH$5)&gt;0,"",COUNTA(JH$10:JH$29)-COUNTIF(JH$10:JH$29,"HO"))))</f>
        <v/>
      </c>
      <c r="JI31" s="74" t="n">
        <f aca="false">IF(JI$5="","",IF(WEEKDAY(JI$5,2)&gt;5,"",IF(COUNTIF(Feiertage,JI$5)&gt;0,"",COUNTA(JI$10:JI$29)-COUNTIF(JI$10:JI$29,"HO"))))</f>
        <v>1</v>
      </c>
      <c r="JJ31" s="74" t="n">
        <f aca="false">IF(JJ$5="","",IF(WEEKDAY(JJ$5,2)&gt;5,"",IF(COUNTIF(Feiertage,JJ$5)&gt;0,"",COUNTA(JJ$10:JJ$29)-COUNTIF(JJ$10:JJ$29,"HO"))))</f>
        <v>1</v>
      </c>
      <c r="JK31" s="74" t="n">
        <f aca="false">IF(JK$5="","",IF(WEEKDAY(JK$5,2)&gt;5,"",IF(COUNTIF(Feiertage,JK$5)&gt;0,"",COUNTA(JK$10:JK$29)-COUNTIF(JK$10:JK$29,"HO"))))</f>
        <v>1</v>
      </c>
      <c r="JL31" s="74" t="n">
        <f aca="false">IF(JL$5="","",IF(WEEKDAY(JL$5,2)&gt;5,"",IF(COUNTIF(Feiertage,JL$5)&gt;0,"",COUNTA(JL$10:JL$29)-COUNTIF(JL$10:JL$29,"HO"))))</f>
        <v>1</v>
      </c>
      <c r="JM31" s="74" t="n">
        <f aca="false">IF(JM$5="","",IF(WEEKDAY(JM$5,2)&gt;5,"",IF(COUNTIF(Feiertage,JM$5)&gt;0,"",COUNTA(JM$10:JM$29)-COUNTIF(JM$10:JM$29,"HO"))))</f>
        <v>2</v>
      </c>
      <c r="JN31" s="74" t="str">
        <f aca="false">IF(JN$5="","",IF(WEEKDAY(JN$5,2)&gt;5,"",IF(COUNTIF(Feiertage,JN$5)&gt;0,"",COUNTA(JN$10:JN$29)-COUNTIF(JN$10:JN$29,"HO"))))</f>
        <v/>
      </c>
      <c r="JO31" s="74" t="str">
        <f aca="false">IF(JO$5="","",IF(WEEKDAY(JO$5,2)&gt;5,"",IF(COUNTIF(Feiertage,JO$5)&gt;0,"",COUNTA(JO$10:JO$29)-COUNTIF(JO$10:JO$29,"HO"))))</f>
        <v/>
      </c>
      <c r="JP31" s="74" t="n">
        <f aca="false">IF(JP$5="","",IF(WEEKDAY(JP$5,2)&gt;5,"",IF(COUNTIF(Feiertage,JP$5)&gt;0,"",COUNTA(JP$10:JP$29)-COUNTIF(JP$10:JP$29,"HO"))))</f>
        <v>1</v>
      </c>
      <c r="JQ31" s="74" t="n">
        <f aca="false">IF(JQ$5="","",IF(WEEKDAY(JQ$5,2)&gt;5,"",IF(COUNTIF(Feiertage,JQ$5)&gt;0,"",COUNTA(JQ$10:JQ$29)-COUNTIF(JQ$10:JQ$29,"HO"))))</f>
        <v>1</v>
      </c>
      <c r="JR31" s="74" t="n">
        <f aca="false">IF(JR$5="","",IF(WEEKDAY(JR$5,2)&gt;5,"",IF(COUNTIF(Feiertage,JR$5)&gt;0,"",COUNTA(JR$10:JR$29)-COUNTIF(JR$10:JR$29,"HO"))))</f>
        <v>0</v>
      </c>
      <c r="JS31" s="74" t="n">
        <f aca="false">IF(JS$5="","",IF(WEEKDAY(JS$5,2)&gt;5,"",IF(COUNTIF(Feiertage,JS$5)&gt;0,"",COUNTA(JS$10:JS$29)-COUNTIF(JS$10:JS$29,"HO"))))</f>
        <v>1</v>
      </c>
      <c r="JT31" s="74" t="n">
        <f aca="false">IF(JT$5="","",IF(WEEKDAY(JT$5,2)&gt;5,"",IF(COUNTIF(Feiertage,JT$5)&gt;0,"",COUNTA(JT$10:JT$29)-COUNTIF(JT$10:JT$29,"HO"))))</f>
        <v>1</v>
      </c>
      <c r="JU31" s="74" t="str">
        <f aca="false">IF(JU$5="","",IF(WEEKDAY(JU$5,2)&gt;5,"",IF(COUNTIF(Feiertage,JU$5)&gt;0,"",COUNTA(JU$10:JU$29)-COUNTIF(JU$10:JU$29,"HO"))))</f>
        <v/>
      </c>
      <c r="JV31" s="74" t="str">
        <f aca="false">IF(JV$5="","",IF(WEEKDAY(JV$5,2)&gt;5,"",IF(COUNTIF(Feiertage,JV$5)&gt;0,"",COUNTA(JV$10:JV$29)-COUNTIF(JV$10:JV$29,"HO"))))</f>
        <v/>
      </c>
      <c r="JW31" s="74" t="n">
        <f aca="false">IF(JW$5="","",IF(WEEKDAY(JW$5,2)&gt;5,"",IF(COUNTIF(Feiertage,JW$5)&gt;0,"",COUNTA(JW$10:JW$29)-COUNTIF(JW$10:JW$29,"HO"))))</f>
        <v>1</v>
      </c>
      <c r="JX31" s="74" t="n">
        <f aca="false">IF(JX$5="","",IF(WEEKDAY(JX$5,2)&gt;5,"",IF(COUNTIF(Feiertage,JX$5)&gt;0,"",COUNTA(JX$10:JX$29)-COUNTIF(JX$10:JX$29,"HO"))))</f>
        <v>1</v>
      </c>
      <c r="JY31" s="74" t="n">
        <f aca="false">IF(JY$5="","",IF(WEEKDAY(JY$5,2)&gt;5,"",IF(COUNTIF(Feiertage,JY$5)&gt;0,"",COUNTA(JY$10:JY$29)-COUNTIF(JY$10:JY$29,"HO"))))</f>
        <v>1</v>
      </c>
      <c r="JZ31" s="74" t="str">
        <f aca="false">IF(JZ$5="","",IF(WEEKDAY(JZ$5,2)&gt;5,"",IF(COUNTIF(Feiertage,JZ$5)&gt;0,"",COUNTA(JZ$10:JZ$29)-COUNTIF(JZ$10:JZ$29,"HO"))))</f>
        <v/>
      </c>
      <c r="KA31" s="74" t="n">
        <f aca="false">IF(KA$5="","",IF(WEEKDAY(KA$5,2)&gt;5,"",IF(COUNTIF(Feiertage,KA$5)&gt;0,"",COUNTA(KA$10:KA$29)-COUNTIF(KA$10:KA$29,"HO"))))</f>
        <v>2</v>
      </c>
      <c r="KB31" s="74" t="n">
        <f aca="false">IF(KB$5="","",IF(WEEKDAY(KB$5,2)&gt;5,"",IF(COUNTIF(Feiertage,KB$5)&gt;0,"",COUNTA(KB$10:KB$29)-COUNTIF(KB$10:KB$29,"HO"))))</f>
        <v>2</v>
      </c>
      <c r="KC31" s="74" t="str">
        <f aca="false">IF(KC$5="","",IF(WEEKDAY(KC$5,2)&gt;5,"",IF(COUNTIF(Feiertage,KC$5)&gt;0,"",COUNTA(KC$10:KC$29)-COUNTIF(KC$10:KC$29,"HO"))))</f>
        <v/>
      </c>
      <c r="KD31" s="74" t="str">
        <f aca="false">IF(KD$5="","",IF(WEEKDAY(KD$5,2)&gt;5,"",IF(COUNTIF(Feiertage,KD$5)&gt;0,"",COUNTA(KD$10:KD$29)-COUNTIF(KD$10:KD$29,"HO"))))</f>
        <v/>
      </c>
      <c r="KE31" s="74" t="n">
        <f aca="false">IF(KE$5="","",IF(WEEKDAY(KE$5,2)&gt;5,"",IF(COUNTIF(Feiertage,KE$5)&gt;0,"",COUNTA(KE$10:KE$29)-COUNTIF(KE$10:KE$29,"HO"))))</f>
        <v>2</v>
      </c>
      <c r="KF31" s="74" t="n">
        <f aca="false">IF(KF$5="","",IF(WEEKDAY(KF$5,2)&gt;5,"",IF(COUNTIF(Feiertage,KF$5)&gt;0,"",COUNTA(KF$10:KF$29)-COUNTIF(KF$10:KF$29,"HO"))))</f>
        <v>2</v>
      </c>
      <c r="KG31" s="74" t="n">
        <f aca="false">IF(KG$5="","",IF(WEEKDAY(KG$5,2)&gt;5,"",IF(COUNTIF(Feiertage,KG$5)&gt;0,"",COUNTA(KG$10:KG$29)-COUNTIF(KG$10:KG$29,"HO"))))</f>
        <v>2</v>
      </c>
      <c r="KH31" s="74" t="n">
        <f aca="false">IF(KH$5="","",IF(WEEKDAY(KH$5,2)&gt;5,"",IF(COUNTIF(Feiertage,KH$5)&gt;0,"",COUNTA(KH$10:KH$29)-COUNTIF(KH$10:KH$29,"HO"))))</f>
        <v>3</v>
      </c>
      <c r="KI31" s="74" t="n">
        <f aca="false">IF(KI$5="","",IF(WEEKDAY(KI$5,2)&gt;5,"",IF(COUNTIF(Feiertage,KI$5)&gt;0,"",COUNTA(KI$10:KI$29)-COUNTIF(KI$10:KI$29,"HO"))))</f>
        <v>3</v>
      </c>
      <c r="KJ31" s="74" t="str">
        <f aca="false">IF(KJ$5="","",IF(WEEKDAY(KJ$5,2)&gt;5,"",IF(COUNTIF(Feiertage,KJ$5)&gt;0,"",COUNTA(KJ$10:KJ$29)-COUNTIF(KJ$10:KJ$29,"HO"))))</f>
        <v/>
      </c>
      <c r="KK31" s="74" t="str">
        <f aca="false">IF(KK$5="","",IF(WEEKDAY(KK$5,2)&gt;5,"",IF(COUNTIF(Feiertage,KK$5)&gt;0,"",COUNTA(KK$10:KK$29)-COUNTIF(KK$10:KK$29,"HO"))))</f>
        <v/>
      </c>
      <c r="KL31" s="74" t="n">
        <f aca="false">IF(KL$5="","",IF(WEEKDAY(KL$5,2)&gt;5,"",IF(COUNTIF(Feiertage,KL$5)&gt;0,"",COUNTA(KL$10:KL$29)-COUNTIF(KL$10:KL$29,"HO"))))</f>
        <v>2</v>
      </c>
      <c r="KM31" s="74" t="n">
        <f aca="false">IF(KM$5="","",IF(WEEKDAY(KM$5,2)&gt;5,"",IF(COUNTIF(Feiertage,KM$5)&gt;0,"",COUNTA(KM$10:KM$29)-COUNTIF(KM$10:KM$29,"HO"))))</f>
        <v>2</v>
      </c>
      <c r="KN31" s="74" t="n">
        <f aca="false">IF(KN$5="","",IF(WEEKDAY(KN$5,2)&gt;5,"",IF(COUNTIF(Feiertage,KN$5)&gt;0,"",COUNTA(KN$10:KN$29)-COUNTIF(KN$10:KN$29,"HO"))))</f>
        <v>2</v>
      </c>
      <c r="KO31" s="74" t="n">
        <f aca="false">IF(KO$5="","",IF(WEEKDAY(KO$5,2)&gt;5,"",IF(COUNTIF(Feiertage,KO$5)&gt;0,"",COUNTA(KO$10:KO$29)-COUNTIF(KO$10:KO$29,"HO"))))</f>
        <v>2</v>
      </c>
      <c r="KP31" s="74" t="n">
        <f aca="false">IF(KP$5="","",IF(WEEKDAY(KP$5,2)&gt;5,"",IF(COUNTIF(Feiertage,KP$5)&gt;0,"",COUNTA(KP$10:KP$29)-COUNTIF(KP$10:KP$29,"HO"))))</f>
        <v>2</v>
      </c>
      <c r="KQ31" s="74" t="str">
        <f aca="false">IF(KQ$5="","",IF(WEEKDAY(KQ$5,2)&gt;5,"",IF(COUNTIF(Feiertage,KQ$5)&gt;0,"",COUNTA(KQ$10:KQ$29)-COUNTIF(KQ$10:KQ$29,"HO"))))</f>
        <v/>
      </c>
      <c r="KR31" s="74" t="str">
        <f aca="false">IF(KR$5="","",IF(WEEKDAY(KR$5,2)&gt;5,"",IF(COUNTIF(Feiertage,KR$5)&gt;0,"",COUNTA(KR$10:KR$29)-COUNTIF(KR$10:KR$29,"HO"))))</f>
        <v/>
      </c>
      <c r="KS31" s="74" t="n">
        <f aca="false">IF(KS$5="","",IF(WEEKDAY(KS$5,2)&gt;5,"",IF(COUNTIF(Feiertage,KS$5)&gt;0,"",COUNTA(KS$10:KS$29)-COUNTIF(KS$10:KS$29,"HO"))))</f>
        <v>2</v>
      </c>
      <c r="KT31" s="74" t="n">
        <f aca="false">IF(KT$5="","",IF(WEEKDAY(KT$5,2)&gt;5,"",IF(COUNTIF(Feiertage,KT$5)&gt;0,"",COUNTA(KT$10:KT$29)-COUNTIF(KT$10:KT$29,"HO"))))</f>
        <v>2</v>
      </c>
      <c r="KU31" s="74" t="n">
        <f aca="false">IF(KU$5="","",IF(WEEKDAY(KU$5,2)&gt;5,"",IF(COUNTIF(Feiertage,KU$5)&gt;0,"",COUNTA(KU$10:KU$29)-COUNTIF(KU$10:KU$29,"HO"))))</f>
        <v>2</v>
      </c>
      <c r="KV31" s="74" t="n">
        <f aca="false">IF(KV$5="","",IF(WEEKDAY(KV$5,2)&gt;5,"",IF(COUNTIF(Feiertage,KV$5)&gt;0,"",COUNTA(KV$10:KV$29)-COUNTIF(KV$10:KV$29,"HO"))))</f>
        <v>2</v>
      </c>
      <c r="KW31" s="74" t="n">
        <f aca="false">IF(KW$5="","",IF(WEEKDAY(KW$5,2)&gt;5,"",IF(COUNTIF(Feiertage,KW$5)&gt;0,"",COUNTA(KW$10:KW$29)-COUNTIF(KW$10:KW$29,"HO"))))</f>
        <v>2</v>
      </c>
      <c r="KX31" s="74" t="str">
        <f aca="false">IF(KX$5="","",IF(WEEKDAY(KX$5,2)&gt;5,"",IF(COUNTIF(Feiertage,KX$5)&gt;0,"",COUNTA(KX$10:KX$29)-COUNTIF(KX$10:KX$29,"HO"))))</f>
        <v/>
      </c>
      <c r="KY31" s="74" t="str">
        <f aca="false">IF(KY$5="","",IF(WEEKDAY(KY$5,2)&gt;5,"",IF(COUNTIF(Feiertage,KY$5)&gt;0,"",COUNTA(KY$10:KY$29)-COUNTIF(KY$10:KY$29,"HO"))))</f>
        <v/>
      </c>
      <c r="KZ31" s="74" t="n">
        <f aca="false">IF(KZ$5="","",IF(WEEKDAY(KZ$5,2)&gt;5,"",IF(COUNTIF(Feiertage,KZ$5)&gt;0,"",COUNTA(KZ$10:KZ$29)-COUNTIF(KZ$10:KZ$29,"HO"))))</f>
        <v>2</v>
      </c>
      <c r="LA31" s="74" t="n">
        <f aca="false">IF(LA$5="","",IF(WEEKDAY(LA$5,2)&gt;5,"",IF(COUNTIF(Feiertage,LA$5)&gt;0,"",COUNTA(LA$10:LA$29)-COUNTIF(LA$10:LA$29,"HO"))))</f>
        <v>2</v>
      </c>
      <c r="LB31" s="74" t="n">
        <f aca="false">IF(LB$5="","",IF(WEEKDAY(LB$5,2)&gt;5,"",IF(COUNTIF(Feiertage,LB$5)&gt;0,"",COUNTA(LB$10:LB$29)-COUNTIF(LB$10:LB$29,"HO"))))</f>
        <v>2</v>
      </c>
      <c r="LC31" s="74" t="n">
        <f aca="false">IF(LC$5="","",IF(WEEKDAY(LC$5,2)&gt;5,"",IF(COUNTIF(Feiertage,LC$5)&gt;0,"",COUNTA(LC$10:LC$29)-COUNTIF(LC$10:LC$29,"HO"))))</f>
        <v>2</v>
      </c>
      <c r="LD31" s="74" t="n">
        <f aca="false">IF(LD$5="","",IF(WEEKDAY(LD$5,2)&gt;5,"",IF(COUNTIF(Feiertage,LD$5)&gt;0,"",COUNTA(LD$10:LD$29)-COUNTIF(LD$10:LD$29,"HO"))))</f>
        <v>2</v>
      </c>
      <c r="LE31" s="74" t="str">
        <f aca="false">IF(LE$5="","",IF(WEEKDAY(LE$5,2)&gt;5,"",IF(COUNTIF(Feiertage,LE$5)&gt;0,"",COUNTA(LE$10:LE$29)-COUNTIF(LE$10:LE$29,"HO"))))</f>
        <v/>
      </c>
      <c r="LF31" s="74" t="str">
        <f aca="false">IF(LF$5="","",IF(WEEKDAY(LF$5,2)&gt;5,"",IF(COUNTIF(Feiertage,LF$5)&gt;0,"",COUNTA(LF$10:LF$29)-COUNTIF(LF$10:LF$29,"HO"))))</f>
        <v/>
      </c>
      <c r="LG31" s="74" t="n">
        <f aca="false">IF(LG$5="","",IF(WEEKDAY(LG$5,2)&gt;5,"",IF(COUNTIF(Feiertage,LG$5)&gt;0,"",COUNTA(LG$10:LG$29)-COUNTIF(LG$10:LG$29,"HO"))))</f>
        <v>2</v>
      </c>
      <c r="LH31" s="74" t="n">
        <f aca="false">IF(LH$5="","",IF(WEEKDAY(LH$5,2)&gt;5,"",IF(COUNTIF(Feiertage,LH$5)&gt;0,"",COUNTA(LH$10:LH$29)-COUNTIF(LH$10:LH$29,"HO"))))</f>
        <v>2</v>
      </c>
      <c r="LI31" s="74" t="n">
        <f aca="false">IF(LI$5="","",IF(WEEKDAY(LI$5,2)&gt;5,"",IF(COUNTIF(Feiertage,LI$5)&gt;0,"",COUNTA(LI$10:LI$29)-COUNTIF(LI$10:LI$29,"HO"))))</f>
        <v>2</v>
      </c>
      <c r="LJ31" s="74" t="n">
        <f aca="false">IF(LJ$5="","",IF(WEEKDAY(LJ$5,2)&gt;5,"",IF(COUNTIF(Feiertage,LJ$5)&gt;0,"",COUNTA(LJ$10:LJ$29)-COUNTIF(LJ$10:LJ$29,"HO"))))</f>
        <v>2</v>
      </c>
      <c r="LK31" s="74" t="n">
        <f aca="false">IF(LK$5="","",IF(WEEKDAY(LK$5,2)&gt;5,"",IF(COUNTIF(Feiertage,LK$5)&gt;0,"",COUNTA(LK$10:LK$29)-COUNTIF(LK$10:LK$29,"HO"))))</f>
        <v>2</v>
      </c>
      <c r="LL31" s="74" t="str">
        <f aca="false">IF(LL$5="","",IF(WEEKDAY(LL$5,2)&gt;5,"",IF(COUNTIF(Feiertage,LL$5)&gt;0,"",COUNTA(LL$10:LL$29)-COUNTIF(LL$10:LL$29,"HO"))))</f>
        <v/>
      </c>
      <c r="LM31" s="74" t="str">
        <f aca="false">IF(LM$5="","",IF(WEEKDAY(LM$5,2)&gt;5,"",IF(COUNTIF(Feiertage,LM$5)&gt;0,"",COUNTA(LM$10:LM$29)-COUNTIF(LM$10:LM$29,"HO"))))</f>
        <v/>
      </c>
      <c r="LN31" s="74" t="n">
        <f aca="false">IF(LN$5="","",IF(WEEKDAY(LN$5,2)&gt;5,"",IF(COUNTIF(Feiertage,LN$5)&gt;0,"",COUNTA(LN$10:LN$29)-COUNTIF(LN$10:LN$29,"HO"))))</f>
        <v>3</v>
      </c>
      <c r="LO31" s="74" t="n">
        <f aca="false">IF(LO$5="","",IF(WEEKDAY(LO$5,2)&gt;5,"",IF(COUNTIF(Feiertage,LO$5)&gt;0,"",COUNTA(LO$10:LO$29)-COUNTIF(LO$10:LO$29,"HO"))))</f>
        <v>2</v>
      </c>
      <c r="LP31" s="74" t="n">
        <f aca="false">IF(LP$5="","",IF(WEEKDAY(LP$5,2)&gt;5,"",IF(COUNTIF(Feiertage,LP$5)&gt;0,"",COUNTA(LP$10:LP$29)-COUNTIF(LP$10:LP$29,"HO"))))</f>
        <v>2</v>
      </c>
      <c r="LQ31" s="74" t="n">
        <f aca="false">IF(LQ$5="","",IF(WEEKDAY(LQ$5,2)&gt;5,"",IF(COUNTIF(Feiertage,LQ$5)&gt;0,"",COUNTA(LQ$10:LQ$29)-COUNTIF(LQ$10:LQ$29,"HO"))))</f>
        <v>2</v>
      </c>
      <c r="LR31" s="74" t="n">
        <f aca="false">IF(LR$5="","",IF(WEEKDAY(LR$5,2)&gt;5,"",IF(COUNTIF(Feiertage,LR$5)&gt;0,"",COUNTA(LR$10:LR$29)-COUNTIF(LR$10:LR$29,"HO"))))</f>
        <v>2</v>
      </c>
      <c r="LS31" s="74" t="str">
        <f aca="false">IF(LS$5="","",IF(WEEKDAY(LS$5,2)&gt;5,"",IF(COUNTIF(Feiertage,LS$5)&gt;0,"",COUNTA(LS$10:LS$29)-COUNTIF(LS$10:LS$29,"HO"))))</f>
        <v/>
      </c>
      <c r="LT31" s="74" t="str">
        <f aca="false">IF(LT$5="","",IF(WEEKDAY(LT$5,2)&gt;5,"",IF(COUNTIF(Feiertage,LT$5)&gt;0,"",COUNTA(LT$10:LT$29)-COUNTIF(LT$10:LT$29,"HO"))))</f>
        <v/>
      </c>
      <c r="LU31" s="74" t="n">
        <f aca="false">IF(LU$5="","",IF(WEEKDAY(LU$5,2)&gt;5,"",IF(COUNTIF(Feiertage,LU$5)&gt;0,"",COUNTA(LU$10:LU$29)-COUNTIF(LU$10:LU$29,"HO"))))</f>
        <v>1</v>
      </c>
      <c r="LV31" s="74" t="n">
        <f aca="false">IF(LV$5="","",IF(WEEKDAY(LV$5,2)&gt;5,"",IF(COUNTIF(Feiertage,LV$5)&gt;0,"",COUNTA(LV$10:LV$29)-COUNTIF(LV$10:LV$29,"HO"))))</f>
        <v>1</v>
      </c>
      <c r="LW31" s="74" t="n">
        <f aca="false">IF(LW$5="","",IF(WEEKDAY(LW$5,2)&gt;5,"",IF(COUNTIF(Feiertage,LW$5)&gt;0,"",COUNTA(LW$10:LW$29)-COUNTIF(LW$10:LW$29,"HO"))))</f>
        <v>1</v>
      </c>
      <c r="LX31" s="74" t="n">
        <f aca="false">IF(LX$5="","",IF(WEEKDAY(LX$5,2)&gt;5,"",IF(COUNTIF(Feiertage,LX$5)&gt;0,"",COUNTA(LX$10:LX$29)-COUNTIF(LX$10:LX$29,"HO"))))</f>
        <v>1</v>
      </c>
      <c r="LY31" s="74" t="n">
        <f aca="false">IF(LY$5="","",IF(WEEKDAY(LY$5,2)&gt;5,"",IF(COUNTIF(Feiertage,LY$5)&gt;0,"",COUNTA(LY$10:LY$29)-COUNTIF(LY$10:LY$29,"HO"))))</f>
        <v>1</v>
      </c>
      <c r="LZ31" s="74" t="str">
        <f aca="false">IF(LZ$5="","",IF(WEEKDAY(LZ$5,2)&gt;5,"",IF(COUNTIF(Feiertage,LZ$5)&gt;0,"",COUNTA(LZ$10:LZ$29)-COUNTIF(LZ$10:LZ$29,"HO"))))</f>
        <v/>
      </c>
      <c r="MA31" s="74" t="str">
        <f aca="false">IF(MA$5="","",IF(WEEKDAY(MA$5,2)&gt;5,"",IF(COUNTIF(Feiertage,MA$5)&gt;0,"",COUNTA(MA$10:MA$29)-COUNTIF(MA$10:MA$29,"HO"))))</f>
        <v/>
      </c>
      <c r="MB31" s="74" t="n">
        <f aca="false">IF(MB$5="","",IF(WEEKDAY(MB$5,2)&gt;5,"",IF(COUNTIF(Feiertage,MB$5)&gt;0,"",COUNTA(MB$10:MB$29)-COUNTIF(MB$10:MB$29,"HO"))))</f>
        <v>0</v>
      </c>
      <c r="MC31" s="74" t="n">
        <f aca="false">IF(MC$5="","",IF(WEEKDAY(MC$5,2)&gt;5,"",IF(COUNTIF(Feiertage,MC$5)&gt;0,"",COUNTA(MC$10:MC$29)-COUNTIF(MC$10:MC$29,"HO"))))</f>
        <v>0</v>
      </c>
      <c r="MD31" s="74" t="n">
        <f aca="false">IF(MD$5="","",IF(WEEKDAY(MD$5,2)&gt;5,"",IF(COUNTIF(Feiertage,MD$5)&gt;0,"",COUNTA(MD$10:MD$29)-COUNTIF(MD$10:MD$29,"HO"))))</f>
        <v>0</v>
      </c>
      <c r="ME31" s="74" t="n">
        <f aca="false">IF(ME$5="","",IF(WEEKDAY(ME$5,2)&gt;5,"",IF(COUNTIF(Feiertage,ME$5)&gt;0,"",COUNTA(ME$10:ME$29)-COUNTIF(ME$10:ME$29,"HO"))))</f>
        <v>0</v>
      </c>
      <c r="MF31" s="74" t="n">
        <f aca="false">IF(MF$5="","",IF(WEEKDAY(MF$5,2)&gt;5,"",IF(COUNTIF(Feiertage,MF$5)&gt;0,"",COUNTA(MF$10:MF$29)-COUNTIF(MF$10:MF$29,"HO"))))</f>
        <v>0</v>
      </c>
      <c r="MG31" s="74" t="str">
        <f aca="false">IF(MG$5="","",IF(WEEKDAY(MG$5,2)&gt;5,"",IF(COUNTIF(Feiertage,MG$5)&gt;0,"",COUNTA(MG$10:MG$29)-COUNTIF(MG$10:MG$29,"HO"))))</f>
        <v/>
      </c>
      <c r="MH31" s="74" t="str">
        <f aca="false">IF(MH$5="","",IF(WEEKDAY(MH$5,2)&gt;5,"",IF(COUNTIF(Feiertage,MH$5)&gt;0,"",COUNTA(MH$10:MH$29)-COUNTIF(MH$10:MH$29,"HO"))))</f>
        <v/>
      </c>
      <c r="MI31" s="74" t="n">
        <f aca="false">IF(MI$5="","",IF(WEEKDAY(MI$5,2)&gt;5,"",IF(COUNTIF(Feiertage,MI$5)&gt;0,"",COUNTA(MI$10:MI$29)-COUNTIF(MI$10:MI$29,"HO"))))</f>
        <v>0</v>
      </c>
      <c r="MJ31" s="74" t="str">
        <f aca="false">IF(MJ$5="","",IF(WEEKDAY(MJ$5,2)&gt;5,"",IF(COUNTIF(Feiertage,MJ$5)&gt;0,"",COUNTA(MJ$10:MJ$29)-COUNTIF(MJ$10:MJ$29,"HO"))))</f>
        <v/>
      </c>
      <c r="MK31" s="74" t="n">
        <f aca="false">IF(MK$5="","",IF(WEEKDAY(MK$5,2)&gt;5,"",IF(COUNTIF(Feiertage,MK$5)&gt;0,"",COUNTA(MK$10:MK$29)-COUNTIF(MK$10:MK$29,"HO"))))</f>
        <v>0</v>
      </c>
      <c r="ML31" s="74" t="n">
        <f aca="false">IF(ML$5="","",IF(WEEKDAY(ML$5,2)&gt;5,"",IF(COUNTIF(Feiertage,ML$5)&gt;0,"",COUNTA(ML$10:ML$29)-COUNTIF(ML$10:ML$29,"HO"))))</f>
        <v>0</v>
      </c>
      <c r="MM31" s="74" t="n">
        <f aca="false">IF(MM$5="","",IF(WEEKDAY(MM$5,2)&gt;5,"",IF(COUNTIF(Feiertage,MM$5)&gt;0,"",COUNTA(MM$10:MM$29)-COUNTIF(MM$10:MM$29,"HO"))))</f>
        <v>0</v>
      </c>
      <c r="MN31" s="74" t="n">
        <f aca="false">IF(MN$5="","",IF(WEEKDAY(MN$5,2)&gt;5,"",IF(COUNTIF(Feiertage,MN$5)&gt;0,"",COUNTA(MN$10:MN$29)-COUNTIF(MN$10:MN$29,"HO"))))</f>
        <v>0</v>
      </c>
      <c r="MO31" s="74" t="str">
        <f aca="false">IF(MO$5="","",IF(WEEKDAY(MO$5,2)&gt;5,"",IF(COUNTIF(Feiertage,MO$5)&gt;0,"",COUNTA(MO$10:MO$29)-COUNTIF(MO$10:MO$29,"HO"))))</f>
        <v/>
      </c>
      <c r="MP31" s="74" t="str">
        <f aca="false">IF(MP$5="","",IF(WEEKDAY(MP$5,2)&gt;5,"",IF(COUNTIF(Feiertage,MP$5)&gt;0,"",COUNTA(MP$10:MP$29)-COUNTIF(MP$10:MP$29,"HO"))))</f>
        <v/>
      </c>
      <c r="MQ31" s="74" t="n">
        <f aca="false">IF(MQ$5="","",IF(WEEKDAY(MQ$5,2)&gt;5,"",IF(COUNTIF(Feiertage,MQ$5)&gt;0,"",COUNTA(MQ$10:MQ$29)-COUNTIF(MQ$10:MQ$29,"HO"))))</f>
        <v>0</v>
      </c>
      <c r="MR31" s="74" t="n">
        <f aca="false">IF(MR$5="","",IF(WEEKDAY(MR$5,2)&gt;5,"",IF(COUNTIF(Feiertage,MR$5)&gt;0,"",COUNTA(MR$10:MR$29)-COUNTIF(MR$10:MR$29,"HO"))))</f>
        <v>0</v>
      </c>
      <c r="MS31" s="74" t="n">
        <f aca="false">IF(MS$5="","",IF(WEEKDAY(MS$5,2)&gt;5,"",IF(COUNTIF(Feiertage,MS$5)&gt;0,"",COUNTA(MS$10:MS$29)-COUNTIF(MS$10:MS$29,"HO"))))</f>
        <v>0</v>
      </c>
      <c r="MT31" s="74" t="n">
        <f aca="false">IF(MT$5="","",IF(WEEKDAY(MT$5,2)&gt;5,"",IF(COUNTIF(Feiertage,MT$5)&gt;0,"",COUNTA(MT$10:MT$29)-COUNTIF(MT$10:MT$29,"HO"))))</f>
        <v>0</v>
      </c>
      <c r="MU31" s="74" t="n">
        <f aca="false">IF(MU$5="","",IF(WEEKDAY(MU$5,2)&gt;5,"",IF(COUNTIF(Feiertage,MU$5)&gt;0,"",COUNTA(MU$10:MU$29)-COUNTIF(MU$10:MU$29,"HO"))))</f>
        <v>0</v>
      </c>
      <c r="MV31" s="74" t="str">
        <f aca="false">IF(MV$5="","",IF(WEEKDAY(MV$5,2)&gt;5,"",IF(COUNTIF(Feiertage,MV$5)&gt;0,"",COUNTA(MV$10:MV$29)-COUNTIF(MV$10:MV$29,"HO"))))</f>
        <v/>
      </c>
      <c r="MW31" s="74" t="str">
        <f aca="false">IF(MW$5="","",IF(WEEKDAY(MW$5,2)&gt;5,"",IF(COUNTIF(Feiertage,MW$5)&gt;0,"",COUNTA(MW$10:MW$29)-COUNTIF(MW$10:MW$29,"HO"))))</f>
        <v/>
      </c>
      <c r="MX31" s="74" t="n">
        <f aca="false">IF(MX$5="","",IF(WEEKDAY(MX$5,2)&gt;5,"",IF(COUNTIF(Feiertage,MX$5)&gt;0,"",COUNTA(MX$10:MX$29)-COUNTIF(MX$10:MX$29,"HO"))))</f>
        <v>0</v>
      </c>
      <c r="MY31" s="74" t="n">
        <f aca="false">IF(MY$5="","",IF(WEEKDAY(MY$5,2)&gt;5,"",IF(COUNTIF(Feiertage,MY$5)&gt;0,"",COUNTA(MY$10:MY$29)-COUNTIF(MY$10:MY$29,"HO"))))</f>
        <v>0</v>
      </c>
      <c r="MZ31" s="74" t="n">
        <f aca="false">IF(MZ$5="","",IF(WEEKDAY(MZ$5,2)&gt;5,"",IF(COUNTIF(Feiertage,MZ$5)&gt;0,"",COUNTA(MZ$10:MZ$29)-COUNTIF(MZ$10:MZ$29,"HO"))))</f>
        <v>0</v>
      </c>
      <c r="NA31" s="74" t="n">
        <f aca="false">IF(NA$5="","",IF(WEEKDAY(NA$5,2)&gt;5,"",IF(COUNTIF(Feiertage,NA$5)&gt;0,"",COUNTA(NA$10:NA$29)-COUNTIF(NA$10:NA$29,"HO"))))</f>
        <v>0</v>
      </c>
      <c r="NB31" s="74" t="n">
        <f aca="false">IF(NB$5="","",IF(WEEKDAY(NB$5,2)&gt;5,"",IF(COUNTIF(Feiertage,NB$5)&gt;0,"",COUNTA(NB$10:NB$29)-COUNTIF(NB$10:NB$29,"HO"))))</f>
        <v>0</v>
      </c>
      <c r="NC31" s="74" t="str">
        <f aca="false">IF(NC$5="","",IF(WEEKDAY(NC$5,2)&gt;5,"",IF(COUNTIF(Feiertage,NC$5)&gt;0,"",COUNTA(NC$10:NC$29)-COUNTIF(NC$10:NC$29,"HO"))))</f>
        <v/>
      </c>
      <c r="ND31" s="74" t="str">
        <f aca="false">IF(ND$5="","",IF(WEEKDAY(ND$5,2)&gt;5,"",IF(COUNTIF(Feiertage,ND$5)&gt;0,"",COUNTA(ND$10:ND$29)-COUNTIF(ND$10:ND$29,"HO"))))</f>
        <v/>
      </c>
      <c r="NE31" s="74" t="n">
        <f aca="false">IF(NE$5="","",IF(WEEKDAY(NE$5,2)&gt;5,"",IF(COUNTIF(Feiertage,NE$5)&gt;0,"",COUNTA(NE$10:NE$29)-COUNTIF(NE$10:NE$29,"HO"))))</f>
        <v>5</v>
      </c>
      <c r="NF31" s="74" t="n">
        <f aca="false">IF(NF$5="","",IF(WEEKDAY(NF$5,2)&gt;5,"",IF(COUNTIF(Feiertage,NF$5)&gt;0,"",COUNTA(NF$10:NF$29)-COUNTIF(NF$10:NF$29,"HO"))))</f>
        <v>5</v>
      </c>
      <c r="NG31" s="74" t="n">
        <f aca="false">IF(NG$5="","",IF(WEEKDAY(NG$5,2)&gt;5,"",IF(COUNTIF(Feiertage,NG$5)&gt;0,"",COUNTA(NG$10:NG$29)-COUNTIF(NG$10:NG$29,"HO"))))</f>
        <v>8</v>
      </c>
      <c r="NH31" s="74" t="n">
        <f aca="false">IF(NH$5="","",IF(WEEKDAY(NH$5,2)&gt;5,"",IF(COUNTIF(Feiertage,NH$5)&gt;0,"",COUNTA(NH$10:NH$29)-COUNTIF(NH$10:NH$29,"HO"))))</f>
        <v>7</v>
      </c>
      <c r="NI31" s="74" t="str">
        <f aca="false">IF(NI$5="","",IF(WEEKDAY(NI$5,2)&gt;5,"",IF(COUNTIF(Feiertage,NI$5)&gt;0,"",COUNTA(NI$10:NI$29)-COUNTIF(NI$10:NI$29,"HO"))))</f>
        <v/>
      </c>
      <c r="NJ31" s="74" t="str">
        <f aca="false">IF(NJ$5="","",IF(WEEKDAY(NJ$5,2)&gt;5,"",IF(COUNTIF(Feiertage,NJ$5)&gt;0,"",COUNTA(NJ$10:NJ$29)-COUNTIF(NJ$10:NJ$29,"HO"))))</f>
        <v/>
      </c>
      <c r="NK31" s="74" t="str">
        <f aca="false">IF(NK$5="","",IF(WEEKDAY(NK$5,2)&gt;5,"",IF(COUNTIF(Feiertage,NK$5)&gt;0,"",COUNTA(NK$10:NK$29)-COUNTIF(NK$10:NK$29,"HO"))))</f>
        <v/>
      </c>
      <c r="NL31" s="74" t="n">
        <f aca="false">IF(NL$5="","",IF(WEEKDAY(NL$5,2)&gt;5,"",IF(COUNTIF(Feiertage,NL$5)&gt;0,"",COUNTA(NL$10:NL$29)-COUNTIF(NL$10:NL$29,"HO"))))</f>
        <v>11</v>
      </c>
      <c r="NM31" s="74" t="n">
        <f aca="false">IF(NM$5="","",IF(WEEKDAY(NM$5,2)&gt;5,"",IF(COUNTIF(Feiertage,NM$5)&gt;0,"",COUNTA(NM$10:NM$29)-COUNTIF(NM$10:NM$29,"HO"))))</f>
        <v>13</v>
      </c>
      <c r="NN31" s="74" t="n">
        <f aca="false">IF(NN$5="","",IF(WEEKDAY(NN$5,2)&gt;5,"",IF(COUNTIF(Feiertage,NN$5)&gt;0,"",COUNTA(NN$10:NN$29)-COUNTIF(NN$10:NN$29,"HO"))))</f>
        <v>13</v>
      </c>
      <c r="NO31" s="74" t="n">
        <f aca="false">IF(NO$5="","",IF(WEEKDAY(NO$5,2)&gt;5,"",IF(COUNTIF(Feiertage,NO$5)&gt;0,"",COUNTA(NO$10:NO$29)-COUNTIF(NO$10:NO$29,"HO"))))</f>
        <v>9</v>
      </c>
    </row>
    <row r="33" customFormat="false" ht="15" hidden="false" customHeight="false" outlineLevel="0" collapsed="false">
      <c r="A33" s="75" t="s">
        <v>105</v>
      </c>
    </row>
    <row r="34" customFormat="false" ht="15.75" hidden="false" customHeight="true" outlineLevel="0" collapsed="false">
      <c r="A34" s="76" t="s">
        <v>42</v>
      </c>
      <c r="B34" s="77" t="s">
        <v>106</v>
      </c>
      <c r="C34" s="77"/>
      <c r="D34" s="77"/>
      <c r="E34" s="78" t="s">
        <v>43</v>
      </c>
      <c r="F34" s="77" t="s">
        <v>107</v>
      </c>
      <c r="G34" s="77"/>
      <c r="H34" s="77"/>
      <c r="I34" s="77"/>
      <c r="J34" s="77"/>
      <c r="K34" s="77"/>
    </row>
    <row r="35" customFormat="false" ht="15.75" hidden="false" customHeight="true" outlineLevel="0" collapsed="false">
      <c r="A35" s="79" t="s">
        <v>44</v>
      </c>
      <c r="B35" s="77" t="s">
        <v>108</v>
      </c>
      <c r="C35" s="77"/>
      <c r="D35" s="77"/>
      <c r="E35" s="80" t="s">
        <v>45</v>
      </c>
      <c r="F35" s="77" t="s">
        <v>109</v>
      </c>
      <c r="G35" s="77"/>
      <c r="H35" s="77"/>
      <c r="I35" s="77"/>
      <c r="J35" s="77"/>
      <c r="K35" s="77"/>
    </row>
    <row r="36" customFormat="false" ht="15.75" hidden="false" customHeight="true" outlineLevel="0" collapsed="false">
      <c r="A36" s="81" t="s">
        <v>46</v>
      </c>
      <c r="B36" s="77" t="s">
        <v>110</v>
      </c>
      <c r="C36" s="77"/>
      <c r="D36" s="77"/>
      <c r="E36" s="82" t="s">
        <v>47</v>
      </c>
      <c r="F36" s="77" t="s">
        <v>111</v>
      </c>
      <c r="G36" s="77"/>
      <c r="H36" s="77"/>
      <c r="I36" s="77"/>
      <c r="J36" s="77"/>
      <c r="K36" s="77"/>
    </row>
    <row r="37" customFormat="false" ht="15.75" hidden="false" customHeight="true" outlineLevel="0" collapsed="false">
      <c r="A37" s="83" t="s">
        <v>48</v>
      </c>
      <c r="B37" s="77" t="s">
        <v>112</v>
      </c>
      <c r="C37" s="77"/>
      <c r="D37" s="77"/>
      <c r="E37" s="84" t="s">
        <v>49</v>
      </c>
      <c r="F37" s="77" t="s">
        <v>113</v>
      </c>
      <c r="G37" s="77"/>
      <c r="H37" s="77"/>
      <c r="I37" s="77"/>
      <c r="J37" s="77"/>
      <c r="K37" s="77"/>
    </row>
    <row r="39" customFormat="false" ht="15" hidden="false" customHeight="true" outlineLevel="0" collapsed="false">
      <c r="A39" s="85" t="s">
        <v>114</v>
      </c>
      <c r="B39" s="85"/>
      <c r="C39" s="85"/>
      <c r="D39" s="86" t="s">
        <v>115</v>
      </c>
      <c r="E39" s="86"/>
      <c r="F39" s="86"/>
      <c r="G39" s="86"/>
      <c r="H39" s="86"/>
      <c r="I39" s="86"/>
      <c r="J39" s="86"/>
      <c r="K39" s="86"/>
      <c r="L39" s="86"/>
      <c r="M39" s="86"/>
      <c r="N39" s="86"/>
      <c r="O39" s="86"/>
      <c r="P39" s="86"/>
      <c r="Q39" s="86"/>
      <c r="R39" s="86"/>
      <c r="S39" s="86"/>
      <c r="T39" s="86"/>
    </row>
    <row r="40" customFormat="false" ht="15" hidden="false" customHeight="true" outlineLevel="0" collapsed="false">
      <c r="A40" s="85" t="s">
        <v>116</v>
      </c>
      <c r="B40" s="85"/>
      <c r="C40" s="85"/>
      <c r="D40" s="86" t="s">
        <v>117</v>
      </c>
      <c r="E40" s="86"/>
      <c r="F40" s="86"/>
      <c r="G40" s="86"/>
      <c r="H40" s="86"/>
      <c r="I40" s="86"/>
      <c r="J40" s="86"/>
      <c r="K40" s="86"/>
      <c r="L40" s="86"/>
      <c r="M40" s="86"/>
      <c r="N40" s="86"/>
      <c r="O40" s="86"/>
      <c r="P40" s="86"/>
      <c r="Q40" s="86"/>
      <c r="R40" s="86"/>
      <c r="S40" s="86"/>
      <c r="T40" s="86"/>
    </row>
    <row r="41" customFormat="false" ht="15" hidden="false" customHeight="true" outlineLevel="0" collapsed="false">
      <c r="A41" s="85" t="s">
        <v>118</v>
      </c>
      <c r="B41" s="85"/>
      <c r="C41" s="85"/>
      <c r="D41" s="86" t="s">
        <v>119</v>
      </c>
      <c r="E41" s="86"/>
      <c r="F41" s="86"/>
      <c r="G41" s="86"/>
      <c r="H41" s="86"/>
      <c r="I41" s="86"/>
      <c r="J41" s="86"/>
      <c r="K41" s="86"/>
      <c r="L41" s="86"/>
      <c r="M41" s="86"/>
      <c r="N41" s="86"/>
      <c r="O41" s="86"/>
      <c r="P41" s="86"/>
      <c r="Q41" s="86"/>
      <c r="R41" s="86"/>
      <c r="S41" s="86"/>
      <c r="T41" s="86"/>
    </row>
    <row r="42" customFormat="false" ht="15" hidden="false" customHeight="true" outlineLevel="0" collapsed="false">
      <c r="A42" s="85" t="s">
        <v>120</v>
      </c>
      <c r="B42" s="85"/>
      <c r="C42" s="85"/>
      <c r="D42" s="86" t="s">
        <v>121</v>
      </c>
      <c r="E42" s="86"/>
      <c r="F42" s="86"/>
      <c r="G42" s="86"/>
      <c r="H42" s="86"/>
      <c r="I42" s="86"/>
      <c r="J42" s="86"/>
      <c r="K42" s="86"/>
      <c r="L42" s="86"/>
      <c r="M42" s="86"/>
      <c r="N42" s="86"/>
      <c r="O42" s="86"/>
      <c r="P42" s="86"/>
      <c r="Q42" s="86"/>
      <c r="R42" s="86"/>
      <c r="S42" s="86"/>
      <c r="T42" s="86"/>
    </row>
    <row r="43" customFormat="false" ht="15" hidden="false" customHeight="true" outlineLevel="0" collapsed="false">
      <c r="A43" s="85" t="s">
        <v>122</v>
      </c>
      <c r="B43" s="85"/>
      <c r="C43" s="85"/>
      <c r="D43" s="86" t="s">
        <v>123</v>
      </c>
      <c r="E43" s="86"/>
      <c r="F43" s="86"/>
      <c r="G43" s="86"/>
      <c r="H43" s="86"/>
      <c r="I43" s="86"/>
      <c r="J43" s="86"/>
      <c r="K43" s="86"/>
      <c r="L43" s="86"/>
      <c r="M43" s="86"/>
      <c r="N43" s="86"/>
      <c r="O43" s="86"/>
      <c r="P43" s="86"/>
      <c r="Q43" s="86"/>
      <c r="R43" s="86"/>
      <c r="S43" s="86"/>
      <c r="T43" s="86"/>
    </row>
  </sheetData>
  <mergeCells count="38">
    <mergeCell ref="A6:A9"/>
    <mergeCell ref="B6:B9"/>
    <mergeCell ref="C6:C9"/>
    <mergeCell ref="D6:D9"/>
    <mergeCell ref="E6:E9"/>
    <mergeCell ref="F6:F9"/>
    <mergeCell ref="G6:G9"/>
    <mergeCell ref="H6:AL6"/>
    <mergeCell ref="AM6:BQ6"/>
    <mergeCell ref="BR6:CV6"/>
    <mergeCell ref="CW6:EA6"/>
    <mergeCell ref="EB6:FF6"/>
    <mergeCell ref="FG6:GK6"/>
    <mergeCell ref="GL6:HP6"/>
    <mergeCell ref="HQ6:IU6"/>
    <mergeCell ref="IV6:JZ6"/>
    <mergeCell ref="KA6:LE6"/>
    <mergeCell ref="LF6:MJ6"/>
    <mergeCell ref="MK6:NO6"/>
    <mergeCell ref="A31:C31"/>
    <mergeCell ref="B34:D34"/>
    <mergeCell ref="F34:K34"/>
    <mergeCell ref="B35:D35"/>
    <mergeCell ref="F35:K35"/>
    <mergeCell ref="B36:D36"/>
    <mergeCell ref="F36:K36"/>
    <mergeCell ref="B37:D37"/>
    <mergeCell ref="F37:K37"/>
    <mergeCell ref="A39:C39"/>
    <mergeCell ref="D39:T39"/>
    <mergeCell ref="A40:C40"/>
    <mergeCell ref="D40:T40"/>
    <mergeCell ref="A41:C41"/>
    <mergeCell ref="D41:T41"/>
    <mergeCell ref="A42:C42"/>
    <mergeCell ref="D42:T42"/>
    <mergeCell ref="A43:C43"/>
    <mergeCell ref="D43:T43"/>
  </mergeCells>
  <conditionalFormatting sqref="H7:NO9">
    <cfRule type="expression" priority="2" aboveAverage="0" equalAverage="0" bottom="0" percent="0" rank="0" text="" dxfId="1">
      <formula>AND(H$5&lt;&gt;"",H$5=TODAY())</formula>
    </cfRule>
  </conditionalFormatting>
  <conditionalFormatting sqref="H10:NO29">
    <cfRule type="expression" priority="3" aboveAverage="0" equalAverage="0" bottom="0" percent="0" rank="0" text="" dxfId="1">
      <formula>AND(H$5&lt;&gt;"",H$5=TODAY())</formula>
    </cfRule>
    <cfRule type="cellIs" priority="4" operator="equal" aboveAverage="0" equalAverage="0" bottom="0" percent="0" rank="0" text="" dxfId="2">
      <formula>"U"</formula>
    </cfRule>
    <cfRule type="cellIs" priority="5" operator="equal" aboveAverage="0" equalAverage="0" bottom="0" percent="0" rank="0" text="" dxfId="3">
      <formula>"H"</formula>
    </cfRule>
    <cfRule type="cellIs" priority="6" operator="equal" aboveAverage="0" equalAverage="0" bottom="0" percent="0" rank="0" text="" dxfId="4">
      <formula>"K"</formula>
    </cfRule>
    <cfRule type="cellIs" priority="7" operator="equal" aboveAverage="0" equalAverage="0" bottom="0" percent="0" rank="0" text="" dxfId="5">
      <formula>"KK"</formula>
    </cfRule>
    <cfRule type="cellIs" priority="8" operator="equal" aboveAverage="0" equalAverage="0" bottom="0" percent="0" rank="0" text="" dxfId="6">
      <formula>"HO"</formula>
    </cfRule>
    <cfRule type="cellIs" priority="9" operator="equal" aboveAverage="0" equalAverage="0" bottom="0" percent="0" rank="0" text="" dxfId="7">
      <formula>"FB"</formula>
    </cfRule>
    <cfRule type="cellIs" priority="10" operator="equal" aboveAverage="0" equalAverage="0" bottom="0" percent="0" rank="0" text="" dxfId="8">
      <formula>"SU"</formula>
    </cfRule>
    <cfRule type="cellIs" priority="11" operator="equal" aboveAverage="0" equalAverage="0" bottom="0" percent="0" rank="0" text="" dxfId="9">
      <formula>"GZ"</formula>
    </cfRule>
  </conditionalFormatting>
  <conditionalFormatting sqref="H31:NO31">
    <cfRule type="expression" priority="12" aboveAverage="0" equalAverage="0" bottom="0" percent="0" rank="0" text="" dxfId="1">
      <formula>AND(H$5&lt;&gt;"",H$5=TODAY())</formula>
    </cfRule>
    <cfRule type="expression" priority="13" aboveAverage="0" equalAverage="0" bottom="0" percent="0" rank="0" text="" dxfId="10">
      <formula>H$5=""</formula>
    </cfRule>
    <cfRule type="expression" priority="14" aboveAverage="0" equalAverage="0" bottom="0" percent="0" rank="0" text="" dxfId="11">
      <formula>AND(H31&lt;&gt;"",H31&gt;=MaxAbwesend)</formula>
    </cfRule>
    <cfRule type="expression" priority="15" aboveAverage="0" equalAverage="0" bottom="0" percent="0" rank="0" text="" dxfId="12">
      <formula>AND(H31&lt;&gt;"",H31=MaxAbwesend-1)</formula>
    </cfRule>
  </conditionalFormatting>
  <conditionalFormatting sqref="H7:NO29">
    <cfRule type="expression" priority="16" aboveAverage="0" equalAverage="0" bottom="0" percent="0" rank="0" text="" dxfId="10">
      <formula>H$5=""</formula>
    </cfRule>
    <cfRule type="expression" priority="17" aboveAverage="0" equalAverage="0" bottom="0" percent="0" rank="0" text="" dxfId="13">
      <formula>COUNTIF(Feiertage,H$5)&gt;0</formula>
    </cfRule>
    <cfRule type="expression" priority="18" aboveAverage="0" equalAverage="0" bottom="0" percent="0" rank="0" text="" dxfId="14">
      <formula>WEEKDAY(H$5,2)&gt;5</formula>
    </cfRule>
  </conditionalFormatting>
  <conditionalFormatting sqref="G10:G29">
    <cfRule type="cellIs" priority="19" operator="lessThan" aboveAverage="0" equalAverage="0" bottom="0" percent="0" rank="0" text="" dxfId="15">
      <formula>0</formula>
    </cfRule>
    <cfRule type="cellIs" priority="20" operator="equal" aboveAverage="0" equalAverage="0" bottom="0" percent="0" rank="0" text="" dxfId="16">
      <formula>0</formula>
    </cfRule>
  </conditionalFormatting>
  <dataValidations count="3">
    <dataValidation allowBlank="true" error="Bitte ein Kürzel aus dem Blatt „Einstellungen“ verwenden (U, H, K, KK, HO, FB, SU, GZ)." errorStyle="stop" errorTitle="Unbekanntes Kürzel" operator="between" showDropDown="false" showErrorMessage="false" showInputMessage="false" sqref="H10:NO29" type="list">
      <formula1>Einstellungen!$B$14:$B$21</formula1>
      <formula2>0</formula2>
    </dataValidation>
    <dataValidation allowBlank="true" error="Bitte ein Team aus dem Blatt „Einstellungen“ wählen." errorStyle="stop" errorTitle="Unbekanntes Team" operator="between" showDropDown="false" showErrorMessage="false" showInputMessage="false" sqref="C10:C29" type="list">
      <formula1>Einstellungen!$B$45:$B$50</formula1>
      <formula2>0</formula2>
    </dataValidation>
    <dataValidation allowBlank="true" error="Bitte eine Tageszahl zwischen 0 und 99 eintragen." errorStyle="stop" errorTitle="Ungültiger Wert" operator="between" showDropDown="false" showErrorMessage="false" showInputMessage="false" sqref="D10:E29" type="decimal">
      <formula1>0</formula1>
      <formula2>99</formula2>
    </dataValidation>
  </dataValidations>
  <printOptions headings="false" gridLines="false" gridLinesSet="true" horizontalCentered="false" verticalCentered="false"/>
  <pageMargins left="0.75" right="0.75" top="1" bottom="1" header="0.511811023622047" footer="0.511811023622047"/>
  <pageSetup paperSize="1" scale="100" fitToWidth="0" fitToHeight="1" pageOrder="downThenOver" orientation="landscape"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2FA98C"/>
    <pageSetUpPr fitToPage="true"/>
  </sheetPr>
  <dimension ref="A1:H6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5"/>
    <col collapsed="false" customWidth="true" hidden="false" outlineLevel="0" max="8" min="2" style="0" width="14.51"/>
  </cols>
  <sheetData>
    <row r="1" customFormat="false" ht="9.75" hidden="false" customHeight="true" outlineLevel="0" collapsed="false">
      <c r="A1" s="1"/>
      <c r="B1" s="1"/>
      <c r="C1" s="1"/>
      <c r="D1" s="1"/>
      <c r="E1" s="1"/>
      <c r="F1" s="1"/>
      <c r="G1" s="1"/>
      <c r="H1" s="1"/>
    </row>
    <row r="2" customFormat="false" ht="30.75" hidden="false" customHeight="true" outlineLevel="0" collapsed="false">
      <c r="A2" s="2"/>
      <c r="B2" s="3" t="s">
        <v>124</v>
      </c>
      <c r="C2" s="4"/>
      <c r="D2" s="5" t="s">
        <v>67</v>
      </c>
      <c r="E2" s="5"/>
      <c r="F2" s="5"/>
      <c r="G2" s="5"/>
      <c r="H2" s="5"/>
    </row>
    <row r="3" customFormat="false" ht="18" hidden="false" customHeight="true" outlineLevel="0" collapsed="false">
      <c r="A3" s="2"/>
      <c r="B3" s="6" t="s">
        <v>125</v>
      </c>
      <c r="C3" s="7"/>
      <c r="D3" s="8" t="s">
        <v>126</v>
      </c>
      <c r="E3" s="8"/>
      <c r="F3" s="8"/>
      <c r="G3" s="8"/>
      <c r="H3" s="8"/>
    </row>
    <row r="4" customFormat="false" ht="4.5" hidden="false" customHeight="true" outlineLevel="0" collapsed="false">
      <c r="A4" s="9"/>
      <c r="B4" s="9"/>
      <c r="C4" s="9"/>
      <c r="D4" s="9"/>
      <c r="E4" s="9"/>
      <c r="F4" s="9"/>
      <c r="G4" s="9"/>
      <c r="H4" s="9"/>
    </row>
    <row r="6" customFormat="false" ht="21" hidden="false" customHeight="true" outlineLevel="0" collapsed="false">
      <c r="B6" s="14" t="s">
        <v>127</v>
      </c>
      <c r="C6" s="15"/>
      <c r="D6" s="15"/>
      <c r="E6" s="15"/>
      <c r="F6" s="15"/>
      <c r="G6" s="15"/>
      <c r="H6" s="15"/>
    </row>
    <row r="7" customFormat="false" ht="19.5" hidden="false" customHeight="true" outlineLevel="0" collapsed="false">
      <c r="B7" s="87" t="s">
        <v>128</v>
      </c>
      <c r="C7" s="87"/>
      <c r="D7" s="87"/>
      <c r="E7" s="88" t="n">
        <v>2026</v>
      </c>
      <c r="F7" s="89" t="s">
        <v>129</v>
      </c>
      <c r="G7" s="89"/>
      <c r="H7" s="89"/>
    </row>
    <row r="8" customFormat="false" ht="19.5" hidden="false" customHeight="true" outlineLevel="0" collapsed="false">
      <c r="B8" s="87" t="s">
        <v>130</v>
      </c>
      <c r="C8" s="87"/>
      <c r="D8" s="87"/>
      <c r="E8" s="90" t="n">
        <v>30</v>
      </c>
      <c r="F8" s="89" t="s">
        <v>131</v>
      </c>
      <c r="G8" s="89"/>
      <c r="H8" s="89"/>
    </row>
    <row r="9" customFormat="false" ht="19.5" hidden="false" customHeight="true" outlineLevel="0" collapsed="false">
      <c r="B9" s="87" t="s">
        <v>132</v>
      </c>
      <c r="C9" s="87"/>
      <c r="D9" s="87"/>
      <c r="E9" s="88" t="n">
        <v>4</v>
      </c>
      <c r="F9" s="89" t="s">
        <v>133</v>
      </c>
      <c r="G9" s="89"/>
      <c r="H9" s="89"/>
    </row>
    <row r="10" customFormat="false" ht="19.5" hidden="false" customHeight="true" outlineLevel="0" collapsed="false">
      <c r="B10" s="87" t="s">
        <v>134</v>
      </c>
      <c r="C10" s="87"/>
      <c r="D10" s="87"/>
      <c r="E10" s="91" t="n">
        <f aca="true">TODAY()</f>
        <v>46225</v>
      </c>
      <c r="F10" s="89" t="s">
        <v>135</v>
      </c>
      <c r="G10" s="89"/>
      <c r="H10" s="89"/>
    </row>
    <row r="12" customFormat="false" ht="21" hidden="false" customHeight="true" outlineLevel="0" collapsed="false">
      <c r="B12" s="14" t="s">
        <v>136</v>
      </c>
      <c r="C12" s="15"/>
      <c r="D12" s="15"/>
      <c r="E12" s="15"/>
      <c r="F12" s="15"/>
      <c r="G12" s="15"/>
      <c r="H12" s="15"/>
    </row>
    <row r="13" customFormat="false" ht="27.75" hidden="false" customHeight="true" outlineLevel="0" collapsed="false">
      <c r="B13" s="92" t="s">
        <v>137</v>
      </c>
      <c r="C13" s="93" t="s">
        <v>138</v>
      </c>
      <c r="D13" s="93"/>
      <c r="E13" s="92" t="s">
        <v>139</v>
      </c>
      <c r="F13" s="92" t="s">
        <v>140</v>
      </c>
      <c r="G13" s="93" t="s">
        <v>141</v>
      </c>
      <c r="H13" s="93"/>
    </row>
    <row r="14" customFormat="false" ht="18.75" hidden="false" customHeight="true" outlineLevel="0" collapsed="false">
      <c r="B14" s="94" t="s">
        <v>42</v>
      </c>
      <c r="C14" s="95" t="s">
        <v>142</v>
      </c>
      <c r="D14" s="95"/>
      <c r="E14" s="96" t="n">
        <v>1</v>
      </c>
      <c r="F14" s="97"/>
      <c r="G14" s="98" t="s">
        <v>143</v>
      </c>
      <c r="H14" s="98"/>
    </row>
    <row r="15" customFormat="false" ht="18.75" hidden="false" customHeight="true" outlineLevel="0" collapsed="false">
      <c r="B15" s="99" t="s">
        <v>43</v>
      </c>
      <c r="C15" s="95" t="s">
        <v>144</v>
      </c>
      <c r="D15" s="95"/>
      <c r="E15" s="96" t="n">
        <v>0.5</v>
      </c>
      <c r="F15" s="100"/>
      <c r="G15" s="98" t="s">
        <v>145</v>
      </c>
      <c r="H15" s="98"/>
    </row>
    <row r="16" customFormat="false" ht="18.75" hidden="false" customHeight="true" outlineLevel="0" collapsed="false">
      <c r="B16" s="101" t="s">
        <v>44</v>
      </c>
      <c r="C16" s="95" t="s">
        <v>146</v>
      </c>
      <c r="D16" s="95"/>
      <c r="E16" s="96" t="n">
        <v>0</v>
      </c>
      <c r="F16" s="102"/>
      <c r="G16" s="98" t="s">
        <v>147</v>
      </c>
      <c r="H16" s="98"/>
    </row>
    <row r="17" customFormat="false" ht="18.75" hidden="false" customHeight="true" outlineLevel="0" collapsed="false">
      <c r="B17" s="103" t="s">
        <v>45</v>
      </c>
      <c r="C17" s="95" t="s">
        <v>148</v>
      </c>
      <c r="D17" s="95"/>
      <c r="E17" s="96" t="n">
        <v>0</v>
      </c>
      <c r="F17" s="104"/>
      <c r="G17" s="98" t="s">
        <v>149</v>
      </c>
      <c r="H17" s="98"/>
    </row>
    <row r="18" customFormat="false" ht="18.75" hidden="false" customHeight="true" outlineLevel="0" collapsed="false">
      <c r="B18" s="105" t="s">
        <v>46</v>
      </c>
      <c r="C18" s="95" t="s">
        <v>150</v>
      </c>
      <c r="D18" s="95"/>
      <c r="E18" s="96" t="n">
        <v>0</v>
      </c>
      <c r="F18" s="106"/>
      <c r="G18" s="98" t="s">
        <v>151</v>
      </c>
      <c r="H18" s="98"/>
    </row>
    <row r="19" customFormat="false" ht="18.75" hidden="false" customHeight="true" outlineLevel="0" collapsed="false">
      <c r="B19" s="107" t="s">
        <v>47</v>
      </c>
      <c r="C19" s="95" t="s">
        <v>152</v>
      </c>
      <c r="D19" s="95"/>
      <c r="E19" s="96" t="n">
        <v>0</v>
      </c>
      <c r="F19" s="108"/>
      <c r="G19" s="98" t="s">
        <v>153</v>
      </c>
      <c r="H19" s="98"/>
    </row>
    <row r="20" customFormat="false" ht="18.75" hidden="false" customHeight="true" outlineLevel="0" collapsed="false">
      <c r="B20" s="109" t="s">
        <v>48</v>
      </c>
      <c r="C20" s="95" t="s">
        <v>154</v>
      </c>
      <c r="D20" s="95"/>
      <c r="E20" s="96" t="n">
        <v>0</v>
      </c>
      <c r="F20" s="110"/>
      <c r="G20" s="98" t="s">
        <v>155</v>
      </c>
      <c r="H20" s="98"/>
    </row>
    <row r="21" customFormat="false" ht="18.75" hidden="false" customHeight="true" outlineLevel="0" collapsed="false">
      <c r="B21" s="111" t="s">
        <v>49</v>
      </c>
      <c r="C21" s="95" t="s">
        <v>156</v>
      </c>
      <c r="D21" s="95"/>
      <c r="E21" s="96" t="n">
        <v>0</v>
      </c>
      <c r="F21" s="112"/>
      <c r="G21" s="98" t="s">
        <v>157</v>
      </c>
      <c r="H21" s="98"/>
    </row>
    <row r="22" customFormat="false" ht="25.5" hidden="false" customHeight="true" outlineLevel="0" collapsed="false">
      <c r="B22" s="45" t="s">
        <v>158</v>
      </c>
      <c r="C22" s="45"/>
      <c r="D22" s="45"/>
      <c r="E22" s="45"/>
      <c r="F22" s="45"/>
      <c r="G22" s="45"/>
      <c r="H22" s="45"/>
    </row>
    <row r="24" customFormat="false" ht="21" hidden="false" customHeight="true" outlineLevel="0" collapsed="false">
      <c r="B24" s="14" t="s">
        <v>159</v>
      </c>
      <c r="C24" s="15"/>
      <c r="D24" s="15"/>
      <c r="E24" s="15"/>
      <c r="F24" s="15"/>
      <c r="G24" s="15"/>
      <c r="H24" s="15"/>
    </row>
    <row r="25" customFormat="false" ht="18.75" hidden="false" customHeight="true" outlineLevel="0" collapsed="false">
      <c r="B25" s="113" t="s">
        <v>160</v>
      </c>
      <c r="C25" s="113"/>
      <c r="D25" s="114" t="s">
        <v>161</v>
      </c>
      <c r="E25" s="114" t="s">
        <v>162</v>
      </c>
      <c r="F25" s="114" t="s">
        <v>163</v>
      </c>
      <c r="G25" s="113" t="s">
        <v>141</v>
      </c>
      <c r="H25" s="113"/>
    </row>
    <row r="26" customFormat="false" ht="18" hidden="false" customHeight="true" outlineLevel="0" collapsed="false">
      <c r="B26" s="95" t="s">
        <v>164</v>
      </c>
      <c r="C26" s="95"/>
      <c r="D26" s="115" t="n">
        <f aca="false">DATE(Einstellungen!$E$7,1,1)</f>
        <v>46023</v>
      </c>
      <c r="E26" s="116" t="str">
        <f aca="false">IF($D26="","",CHOOSE(WEEKDAY($D26,2),"Montag","Dienstag","Mittwoch","Donnerstag","Freitag","Samstag","Sonntag"))</f>
        <v>Donnerstag</v>
      </c>
      <c r="F26" s="117" t="s">
        <v>165</v>
      </c>
      <c r="G26" s="98"/>
      <c r="H26" s="98"/>
    </row>
    <row r="27" customFormat="false" ht="18" hidden="false" customHeight="true" outlineLevel="0" collapsed="false">
      <c r="B27" s="95" t="s">
        <v>166</v>
      </c>
      <c r="C27" s="95"/>
      <c r="D27" s="115" t="n">
        <f aca="false">FLOOR(DATE(Einstellungen!$E$7,5,DAY(MINUTE(Einstellungen!$E$7/38)/2+56)),7)-34-2</f>
        <v>46115</v>
      </c>
      <c r="E27" s="116" t="str">
        <f aca="false">IF($D27="","",CHOOSE(WEEKDAY($D27,2),"Montag","Dienstag","Mittwoch","Donnerstag","Freitag","Samstag","Sonntag"))</f>
        <v>Freitag</v>
      </c>
      <c r="F27" s="117" t="s">
        <v>165</v>
      </c>
      <c r="G27" s="98" t="s">
        <v>167</v>
      </c>
      <c r="H27" s="98"/>
    </row>
    <row r="28" customFormat="false" ht="18" hidden="false" customHeight="true" outlineLevel="0" collapsed="false">
      <c r="B28" s="95" t="s">
        <v>168</v>
      </c>
      <c r="C28" s="95"/>
      <c r="D28" s="115" t="n">
        <f aca="false">FLOOR(DATE(Einstellungen!$E$7,5,DAY(MINUTE(Einstellungen!$E$7/38)/2+56)),7)-34+1</f>
        <v>46118</v>
      </c>
      <c r="E28" s="116" t="str">
        <f aca="false">IF($D28="","",CHOOSE(WEEKDAY($D28,2),"Montag","Dienstag","Mittwoch","Donnerstag","Freitag","Samstag","Sonntag"))</f>
        <v>Montag</v>
      </c>
      <c r="F28" s="117" t="s">
        <v>165</v>
      </c>
      <c r="G28" s="98"/>
      <c r="H28" s="98"/>
    </row>
    <row r="29" customFormat="false" ht="18" hidden="false" customHeight="true" outlineLevel="0" collapsed="false">
      <c r="B29" s="95" t="s">
        <v>169</v>
      </c>
      <c r="C29" s="95"/>
      <c r="D29" s="115" t="n">
        <f aca="false">DATE(Einstellungen!$E$7,5,1)</f>
        <v>46143</v>
      </c>
      <c r="E29" s="116" t="str">
        <f aca="false">IF($D29="","",CHOOSE(WEEKDAY($D29,2),"Montag","Dienstag","Mittwoch","Donnerstag","Freitag","Samstag","Sonntag"))</f>
        <v>Freitag</v>
      </c>
      <c r="F29" s="117" t="s">
        <v>165</v>
      </c>
      <c r="G29" s="98"/>
      <c r="H29" s="98"/>
    </row>
    <row r="30" customFormat="false" ht="18" hidden="false" customHeight="true" outlineLevel="0" collapsed="false">
      <c r="B30" s="95" t="s">
        <v>170</v>
      </c>
      <c r="C30" s="95"/>
      <c r="D30" s="115" t="n">
        <f aca="false">FLOOR(DATE(Einstellungen!$E$7,5,DAY(MINUTE(Einstellungen!$E$7/38)/2+56)),7)-34+39</f>
        <v>46156</v>
      </c>
      <c r="E30" s="116" t="str">
        <f aca="false">IF($D30="","",CHOOSE(WEEKDAY($D30,2),"Montag","Dienstag","Mittwoch","Donnerstag","Freitag","Samstag","Sonntag"))</f>
        <v>Donnerstag</v>
      </c>
      <c r="F30" s="117" t="s">
        <v>165</v>
      </c>
      <c r="G30" s="98"/>
      <c r="H30" s="98"/>
    </row>
    <row r="31" customFormat="false" ht="18" hidden="false" customHeight="true" outlineLevel="0" collapsed="false">
      <c r="B31" s="95" t="s">
        <v>171</v>
      </c>
      <c r="C31" s="95"/>
      <c r="D31" s="115" t="n">
        <f aca="false">FLOOR(DATE(Einstellungen!$E$7,5,DAY(MINUTE(Einstellungen!$E$7/38)/2+56)),7)-34+50</f>
        <v>46167</v>
      </c>
      <c r="E31" s="116" t="str">
        <f aca="false">IF($D31="","",CHOOSE(WEEKDAY($D31,2),"Montag","Dienstag","Mittwoch","Donnerstag","Freitag","Samstag","Sonntag"))</f>
        <v>Montag</v>
      </c>
      <c r="F31" s="117" t="s">
        <v>165</v>
      </c>
      <c r="G31" s="98"/>
      <c r="H31" s="98"/>
    </row>
    <row r="32" customFormat="false" ht="18" hidden="false" customHeight="true" outlineLevel="0" collapsed="false">
      <c r="B32" s="95" t="s">
        <v>172</v>
      </c>
      <c r="C32" s="95"/>
      <c r="D32" s="115" t="n">
        <f aca="false">DATE(Einstellungen!$E$7,10,3)</f>
        <v>46298</v>
      </c>
      <c r="E32" s="116" t="str">
        <f aca="false">IF($D32="","",CHOOSE(WEEKDAY($D32,2),"Montag","Dienstag","Mittwoch","Donnerstag","Freitag","Samstag","Sonntag"))</f>
        <v>Samstag</v>
      </c>
      <c r="F32" s="117" t="s">
        <v>165</v>
      </c>
      <c r="G32" s="98"/>
      <c r="H32" s="98"/>
    </row>
    <row r="33" customFormat="false" ht="18" hidden="false" customHeight="true" outlineLevel="0" collapsed="false">
      <c r="B33" s="95" t="s">
        <v>173</v>
      </c>
      <c r="C33" s="95"/>
      <c r="D33" s="115" t="n">
        <f aca="false">DATE(Einstellungen!$E$7,12,25)</f>
        <v>46381</v>
      </c>
      <c r="E33" s="116" t="str">
        <f aca="false">IF($D33="","",CHOOSE(WEEKDAY($D33,2),"Montag","Dienstag","Mittwoch","Donnerstag","Freitag","Samstag","Sonntag"))</f>
        <v>Freitag</v>
      </c>
      <c r="F33" s="117" t="s">
        <v>165</v>
      </c>
      <c r="G33" s="98"/>
      <c r="H33" s="98"/>
    </row>
    <row r="34" customFormat="false" ht="18" hidden="false" customHeight="true" outlineLevel="0" collapsed="false">
      <c r="B34" s="95" t="s">
        <v>174</v>
      </c>
      <c r="C34" s="95"/>
      <c r="D34" s="115" t="n">
        <f aca="false">DATE(Einstellungen!$E$7,12,26)</f>
        <v>46382</v>
      </c>
      <c r="E34" s="116" t="str">
        <f aca="false">IF($D34="","",CHOOSE(WEEKDAY($D34,2),"Montag","Dienstag","Mittwoch","Donnerstag","Freitag","Samstag","Sonntag"))</f>
        <v>Samstag</v>
      </c>
      <c r="F34" s="117" t="s">
        <v>165</v>
      </c>
      <c r="G34" s="98"/>
      <c r="H34" s="98"/>
    </row>
    <row r="35" customFormat="false" ht="18" hidden="false" customHeight="true" outlineLevel="0" collapsed="false">
      <c r="B35" s="95" t="s">
        <v>175</v>
      </c>
      <c r="C35" s="95"/>
      <c r="D35" s="115" t="n">
        <f aca="false">DATE(Einstellungen!$E$7,1,6)</f>
        <v>46028</v>
      </c>
      <c r="E35" s="116" t="str">
        <f aca="false">IF($D35="","",CHOOSE(WEEKDAY($D35,2),"Montag","Dienstag","Mittwoch","Donnerstag","Freitag","Samstag","Sonntag"))</f>
        <v>Dienstag</v>
      </c>
      <c r="F35" s="117" t="s">
        <v>176</v>
      </c>
      <c r="G35" s="98" t="s">
        <v>177</v>
      </c>
      <c r="H35" s="98"/>
    </row>
    <row r="36" customFormat="false" ht="18" hidden="false" customHeight="true" outlineLevel="0" collapsed="false">
      <c r="B36" s="95" t="s">
        <v>178</v>
      </c>
      <c r="C36" s="95"/>
      <c r="D36" s="115" t="n">
        <f aca="false">FLOOR(DATE(Einstellungen!$E$7,5,DAY(MINUTE(Einstellungen!$E$7/38)/2+56)),7)-34+60</f>
        <v>46177</v>
      </c>
      <c r="E36" s="116" t="str">
        <f aca="false">IF($D36="","",CHOOSE(WEEKDAY($D36,2),"Montag","Dienstag","Mittwoch","Donnerstag","Freitag","Samstag","Sonntag"))</f>
        <v>Donnerstag</v>
      </c>
      <c r="F36" s="117" t="s">
        <v>176</v>
      </c>
      <c r="G36" s="98" t="s">
        <v>177</v>
      </c>
      <c r="H36" s="98"/>
    </row>
    <row r="37" customFormat="false" ht="18" hidden="false" customHeight="true" outlineLevel="0" collapsed="false">
      <c r="B37" s="95" t="s">
        <v>179</v>
      </c>
      <c r="C37" s="95"/>
      <c r="D37" s="115" t="n">
        <f aca="false">DATE(Einstellungen!$E$7,10,31)</f>
        <v>46326</v>
      </c>
      <c r="E37" s="116" t="str">
        <f aca="false">IF($D37="","",CHOOSE(WEEKDAY($D37,2),"Montag","Dienstag","Mittwoch","Donnerstag","Freitag","Samstag","Sonntag"))</f>
        <v>Samstag</v>
      </c>
      <c r="F37" s="117" t="s">
        <v>176</v>
      </c>
      <c r="G37" s="98" t="s">
        <v>177</v>
      </c>
      <c r="H37" s="98"/>
    </row>
    <row r="38" customFormat="false" ht="18" hidden="false" customHeight="true" outlineLevel="0" collapsed="false">
      <c r="B38" s="95" t="s">
        <v>180</v>
      </c>
      <c r="C38" s="95"/>
      <c r="D38" s="115" t="n">
        <f aca="false">DATE(Einstellungen!$E$7,11,1)</f>
        <v>46327</v>
      </c>
      <c r="E38" s="116" t="str">
        <f aca="false">IF($D38="","",CHOOSE(WEEKDAY($D38,2),"Montag","Dienstag","Mittwoch","Donnerstag","Freitag","Samstag","Sonntag"))</f>
        <v>Sonntag</v>
      </c>
      <c r="F38" s="117" t="s">
        <v>176</v>
      </c>
      <c r="G38" s="98" t="s">
        <v>177</v>
      </c>
      <c r="H38" s="98"/>
    </row>
    <row r="39" customFormat="false" ht="18" hidden="false" customHeight="true" outlineLevel="0" collapsed="false">
      <c r="B39" s="95" t="s">
        <v>181</v>
      </c>
      <c r="C39" s="95"/>
      <c r="D39" s="118"/>
      <c r="E39" s="116" t="str">
        <f aca="false">IF($D39="","",CHOOSE(WEEKDAY($D39,2),"Montag","Dienstag","Mittwoch","Donnerstag","Freitag","Samstag","Sonntag"))</f>
        <v/>
      </c>
      <c r="F39" s="117" t="s">
        <v>182</v>
      </c>
      <c r="G39" s="98" t="s">
        <v>183</v>
      </c>
      <c r="H39" s="98"/>
    </row>
    <row r="40" customFormat="false" ht="18" hidden="false" customHeight="true" outlineLevel="0" collapsed="false">
      <c r="B40" s="95" t="s">
        <v>184</v>
      </c>
      <c r="C40" s="95"/>
      <c r="D40" s="118"/>
      <c r="E40" s="116" t="str">
        <f aca="false">IF($D40="","",CHOOSE(WEEKDAY($D40,2),"Montag","Dienstag","Mittwoch","Donnerstag","Freitag","Samstag","Sonntag"))</f>
        <v/>
      </c>
      <c r="F40" s="117" t="s">
        <v>182</v>
      </c>
      <c r="G40" s="98" t="s">
        <v>183</v>
      </c>
      <c r="H40" s="98"/>
    </row>
    <row r="41" customFormat="false" ht="25.5" hidden="false" customHeight="true" outlineLevel="0" collapsed="false">
      <c r="B41" s="45" t="s">
        <v>185</v>
      </c>
      <c r="C41" s="45"/>
      <c r="D41" s="45"/>
      <c r="E41" s="45"/>
      <c r="F41" s="45"/>
      <c r="G41" s="45"/>
      <c r="H41" s="45"/>
    </row>
    <row r="43" customFormat="false" ht="21" hidden="false" customHeight="true" outlineLevel="0" collapsed="false">
      <c r="B43" s="14" t="s">
        <v>186</v>
      </c>
      <c r="C43" s="15"/>
      <c r="D43" s="15"/>
      <c r="E43" s="15"/>
      <c r="F43" s="15"/>
      <c r="G43" s="15"/>
      <c r="H43" s="15"/>
    </row>
    <row r="44" customFormat="false" ht="18.75" hidden="false" customHeight="true" outlineLevel="0" collapsed="false">
      <c r="B44" s="113" t="s">
        <v>69</v>
      </c>
      <c r="C44" s="113"/>
      <c r="D44" s="113" t="s">
        <v>141</v>
      </c>
      <c r="E44" s="113"/>
      <c r="F44" s="113"/>
      <c r="G44" s="113"/>
      <c r="H44" s="113"/>
    </row>
    <row r="45" customFormat="false" ht="18" hidden="false" customHeight="true" outlineLevel="0" collapsed="false">
      <c r="B45" s="95" t="s">
        <v>187</v>
      </c>
      <c r="C45" s="95"/>
      <c r="D45" s="119" t="s">
        <v>188</v>
      </c>
      <c r="E45" s="119"/>
      <c r="F45" s="119"/>
      <c r="G45" s="119"/>
      <c r="H45" s="119"/>
    </row>
    <row r="46" customFormat="false" ht="15" hidden="false" customHeight="false" outlineLevel="0" collapsed="false">
      <c r="D46" s="119"/>
      <c r="E46" s="119"/>
      <c r="F46" s="119"/>
      <c r="G46" s="119"/>
      <c r="H46" s="119"/>
    </row>
    <row r="47" customFormat="false" ht="15" hidden="false" customHeight="false" outlineLevel="0" collapsed="false">
      <c r="D47" s="119"/>
      <c r="E47" s="119"/>
      <c r="F47" s="119"/>
      <c r="G47" s="119"/>
      <c r="H47" s="119"/>
    </row>
    <row r="48" customFormat="false" ht="15" hidden="false" customHeight="false" outlineLevel="0" collapsed="false">
      <c r="D48" s="119"/>
      <c r="E48" s="119"/>
      <c r="F48" s="119"/>
      <c r="G48" s="119"/>
      <c r="H48" s="119"/>
    </row>
    <row r="49" customFormat="false" ht="15" hidden="false" customHeight="false" outlineLevel="0" collapsed="false">
      <c r="D49" s="119"/>
      <c r="E49" s="119"/>
      <c r="F49" s="119"/>
      <c r="G49" s="119"/>
      <c r="H49" s="119"/>
    </row>
    <row r="50" customFormat="false" ht="15" hidden="false" customHeight="false" outlineLevel="0" collapsed="false">
      <c r="D50" s="119"/>
      <c r="E50" s="119"/>
      <c r="F50" s="119"/>
      <c r="G50" s="119"/>
      <c r="H50" s="119"/>
    </row>
    <row r="52" customFormat="false" ht="21" hidden="false" customHeight="true" outlineLevel="0" collapsed="false">
      <c r="B52" s="14" t="s">
        <v>189</v>
      </c>
      <c r="C52" s="15"/>
      <c r="D52" s="15"/>
      <c r="E52" s="15"/>
      <c r="F52" s="15"/>
      <c r="G52" s="15"/>
      <c r="H52" s="15"/>
    </row>
    <row r="53" customFormat="false" ht="25.5" hidden="false" customHeight="true" outlineLevel="0" collapsed="false">
      <c r="B53" s="120" t="s">
        <v>190</v>
      </c>
      <c r="C53" s="87" t="s">
        <v>191</v>
      </c>
      <c r="D53" s="87"/>
      <c r="E53" s="121" t="s">
        <v>192</v>
      </c>
      <c r="F53" s="121"/>
      <c r="G53" s="121"/>
      <c r="H53" s="121"/>
    </row>
    <row r="54" customFormat="false" ht="25.5" hidden="false" customHeight="true" outlineLevel="0" collapsed="false">
      <c r="B54" s="120" t="s">
        <v>193</v>
      </c>
      <c r="C54" s="87" t="s">
        <v>194</v>
      </c>
      <c r="D54" s="87"/>
      <c r="E54" s="121" t="s">
        <v>195</v>
      </c>
      <c r="F54" s="121"/>
      <c r="G54" s="121"/>
      <c r="H54" s="121"/>
    </row>
    <row r="55" customFormat="false" ht="25.5" hidden="false" customHeight="true" outlineLevel="0" collapsed="false">
      <c r="B55" s="120" t="s">
        <v>196</v>
      </c>
      <c r="C55" s="87" t="s">
        <v>197</v>
      </c>
      <c r="D55" s="87"/>
      <c r="E55" s="121" t="s">
        <v>198</v>
      </c>
      <c r="F55" s="121"/>
      <c r="G55" s="121"/>
      <c r="H55" s="121"/>
    </row>
    <row r="56" customFormat="false" ht="25.5" hidden="false" customHeight="true" outlineLevel="0" collapsed="false">
      <c r="B56" s="120" t="s">
        <v>199</v>
      </c>
      <c r="C56" s="87" t="s">
        <v>200</v>
      </c>
      <c r="D56" s="87"/>
      <c r="E56" s="121" t="s">
        <v>201</v>
      </c>
      <c r="F56" s="121"/>
      <c r="G56" s="121"/>
      <c r="H56" s="121"/>
    </row>
    <row r="57" customFormat="false" ht="25.5" hidden="false" customHeight="true" outlineLevel="0" collapsed="false">
      <c r="B57" s="120" t="s">
        <v>202</v>
      </c>
      <c r="C57" s="87" t="s">
        <v>203</v>
      </c>
      <c r="D57" s="87"/>
      <c r="E57" s="121" t="s">
        <v>204</v>
      </c>
      <c r="F57" s="121"/>
      <c r="G57" s="121"/>
      <c r="H57" s="121"/>
    </row>
    <row r="58" customFormat="false" ht="25.5" hidden="false" customHeight="true" outlineLevel="0" collapsed="false">
      <c r="B58" s="120" t="s">
        <v>205</v>
      </c>
      <c r="C58" s="87" t="s">
        <v>206</v>
      </c>
      <c r="D58" s="87"/>
      <c r="E58" s="121" t="s">
        <v>207</v>
      </c>
      <c r="F58" s="121"/>
      <c r="G58" s="121"/>
      <c r="H58" s="121"/>
    </row>
    <row r="60" customFormat="false" ht="25.5" hidden="false" customHeight="true" outlineLevel="0" collapsed="false">
      <c r="B60" s="45" t="s">
        <v>208</v>
      </c>
      <c r="C60" s="45"/>
      <c r="D60" s="45"/>
      <c r="E60" s="45"/>
      <c r="F60" s="45"/>
      <c r="G60" s="45"/>
      <c r="H60" s="45"/>
    </row>
  </sheetData>
  <mergeCells count="79">
    <mergeCell ref="D2:H2"/>
    <mergeCell ref="D3:H3"/>
    <mergeCell ref="B7:D7"/>
    <mergeCell ref="F7:H7"/>
    <mergeCell ref="B8:D8"/>
    <mergeCell ref="F8:H8"/>
    <mergeCell ref="B9:D9"/>
    <mergeCell ref="F9:H9"/>
    <mergeCell ref="B10:D10"/>
    <mergeCell ref="F10:H10"/>
    <mergeCell ref="C13:D13"/>
    <mergeCell ref="G13:H13"/>
    <mergeCell ref="C14:D14"/>
    <mergeCell ref="G14:H14"/>
    <mergeCell ref="C15:D15"/>
    <mergeCell ref="G15:H15"/>
    <mergeCell ref="C16:D16"/>
    <mergeCell ref="G16:H16"/>
    <mergeCell ref="C17:D17"/>
    <mergeCell ref="G17:H17"/>
    <mergeCell ref="C18:D18"/>
    <mergeCell ref="G18:H18"/>
    <mergeCell ref="C19:D19"/>
    <mergeCell ref="G19:H19"/>
    <mergeCell ref="C20:D20"/>
    <mergeCell ref="G20:H20"/>
    <mergeCell ref="C21:D21"/>
    <mergeCell ref="G21:H21"/>
    <mergeCell ref="B22:H22"/>
    <mergeCell ref="B25:C25"/>
    <mergeCell ref="G25:H25"/>
    <mergeCell ref="B26:C26"/>
    <mergeCell ref="G26:H26"/>
    <mergeCell ref="B27:C27"/>
    <mergeCell ref="G27:H27"/>
    <mergeCell ref="B28:C28"/>
    <mergeCell ref="G28:H28"/>
    <mergeCell ref="B29:C29"/>
    <mergeCell ref="G29:H29"/>
    <mergeCell ref="B30:C30"/>
    <mergeCell ref="G30:H30"/>
    <mergeCell ref="B31:C31"/>
    <mergeCell ref="G31:H31"/>
    <mergeCell ref="B32:C32"/>
    <mergeCell ref="G32:H32"/>
    <mergeCell ref="B33:C33"/>
    <mergeCell ref="G33:H33"/>
    <mergeCell ref="B34:C34"/>
    <mergeCell ref="G34:H34"/>
    <mergeCell ref="B35:C35"/>
    <mergeCell ref="G35:H35"/>
    <mergeCell ref="B36:C36"/>
    <mergeCell ref="G36:H36"/>
    <mergeCell ref="B37:C37"/>
    <mergeCell ref="G37:H37"/>
    <mergeCell ref="B38:C38"/>
    <mergeCell ref="G38:H38"/>
    <mergeCell ref="B39:C39"/>
    <mergeCell ref="G39:H39"/>
    <mergeCell ref="B40:C40"/>
    <mergeCell ref="G40:H40"/>
    <mergeCell ref="B41:H41"/>
    <mergeCell ref="B44:C44"/>
    <mergeCell ref="D44:H44"/>
    <mergeCell ref="B45:C45"/>
    <mergeCell ref="D45:H50"/>
    <mergeCell ref="C53:D53"/>
    <mergeCell ref="E53:H53"/>
    <mergeCell ref="C54:D54"/>
    <mergeCell ref="E54:H54"/>
    <mergeCell ref="C55:D55"/>
    <mergeCell ref="E55:H55"/>
    <mergeCell ref="C56:D56"/>
    <mergeCell ref="E56:H56"/>
    <mergeCell ref="C57:D57"/>
    <mergeCell ref="E57:H57"/>
    <mergeCell ref="C58:D58"/>
    <mergeCell ref="E58:H58"/>
    <mergeCell ref="B60:H60"/>
  </mergeCell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2026-07-22T15:36:27Z</dcterms:created>
  <dc:creator>Vorlage</dc:creator>
  <dc:description/>
  <dc:language>en-US</dc:language>
  <cp:lastModifiedBy/>
  <dcterms:modified xsi:type="dcterms:W3CDTF">2026-07-22T15:36:31Z</dcterms:modified>
  <cp:revision>1</cp:revision>
  <dc:subject/>
  <dc:title>Abwesenheitsplaner 2026</dc:title>
</cp:coreProperties>
</file>

<file path=docProps/custom.xml><?xml version="1.0" encoding="utf-8"?>
<Properties xmlns="http://schemas.openxmlformats.org/officeDocument/2006/custom-properties" xmlns:vt="http://schemas.openxmlformats.org/officeDocument/2006/docPropsVTypes"/>
</file>