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F1BE469D-B491-4084-86A9-A4FBA657B131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Start" sheetId="1" r:id="rId1"/>
    <sheet name="Analyse" sheetId="2" r:id="rId2"/>
    <sheet name="Matrix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24" i="2" l="1"/>
  <c r="W24" i="2" s="1"/>
  <c r="X24" i="2" s="1"/>
  <c r="U24" i="2"/>
  <c r="Q24" i="2"/>
  <c r="R24" i="2" s="1"/>
  <c r="V23" i="2"/>
  <c r="U23" i="2"/>
  <c r="W23" i="2" s="1"/>
  <c r="X23" i="2" s="1"/>
  <c r="Q23" i="2"/>
  <c r="R23" i="2" s="1"/>
  <c r="V22" i="2"/>
  <c r="W22" i="2" s="1"/>
  <c r="X22" i="2" s="1"/>
  <c r="U22" i="2"/>
  <c r="Q22" i="2"/>
  <c r="R22" i="2" s="1"/>
  <c r="V21" i="2"/>
  <c r="W21" i="2" s="1"/>
  <c r="X21" i="2" s="1"/>
  <c r="U21" i="2"/>
  <c r="Q21" i="2"/>
  <c r="R21" i="2" s="1"/>
  <c r="V20" i="2"/>
  <c r="W20" i="2" s="1"/>
  <c r="X20" i="2" s="1"/>
  <c r="U20" i="2"/>
  <c r="Q20" i="2"/>
  <c r="R20" i="2" s="1"/>
  <c r="V19" i="2"/>
  <c r="W19" i="2" s="1"/>
  <c r="X19" i="2" s="1"/>
  <c r="U19" i="2"/>
  <c r="Q19" i="2"/>
  <c r="R19" i="2" s="1"/>
  <c r="S19" i="2" s="1"/>
  <c r="T19" i="2" s="1"/>
  <c r="V18" i="2"/>
  <c r="W18" i="2" s="1"/>
  <c r="X18" i="2" s="1"/>
  <c r="U18" i="2"/>
  <c r="Q18" i="2"/>
  <c r="R18" i="2" s="1"/>
  <c r="V17" i="2"/>
  <c r="W17" i="2" s="1"/>
  <c r="X17" i="2" s="1"/>
  <c r="U17" i="2"/>
  <c r="R17" i="2"/>
  <c r="Q17" i="2"/>
  <c r="V16" i="2"/>
  <c r="W16" i="2" s="1"/>
  <c r="X16" i="2" s="1"/>
  <c r="U16" i="2"/>
  <c r="R16" i="2"/>
  <c r="Q16" i="2"/>
  <c r="V15" i="2"/>
  <c r="W15" i="2" s="1"/>
  <c r="X15" i="2" s="1"/>
  <c r="U15" i="2"/>
  <c r="Q15" i="2"/>
  <c r="R15" i="2" s="1"/>
  <c r="V14" i="2"/>
  <c r="W14" i="2" s="1"/>
  <c r="X14" i="2" s="1"/>
  <c r="U14" i="2"/>
  <c r="Q14" i="2"/>
  <c r="R14" i="2" s="1"/>
  <c r="V13" i="2"/>
  <c r="W13" i="2" s="1"/>
  <c r="X13" i="2" s="1"/>
  <c r="U13" i="2"/>
  <c r="Q13" i="2"/>
  <c r="R13" i="2" s="1"/>
  <c r="W12" i="2"/>
  <c r="X12" i="2" s="1"/>
  <c r="V12" i="2"/>
  <c r="U12" i="2"/>
  <c r="Q12" i="2"/>
  <c r="R12" i="2" s="1"/>
  <c r="W11" i="2"/>
  <c r="X11" i="2" s="1"/>
  <c r="V11" i="2"/>
  <c r="U11" i="2"/>
  <c r="Q11" i="2"/>
  <c r="R11" i="2" s="1"/>
  <c r="V10" i="2"/>
  <c r="W10" i="2" s="1"/>
  <c r="X10" i="2" s="1"/>
  <c r="U10" i="2"/>
  <c r="Q10" i="2"/>
  <c r="R10" i="2" s="1"/>
  <c r="V9" i="2"/>
  <c r="W9" i="2" s="1"/>
  <c r="X9" i="2" s="1"/>
  <c r="U9" i="2"/>
  <c r="Q9" i="2"/>
  <c r="R9" i="2" s="1"/>
  <c r="V8" i="2"/>
  <c r="W8" i="2" s="1"/>
  <c r="X8" i="2" s="1"/>
  <c r="U8" i="2"/>
  <c r="R8" i="2"/>
  <c r="Q8" i="2"/>
  <c r="V7" i="2"/>
  <c r="W7" i="2" s="1"/>
  <c r="X7" i="2" s="1"/>
  <c r="U7" i="2"/>
  <c r="Q7" i="2"/>
  <c r="R7" i="2" s="1"/>
  <c r="S7" i="2" s="1"/>
  <c r="T7" i="2" s="1"/>
  <c r="Y7" i="2" s="1"/>
  <c r="V6" i="2"/>
  <c r="W6" i="2" s="1"/>
  <c r="X6" i="2" s="1"/>
  <c r="U6" i="2"/>
  <c r="Q6" i="2"/>
  <c r="R6" i="2" s="1"/>
  <c r="V5" i="2"/>
  <c r="W5" i="2" s="1"/>
  <c r="X5" i="2" s="1"/>
  <c r="U5" i="2"/>
  <c r="Q5" i="2"/>
  <c r="R5" i="2" s="1"/>
  <c r="B23" i="1"/>
  <c r="S20" i="2" l="1"/>
  <c r="T20" i="2" s="1"/>
  <c r="Y20" i="2" s="1"/>
  <c r="S15" i="2"/>
  <c r="T15" i="2" s="1"/>
  <c r="Y15" i="2" s="1"/>
  <c r="S21" i="2"/>
  <c r="T21" i="2" s="1"/>
  <c r="Y21" i="2" s="1"/>
  <c r="S13" i="2"/>
  <c r="T13" i="2" s="1"/>
  <c r="Y13" i="2" s="1"/>
  <c r="S14" i="2"/>
  <c r="T14" i="2" s="1"/>
  <c r="Y14" i="2" s="1"/>
  <c r="S9" i="2"/>
  <c r="T9" i="2" s="1"/>
  <c r="Y9" i="2" s="1"/>
  <c r="S10" i="2"/>
  <c r="T10" i="2" s="1"/>
  <c r="Y10" i="2" s="1"/>
  <c r="S22" i="2"/>
  <c r="T22" i="2" s="1"/>
  <c r="Y22" i="2" s="1"/>
  <c r="Y19" i="2"/>
  <c r="S23" i="2"/>
  <c r="T23" i="2" s="1"/>
  <c r="Y23" i="2" s="1"/>
  <c r="S17" i="2"/>
  <c r="T17" i="2" s="1"/>
  <c r="Y17" i="2" s="1"/>
  <c r="C33" i="1"/>
  <c r="C32" i="1"/>
  <c r="C31" i="1"/>
  <c r="S12" i="2"/>
  <c r="T12" i="2" s="1"/>
  <c r="Y12" i="2" s="1"/>
  <c r="S16" i="2"/>
  <c r="T16" i="2" s="1"/>
  <c r="Y16" i="2" s="1"/>
  <c r="S11" i="2"/>
  <c r="T11" i="2" s="1"/>
  <c r="Y11" i="2" s="1"/>
  <c r="S5" i="2"/>
  <c r="T5" i="2" s="1"/>
  <c r="R25" i="2"/>
  <c r="S8" i="2"/>
  <c r="T8" i="2" s="1"/>
  <c r="Y8" i="2" s="1"/>
  <c r="S24" i="2"/>
  <c r="T24" i="2" s="1"/>
  <c r="Y24" i="2" s="1"/>
  <c r="S6" i="2"/>
  <c r="T6" i="2" s="1"/>
  <c r="Y6" i="2" s="1"/>
  <c r="S18" i="2"/>
  <c r="T18" i="2" s="1"/>
  <c r="Y18" i="2" s="1"/>
  <c r="Q25" i="2"/>
  <c r="E8" i="3" l="1"/>
  <c r="D8" i="3"/>
  <c r="C8" i="3"/>
  <c r="C28" i="1"/>
  <c r="C27" i="1"/>
  <c r="C7" i="3"/>
  <c r="Y5" i="2"/>
  <c r="C26" i="1"/>
  <c r="E6" i="3"/>
  <c r="C6" i="3"/>
  <c r="E7" i="3"/>
  <c r="D6" i="3"/>
  <c r="D7" i="3"/>
  <c r="K8" i="3"/>
  <c r="D33" i="1"/>
  <c r="J8" i="3"/>
  <c r="I8" i="3"/>
  <c r="D32" i="1"/>
  <c r="D31" i="1"/>
  <c r="K7" i="3"/>
  <c r="D28" i="1"/>
  <c r="I6" i="3"/>
  <c r="I7" i="3"/>
  <c r="K6" i="3"/>
  <c r="F23" i="1"/>
  <c r="J6" i="3"/>
  <c r="J7" i="3"/>
  <c r="D27" i="1"/>
  <c r="D26" i="1"/>
</calcChain>
</file>

<file path=xl/sharedStrings.xml><?xml version="1.0" encoding="utf-8"?>
<sst xmlns="http://schemas.openxmlformats.org/spreadsheetml/2006/main" count="180" uniqueCount="155">
  <si>
    <t>ABC-/XYZ-ANALYSE</t>
  </si>
  <si>
    <t>Portfolio- &amp; Bestandsklassifizierung   ·   Geschäftsjahr 2026</t>
  </si>
  <si>
    <t>1  ·  Methodik</t>
  </si>
  <si>
    <t>ABC-Analyse (Wertigkeit):</t>
  </si>
  <si>
    <t>Klassifiziert Artikel nach ihrem Anteil am kumulierten Jahreswert (Pareto-Prinzip). A = wenige Artikel mit hohem Wertanteil, B = mittlerer Wertanteil, C = viele Artikel mit geringem Wertanteil.</t>
  </si>
  <si>
    <t>XYZ-Analyse (Planbarkeit):</t>
  </si>
  <si>
    <t>Klassifiziert Artikel nach der Schwankung des Verbrauchs über den Variationskoeffizienten (σ ÷ Ø-Verbrauch). X = konstant/gut planbar, Y = schwankend/saisonal, Z = unregelmäßig/schwer planbar.</t>
  </si>
  <si>
    <t>Kombination:</t>
  </si>
  <si>
    <t>Die 3×3-Matrix verbindet Wertigkeit und Planbarkeit zu 9 Klassen (AX bis CZ) und leitet daraus Beschaffungs- und Bestandsstrategien ab.</t>
  </si>
  <si>
    <t>2  ·  Anleitung &amp; Legende</t>
  </si>
  <si>
    <t>Tragen Sie Stammdaten, Preis und die 12 Monatswerte auf dem Blatt »Analyse« ein. ABC-, XYZ- und Kombinations-Klassen berechnen sich automatisch. Auswertung siehe Blatt »Matrix«.</t>
  </si>
  <si>
    <t>Eingabezelle</t>
  </si>
  <si>
    <t>manuell auszufüllen</t>
  </si>
  <si>
    <t>Formelzelle</t>
  </si>
  <si>
    <t>automatisch berechnet – nicht überschreiben</t>
  </si>
  <si>
    <t>3  ·  Parameter – Schwellenwerte (anpassbar)</t>
  </si>
  <si>
    <t>Parameter</t>
  </si>
  <si>
    <t>Wert</t>
  </si>
  <si>
    <t>ABC · Klasse A  bis kum. Wertanteil ≤</t>
  </si>
  <si>
    <t>ABC · Klasse B  bis kum. Wertanteil ≤</t>
  </si>
  <si>
    <t>XYZ · Klasse X  bis Variationskoeff. ≤</t>
  </si>
  <si>
    <t>XYZ · Klasse Y  bis Variationskoeff. ≤</t>
  </si>
  <si>
    <t>4  ·  Kennzahlen  (Geschäftsjahr 2026)</t>
  </si>
  <si>
    <t>Anzahl Artikel</t>
  </si>
  <si>
    <t>Gesamtwert (Jahr)</t>
  </si>
  <si>
    <t>ABC-Klasse</t>
  </si>
  <si>
    <t>Anzahl</t>
  </si>
  <si>
    <t>Wertanteil</t>
  </si>
  <si>
    <t>Klasse A</t>
  </si>
  <si>
    <t>Klasse B</t>
  </si>
  <si>
    <t>Klasse C</t>
  </si>
  <si>
    <t>XYZ-Klasse</t>
  </si>
  <si>
    <t>X · konstant</t>
  </si>
  <si>
    <t>Y · schwankend</t>
  </si>
  <si>
    <t>Z · unregelmäßig</t>
  </si>
  <si>
    <t>ABC-/XYZ-ANALYSE   ·   Datenbasis &amp; Berechnung</t>
  </si>
  <si>
    <t>Geschäftsjahr 2026   ·   Blaue Felder = manuelle Eingabe   ·   Ergebnisspalten werden automatisch berechnet</t>
  </si>
  <si>
    <t>Stammdaten</t>
  </si>
  <si>
    <t>Monatlicher Verbrauch 2026 (Stück)</t>
  </si>
  <si>
    <t>ABC-Analyse  (Wertigkeit)</t>
  </si>
  <si>
    <t>XYZ-Analyse  (Verbrauchsschwankung)</t>
  </si>
  <si>
    <t>Ergebnis</t>
  </si>
  <si>
    <t>Artikel-Nr.</t>
  </si>
  <si>
    <t>Artikelbezeichnung</t>
  </si>
  <si>
    <t>Waren-
gruppe</t>
  </si>
  <si>
    <t>Preis/
Einheit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</si>
  <si>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</si>
  <si>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</si>
  <si>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</si>
  <si>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</si>
  <si>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</si>
  <si>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</si>
  <si>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</si>
  <si>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</si>
  <si>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</si>
  <si>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</si>
  <si>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</si>
  <si>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</si>
  <si>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Jahres-
verbrauch</t>
  </si>
  <si>
    <t>Jahreswert</t>
  </si>
  <si>
    <t>kum.
Wertanteil</t>
  </si>
  <si>
    <t>ABC</t>
  </si>
  <si>
    <t>Ø Verbr./
Monat</t>
  </si>
  <si>
    <t>Std.-Abw.
(σ)</t>
  </si>
  <si>
    <t>Variations-
koeff.</t>
  </si>
  <si>
    <t>XYZ</t>
  </si>
  <si>
    <t>ABC-
XYZ</t>
  </si>
  <si>
    <t>ART-1001</t>
  </si>
  <si>
    <t>Musterartikel 01</t>
  </si>
  <si>
    <t>WG-A</t>
  </si>
  <si>
    <t>ART-1002</t>
  </si>
  <si>
    <t>Musterartikel 02</t>
  </si>
  <si>
    <t>ART-1003</t>
  </si>
  <si>
    <t>Musterartikel 03</t>
  </si>
  <si>
    <t>WG-B</t>
  </si>
  <si>
    <t>ART-1004</t>
  </si>
  <si>
    <t>Musterartikel 04</t>
  </si>
  <si>
    <t>ART-1005</t>
  </si>
  <si>
    <t>Musterartikel 05</t>
  </si>
  <si>
    <t>WG-C</t>
  </si>
  <si>
    <t>ART-1006</t>
  </si>
  <si>
    <t>Musterartikel 06</t>
  </si>
  <si>
    <t>ART-1007</t>
  </si>
  <si>
    <t>Musterartikel 07</t>
  </si>
  <si>
    <t>ART-1008</t>
  </si>
  <si>
    <t>Musterartikel 08</t>
  </si>
  <si>
    <t>ART-1009</t>
  </si>
  <si>
    <t>Musterartikel 09</t>
  </si>
  <si>
    <t>ART-1010</t>
  </si>
  <si>
    <t>Musterartikel 10</t>
  </si>
  <si>
    <t>ART-1011</t>
  </si>
  <si>
    <t>Musterartikel 11</t>
  </si>
  <si>
    <t>ART-1012</t>
  </si>
  <si>
    <t>Musterartikel 12</t>
  </si>
  <si>
    <t>ART-1013</t>
  </si>
  <si>
    <t>Musterartikel 13</t>
  </si>
  <si>
    <t>ART-1014</t>
  </si>
  <si>
    <t>Musterartikel 14</t>
  </si>
  <si>
    <t>ART-1015</t>
  </si>
  <si>
    <t>Musterartikel 15</t>
  </si>
  <si>
    <t>ART-1016</t>
  </si>
  <si>
    <t>Musterartikel 16</t>
  </si>
  <si>
    <t>ART-1017</t>
  </si>
  <si>
    <t>Musterartikel 17</t>
  </si>
  <si>
    <t>ART-1018</t>
  </si>
  <si>
    <t>Musterartikel 18</t>
  </si>
  <si>
    <t>ART-1019</t>
  </si>
  <si>
    <t>Musterartikel 19</t>
  </si>
  <si>
    <t>ART-1020</t>
  </si>
  <si>
    <t>Musterartikel 20</t>
  </si>
  <si>
    <t>Summe / Gesamt</t>
  </si>
  <si>
    <t>100%</t>
  </si>
  <si>
    <t>ABC-/XYZ-PORTFOLIO-MATRIX</t>
  </si>
  <si>
    <t>Verknüpfung von Wertigkeit (ABC) und Planbarkeit (XYZ)   ·   Geschäftsjahr 2026</t>
  </si>
  <si>
    <t>Anzahl Artikel je Klasse</t>
  </si>
  <si>
    <t>Wertanteil je Klasse</t>
  </si>
  <si>
    <t>X</t>
  </si>
  <si>
    <t>Y</t>
  </si>
  <si>
    <t>Z</t>
  </si>
  <si>
    <t>A</t>
  </si>
  <si>
    <t>B</t>
  </si>
  <si>
    <t>C</t>
  </si>
  <si>
    <t>A B C  =  Wertigkeit</t>
  </si>
  <si>
    <t>X · Y · Z  =  Planbarkeit des Verbrauchs (→)</t>
  </si>
  <si>
    <t>Handlungsempfehlungen je Kombination</t>
  </si>
  <si>
    <t>Klasse</t>
  </si>
  <si>
    <t>Charakteristik</t>
  </si>
  <si>
    <t>Beschaffungs- &amp; Bestandsstrategie</t>
  </si>
  <si>
    <t>AX</t>
  </si>
  <si>
    <t>Hoher Wert, konstanter Verbrauch</t>
  </si>
  <si>
    <t>Just-in-Time, niedrige Sicherheitsbestände, enge Lieferantenbindung, laufende Überwachung.</t>
  </si>
  <si>
    <t>AY</t>
  </si>
  <si>
    <t>Hoher Wert, schwankender/saisonaler Verbrauch</t>
  </si>
  <si>
    <t>Verbrauchsprognose, saisonale Bevorratung, moderate Sicherheitsbestände.</t>
  </si>
  <si>
    <t>AZ</t>
  </si>
  <si>
    <t>Hoher Wert, unregelmäßiger Verbrauch</t>
  </si>
  <si>
    <t>Bedarfs-/Einzelbeschaffung, Konsignationslager prüfen, höchste Aufmerksamkeit.</t>
  </si>
  <si>
    <t>BX</t>
  </si>
  <si>
    <t>Mittlerer Wert, konstanter Verbrauch</t>
  </si>
  <si>
    <t>Automatisierte Bestellpunkt-Disposition, standardisierte Prozesse.</t>
  </si>
  <si>
    <t>BY</t>
  </si>
  <si>
    <t>Mittlerer Wert, schwankender Verbrauch</t>
  </si>
  <si>
    <t>Sicherheitsbestand vorhalten, regelmäßige Bedarfsüberprüfung.</t>
  </si>
  <si>
    <t>BZ</t>
  </si>
  <si>
    <t>Mittlerer Wert, unregelmäßiger Verbrauch</t>
  </si>
  <si>
    <t>Flexible, verbrauchsgesteuerte Beschaffung, Bestand begrenzen.</t>
  </si>
  <si>
    <t>CX</t>
  </si>
  <si>
    <t>Geringer Wert, konstanter Verbrauch</t>
  </si>
  <si>
    <t>Vorratsbeschaffung, einfache Steuerung, große Losgrößen unkritisch.</t>
  </si>
  <si>
    <t>CY</t>
  </si>
  <si>
    <t>Geringer Wert, schwankender Verbrauch</t>
  </si>
  <si>
    <t>Vorratshaltung mit geringem Steuerungsaufwand.</t>
  </si>
  <si>
    <t>CZ</t>
  </si>
  <si>
    <t>Geringer Wert, unregelmäßiger Verbrauch</t>
  </si>
  <si>
    <t>Minimaler Aufwand, Vorrat oder Sortimentsbereinigung / Auslauf prüfen.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</si>
</sst>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€&quot;"/>
    <numFmt numFmtId="165" formatCode="0.0%"/>
    <numFmt numFmtId="166" formatCode="#,##0.00&quot; €&quot;"/>
    <numFmt numFmtId="167" formatCode="#,##0.0"/>
  </numFmts>
  <fonts count="3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"/>
      <color rgb="FFFFFFFF"/>
      <name val="Calibri"/>
      <charset val="1"/>
    </font>
    <font>
      <b/>
      <sz val="11"/>
      <color rgb="FFFFFFFF"/>
      <name val="Calibri"/>
      <charset val="1"/>
    </font>
    <font>
      <b/>
      <sz val="9.5"/>
      <color rgb="FF14545B"/>
      <name val="Calibri"/>
      <charset val="1"/>
    </font>
    <font>
      <sz val="9.5"/>
      <color rgb="FF5C6B6A"/>
      <name val="Calibri"/>
      <charset val="1"/>
    </font>
    <font>
      <b/>
      <sz val="9"/>
      <color rgb="FF15476B"/>
      <name val="Calibri"/>
      <charset val="1"/>
    </font>
    <font>
      <sz val="9"/>
      <color rgb="FF5C6B6A"/>
      <name val="Calibri"/>
      <charset val="1"/>
    </font>
    <font>
      <b/>
      <sz val="9"/>
      <color rgb="FF26302F"/>
      <name val="Calibri"/>
      <charset val="1"/>
    </font>
    <font>
      <b/>
      <sz val="9.5"/>
      <color rgb="FFFFFFFF"/>
      <name val="Calibri"/>
      <charset val="1"/>
    </font>
    <font>
      <sz val="9.5"/>
      <color rgb="FF26302F"/>
      <name val="Calibri"/>
      <charset val="1"/>
    </font>
    <font>
      <b/>
      <sz val="9.5"/>
      <color rgb="FF15476B"/>
      <name val="Calibri"/>
      <charset val="1"/>
    </font>
    <font>
      <b/>
      <sz val="9"/>
      <color rgb="FFFFFFFF"/>
      <name val="Calibri"/>
      <charset val="1"/>
    </font>
    <font>
      <b/>
      <sz val="15"/>
      <color rgb="FF0E3B43"/>
      <name val="Calibri"/>
      <charset val="1"/>
    </font>
    <font>
      <sz val="9"/>
      <color rgb="FF26302F"/>
      <name val="Calibri"/>
      <charset val="1"/>
    </font>
    <font>
      <b/>
      <sz val="9"/>
      <color rgb="FF2C6E49"/>
      <name val="Calibri"/>
      <charset val="1"/>
    </font>
    <font>
      <b/>
      <sz val="9"/>
      <color rgb="FF8A6410"/>
      <name val="Calibri"/>
      <charset val="1"/>
    </font>
    <font>
      <b/>
      <sz val="9"/>
      <color rgb="FF9C3B32"/>
      <name val="Calibri"/>
      <charset val="1"/>
    </font>
    <font>
      <b/>
      <sz val="16"/>
      <color rgb="FFFFFFFF"/>
      <name val="Calibri"/>
      <charset val="1"/>
    </font>
    <font>
      <i/>
      <sz val="9"/>
      <color rgb="FFFFFFFF"/>
      <name val="Calibri"/>
      <charset val="1"/>
    </font>
    <font>
      <b/>
      <sz val="8.5"/>
      <color rgb="FF0E3B43"/>
      <name val="Calibri"/>
      <charset val="1"/>
    </font>
    <font>
      <sz val="9"/>
      <color rgb="FF15476B"/>
      <name val="Calibri"/>
      <charset val="1"/>
    </font>
    <font>
      <b/>
      <sz val="9"/>
      <color rgb="FF0E3B43"/>
      <name val="Calibri"/>
      <charset val="1"/>
    </font>
    <font>
      <b/>
      <sz val="18"/>
      <color rgb="FFFFFFFF"/>
      <name val="Calibri"/>
      <charset val="1"/>
    </font>
    <font>
      <sz val="10"/>
      <color rgb="FFFFFFFF"/>
      <name val="Calibri"/>
      <charset val="1"/>
    </font>
    <font>
      <b/>
      <sz val="10.5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26302F"/>
      <name val="Calibri"/>
      <charset val="1"/>
    </font>
    <font>
      <i/>
      <sz val="8"/>
      <color rgb="FF5C6B6A"/>
      <name val="Calibri"/>
      <charset val="1"/>
    </font>
    <font>
      <b/>
      <sz val="9.5"/>
      <color rgb="FF26302F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0E3B43"/>
        <bgColor rgb="FF15476B"/>
      </patternFill>
    </fill>
    <fill>
      <patternFill patternType="solid">
        <fgColor rgb="FF1E6A70"/>
        <bgColor rgb="FF2C6E49"/>
      </patternFill>
    </fill>
    <fill>
      <patternFill patternType="solid">
        <fgColor rgb="FF14545B"/>
        <bgColor rgb="FF15476B"/>
      </patternFill>
    </fill>
    <fill>
      <patternFill patternType="solid">
        <fgColor rgb="FFEAF2F8"/>
        <bgColor rgb="FFF1F7F6"/>
      </patternFill>
    </fill>
    <fill>
      <patternFill patternType="solid">
        <fgColor rgb="FFF1F7F6"/>
        <bgColor rgb="FFF9F9F9"/>
      </patternFill>
    </fill>
    <fill>
      <patternFill patternType="solid">
        <fgColor rgb="FF3E8E93"/>
        <bgColor rgb="FF4F81BD"/>
      </patternFill>
    </fill>
    <fill>
      <patternFill patternType="solid">
        <fgColor rgb="FFC0851A"/>
        <bgColor rgb="FF8A6410"/>
      </patternFill>
    </fill>
    <fill>
      <patternFill patternType="solid">
        <fgColor rgb="FFCFE0DE"/>
        <bgColor rgb="FFC9D8D6"/>
      </patternFill>
    </fill>
    <fill>
      <patternFill patternType="solid">
        <fgColor rgb="FFD5E8D6"/>
        <bgColor rgb="FFD6E8C2"/>
      </patternFill>
    </fill>
    <fill>
      <patternFill patternType="solid">
        <fgColor rgb="FFFBE9C4"/>
        <bgColor rgb="FFF6E7BE"/>
      </patternFill>
    </fill>
    <fill>
      <patternFill patternType="solid">
        <fgColor rgb="FFF2D6CE"/>
        <bgColor rgb="FFEED0CC"/>
      </patternFill>
    </fill>
    <fill>
      <patternFill patternType="solid">
        <fgColor rgb="FFE3EEED"/>
        <bgColor rgb="FFEAF2F8"/>
      </patternFill>
    </fill>
    <fill>
      <patternFill patternType="solid">
        <fgColor rgb="FFBFE0C4"/>
        <bgColor rgb="FFC9D8D6"/>
      </patternFill>
    </fill>
    <fill>
      <patternFill patternType="solid">
        <fgColor rgb="FFD6E8C2"/>
        <bgColor rgb="FFD5E8D6"/>
      </patternFill>
    </fill>
    <fill>
      <patternFill patternType="solid">
        <fgColor rgb="FFF6E7BE"/>
        <bgColor rgb="FFFBE9C4"/>
      </patternFill>
    </fill>
    <fill>
      <patternFill patternType="solid">
        <fgColor rgb="FFF3D9C0"/>
        <bgColor rgb="FFF2D6CE"/>
      </patternFill>
    </fill>
    <fill>
      <patternFill patternType="solid">
        <fgColor rgb="FFEED0CC"/>
        <bgColor rgb="FFF2D6CE"/>
      </patternFill>
    </fill>
  </fills>
  <borders count="4">
    <border>
      <left/>
      <right/>
      <top/>
      <bottom/>
      <diagonal/>
    </border>
    <border>
      <left style="thin">
        <color rgb="FFC9D8D6"/>
      </left>
      <right style="thin">
        <color rgb="FFC9D8D6"/>
      </right>
      <top style="thin">
        <color rgb="FFC9D8D6"/>
      </top>
      <bottom style="thin">
        <color rgb="FFC9D8D6"/>
      </bottom>
      <diagonal/>
    </border>
    <border>
      <left style="thin">
        <color rgb="FFC9D8D6"/>
      </left>
      <right/>
      <top style="thin">
        <color rgb="FFC9D8D6"/>
      </top>
      <bottom style="thin">
        <color rgb="FFC9D8D6"/>
      </bottom>
      <diagonal/>
    </border>
    <border>
      <left style="thin">
        <color rgb="FF14545B"/>
      </left>
      <right style="thin">
        <color rgb="FF14545B"/>
      </right>
      <top style="thin">
        <color rgb="FF14545B"/>
      </top>
      <bottom style="thin">
        <color rgb="FF14545B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2" fillId="4" borderId="3" xfId="0" applyFont="1" applyFill="1" applyBorder="1"/>
    <xf numFmtId="0" fontId="9" fillId="8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left" vertical="center" indent="1"/>
    </xf>
    <xf numFmtId="0" fontId="18" fillId="2" borderId="0" xfId="0" applyFont="1" applyFill="1" applyAlignment="1">
      <alignment horizontal="left" vertical="center" indent="1"/>
    </xf>
    <xf numFmtId="164" fontId="13" fillId="6" borderId="2" xfId="0" applyNumberFormat="1" applyFont="1" applyFill="1" applyBorder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/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9" fontId="11" fillId="5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indent="1"/>
    </xf>
    <xf numFmtId="0" fontId="8" fillId="9" borderId="1" xfId="0" applyFont="1" applyFill="1" applyBorder="1" applyAlignment="1">
      <alignment horizontal="left" vertical="center" indent="1"/>
    </xf>
    <xf numFmtId="0" fontId="15" fillId="10" borderId="1" xfId="0" applyFont="1" applyFill="1" applyBorder="1" applyAlignment="1">
      <alignment horizontal="left" vertical="center" indent="1"/>
    </xf>
    <xf numFmtId="0" fontId="16" fillId="11" borderId="1" xfId="0" applyFont="1" applyFill="1" applyBorder="1" applyAlignment="1">
      <alignment horizontal="left" vertical="center" indent="1"/>
    </xf>
    <xf numFmtId="0" fontId="17" fillId="12" borderId="1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1" fillId="5" borderId="1" xfId="0" applyFont="1" applyFill="1" applyBorder="1"/>
    <xf numFmtId="0" fontId="21" fillId="5" borderId="1" xfId="0" applyFont="1" applyFill="1" applyBorder="1" applyAlignment="1">
      <alignment horizontal="center" vertical="center"/>
    </xf>
    <xf numFmtId="166" fontId="21" fillId="5" borderId="1" xfId="0" applyNumberFormat="1" applyFont="1" applyFill="1" applyBorder="1" applyAlignment="1">
      <alignment horizontal="right" vertical="center"/>
    </xf>
    <xf numFmtId="3" fontId="21" fillId="5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12" fillId="4" borderId="3" xfId="0" applyFont="1" applyFill="1" applyBorder="1"/>
    <xf numFmtId="3" fontId="12" fillId="4" borderId="3" xfId="0" applyNumberFormat="1" applyFont="1" applyFill="1" applyBorder="1" applyAlignment="1">
      <alignment horizontal="right" vertical="center"/>
    </xf>
    <xf numFmtId="164" fontId="12" fillId="4" borderId="3" xfId="0" applyNumberFormat="1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0" fillId="13" borderId="1" xfId="0" applyFill="1" applyBorder="1"/>
    <xf numFmtId="0" fontId="26" fillId="8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3" fontId="27" fillId="14" borderId="1" xfId="0" applyNumberFormat="1" applyFont="1" applyFill="1" applyBorder="1" applyAlignment="1">
      <alignment horizontal="center" vertical="center"/>
    </xf>
    <xf numFmtId="3" fontId="27" fillId="15" borderId="1" xfId="0" applyNumberFormat="1" applyFont="1" applyFill="1" applyBorder="1" applyAlignment="1">
      <alignment horizontal="center" vertical="center"/>
    </xf>
    <xf numFmtId="3" fontId="27" fillId="16" borderId="1" xfId="0" applyNumberFormat="1" applyFont="1" applyFill="1" applyBorder="1" applyAlignment="1">
      <alignment horizontal="center" vertical="center"/>
    </xf>
    <xf numFmtId="165" fontId="27" fillId="14" borderId="1" xfId="0" applyNumberFormat="1" applyFont="1" applyFill="1" applyBorder="1" applyAlignment="1">
      <alignment horizontal="center" vertical="center"/>
    </xf>
    <xf numFmtId="165" fontId="27" fillId="15" borderId="1" xfId="0" applyNumberFormat="1" applyFont="1" applyFill="1" applyBorder="1" applyAlignment="1">
      <alignment horizontal="center" vertical="center"/>
    </xf>
    <xf numFmtId="165" fontId="27" fillId="16" borderId="1" xfId="0" applyNumberFormat="1" applyFont="1" applyFill="1" applyBorder="1" applyAlignment="1">
      <alignment horizontal="center" vertical="center"/>
    </xf>
    <xf numFmtId="3" fontId="27" fillId="11" borderId="1" xfId="0" applyNumberFormat="1" applyFont="1" applyFill="1" applyBorder="1" applyAlignment="1">
      <alignment horizontal="center" vertical="center"/>
    </xf>
    <xf numFmtId="3" fontId="27" fillId="17" borderId="1" xfId="0" applyNumberFormat="1" applyFont="1" applyFill="1" applyBorder="1" applyAlignment="1">
      <alignment horizontal="center" vertical="center"/>
    </xf>
    <xf numFmtId="165" fontId="27" fillId="11" borderId="1" xfId="0" applyNumberFormat="1" applyFont="1" applyFill="1" applyBorder="1" applyAlignment="1">
      <alignment horizontal="center" vertical="center"/>
    </xf>
    <xf numFmtId="165" fontId="27" fillId="17" borderId="1" xfId="0" applyNumberFormat="1" applyFont="1" applyFill="1" applyBorder="1" applyAlignment="1">
      <alignment horizontal="center" vertical="center"/>
    </xf>
    <xf numFmtId="3" fontId="27" fillId="18" borderId="1" xfId="0" applyNumberFormat="1" applyFont="1" applyFill="1" applyBorder="1" applyAlignment="1">
      <alignment horizontal="center" vertical="center"/>
    </xf>
    <xf numFmtId="165" fontId="27" fillId="18" borderId="1" xfId="0" applyNumberFormat="1" applyFont="1" applyFill="1" applyBorder="1" applyAlignment="1">
      <alignment horizontal="center" vertical="center"/>
    </xf>
    <xf numFmtId="0" fontId="28" fillId="0" borderId="0" xfId="0" applyFont="1"/>
    <xf numFmtId="0" fontId="12" fillId="7" borderId="1" xfId="0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 indent="1"/>
    </xf>
    <xf numFmtId="0" fontId="24" fillId="3" borderId="0" xfId="0" applyFont="1" applyFill="1" applyAlignment="1">
      <alignment horizontal="left" vertical="center" indent="1"/>
    </xf>
    <xf numFmtId="0" fontId="25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2" fillId="7" borderId="2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Standard" xfId="0" builtinId="0"/>
  </cellStyles>
  <dxfs count="6">
    <dxf>
      <font>
        <b/>
        <sz val="9"/>
        <color rgb="FF9C3B32"/>
        <name val="Calibri"/>
        <charset val="1"/>
      </font>
      <fill>
        <patternFill>
          <bgColor rgb="FFF2D6CE"/>
        </patternFill>
      </fill>
    </dxf>
    <dxf>
      <font>
        <b/>
        <sz val="9"/>
        <color rgb="FF8A6410"/>
        <name val="Calibri"/>
        <charset val="1"/>
      </font>
      <fill>
        <patternFill>
          <bgColor rgb="FFFBE9C4"/>
        </patternFill>
      </fill>
    </dxf>
    <dxf>
      <font>
        <b/>
        <sz val="9"/>
        <color rgb="FF2C6E49"/>
        <name val="Calibri"/>
        <charset val="1"/>
      </font>
      <fill>
        <patternFill>
          <bgColor rgb="FFD5E8D6"/>
        </patternFill>
      </fill>
    </dxf>
    <dxf>
      <font>
        <b/>
        <sz val="9"/>
        <color rgb="FF26302F"/>
        <name val="Calibri"/>
        <charset val="1"/>
      </font>
      <fill>
        <patternFill>
          <bgColor rgb="FFCFE0DE"/>
        </patternFill>
      </fill>
    </dxf>
    <dxf>
      <font>
        <b/>
        <sz val="9"/>
        <color rgb="FFFFFFFF"/>
        <name val="Calibri"/>
        <charset val="1"/>
      </font>
      <fill>
        <patternFill>
          <bgColor rgb="FF3E8E93"/>
        </patternFill>
      </fill>
    </dxf>
    <dxf>
      <font>
        <b/>
        <sz val="9"/>
        <color rgb="FFFFFFFF"/>
        <name val="Calibri"/>
        <charset val="1"/>
      </font>
      <fill>
        <patternFill>
          <bgColor rgb="FF14545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6E7BE"/>
      <rgbColor rgb="FFFF00FF"/>
      <rgbColor rgb="FF00FFFF"/>
      <rgbColor rgb="FF800000"/>
      <rgbColor rgb="FF008000"/>
      <rgbColor rgb="FF000080"/>
      <rgbColor rgb="FF8A6410"/>
      <rgbColor rgb="FF800080"/>
      <rgbColor rgb="FF1E6A70"/>
      <rgbColor rgb="FFBFE0C4"/>
      <rgbColor rgb="FF878787"/>
      <rgbColor rgb="FFF1F7F6"/>
      <rgbColor rgb="FF993366"/>
      <rgbColor rgb="FFF9F9F9"/>
      <rgbColor rgb="FFE3EEED"/>
      <rgbColor rgb="FF660066"/>
      <rgbColor rgb="FFFF8080"/>
      <rgbColor rgb="FF0066CC"/>
      <rgbColor rgb="FFC9D8D6"/>
      <rgbColor rgb="FF000080"/>
      <rgbColor rgb="FFFF00FF"/>
      <rgbColor rgb="FFD6E8C2"/>
      <rgbColor rgb="FF00FFFF"/>
      <rgbColor rgb="FF800080"/>
      <rgbColor rgb="FF800000"/>
      <rgbColor rgb="FF2C6E49"/>
      <rgbColor rgb="FF0000FF"/>
      <rgbColor rgb="FF00CCFF"/>
      <rgbColor rgb="FFEAF2F8"/>
      <rgbColor rgb="FFD5E8D6"/>
      <rgbColor rgb="FFFBE9C4"/>
      <rgbColor rgb="FFCFE0DE"/>
      <rgbColor rgb="FFEED0CC"/>
      <rgbColor rgb="FFD9D9D9"/>
      <rgbColor rgb="FFF3D9C0"/>
      <rgbColor rgb="FF4F81BD"/>
      <rgbColor rgb="FF33CCCC"/>
      <rgbColor rgb="FF99CC00"/>
      <rgbColor rgb="FFF2D6CE"/>
      <rgbColor rgb="FFC0851A"/>
      <rgbColor rgb="FFFF6600"/>
      <rgbColor rgb="FF5C6B6A"/>
      <rgbColor rgb="FF969696"/>
      <rgbColor rgb="FF0E3B43"/>
      <rgbColor rgb="FF3E8E93"/>
      <rgbColor rgb="FF14545B"/>
      <rgbColor rgb="FF333300"/>
      <rgbColor rgb="FF9C3B32"/>
      <rgbColor rgb="FF993366"/>
      <rgbColor rgb="FF15476B"/>
      <rgbColor rgb="FF2630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5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500" b="1" strike="noStrike" spc="-1">
                <a:solidFill>
                  <a:srgbClr val="000000"/>
                </a:solidFill>
                <a:latin typeface="Calibri"/>
              </a:rPr>
              <a:t>Wertanteil je ABC-Klasse</a:t>
            </a:r>
          </a:p>
        </c:rich>
      </c:tx>
      <c:layout>
        <c:manualLayout>
          <c:xMode val="edge"/>
          <c:yMode val="edge"/>
          <c:x val="0.28429943597475843"/>
          <c:y val="0"/>
        </c:manualLayout>
      </c:layout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Start!$B$26:$B$28</c:f>
              <c:strCache>
                <c:ptCount val="3"/>
                <c:pt idx="0">
                  <c:v>Klasse A</c:v>
                </c:pt>
                <c:pt idx="1">
                  <c:v>Klasse B</c:v>
                </c:pt>
                <c:pt idx="2">
                  <c:v>Klasse C</c:v>
                </c:pt>
              </c:strCache>
            </c:strRef>
          </c:cat>
          <c:val>
            <c:numRef>
              <c:f>Start!$D$26:$D$28</c:f>
              <c:numCache>
                <c:formatCode>0.0%</c:formatCode>
                <c:ptCount val="3"/>
                <c:pt idx="0">
                  <c:v>0.76376960089576795</c:v>
                </c:pt>
                <c:pt idx="1">
                  <c:v>0.17264746609787532</c:v>
                </c:pt>
                <c:pt idx="2">
                  <c:v>6.3582933006356784E-2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A-438B-82C0-9844A7878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19835"/>
        <c:axId val="13764854"/>
      </c:barChart>
      <c:catAx>
        <c:axId val="459198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764854"/>
        <c:crosses val="autoZero"/>
        <c:auto val="1"/>
        <c:lblAlgn val="ctr"/>
        <c:lblOffset val="100"/>
        <c:noMultiLvlLbl val="0"/>
      </c:catAx>
      <c:valAx>
        <c:axId val="1376485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91983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23</xdr:row>
      <xdr:rowOff>97200</xdr:rowOff>
    </xdr:from>
    <xdr:to>
      <xdr:col>8</xdr:col>
      <xdr:colOff>847725</xdr:colOff>
      <xdr:row>33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"/>
  <sheetViews>
    <sheetView showGridLines="0" tabSelected="1" zoomScaleNormal="100" workbookViewId="0">
      <selection activeCell="F49" sqref="F49"/>
    </sheetView>
  </sheetViews>
  <sheetFormatPr baseColWidth="10" defaultColWidth="8.7109375" defaultRowHeight="15" x14ac:dyDescent="0.25"/>
  <cols>
    <col min="1" max="1" width="2" customWidth="1"/>
    <col min="2" max="2" width="34" customWidth="1"/>
    <col min="3" max="4" width="13" customWidth="1"/>
    <col min="5" max="5" width="3" customWidth="1"/>
    <col min="6" max="6" width="15" customWidth="1"/>
    <col min="7" max="9" width="13" customWidth="1"/>
  </cols>
  <sheetData>
    <row r="1" spans="2:9" ht="39.7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</row>
    <row r="2" spans="2:9" ht="21.75" customHeight="1" x14ac:dyDescent="0.25">
      <c r="B2" s="13" t="s">
        <v>1</v>
      </c>
      <c r="C2" s="13"/>
      <c r="D2" s="13"/>
      <c r="E2" s="13"/>
      <c r="F2" s="13"/>
      <c r="G2" s="13"/>
      <c r="H2" s="13"/>
      <c r="I2" s="13"/>
    </row>
    <row r="4" spans="2:9" ht="21.75" customHeight="1" x14ac:dyDescent="0.25">
      <c r="B4" s="12" t="s">
        <v>2</v>
      </c>
      <c r="C4" s="12"/>
      <c r="D4" s="12"/>
      <c r="E4" s="12"/>
      <c r="F4" s="12"/>
      <c r="G4" s="12"/>
      <c r="H4" s="12"/>
      <c r="I4" s="12"/>
    </row>
    <row r="5" spans="2:9" ht="30" customHeight="1" x14ac:dyDescent="0.25">
      <c r="B5" s="15" t="s">
        <v>3</v>
      </c>
      <c r="C5" s="11" t="s">
        <v>4</v>
      </c>
      <c r="D5" s="11"/>
      <c r="E5" s="11"/>
      <c r="F5" s="11"/>
      <c r="G5" s="11"/>
      <c r="H5" s="11"/>
      <c r="I5" s="11"/>
    </row>
    <row r="6" spans="2:9" ht="30" customHeight="1" x14ac:dyDescent="0.25">
      <c r="B6" s="15" t="s">
        <v>5</v>
      </c>
      <c r="C6" s="11" t="s">
        <v>6</v>
      </c>
      <c r="D6" s="11"/>
      <c r="E6" s="11"/>
      <c r="F6" s="11"/>
      <c r="G6" s="11"/>
      <c r="H6" s="11"/>
      <c r="I6" s="11"/>
    </row>
    <row r="7" spans="2:9" ht="30" customHeight="1" x14ac:dyDescent="0.25">
      <c r="B7" s="15" t="s">
        <v>7</v>
      </c>
      <c r="C7" s="11" t="s">
        <v>8</v>
      </c>
      <c r="D7" s="11"/>
      <c r="E7" s="11"/>
      <c r="F7" s="11"/>
      <c r="G7" s="11"/>
      <c r="H7" s="11"/>
      <c r="I7" s="11"/>
    </row>
    <row r="9" spans="2:9" ht="21.75" customHeight="1" x14ac:dyDescent="0.25">
      <c r="B9" s="12" t="s">
        <v>9</v>
      </c>
      <c r="C9" s="12"/>
      <c r="D9" s="12"/>
      <c r="E9" s="12"/>
      <c r="F9" s="12"/>
      <c r="G9" s="12"/>
      <c r="H9" s="12"/>
      <c r="I9" s="12"/>
    </row>
    <row r="10" spans="2:9" ht="27.75" customHeight="1" x14ac:dyDescent="0.25">
      <c r="B10" s="10" t="s">
        <v>10</v>
      </c>
      <c r="C10" s="10"/>
      <c r="D10" s="10"/>
      <c r="E10" s="10"/>
      <c r="F10" s="10"/>
      <c r="G10" s="10"/>
      <c r="H10" s="10"/>
      <c r="I10" s="10"/>
    </row>
    <row r="11" spans="2:9" ht="22.35" customHeight="1" x14ac:dyDescent="0.25">
      <c r="B11" s="16" t="s">
        <v>11</v>
      </c>
      <c r="C11" s="17" t="s">
        <v>12</v>
      </c>
      <c r="F11" s="18" t="s">
        <v>13</v>
      </c>
      <c r="G11" s="9" t="s">
        <v>14</v>
      </c>
      <c r="H11" s="9"/>
      <c r="I11" s="9"/>
    </row>
    <row r="13" spans="2:9" ht="21.75" customHeight="1" x14ac:dyDescent="0.25">
      <c r="B13" s="12" t="s">
        <v>15</v>
      </c>
      <c r="C13" s="12"/>
      <c r="D13" s="12"/>
      <c r="E13" s="12"/>
      <c r="F13" s="12"/>
      <c r="G13" s="12"/>
      <c r="H13" s="12"/>
      <c r="I13" s="12"/>
    </row>
    <row r="16" spans="2:9" x14ac:dyDescent="0.25">
      <c r="B16" s="19" t="s">
        <v>16</v>
      </c>
      <c r="C16" s="20" t="s">
        <v>17</v>
      </c>
    </row>
    <row r="17" spans="2:9" ht="16.5" customHeight="1" x14ac:dyDescent="0.25">
      <c r="B17" s="21" t="s">
        <v>18</v>
      </c>
      <c r="C17" s="22">
        <v>0.8</v>
      </c>
    </row>
    <row r="18" spans="2:9" ht="16.5" customHeight="1" x14ac:dyDescent="0.25">
      <c r="B18" s="21" t="s">
        <v>19</v>
      </c>
      <c r="C18" s="22">
        <v>0.95</v>
      </c>
    </row>
    <row r="19" spans="2:9" ht="16.5" customHeight="1" x14ac:dyDescent="0.25">
      <c r="B19" s="21" t="s">
        <v>20</v>
      </c>
      <c r="C19" s="22">
        <v>0.25</v>
      </c>
    </row>
    <row r="20" spans="2:9" ht="16.5" customHeight="1" x14ac:dyDescent="0.25">
      <c r="B20" s="21" t="s">
        <v>21</v>
      </c>
      <c r="C20" s="22">
        <v>0.5</v>
      </c>
    </row>
    <row r="21" spans="2:9" ht="21.75" customHeight="1" x14ac:dyDescent="0.25">
      <c r="B21" s="12" t="s">
        <v>22</v>
      </c>
      <c r="C21" s="12"/>
      <c r="D21" s="12"/>
      <c r="E21" s="12"/>
      <c r="F21" s="12"/>
      <c r="G21" s="12"/>
      <c r="H21" s="12"/>
      <c r="I21" s="12"/>
    </row>
    <row r="22" spans="2:9" ht="15.75" customHeight="1" x14ac:dyDescent="0.25">
      <c r="B22" s="8" t="s">
        <v>23</v>
      </c>
      <c r="C22" s="8"/>
      <c r="F22" s="8" t="s">
        <v>24</v>
      </c>
      <c r="G22" s="8"/>
    </row>
    <row r="23" spans="2:9" ht="25.5" customHeight="1" x14ac:dyDescent="0.25">
      <c r="B23" s="7">
        <f>COUNTA(Analyse!$A$5:$A$24)</f>
        <v>20</v>
      </c>
      <c r="C23" s="7"/>
      <c r="F23" s="6">
        <f>Analyse!$R$25</f>
        <v>3160104.3</v>
      </c>
      <c r="G23" s="6"/>
    </row>
    <row r="25" spans="2:9" x14ac:dyDescent="0.25">
      <c r="B25" s="23" t="s">
        <v>25</v>
      </c>
      <c r="C25" s="24" t="s">
        <v>26</v>
      </c>
      <c r="D25" s="24" t="s">
        <v>27</v>
      </c>
    </row>
    <row r="26" spans="2:9" x14ac:dyDescent="0.25">
      <c r="B26" s="25" t="s">
        <v>28</v>
      </c>
      <c r="C26" s="26">
        <f>COUNTIF(Analyse!$T$5:$T$24,"A")</f>
        <v>4</v>
      </c>
      <c r="D26" s="27">
        <f>IFERROR(SUMIF(Analyse!$T$5:$T$24,"A",Analyse!$R$5:$R$24)/Analyse!$R$25,0)</f>
        <v>0.76376960089576795</v>
      </c>
    </row>
    <row r="27" spans="2:9" x14ac:dyDescent="0.25">
      <c r="B27" s="28" t="s">
        <v>29</v>
      </c>
      <c r="C27" s="26">
        <f>COUNTIF(Analyse!$T$5:$T$24,"B")</f>
        <v>4</v>
      </c>
      <c r="D27" s="27">
        <f>IFERROR(SUMIF(Analyse!$T$5:$T$24,"B",Analyse!$R$5:$R$24)/Analyse!$R$25,0)</f>
        <v>0.17264746609787532</v>
      </c>
    </row>
    <row r="28" spans="2:9" x14ac:dyDescent="0.25">
      <c r="B28" s="29" t="s">
        <v>30</v>
      </c>
      <c r="C28" s="26">
        <f>COUNTIF(Analyse!$T$5:$T$24,"C")</f>
        <v>12</v>
      </c>
      <c r="D28" s="27">
        <f>IFERROR(SUMIF(Analyse!$T$5:$T$24,"C",Analyse!$R$5:$R$24)/Analyse!$R$25,0)</f>
        <v>6.3582933006356784E-2</v>
      </c>
    </row>
    <row r="30" spans="2:9" x14ac:dyDescent="0.25">
      <c r="B30" s="23" t="s">
        <v>31</v>
      </c>
      <c r="C30" s="24" t="s">
        <v>26</v>
      </c>
      <c r="D30" s="24" t="s">
        <v>27</v>
      </c>
    </row>
    <row r="31" spans="2:9" x14ac:dyDescent="0.25">
      <c r="B31" s="30" t="s">
        <v>32</v>
      </c>
      <c r="C31" s="26">
        <f>COUNTIF(Analyse!$X$5:$X$24,"X")</f>
        <v>8</v>
      </c>
      <c r="D31" s="27">
        <f>IFERROR(SUMIF(Analyse!$X$5:$X$24,"X",Analyse!$R$5:$R$24)/Analyse!$R$25,0)</f>
        <v>0.62149936000530115</v>
      </c>
    </row>
    <row r="32" spans="2:9" x14ac:dyDescent="0.25">
      <c r="B32" s="31" t="s">
        <v>33</v>
      </c>
      <c r="C32" s="26">
        <f>COUNTIF(Analyse!$X$5:$X$24,"Y")</f>
        <v>6</v>
      </c>
      <c r="D32" s="27">
        <f>IFERROR(SUMIF(Analyse!$X$5:$X$24,"Y",Analyse!$R$5:$R$24)/Analyse!$R$25,0)</f>
        <v>0.24722180847005593</v>
      </c>
    </row>
    <row r="33" spans="2:4" x14ac:dyDescent="0.25">
      <c r="B33" s="32" t="s">
        <v>34</v>
      </c>
      <c r="C33" s="26">
        <f>COUNTIF(Analyse!$X$5:$X$24,"Z")</f>
        <v>6</v>
      </c>
      <c r="D33" s="27">
        <f>IFERROR(SUMIF(Analyse!$X$5:$X$24,"Z",Analyse!$R$5:$R$24)/Analyse!$R$25,0)</f>
        <v>0.13127883152464301</v>
      </c>
    </row>
  </sheetData>
  <mergeCells count="15">
    <mergeCell ref="B21:I21"/>
    <mergeCell ref="B22:C22"/>
    <mergeCell ref="F22:G22"/>
    <mergeCell ref="B23:C23"/>
    <mergeCell ref="F23:G23"/>
    <mergeCell ref="C7:I7"/>
    <mergeCell ref="B9:I9"/>
    <mergeCell ref="B10:I10"/>
    <mergeCell ref="G11:I11"/>
    <mergeCell ref="B13:I13"/>
    <mergeCell ref="B1:I1"/>
    <mergeCell ref="B2:I2"/>
    <mergeCell ref="B4:I4"/>
    <mergeCell ref="C5:I5"/>
    <mergeCell ref="C6:I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5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11" customWidth="1"/>
    <col min="2" max="2" width="18" customWidth="1"/>
    <col min="3" max="3" width="11" customWidth="1"/>
    <col min="4" max="4" width="13" customWidth="1"/>
    <col min="5" max="16" width="6.42578125" customWidth="1"/>
    <col min="17" max="17" width="13" customWidth="1"/>
    <col min="18" max="18" width="15" customWidth="1"/>
    <col min="19" max="19" width="12" customWidth="1"/>
    <col min="20" max="20" width="9" customWidth="1"/>
    <col min="21" max="23" width="12" customWidth="1"/>
    <col min="24" max="24" width="9" customWidth="1"/>
    <col min="25" max="25" width="11" customWidth="1"/>
  </cols>
  <sheetData>
    <row r="1" spans="1:25" ht="30" customHeight="1" x14ac:dyDescent="0.25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6.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" customHeight="1" x14ac:dyDescent="0.25">
      <c r="A3" s="3" t="s">
        <v>37</v>
      </c>
      <c r="B3" s="3"/>
      <c r="C3" s="3"/>
      <c r="D3" s="3"/>
      <c r="E3" s="2" t="s">
        <v>38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39</v>
      </c>
      <c r="R3" s="3"/>
      <c r="S3" s="3"/>
      <c r="T3" s="3"/>
      <c r="U3" s="2" t="s">
        <v>40</v>
      </c>
      <c r="V3" s="2"/>
      <c r="W3" s="2"/>
      <c r="X3" s="2"/>
      <c r="Y3" s="33" t="s">
        <v>41</v>
      </c>
    </row>
    <row r="4" spans="1:25" ht="30" customHeight="1" x14ac:dyDescent="0.25">
      <c r="A4" s="34" t="s">
        <v>42</v>
      </c>
      <c r="B4" s="34" t="s">
        <v>43</v>
      </c>
      <c r="C4" s="34" t="s">
        <v>44</v>
      </c>
      <c r="D4" s="34" t="s">
        <v>45</v>
      </c>
      <c r="E4" s="34" t="s">
        <v>46</v>
      </c>
      <c r="F4" s="34" t="s">
        <v>47</v>
      </c>
      <c r="G4" s="34" t="s">
        <v>48</v>
      </c>
      <c r="H4" s="34" t="s">
        <v>49</v>
      </c>
      <c r="I4" s="34" t="s">
        <v>50</v>
      </c>
      <c r="J4" s="34" t="s">
        <v>51</v>
      </c>
      <c r="K4" s="34" t="s">
        <v>52</v>
      </c>
      <c r="L4" s="34" t="s">
        <v>53</v>
      </c>
      <c r="M4" s="34" t="s">
        <v>54</v>
      </c>
      <c r="N4" s="34" t="s">
        <v>55</v>
      </c>
      <c r="O4" s="34" t="s">
        <v>56</v>
      </c>
      <c r="P4" s="34" t="s">
        <v>57</v>
      </c>
      <c r="Q4" s="34" t="s">
        <v>58</v>
      </c>
      <c r="R4" s="34" t="s">
        <v>59</v>
      </c>
      <c r="S4" s="34" t="s">
        <v>60</v>
      </c>
      <c r="T4" s="34" t="s">
        <v>61</v>
      </c>
      <c r="U4" s="34" t="s">
        <v>62</v>
      </c>
      <c r="V4" s="34" t="s">
        <v>63</v>
      </c>
      <c r="W4" s="34" t="s">
        <v>64</v>
      </c>
      <c r="X4" s="34" t="s">
        <v>65</v>
      </c>
      <c r="Y4" s="34" t="s">
        <v>66</v>
      </c>
    </row>
    <row r="5" spans="1:25" ht="15" customHeight="1" x14ac:dyDescent="0.25">
      <c r="A5" s="35" t="s">
        <v>67</v>
      </c>
      <c r="B5" s="35" t="s">
        <v>68</v>
      </c>
      <c r="C5" s="36" t="s">
        <v>69</v>
      </c>
      <c r="D5" s="37">
        <v>148</v>
      </c>
      <c r="E5" s="38">
        <v>601</v>
      </c>
      <c r="F5" s="38">
        <v>560</v>
      </c>
      <c r="G5" s="38">
        <v>634</v>
      </c>
      <c r="H5" s="38">
        <v>619</v>
      </c>
      <c r="I5" s="38">
        <v>683</v>
      </c>
      <c r="J5" s="38">
        <v>633</v>
      </c>
      <c r="K5" s="38">
        <v>584</v>
      </c>
      <c r="L5" s="38">
        <v>551</v>
      </c>
      <c r="M5" s="38">
        <v>647</v>
      </c>
      <c r="N5" s="38">
        <v>606</v>
      </c>
      <c r="O5" s="38">
        <v>617</v>
      </c>
      <c r="P5" s="38">
        <v>594</v>
      </c>
      <c r="Q5" s="39">
        <f t="shared" ref="Q5:Q24" si="0">SUM(E5:P5)</f>
        <v>7329</v>
      </c>
      <c r="R5" s="40">
        <f t="shared" ref="R5:R24" si="1">Q5*D5</f>
        <v>1084692</v>
      </c>
      <c r="S5" s="41">
        <f t="shared" ref="S5:S24" si="2">IFERROR(SUMIF($R$5:$R$24,"&gt;="&amp;R5,$R$5:$R$24)/SUM($R$5:$R$24),0)</f>
        <v>0.3432456327469951</v>
      </c>
      <c r="T5" s="42" t="str">
        <f>IF(S5&lt;=Start!$C$17,"A",IF(S5&lt;=Start!$C$18,"B","C"))</f>
        <v>A</v>
      </c>
      <c r="U5" s="43">
        <f t="shared" ref="U5:U24" si="3">AVERAGE(E5:P5)</f>
        <v>610.75</v>
      </c>
      <c r="V5" s="43">
        <f t="shared" ref="V5:V24" si="4">STDEVP(E5:P5)</f>
        <v>35.280128968018246</v>
      </c>
      <c r="W5" s="41">
        <f t="shared" ref="W5:W24" si="5">IFERROR(V5/U5,0)</f>
        <v>5.7765254143296349E-2</v>
      </c>
      <c r="X5" s="42" t="str">
        <f>IF(W5&lt;=Start!$C$19,"X",IF(W5&lt;=Start!$C$20,"Y","Z"))</f>
        <v>X</v>
      </c>
      <c r="Y5" s="44" t="str">
        <f t="shared" ref="Y5:Y24" si="6">T5&amp;X5</f>
        <v>AX</v>
      </c>
    </row>
    <row r="6" spans="1:25" ht="15" customHeight="1" x14ac:dyDescent="0.25">
      <c r="A6" s="35" t="s">
        <v>70</v>
      </c>
      <c r="B6" s="35" t="s">
        <v>71</v>
      </c>
      <c r="C6" s="36" t="s">
        <v>69</v>
      </c>
      <c r="D6" s="37">
        <v>92.5</v>
      </c>
      <c r="E6" s="38">
        <v>222</v>
      </c>
      <c r="F6" s="38">
        <v>468</v>
      </c>
      <c r="G6" s="38">
        <v>566</v>
      </c>
      <c r="H6" s="38">
        <v>673</v>
      </c>
      <c r="I6" s="38">
        <v>786</v>
      </c>
      <c r="J6" s="38">
        <v>716</v>
      </c>
      <c r="K6" s="38">
        <v>857</v>
      </c>
      <c r="L6" s="38">
        <v>644</v>
      </c>
      <c r="M6" s="38">
        <v>559</v>
      </c>
      <c r="N6" s="38">
        <v>459</v>
      </c>
      <c r="O6" s="38">
        <v>182</v>
      </c>
      <c r="P6" s="38">
        <v>387</v>
      </c>
      <c r="Q6" s="39">
        <f t="shared" si="0"/>
        <v>6519</v>
      </c>
      <c r="R6" s="40">
        <f t="shared" si="1"/>
        <v>603007.5</v>
      </c>
      <c r="S6" s="41">
        <f t="shared" si="2"/>
        <v>0.53406449274474899</v>
      </c>
      <c r="T6" s="42" t="str">
        <f>IF(S6&lt;=Start!$C$17,"A",IF(S6&lt;=Start!$C$18,"B","C"))</f>
        <v>A</v>
      </c>
      <c r="U6" s="43">
        <f t="shared" si="3"/>
        <v>543.25</v>
      </c>
      <c r="V6" s="43">
        <f t="shared" si="4"/>
        <v>201.21262592922278</v>
      </c>
      <c r="W6" s="41">
        <f t="shared" si="5"/>
        <v>0.37038679416331849</v>
      </c>
      <c r="X6" s="42" t="str">
        <f>IF(W6&lt;=Start!$C$19,"X",IF(W6&lt;=Start!$C$20,"Y","Z"))</f>
        <v>Y</v>
      </c>
      <c r="Y6" s="44" t="str">
        <f t="shared" si="6"/>
        <v>AY</v>
      </c>
    </row>
    <row r="7" spans="1:25" ht="15" customHeight="1" x14ac:dyDescent="0.25">
      <c r="A7" s="35" t="s">
        <v>72</v>
      </c>
      <c r="B7" s="35" t="s">
        <v>73</v>
      </c>
      <c r="C7" s="36" t="s">
        <v>74</v>
      </c>
      <c r="D7" s="37">
        <v>480</v>
      </c>
      <c r="E7" s="38">
        <v>39</v>
      </c>
      <c r="F7" s="38">
        <v>146</v>
      </c>
      <c r="G7" s="38">
        <v>29</v>
      </c>
      <c r="H7" s="38">
        <v>0</v>
      </c>
      <c r="I7" s="38">
        <v>1</v>
      </c>
      <c r="J7" s="38">
        <v>29</v>
      </c>
      <c r="K7" s="38">
        <v>0</v>
      </c>
      <c r="L7" s="38">
        <v>439</v>
      </c>
      <c r="M7" s="38">
        <v>0</v>
      </c>
      <c r="N7" s="38">
        <v>0</v>
      </c>
      <c r="O7" s="38">
        <v>4</v>
      </c>
      <c r="P7" s="38">
        <v>67</v>
      </c>
      <c r="Q7" s="39">
        <f t="shared" si="0"/>
        <v>754</v>
      </c>
      <c r="R7" s="40">
        <f t="shared" si="1"/>
        <v>361920</v>
      </c>
      <c r="S7" s="41">
        <f t="shared" si="2"/>
        <v>0.76376960089576795</v>
      </c>
      <c r="T7" s="42" t="str">
        <f>IF(S7&lt;=Start!$C$17,"A",IF(S7&lt;=Start!$C$18,"B","C"))</f>
        <v>A</v>
      </c>
      <c r="U7" s="43">
        <f t="shared" si="3"/>
        <v>62.833333333333336</v>
      </c>
      <c r="V7" s="43">
        <f t="shared" si="4"/>
        <v>120.54379102863638</v>
      </c>
      <c r="W7" s="41">
        <f t="shared" si="5"/>
        <v>1.9184688227369184</v>
      </c>
      <c r="X7" s="42" t="str">
        <f>IF(W7&lt;=Start!$C$19,"X",IF(W7&lt;=Start!$C$20,"Y","Z"))</f>
        <v>Z</v>
      </c>
      <c r="Y7" s="44" t="str">
        <f t="shared" si="6"/>
        <v>AZ</v>
      </c>
    </row>
    <row r="8" spans="1:25" ht="15" customHeight="1" x14ac:dyDescent="0.25">
      <c r="A8" s="35" t="s">
        <v>75</v>
      </c>
      <c r="B8" s="35" t="s">
        <v>76</v>
      </c>
      <c r="C8" s="36" t="s">
        <v>69</v>
      </c>
      <c r="D8" s="37">
        <v>34.9</v>
      </c>
      <c r="E8" s="38">
        <v>678</v>
      </c>
      <c r="F8" s="38">
        <v>911</v>
      </c>
      <c r="G8" s="38">
        <v>936</v>
      </c>
      <c r="H8" s="38">
        <v>816</v>
      </c>
      <c r="I8" s="38">
        <v>915</v>
      </c>
      <c r="J8" s="38">
        <v>924</v>
      </c>
      <c r="K8" s="38">
        <v>924</v>
      </c>
      <c r="L8" s="38">
        <v>853</v>
      </c>
      <c r="M8" s="38">
        <v>902</v>
      </c>
      <c r="N8" s="38">
        <v>892</v>
      </c>
      <c r="O8" s="38">
        <v>830</v>
      </c>
      <c r="P8" s="38">
        <v>848</v>
      </c>
      <c r="Q8" s="39">
        <f t="shared" si="0"/>
        <v>10429</v>
      </c>
      <c r="R8" s="40">
        <f t="shared" si="1"/>
        <v>363972.1</v>
      </c>
      <c r="S8" s="41">
        <f t="shared" si="2"/>
        <v>0.64924173547056663</v>
      </c>
      <c r="T8" s="42" t="str">
        <f>IF(S8&lt;=Start!$C$17,"A",IF(S8&lt;=Start!$C$18,"B","C"))</f>
        <v>A</v>
      </c>
      <c r="U8" s="43">
        <f t="shared" si="3"/>
        <v>869.08333333333337</v>
      </c>
      <c r="V8" s="43">
        <f t="shared" si="4"/>
        <v>69.248896902566045</v>
      </c>
      <c r="W8" s="41">
        <f t="shared" si="5"/>
        <v>7.96803876527752E-2</v>
      </c>
      <c r="X8" s="42" t="str">
        <f>IF(W8&lt;=Start!$C$19,"X",IF(W8&lt;=Start!$C$20,"Y","Z"))</f>
        <v>X</v>
      </c>
      <c r="Y8" s="44" t="str">
        <f t="shared" si="6"/>
        <v>AX</v>
      </c>
    </row>
    <row r="9" spans="1:25" ht="15" customHeight="1" x14ac:dyDescent="0.25">
      <c r="A9" s="35" t="s">
        <v>77</v>
      </c>
      <c r="B9" s="35" t="s">
        <v>78</v>
      </c>
      <c r="C9" s="36" t="s">
        <v>79</v>
      </c>
      <c r="D9" s="37">
        <v>12.4</v>
      </c>
      <c r="E9" s="38">
        <v>203</v>
      </c>
      <c r="F9" s="38">
        <v>216</v>
      </c>
      <c r="G9" s="38">
        <v>314</v>
      </c>
      <c r="H9" s="38">
        <v>370</v>
      </c>
      <c r="I9" s="38">
        <v>410</v>
      </c>
      <c r="J9" s="38">
        <v>438</v>
      </c>
      <c r="K9" s="38">
        <v>427</v>
      </c>
      <c r="L9" s="38">
        <v>370</v>
      </c>
      <c r="M9" s="38">
        <v>305</v>
      </c>
      <c r="N9" s="38">
        <v>253</v>
      </c>
      <c r="O9" s="38">
        <v>178</v>
      </c>
      <c r="P9" s="38">
        <v>171</v>
      </c>
      <c r="Q9" s="39">
        <f t="shared" si="0"/>
        <v>3655</v>
      </c>
      <c r="R9" s="40">
        <f t="shared" si="1"/>
        <v>45322</v>
      </c>
      <c r="S9" s="41">
        <f t="shared" si="2"/>
        <v>0.95075899868241698</v>
      </c>
      <c r="T9" s="42" t="str">
        <f>IF(S9&lt;=Start!$C$17,"A",IF(S9&lt;=Start!$C$18,"B","C"))</f>
        <v>C</v>
      </c>
      <c r="U9" s="43">
        <f t="shared" si="3"/>
        <v>304.58333333333331</v>
      </c>
      <c r="V9" s="43">
        <f t="shared" si="4"/>
        <v>94.534348548850517</v>
      </c>
      <c r="W9" s="41">
        <f t="shared" si="5"/>
        <v>0.31037269017406466</v>
      </c>
      <c r="X9" s="42" t="str">
        <f>IF(W9&lt;=Start!$C$19,"X",IF(W9&lt;=Start!$C$20,"Y","Z"))</f>
        <v>Y</v>
      </c>
      <c r="Y9" s="44" t="str">
        <f t="shared" si="6"/>
        <v>CY</v>
      </c>
    </row>
    <row r="10" spans="1:25" ht="15" customHeight="1" x14ac:dyDescent="0.25">
      <c r="A10" s="35" t="s">
        <v>80</v>
      </c>
      <c r="B10" s="35" t="s">
        <v>81</v>
      </c>
      <c r="C10" s="36" t="s">
        <v>74</v>
      </c>
      <c r="D10" s="37">
        <v>58</v>
      </c>
      <c r="E10" s="38">
        <v>143</v>
      </c>
      <c r="F10" s="38">
        <v>149</v>
      </c>
      <c r="G10" s="38">
        <v>144</v>
      </c>
      <c r="H10" s="38">
        <v>152</v>
      </c>
      <c r="I10" s="38">
        <v>156</v>
      </c>
      <c r="J10" s="38">
        <v>131</v>
      </c>
      <c r="K10" s="38">
        <v>159</v>
      </c>
      <c r="L10" s="38">
        <v>157</v>
      </c>
      <c r="M10" s="38">
        <v>137</v>
      </c>
      <c r="N10" s="38">
        <v>169</v>
      </c>
      <c r="O10" s="38">
        <v>147</v>
      </c>
      <c r="P10" s="38">
        <v>150</v>
      </c>
      <c r="Q10" s="39">
        <f t="shared" si="0"/>
        <v>1794</v>
      </c>
      <c r="R10" s="40">
        <f t="shared" si="1"/>
        <v>104052</v>
      </c>
      <c r="S10" s="41">
        <f t="shared" si="2"/>
        <v>0.89950815863894118</v>
      </c>
      <c r="T10" s="42" t="str">
        <f>IF(S10&lt;=Start!$C$17,"A",IF(S10&lt;=Start!$C$18,"B","C"))</f>
        <v>B</v>
      </c>
      <c r="U10" s="43">
        <f t="shared" si="3"/>
        <v>149.5</v>
      </c>
      <c r="V10" s="43">
        <f t="shared" si="4"/>
        <v>9.8022106350217406</v>
      </c>
      <c r="W10" s="41">
        <f t="shared" si="5"/>
        <v>6.5566626321215654E-2</v>
      </c>
      <c r="X10" s="42" t="str">
        <f>IF(W10&lt;=Start!$C$19,"X",IF(W10&lt;=Start!$C$20,"Y","Z"))</f>
        <v>X</v>
      </c>
      <c r="Y10" s="44" t="str">
        <f t="shared" si="6"/>
        <v>BX</v>
      </c>
    </row>
    <row r="11" spans="1:25" ht="15" customHeight="1" x14ac:dyDescent="0.25">
      <c r="A11" s="35" t="s">
        <v>82</v>
      </c>
      <c r="B11" s="35" t="s">
        <v>83</v>
      </c>
      <c r="C11" s="36" t="s">
        <v>79</v>
      </c>
      <c r="D11" s="37">
        <v>7.8</v>
      </c>
      <c r="E11" s="38">
        <v>0</v>
      </c>
      <c r="F11" s="38">
        <v>103</v>
      </c>
      <c r="G11" s="38">
        <v>970</v>
      </c>
      <c r="H11" s="38">
        <v>312</v>
      </c>
      <c r="I11" s="38">
        <v>0</v>
      </c>
      <c r="J11" s="38">
        <v>0</v>
      </c>
      <c r="K11" s="38">
        <v>51</v>
      </c>
      <c r="L11" s="38">
        <v>0</v>
      </c>
      <c r="M11" s="38">
        <v>34</v>
      </c>
      <c r="N11" s="38">
        <v>430</v>
      </c>
      <c r="O11" s="38">
        <v>202</v>
      </c>
      <c r="P11" s="38">
        <v>290</v>
      </c>
      <c r="Q11" s="39">
        <f t="shared" si="0"/>
        <v>2392</v>
      </c>
      <c r="R11" s="40">
        <f t="shared" si="1"/>
        <v>18657.599999999999</v>
      </c>
      <c r="S11" s="41">
        <f t="shared" si="2"/>
        <v>0.97361125074257837</v>
      </c>
      <c r="T11" s="42" t="str">
        <f>IF(S11&lt;=Start!$C$17,"A",IF(S11&lt;=Start!$C$18,"B","C"))</f>
        <v>C</v>
      </c>
      <c r="U11" s="43">
        <f t="shared" si="3"/>
        <v>199.33333333333334</v>
      </c>
      <c r="V11" s="43">
        <f t="shared" si="4"/>
        <v>271.66288340923978</v>
      </c>
      <c r="W11" s="41">
        <f t="shared" si="5"/>
        <v>1.3628572746282932</v>
      </c>
      <c r="X11" s="42" t="str">
        <f>IF(W11&lt;=Start!$C$19,"X",IF(W11&lt;=Start!$C$20,"Y","Z"))</f>
        <v>Z</v>
      </c>
      <c r="Y11" s="44" t="str">
        <f t="shared" si="6"/>
        <v>CZ</v>
      </c>
    </row>
    <row r="12" spans="1:25" ht="15" customHeight="1" x14ac:dyDescent="0.25">
      <c r="A12" s="35" t="s">
        <v>84</v>
      </c>
      <c r="B12" s="35" t="s">
        <v>85</v>
      </c>
      <c r="C12" s="36" t="s">
        <v>69</v>
      </c>
      <c r="D12" s="37">
        <v>26.5</v>
      </c>
      <c r="E12" s="38">
        <v>120</v>
      </c>
      <c r="F12" s="38">
        <v>171</v>
      </c>
      <c r="G12" s="38">
        <v>230</v>
      </c>
      <c r="H12" s="38">
        <v>274</v>
      </c>
      <c r="I12" s="38">
        <v>296</v>
      </c>
      <c r="J12" s="38">
        <v>339</v>
      </c>
      <c r="K12" s="38">
        <v>289</v>
      </c>
      <c r="L12" s="38">
        <v>254</v>
      </c>
      <c r="M12" s="38">
        <v>219</v>
      </c>
      <c r="N12" s="38">
        <v>161</v>
      </c>
      <c r="O12" s="38">
        <v>109</v>
      </c>
      <c r="P12" s="38">
        <v>140</v>
      </c>
      <c r="Q12" s="39">
        <f t="shared" si="0"/>
        <v>2602</v>
      </c>
      <c r="R12" s="40">
        <f t="shared" si="1"/>
        <v>68953</v>
      </c>
      <c r="S12" s="41">
        <f t="shared" si="2"/>
        <v>0.92132800806606296</v>
      </c>
      <c r="T12" s="42" t="str">
        <f>IF(S12&lt;=Start!$C$17,"A",IF(S12&lt;=Start!$C$18,"B","C"))</f>
        <v>B</v>
      </c>
      <c r="U12" s="43">
        <f t="shared" si="3"/>
        <v>216.83333333333334</v>
      </c>
      <c r="V12" s="43">
        <f t="shared" si="4"/>
        <v>72.659976756273622</v>
      </c>
      <c r="W12" s="41">
        <f t="shared" si="5"/>
        <v>0.33509597274223035</v>
      </c>
      <c r="X12" s="42" t="str">
        <f>IF(W12&lt;=Start!$C$19,"X",IF(W12&lt;=Start!$C$20,"Y","Z"))</f>
        <v>Y</v>
      </c>
      <c r="Y12" s="44" t="str">
        <f t="shared" si="6"/>
        <v>BY</v>
      </c>
    </row>
    <row r="13" spans="1:25" ht="15" customHeight="1" x14ac:dyDescent="0.25">
      <c r="A13" s="35" t="s">
        <v>86</v>
      </c>
      <c r="B13" s="35" t="s">
        <v>87</v>
      </c>
      <c r="C13" s="36" t="s">
        <v>74</v>
      </c>
      <c r="D13" s="37">
        <v>41</v>
      </c>
      <c r="E13" s="38">
        <v>97</v>
      </c>
      <c r="F13" s="38">
        <v>103</v>
      </c>
      <c r="G13" s="38">
        <v>105</v>
      </c>
      <c r="H13" s="38">
        <v>89</v>
      </c>
      <c r="I13" s="38">
        <v>101</v>
      </c>
      <c r="J13" s="38">
        <v>94</v>
      </c>
      <c r="K13" s="38">
        <v>99</v>
      </c>
      <c r="L13" s="38">
        <v>101</v>
      </c>
      <c r="M13" s="38">
        <v>92</v>
      </c>
      <c r="N13" s="38">
        <v>90</v>
      </c>
      <c r="O13" s="38">
        <v>97</v>
      </c>
      <c r="P13" s="38">
        <v>95</v>
      </c>
      <c r="Q13" s="39">
        <f t="shared" si="0"/>
        <v>1163</v>
      </c>
      <c r="R13" s="40">
        <f t="shared" si="1"/>
        <v>47683</v>
      </c>
      <c r="S13" s="41">
        <f t="shared" si="2"/>
        <v>0.93641706699364335</v>
      </c>
      <c r="T13" s="42" t="str">
        <f>IF(S13&lt;=Start!$C$17,"A",IF(S13&lt;=Start!$C$18,"B","C"))</f>
        <v>B</v>
      </c>
      <c r="U13" s="43">
        <f t="shared" si="3"/>
        <v>96.916666666666671</v>
      </c>
      <c r="V13" s="43">
        <f t="shared" si="4"/>
        <v>4.8897568673935341</v>
      </c>
      <c r="W13" s="41">
        <f t="shared" si="5"/>
        <v>5.0453209293828377E-2</v>
      </c>
      <c r="X13" s="42" t="str">
        <f>IF(W13&lt;=Start!$C$19,"X",IF(W13&lt;=Start!$C$20,"Y","Z"))</f>
        <v>X</v>
      </c>
      <c r="Y13" s="44" t="str">
        <f t="shared" si="6"/>
        <v>BX</v>
      </c>
    </row>
    <row r="14" spans="1:25" ht="15" customHeight="1" x14ac:dyDescent="0.25">
      <c r="A14" s="35" t="s">
        <v>88</v>
      </c>
      <c r="B14" s="35" t="s">
        <v>89</v>
      </c>
      <c r="C14" s="36" t="s">
        <v>79</v>
      </c>
      <c r="D14" s="37">
        <v>3.2</v>
      </c>
      <c r="E14" s="38">
        <v>309</v>
      </c>
      <c r="F14" s="38">
        <v>443</v>
      </c>
      <c r="G14" s="38">
        <v>539</v>
      </c>
      <c r="H14" s="38">
        <v>694</v>
      </c>
      <c r="I14" s="38">
        <v>792</v>
      </c>
      <c r="J14" s="38">
        <v>753</v>
      </c>
      <c r="K14" s="38">
        <v>729</v>
      </c>
      <c r="L14" s="38">
        <v>685</v>
      </c>
      <c r="M14" s="38">
        <v>560</v>
      </c>
      <c r="N14" s="38">
        <v>434</v>
      </c>
      <c r="O14" s="38">
        <v>414</v>
      </c>
      <c r="P14" s="38">
        <v>385</v>
      </c>
      <c r="Q14" s="39">
        <f t="shared" si="0"/>
        <v>6737</v>
      </c>
      <c r="R14" s="40">
        <f t="shared" si="1"/>
        <v>21558.400000000001</v>
      </c>
      <c r="S14" s="41">
        <f t="shared" si="2"/>
        <v>0.96770714181807238</v>
      </c>
      <c r="T14" s="42" t="str">
        <f>IF(S14&lt;=Start!$C$17,"A",IF(S14&lt;=Start!$C$18,"B","C"))</f>
        <v>C</v>
      </c>
      <c r="U14" s="43">
        <f t="shared" si="3"/>
        <v>561.41666666666663</v>
      </c>
      <c r="V14" s="43">
        <f t="shared" si="4"/>
        <v>157.62268149673835</v>
      </c>
      <c r="W14" s="41">
        <f t="shared" si="5"/>
        <v>0.28075882113119494</v>
      </c>
      <c r="X14" s="42" t="str">
        <f>IF(W14&lt;=Start!$C$19,"X",IF(W14&lt;=Start!$C$20,"Y","Z"))</f>
        <v>Y</v>
      </c>
      <c r="Y14" s="44" t="str">
        <f t="shared" si="6"/>
        <v>CY</v>
      </c>
    </row>
    <row r="15" spans="1:25" ht="15" customHeight="1" x14ac:dyDescent="0.25">
      <c r="A15" s="35" t="s">
        <v>90</v>
      </c>
      <c r="B15" s="35" t="s">
        <v>91</v>
      </c>
      <c r="C15" s="36" t="s">
        <v>74</v>
      </c>
      <c r="D15" s="37">
        <v>15.6</v>
      </c>
      <c r="E15" s="38">
        <v>0</v>
      </c>
      <c r="F15" s="38">
        <v>3</v>
      </c>
      <c r="G15" s="38">
        <v>32</v>
      </c>
      <c r="H15" s="38">
        <v>3</v>
      </c>
      <c r="I15" s="38">
        <v>11</v>
      </c>
      <c r="J15" s="38">
        <v>0</v>
      </c>
      <c r="K15" s="38">
        <v>14</v>
      </c>
      <c r="L15" s="38">
        <v>25</v>
      </c>
      <c r="M15" s="38">
        <v>54</v>
      </c>
      <c r="N15" s="38">
        <v>97</v>
      </c>
      <c r="O15" s="38">
        <v>10</v>
      </c>
      <c r="P15" s="38">
        <v>37</v>
      </c>
      <c r="Q15" s="39">
        <f t="shared" si="0"/>
        <v>286</v>
      </c>
      <c r="R15" s="40">
        <f t="shared" si="1"/>
        <v>4461.5999999999995</v>
      </c>
      <c r="S15" s="41">
        <f t="shared" si="2"/>
        <v>0.99885965789167142</v>
      </c>
      <c r="T15" s="42" t="str">
        <f>IF(S15&lt;=Start!$C$17,"A",IF(S15&lt;=Start!$C$18,"B","C"))</f>
        <v>C</v>
      </c>
      <c r="U15" s="43">
        <f t="shared" si="3"/>
        <v>23.833333333333332</v>
      </c>
      <c r="V15" s="43">
        <f t="shared" si="4"/>
        <v>27.327743330826927</v>
      </c>
      <c r="W15" s="41">
        <f t="shared" si="5"/>
        <v>1.1466186012934376</v>
      </c>
      <c r="X15" s="42" t="str">
        <f>IF(W15&lt;=Start!$C$19,"X",IF(W15&lt;=Start!$C$20,"Y","Z"))</f>
        <v>Z</v>
      </c>
      <c r="Y15" s="44" t="str">
        <f t="shared" si="6"/>
        <v>CZ</v>
      </c>
    </row>
    <row r="16" spans="1:25" ht="15" customHeight="1" x14ac:dyDescent="0.25">
      <c r="A16" s="35" t="s">
        <v>92</v>
      </c>
      <c r="B16" s="35" t="s">
        <v>93</v>
      </c>
      <c r="C16" s="36" t="s">
        <v>79</v>
      </c>
      <c r="D16" s="37">
        <v>9.1</v>
      </c>
      <c r="E16" s="38">
        <v>112</v>
      </c>
      <c r="F16" s="38">
        <v>115</v>
      </c>
      <c r="G16" s="38">
        <v>129</v>
      </c>
      <c r="H16" s="38">
        <v>127</v>
      </c>
      <c r="I16" s="38">
        <v>116</v>
      </c>
      <c r="J16" s="38">
        <v>128</v>
      </c>
      <c r="K16" s="38">
        <v>131</v>
      </c>
      <c r="L16" s="38">
        <v>118</v>
      </c>
      <c r="M16" s="38">
        <v>130</v>
      </c>
      <c r="N16" s="38">
        <v>117</v>
      </c>
      <c r="O16" s="38">
        <v>117</v>
      </c>
      <c r="P16" s="38">
        <v>119</v>
      </c>
      <c r="Q16" s="39">
        <f t="shared" si="0"/>
        <v>1459</v>
      </c>
      <c r="R16" s="40">
        <f t="shared" si="1"/>
        <v>13276.9</v>
      </c>
      <c r="S16" s="41">
        <f t="shared" si="2"/>
        <v>0.98770815887311059</v>
      </c>
      <c r="T16" s="42" t="str">
        <f>IF(S16&lt;=Start!$C$17,"A",IF(S16&lt;=Start!$C$18,"B","C"))</f>
        <v>C</v>
      </c>
      <c r="U16" s="43">
        <f t="shared" si="3"/>
        <v>121.58333333333333</v>
      </c>
      <c r="V16" s="43">
        <f t="shared" si="4"/>
        <v>6.5378173388031842</v>
      </c>
      <c r="W16" s="41">
        <f t="shared" si="5"/>
        <v>5.3772315329429894E-2</v>
      </c>
      <c r="X16" s="42" t="str">
        <f>IF(W16&lt;=Start!$C$19,"X",IF(W16&lt;=Start!$C$20,"Y","Z"))</f>
        <v>X</v>
      </c>
      <c r="Y16" s="44" t="str">
        <f t="shared" si="6"/>
        <v>CX</v>
      </c>
    </row>
    <row r="17" spans="1:25" ht="15" customHeight="1" x14ac:dyDescent="0.25">
      <c r="A17" s="35" t="s">
        <v>94</v>
      </c>
      <c r="B17" s="35" t="s">
        <v>95</v>
      </c>
      <c r="C17" s="36" t="s">
        <v>69</v>
      </c>
      <c r="D17" s="37">
        <v>22</v>
      </c>
      <c r="E17" s="38">
        <v>17</v>
      </c>
      <c r="F17" s="38">
        <v>24</v>
      </c>
      <c r="G17" s="38">
        <v>92</v>
      </c>
      <c r="H17" s="38">
        <v>24</v>
      </c>
      <c r="I17" s="38">
        <v>5</v>
      </c>
      <c r="J17" s="38">
        <v>0</v>
      </c>
      <c r="K17" s="38">
        <v>0</v>
      </c>
      <c r="L17" s="38">
        <v>22</v>
      </c>
      <c r="M17" s="38">
        <v>48</v>
      </c>
      <c r="N17" s="38">
        <v>21</v>
      </c>
      <c r="O17" s="38">
        <v>0</v>
      </c>
      <c r="P17" s="38">
        <v>141</v>
      </c>
      <c r="Q17" s="39">
        <f t="shared" si="0"/>
        <v>394</v>
      </c>
      <c r="R17" s="40">
        <f t="shared" si="1"/>
        <v>8668</v>
      </c>
      <c r="S17" s="41">
        <f t="shared" si="2"/>
        <v>0.99744780575755043</v>
      </c>
      <c r="T17" s="42" t="str">
        <f>IF(S17&lt;=Start!$C$17,"A",IF(S17&lt;=Start!$C$18,"B","C"))</f>
        <v>C</v>
      </c>
      <c r="U17" s="43">
        <f t="shared" si="3"/>
        <v>32.833333333333336</v>
      </c>
      <c r="V17" s="43">
        <f t="shared" si="4"/>
        <v>40.930496644379431</v>
      </c>
      <c r="W17" s="41">
        <f t="shared" si="5"/>
        <v>1.2466141109963278</v>
      </c>
      <c r="X17" s="42" t="str">
        <f>IF(W17&lt;=Start!$C$19,"X",IF(W17&lt;=Start!$C$20,"Y","Z"))</f>
        <v>Z</v>
      </c>
      <c r="Y17" s="44" t="str">
        <f t="shared" si="6"/>
        <v>CZ</v>
      </c>
    </row>
    <row r="18" spans="1:25" ht="15" customHeight="1" x14ac:dyDescent="0.25">
      <c r="A18" s="35" t="s">
        <v>96</v>
      </c>
      <c r="B18" s="35" t="s">
        <v>97</v>
      </c>
      <c r="C18" s="36" t="s">
        <v>74</v>
      </c>
      <c r="D18" s="37">
        <v>5.4</v>
      </c>
      <c r="E18" s="38">
        <v>224</v>
      </c>
      <c r="F18" s="38">
        <v>222</v>
      </c>
      <c r="G18" s="38">
        <v>195</v>
      </c>
      <c r="H18" s="38">
        <v>226</v>
      </c>
      <c r="I18" s="38">
        <v>213</v>
      </c>
      <c r="J18" s="38">
        <v>227</v>
      </c>
      <c r="K18" s="38">
        <v>216</v>
      </c>
      <c r="L18" s="38">
        <v>195</v>
      </c>
      <c r="M18" s="38">
        <v>194</v>
      </c>
      <c r="N18" s="38">
        <v>216</v>
      </c>
      <c r="O18" s="38">
        <v>226</v>
      </c>
      <c r="P18" s="38">
        <v>188</v>
      </c>
      <c r="Q18" s="39">
        <f t="shared" si="0"/>
        <v>2542</v>
      </c>
      <c r="R18" s="40">
        <f t="shared" si="1"/>
        <v>13726.800000000001</v>
      </c>
      <c r="S18" s="41">
        <f t="shared" si="2"/>
        <v>0.98350674691338513</v>
      </c>
      <c r="T18" s="42" t="str">
        <f>IF(S18&lt;=Start!$C$17,"A",IF(S18&lt;=Start!$C$18,"B","C"))</f>
        <v>C</v>
      </c>
      <c r="U18" s="43">
        <f t="shared" si="3"/>
        <v>211.83333333333334</v>
      </c>
      <c r="V18" s="43">
        <f t="shared" si="4"/>
        <v>14.058409899020903</v>
      </c>
      <c r="W18" s="41">
        <f t="shared" si="5"/>
        <v>6.6365428319532196E-2</v>
      </c>
      <c r="X18" s="42" t="str">
        <f>IF(W18&lt;=Start!$C$19,"X",IF(W18&lt;=Start!$C$20,"Y","Z"))</f>
        <v>X</v>
      </c>
      <c r="Y18" s="44" t="str">
        <f t="shared" si="6"/>
        <v>CX</v>
      </c>
    </row>
    <row r="19" spans="1:25" ht="15" customHeight="1" x14ac:dyDescent="0.25">
      <c r="A19" s="35" t="s">
        <v>98</v>
      </c>
      <c r="B19" s="35" t="s">
        <v>99</v>
      </c>
      <c r="C19" s="36" t="s">
        <v>79</v>
      </c>
      <c r="D19" s="37">
        <v>1.9</v>
      </c>
      <c r="E19" s="38">
        <v>247</v>
      </c>
      <c r="F19" s="38">
        <v>378</v>
      </c>
      <c r="G19" s="38">
        <v>414</v>
      </c>
      <c r="H19" s="38">
        <v>603</v>
      </c>
      <c r="I19" s="38">
        <v>626</v>
      </c>
      <c r="J19" s="38">
        <v>676</v>
      </c>
      <c r="K19" s="38">
        <v>568</v>
      </c>
      <c r="L19" s="38">
        <v>605</v>
      </c>
      <c r="M19" s="38">
        <v>463</v>
      </c>
      <c r="N19" s="38">
        <v>350</v>
      </c>
      <c r="O19" s="38">
        <v>297</v>
      </c>
      <c r="P19" s="38">
        <v>250</v>
      </c>
      <c r="Q19" s="39">
        <f t="shared" si="0"/>
        <v>5477</v>
      </c>
      <c r="R19" s="40">
        <f t="shared" si="1"/>
        <v>10406.299999999999</v>
      </c>
      <c r="S19" s="41">
        <f t="shared" si="2"/>
        <v>0.99470485831749278</v>
      </c>
      <c r="T19" s="42" t="str">
        <f>IF(S19&lt;=Start!$C$17,"A",IF(S19&lt;=Start!$C$18,"B","C"))</f>
        <v>C</v>
      </c>
      <c r="U19" s="43">
        <f t="shared" si="3"/>
        <v>456.41666666666669</v>
      </c>
      <c r="V19" s="43">
        <f t="shared" si="4"/>
        <v>148.37534517417492</v>
      </c>
      <c r="W19" s="41">
        <f t="shared" si="5"/>
        <v>0.32508748257989756</v>
      </c>
      <c r="X19" s="42" t="str">
        <f>IF(W19&lt;=Start!$C$19,"X",IF(W19&lt;=Start!$C$20,"Y","Z"))</f>
        <v>Y</v>
      </c>
      <c r="Y19" s="44" t="str">
        <f t="shared" si="6"/>
        <v>CY</v>
      </c>
    </row>
    <row r="20" spans="1:25" ht="15" customHeight="1" x14ac:dyDescent="0.25">
      <c r="A20" s="35" t="s">
        <v>100</v>
      </c>
      <c r="B20" s="35" t="s">
        <v>101</v>
      </c>
      <c r="C20" s="36" t="s">
        <v>69</v>
      </c>
      <c r="D20" s="37">
        <v>68</v>
      </c>
      <c r="E20" s="38">
        <v>0</v>
      </c>
      <c r="F20" s="38">
        <v>0</v>
      </c>
      <c r="G20" s="38">
        <v>0</v>
      </c>
      <c r="H20" s="38">
        <v>54</v>
      </c>
      <c r="I20" s="38">
        <v>0</v>
      </c>
      <c r="J20" s="38">
        <v>120</v>
      </c>
      <c r="K20" s="38">
        <v>1</v>
      </c>
      <c r="L20" s="38">
        <v>20</v>
      </c>
      <c r="M20" s="38">
        <v>29</v>
      </c>
      <c r="N20" s="38">
        <v>23</v>
      </c>
      <c r="O20" s="38">
        <v>0</v>
      </c>
      <c r="P20" s="38">
        <v>11</v>
      </c>
      <c r="Q20" s="39">
        <f t="shared" si="0"/>
        <v>258</v>
      </c>
      <c r="R20" s="40">
        <f t="shared" si="1"/>
        <v>17544</v>
      </c>
      <c r="S20" s="41">
        <f t="shared" si="2"/>
        <v>0.97916296623500698</v>
      </c>
      <c r="T20" s="42" t="str">
        <f>IF(S20&lt;=Start!$C$17,"A",IF(S20&lt;=Start!$C$18,"B","C"))</f>
        <v>C</v>
      </c>
      <c r="U20" s="43">
        <f t="shared" si="3"/>
        <v>21.5</v>
      </c>
      <c r="V20" s="43">
        <f t="shared" si="4"/>
        <v>33.740430742162538</v>
      </c>
      <c r="W20" s="41">
        <f t="shared" si="5"/>
        <v>1.5693223601005832</v>
      </c>
      <c r="X20" s="42" t="str">
        <f>IF(W20&lt;=Start!$C$19,"X",IF(W20&lt;=Start!$C$20,"Y","Z"))</f>
        <v>Z</v>
      </c>
      <c r="Y20" s="44" t="str">
        <f t="shared" si="6"/>
        <v>CZ</v>
      </c>
    </row>
    <row r="21" spans="1:25" ht="15" customHeight="1" x14ac:dyDescent="0.25">
      <c r="A21" s="35" t="s">
        <v>102</v>
      </c>
      <c r="B21" s="35" t="s">
        <v>103</v>
      </c>
      <c r="C21" s="36" t="s">
        <v>74</v>
      </c>
      <c r="D21" s="37">
        <v>11.2</v>
      </c>
      <c r="E21" s="38">
        <v>92</v>
      </c>
      <c r="F21" s="38">
        <v>85</v>
      </c>
      <c r="G21" s="38">
        <v>78</v>
      </c>
      <c r="H21" s="38">
        <v>87</v>
      </c>
      <c r="I21" s="38">
        <v>91</v>
      </c>
      <c r="J21" s="38">
        <v>91</v>
      </c>
      <c r="K21" s="38">
        <v>78</v>
      </c>
      <c r="L21" s="38">
        <v>88</v>
      </c>
      <c r="M21" s="38">
        <v>94</v>
      </c>
      <c r="N21" s="38">
        <v>84</v>
      </c>
      <c r="O21" s="38">
        <v>88</v>
      </c>
      <c r="P21" s="38">
        <v>89</v>
      </c>
      <c r="Q21" s="39">
        <f t="shared" si="0"/>
        <v>1045</v>
      </c>
      <c r="R21" s="40">
        <f t="shared" si="1"/>
        <v>11704</v>
      </c>
      <c r="S21" s="41">
        <f t="shared" si="2"/>
        <v>0.99141183409674172</v>
      </c>
      <c r="T21" s="42" t="str">
        <f>IF(S21&lt;=Start!$C$17,"A",IF(S21&lt;=Start!$C$18,"B","C"))</f>
        <v>C</v>
      </c>
      <c r="U21" s="43">
        <f t="shared" si="3"/>
        <v>87.083333333333329</v>
      </c>
      <c r="V21" s="43">
        <f t="shared" si="4"/>
        <v>4.8897568673935341</v>
      </c>
      <c r="W21" s="41">
        <f t="shared" si="5"/>
        <v>5.6150318094471206E-2</v>
      </c>
      <c r="X21" s="42" t="str">
        <f>IF(W21&lt;=Start!$C$19,"X",IF(W21&lt;=Start!$C$20,"Y","Z"))</f>
        <v>X</v>
      </c>
      <c r="Y21" s="44" t="str">
        <f t="shared" si="6"/>
        <v>CX</v>
      </c>
    </row>
    <row r="22" spans="1:25" ht="15" customHeight="1" x14ac:dyDescent="0.25">
      <c r="A22" s="35" t="s">
        <v>104</v>
      </c>
      <c r="B22" s="35" t="s">
        <v>105</v>
      </c>
      <c r="C22" s="36" t="s">
        <v>79</v>
      </c>
      <c r="D22" s="37">
        <v>2.6</v>
      </c>
      <c r="E22" s="38">
        <v>424</v>
      </c>
      <c r="F22" s="38">
        <v>21</v>
      </c>
      <c r="G22" s="38">
        <v>0</v>
      </c>
      <c r="H22" s="38">
        <v>113</v>
      </c>
      <c r="I22" s="38">
        <v>558</v>
      </c>
      <c r="J22" s="38">
        <v>0</v>
      </c>
      <c r="K22" s="38">
        <v>0</v>
      </c>
      <c r="L22" s="38">
        <v>184</v>
      </c>
      <c r="M22" s="38">
        <v>31</v>
      </c>
      <c r="N22" s="38">
        <v>55</v>
      </c>
      <c r="O22" s="38">
        <v>0</v>
      </c>
      <c r="P22" s="38">
        <v>0</v>
      </c>
      <c r="Q22" s="39">
        <f t="shared" si="0"/>
        <v>1386</v>
      </c>
      <c r="R22" s="40">
        <f t="shared" si="1"/>
        <v>3603.6</v>
      </c>
      <c r="S22" s="41">
        <f t="shared" si="2"/>
        <v>1</v>
      </c>
      <c r="T22" s="42" t="str">
        <f>IF(S22&lt;=Start!$C$17,"A",IF(S22&lt;=Start!$C$18,"B","C"))</f>
        <v>C</v>
      </c>
      <c r="U22" s="43">
        <f t="shared" si="3"/>
        <v>115.5</v>
      </c>
      <c r="V22" s="43">
        <f t="shared" si="4"/>
        <v>178.44443579631914</v>
      </c>
      <c r="W22" s="41">
        <f t="shared" si="5"/>
        <v>1.5449734700980011</v>
      </c>
      <c r="X22" s="42" t="str">
        <f>IF(W22&lt;=Start!$C$19,"X",IF(W22&lt;=Start!$C$20,"Y","Z"))</f>
        <v>Z</v>
      </c>
      <c r="Y22" s="44" t="str">
        <f t="shared" si="6"/>
        <v>CZ</v>
      </c>
    </row>
    <row r="23" spans="1:25" ht="15" customHeight="1" x14ac:dyDescent="0.25">
      <c r="A23" s="35" t="s">
        <v>106</v>
      </c>
      <c r="B23" s="35" t="s">
        <v>107</v>
      </c>
      <c r="C23" s="36" t="s">
        <v>69</v>
      </c>
      <c r="D23" s="37">
        <v>88</v>
      </c>
      <c r="E23" s="38">
        <v>299</v>
      </c>
      <c r="F23" s="38">
        <v>295</v>
      </c>
      <c r="G23" s="38">
        <v>298</v>
      </c>
      <c r="H23" s="38">
        <v>262</v>
      </c>
      <c r="I23" s="38">
        <v>308</v>
      </c>
      <c r="J23" s="38">
        <v>340</v>
      </c>
      <c r="K23" s="38">
        <v>338</v>
      </c>
      <c r="L23" s="38">
        <v>313</v>
      </c>
      <c r="M23" s="38">
        <v>316</v>
      </c>
      <c r="N23" s="38">
        <v>284</v>
      </c>
      <c r="O23" s="38">
        <v>291</v>
      </c>
      <c r="P23" s="38">
        <v>348</v>
      </c>
      <c r="Q23" s="39">
        <f t="shared" si="0"/>
        <v>3692</v>
      </c>
      <c r="R23" s="40">
        <f t="shared" si="1"/>
        <v>324896</v>
      </c>
      <c r="S23" s="41">
        <f t="shared" si="2"/>
        <v>0.86658139732919581</v>
      </c>
      <c r="T23" s="42" t="str">
        <f>IF(S23&lt;=Start!$C$17,"A",IF(S23&lt;=Start!$C$18,"B","C"))</f>
        <v>B</v>
      </c>
      <c r="U23" s="43">
        <f t="shared" si="3"/>
        <v>307.66666666666669</v>
      </c>
      <c r="V23" s="43">
        <f t="shared" si="4"/>
        <v>24.053181817704608</v>
      </c>
      <c r="W23" s="41">
        <f t="shared" si="5"/>
        <v>7.8179355853861127E-2</v>
      </c>
      <c r="X23" s="42" t="str">
        <f>IF(W23&lt;=Start!$C$19,"X",IF(W23&lt;=Start!$C$20,"Y","Z"))</f>
        <v>X</v>
      </c>
      <c r="Y23" s="44" t="str">
        <f t="shared" si="6"/>
        <v>BX</v>
      </c>
    </row>
    <row r="24" spans="1:25" ht="15" customHeight="1" x14ac:dyDescent="0.25">
      <c r="A24" s="35" t="s">
        <v>108</v>
      </c>
      <c r="B24" s="35" t="s">
        <v>109</v>
      </c>
      <c r="C24" s="36" t="s">
        <v>74</v>
      </c>
      <c r="D24" s="37">
        <v>19.5</v>
      </c>
      <c r="E24" s="38">
        <v>84</v>
      </c>
      <c r="F24" s="38">
        <v>118</v>
      </c>
      <c r="G24" s="38">
        <v>132</v>
      </c>
      <c r="H24" s="38">
        <v>167</v>
      </c>
      <c r="I24" s="38">
        <v>192</v>
      </c>
      <c r="J24" s="38">
        <v>198</v>
      </c>
      <c r="K24" s="38">
        <v>167</v>
      </c>
      <c r="L24" s="38">
        <v>157</v>
      </c>
      <c r="M24" s="38">
        <v>159</v>
      </c>
      <c r="N24" s="38">
        <v>101</v>
      </c>
      <c r="O24" s="38">
        <v>96</v>
      </c>
      <c r="P24" s="38">
        <v>70</v>
      </c>
      <c r="Q24" s="39">
        <f t="shared" si="0"/>
        <v>1641</v>
      </c>
      <c r="R24" s="40">
        <f t="shared" si="1"/>
        <v>31999.5</v>
      </c>
      <c r="S24" s="41">
        <f t="shared" si="2"/>
        <v>0.96088508850799648</v>
      </c>
      <c r="T24" s="42" t="str">
        <f>IF(S24&lt;=Start!$C$17,"A",IF(S24&lt;=Start!$C$18,"B","C"))</f>
        <v>C</v>
      </c>
      <c r="U24" s="43">
        <f t="shared" si="3"/>
        <v>136.75</v>
      </c>
      <c r="V24" s="43">
        <f t="shared" si="4"/>
        <v>40.916836387971152</v>
      </c>
      <c r="W24" s="41">
        <f t="shared" si="5"/>
        <v>0.29920904122830821</v>
      </c>
      <c r="X24" s="42" t="str">
        <f>IF(W24&lt;=Start!$C$19,"X",IF(W24&lt;=Start!$C$20,"Y","Z"))</f>
        <v>Y</v>
      </c>
      <c r="Y24" s="44" t="str">
        <f t="shared" si="6"/>
        <v>CY</v>
      </c>
    </row>
    <row r="25" spans="1:25" ht="18" customHeight="1" x14ac:dyDescent="0.25">
      <c r="A25" s="1" t="s">
        <v>110</v>
      </c>
      <c r="B25" s="1"/>
      <c r="C25" s="1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6">
        <f>SUM(Q5:Q24)</f>
        <v>61554</v>
      </c>
      <c r="R25" s="47">
        <f>SUM(R5:R24)</f>
        <v>3160104.3</v>
      </c>
      <c r="S25" s="48" t="s">
        <v>111</v>
      </c>
      <c r="T25" s="45"/>
      <c r="U25" s="45"/>
      <c r="V25" s="45"/>
      <c r="W25" s="45"/>
      <c r="X25" s="45"/>
      <c r="Y25" s="45"/>
    </row>
  </sheetData>
  <mergeCells count="7">
    <mergeCell ref="A25:C25"/>
    <mergeCell ref="A1:Y1"/>
    <mergeCell ref="A2:Y2"/>
    <mergeCell ref="A3:D3"/>
    <mergeCell ref="E3:P3"/>
    <mergeCell ref="Q3:T3"/>
    <mergeCell ref="U3:X3"/>
  </mergeCells>
  <conditionalFormatting sqref="R5:R24">
    <cfRule type="dataBar" priority="8">
      <dataBar>
        <cfvo type="min"/>
        <cfvo type="max"/>
        <color rgb="FF3E8E93"/>
      </dataBar>
      <extLst>
        <ext xmlns:x14="http://schemas.microsoft.com/office/spreadsheetml/2009/9/main" uri="{B025F937-C7B1-47D3-B67F-A62EFF666E3E}">
          <x14:id>{37B5D544-B01F-44C1-84B3-F6101084252F}</x14:id>
        </ext>
      </extLst>
    </cfRule>
  </conditionalFormatting>
  <conditionalFormatting sqref="T5:T24">
    <cfRule type="cellIs" dxfId="5" priority="2" operator="equal">
      <formula>"A"</formula>
    </cfRule>
    <cfRule type="cellIs" dxfId="4" priority="3" operator="equal">
      <formula>"B"</formula>
    </cfRule>
    <cfRule type="cellIs" dxfId="3" priority="4" operator="equal">
      <formula>"C"</formula>
    </cfRule>
  </conditionalFormatting>
  <conditionalFormatting sqref="X5:X24">
    <cfRule type="cellIs" dxfId="2" priority="5" operator="equal">
      <formula>"X"</formula>
    </cfRule>
    <cfRule type="cellIs" dxfId="1" priority="6" operator="equal">
      <formula>"Y"</formula>
    </cfRule>
    <cfRule type="cellIs" dxfId="0" priority="7" operator="equal">
      <formula>"Z"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B5D544-B01F-44C1-84B3-F6101084252F}">
            <x14:dataBar axisPosition="none">
              <x14:cfvo type="min"/>
              <x14:cfvo type="max"/>
              <x14:negativeFillColor rgb="FF3E8E93"/>
            </x14:dataBar>
          </x14:cfRule>
          <xm:sqref>R5:R24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6" customWidth="1"/>
    <col min="3" max="5" width="15" customWidth="1"/>
    <col min="6" max="6" width="13" customWidth="1"/>
    <col min="7" max="7" width="2" customWidth="1"/>
    <col min="8" max="10" width="15" customWidth="1"/>
    <col min="11" max="11" width="13" customWidth="1"/>
  </cols>
  <sheetData>
    <row r="1" spans="1:11" ht="33.75" customHeight="1" x14ac:dyDescent="0.25">
      <c r="B1" s="72" t="s">
        <v>112</v>
      </c>
      <c r="C1" s="72"/>
      <c r="D1" s="72"/>
      <c r="E1" s="72"/>
      <c r="F1" s="72"/>
      <c r="G1" s="72"/>
      <c r="H1" s="72"/>
      <c r="I1" s="72"/>
      <c r="J1" s="72"/>
      <c r="K1" s="72"/>
    </row>
    <row r="2" spans="1:11" ht="19.5" customHeight="1" x14ac:dyDescent="0.25">
      <c r="B2" s="73" t="s">
        <v>113</v>
      </c>
      <c r="C2" s="73"/>
      <c r="D2" s="73"/>
      <c r="E2" s="73"/>
      <c r="F2" s="73"/>
      <c r="G2" s="73"/>
      <c r="H2" s="73"/>
      <c r="I2" s="73"/>
      <c r="J2" s="73"/>
      <c r="K2" s="73"/>
    </row>
    <row r="4" spans="1:11" ht="19.5" customHeight="1" x14ac:dyDescent="0.25">
      <c r="B4" s="74" t="s">
        <v>114</v>
      </c>
      <c r="C4" s="74"/>
      <c r="D4" s="74"/>
      <c r="E4" s="74"/>
      <c r="H4" s="74" t="s">
        <v>115</v>
      </c>
      <c r="I4" s="74"/>
      <c r="J4" s="74"/>
      <c r="K4" s="74"/>
    </row>
    <row r="5" spans="1:11" ht="18" customHeight="1" x14ac:dyDescent="0.25">
      <c r="B5" s="49"/>
      <c r="C5" s="50" t="s">
        <v>116</v>
      </c>
      <c r="D5" s="50" t="s">
        <v>117</v>
      </c>
      <c r="E5" s="50" t="s">
        <v>118</v>
      </c>
      <c r="H5" s="49"/>
      <c r="I5" s="50" t="s">
        <v>116</v>
      </c>
      <c r="J5" s="50" t="s">
        <v>117</v>
      </c>
      <c r="K5" s="50" t="s">
        <v>118</v>
      </c>
    </row>
    <row r="6" spans="1:11" ht="25.5" customHeight="1" x14ac:dyDescent="0.25">
      <c r="B6" s="51" t="s">
        <v>119</v>
      </c>
      <c r="C6" s="52">
        <f>COUNTIFS(Analyse!$T$5:$T$24,"A",Analyse!$X$5:$X$24,"X")</f>
        <v>2</v>
      </c>
      <c r="D6" s="53">
        <f>COUNTIFS(Analyse!$T$5:$T$24,"A",Analyse!$X$5:$X$24,"Y")</f>
        <v>1</v>
      </c>
      <c r="E6" s="54">
        <f>COUNTIFS(Analyse!$T$5:$T$24,"A",Analyse!$X$5:$X$24,"Z")</f>
        <v>1</v>
      </c>
      <c r="H6" s="51" t="s">
        <v>119</v>
      </c>
      <c r="I6" s="55">
        <f>IFERROR(SUMIFS(Analyse!$R$5:$R$24,Analyse!$T$5:$T$24,"A",Analyse!$X$5:$X$24,"X")/Analyse!$R$25,0)</f>
        <v>0.4584228754728128</v>
      </c>
      <c r="J6" s="56">
        <f>IFERROR(SUMIFS(Analyse!$R$5:$R$24,Analyse!$T$5:$T$24,"A",Analyse!$X$5:$X$24,"Y")/Analyse!$R$25,0)</f>
        <v>0.19081885999775389</v>
      </c>
      <c r="K6" s="57">
        <f>IFERROR(SUMIFS(Analyse!$R$5:$R$24,Analyse!$T$5:$T$24,"A",Analyse!$X$5:$X$24,"Z")/Analyse!$R$25,0)</f>
        <v>0.11452786542520133</v>
      </c>
    </row>
    <row r="7" spans="1:11" ht="25.5" customHeight="1" x14ac:dyDescent="0.25">
      <c r="B7" s="51" t="s">
        <v>120</v>
      </c>
      <c r="C7" s="53">
        <f>COUNTIFS(Analyse!$T$5:$T$24,"B",Analyse!$X$5:$X$24,"X")</f>
        <v>3</v>
      </c>
      <c r="D7" s="58">
        <f>COUNTIFS(Analyse!$T$5:$T$24,"B",Analyse!$X$5:$X$24,"Y")</f>
        <v>1</v>
      </c>
      <c r="E7" s="59">
        <f>COUNTIFS(Analyse!$T$5:$T$24,"B",Analyse!$X$5:$X$24,"Z")</f>
        <v>0</v>
      </c>
      <c r="H7" s="51" t="s">
        <v>120</v>
      </c>
      <c r="I7" s="56">
        <f>IFERROR(SUMIFS(Analyse!$R$5:$R$24,Analyse!$T$5:$T$24,"B",Analyse!$X$5:$X$24,"X")/Analyse!$R$25,0)</f>
        <v>0.15082761667075356</v>
      </c>
      <c r="J7" s="60">
        <f>IFERROR(SUMIFS(Analyse!$R$5:$R$24,Analyse!$T$5:$T$24,"B",Analyse!$X$5:$X$24,"Y")/Analyse!$R$25,0)</f>
        <v>2.1819849427121757E-2</v>
      </c>
      <c r="K7" s="61">
        <f>IFERROR(SUMIFS(Analyse!$R$5:$R$24,Analyse!$T$5:$T$24,"B",Analyse!$X$5:$X$24,"Z")/Analyse!$R$25,0)</f>
        <v>0</v>
      </c>
    </row>
    <row r="8" spans="1:11" ht="25.5" customHeight="1" x14ac:dyDescent="0.25">
      <c r="B8" s="51" t="s">
        <v>121</v>
      </c>
      <c r="C8" s="58">
        <f>COUNTIFS(Analyse!$T$5:$T$24,"C",Analyse!$X$5:$X$24,"X")</f>
        <v>3</v>
      </c>
      <c r="D8" s="59">
        <f>COUNTIFS(Analyse!$T$5:$T$24,"C",Analyse!$X$5:$X$24,"Y")</f>
        <v>4</v>
      </c>
      <c r="E8" s="62">
        <f>COUNTIFS(Analyse!$T$5:$T$24,"C",Analyse!$X$5:$X$24,"Z")</f>
        <v>5</v>
      </c>
      <c r="H8" s="51" t="s">
        <v>121</v>
      </c>
      <c r="I8" s="60">
        <f>IFERROR(SUMIFS(Analyse!$R$5:$R$24,Analyse!$T$5:$T$24,"C",Analyse!$X$5:$X$24,"X")/Analyse!$R$25,0)</f>
        <v>1.2248867861734817E-2</v>
      </c>
      <c r="J8" s="61">
        <f>IFERROR(SUMIFS(Analyse!$R$5:$R$24,Analyse!$T$5:$T$24,"C",Analyse!$X$5:$X$24,"Y")/Analyse!$R$25,0)</f>
        <v>3.4583099045180248E-2</v>
      </c>
      <c r="K8" s="63">
        <f>IFERROR(SUMIFS(Analyse!$R$5:$R$24,Analyse!$T$5:$T$24,"C",Analyse!$X$5:$X$24,"Z")/Analyse!$R$25,0)</f>
        <v>1.6750966099441718E-2</v>
      </c>
    </row>
    <row r="9" spans="1:11" x14ac:dyDescent="0.25">
      <c r="A9" s="64" t="s">
        <v>122</v>
      </c>
    </row>
    <row r="10" spans="1:11" x14ac:dyDescent="0.25">
      <c r="C10" s="75" t="s">
        <v>123</v>
      </c>
      <c r="D10" s="75"/>
      <c r="E10" s="75"/>
      <c r="F10" s="75"/>
    </row>
    <row r="12" spans="1:11" ht="21.75" customHeight="1" x14ac:dyDescent="0.25">
      <c r="B12" s="12" t="s">
        <v>124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6.5" customHeight="1" x14ac:dyDescent="0.25">
      <c r="B13" s="65" t="s">
        <v>125</v>
      </c>
      <c r="C13" s="76" t="s">
        <v>126</v>
      </c>
      <c r="D13" s="76"/>
      <c r="E13" s="76"/>
      <c r="F13" s="76" t="s">
        <v>127</v>
      </c>
      <c r="G13" s="76"/>
      <c r="H13" s="76"/>
      <c r="I13" s="76"/>
      <c r="J13" s="76"/>
      <c r="K13" s="76"/>
    </row>
    <row r="14" spans="1:11" ht="25.5" customHeight="1" x14ac:dyDescent="0.25">
      <c r="B14" s="66" t="s">
        <v>128</v>
      </c>
      <c r="C14" s="77" t="s">
        <v>129</v>
      </c>
      <c r="D14" s="77"/>
      <c r="E14" s="77"/>
      <c r="F14" s="78" t="s">
        <v>130</v>
      </c>
      <c r="G14" s="78"/>
      <c r="H14" s="78"/>
      <c r="I14" s="78"/>
      <c r="J14" s="78"/>
      <c r="K14" s="78"/>
    </row>
    <row r="15" spans="1:11" ht="25.5" customHeight="1" x14ac:dyDescent="0.25">
      <c r="B15" s="67" t="s">
        <v>131</v>
      </c>
      <c r="C15" s="77" t="s">
        <v>132</v>
      </c>
      <c r="D15" s="77"/>
      <c r="E15" s="77"/>
      <c r="F15" s="78" t="s">
        <v>133</v>
      </c>
      <c r="G15" s="78"/>
      <c r="H15" s="78"/>
      <c r="I15" s="78"/>
      <c r="J15" s="78"/>
      <c r="K15" s="78"/>
    </row>
    <row r="16" spans="1:11" ht="25.5" customHeight="1" x14ac:dyDescent="0.25">
      <c r="B16" s="68" t="s">
        <v>134</v>
      </c>
      <c r="C16" s="77" t="s">
        <v>135</v>
      </c>
      <c r="D16" s="77"/>
      <c r="E16" s="77"/>
      <c r="F16" s="78" t="s">
        <v>136</v>
      </c>
      <c r="G16" s="78"/>
      <c r="H16" s="78"/>
      <c r="I16" s="78"/>
      <c r="J16" s="78"/>
      <c r="K16" s="78"/>
    </row>
    <row r="17" spans="2:11" ht="25.5" customHeight="1" x14ac:dyDescent="0.25">
      <c r="B17" s="67" t="s">
        <v>137</v>
      </c>
      <c r="C17" s="77" t="s">
        <v>138</v>
      </c>
      <c r="D17" s="77"/>
      <c r="E17" s="77"/>
      <c r="F17" s="78" t="s">
        <v>139</v>
      </c>
      <c r="G17" s="78"/>
      <c r="H17" s="78"/>
      <c r="I17" s="78"/>
      <c r="J17" s="78"/>
      <c r="K17" s="78"/>
    </row>
    <row r="18" spans="2:11" ht="25.5" customHeight="1" x14ac:dyDescent="0.25">
      <c r="B18" s="69" t="s">
        <v>140</v>
      </c>
      <c r="C18" s="77" t="s">
        <v>141</v>
      </c>
      <c r="D18" s="77"/>
      <c r="E18" s="77"/>
      <c r="F18" s="78" t="s">
        <v>142</v>
      </c>
      <c r="G18" s="78"/>
      <c r="H18" s="78"/>
      <c r="I18" s="78"/>
      <c r="J18" s="78"/>
      <c r="K18" s="78"/>
    </row>
    <row r="19" spans="2:11" ht="25.5" customHeight="1" x14ac:dyDescent="0.25">
      <c r="B19" s="70" t="s">
        <v>143</v>
      </c>
      <c r="C19" s="77" t="s">
        <v>144</v>
      </c>
      <c r="D19" s="77"/>
      <c r="E19" s="77"/>
      <c r="F19" s="78" t="s">
        <v>145</v>
      </c>
      <c r="G19" s="78"/>
      <c r="H19" s="78"/>
      <c r="I19" s="78"/>
      <c r="J19" s="78"/>
      <c r="K19" s="78"/>
    </row>
    <row r="20" spans="2:11" ht="25.5" customHeight="1" x14ac:dyDescent="0.25">
      <c r="B20" s="69" t="s">
        <v>146</v>
      </c>
      <c r="C20" s="77" t="s">
        <v>147</v>
      </c>
      <c r="D20" s="77"/>
      <c r="E20" s="77"/>
      <c r="F20" s="78" t="s">
        <v>148</v>
      </c>
      <c r="G20" s="78"/>
      <c r="H20" s="78"/>
      <c r="I20" s="78"/>
      <c r="J20" s="78"/>
      <c r="K20" s="78"/>
    </row>
    <row r="21" spans="2:11" ht="25.5" customHeight="1" x14ac:dyDescent="0.25">
      <c r="B21" s="70" t="s">
        <v>149</v>
      </c>
      <c r="C21" s="77" t="s">
        <v>150</v>
      </c>
      <c r="D21" s="77"/>
      <c r="E21" s="77"/>
      <c r="F21" s="78" t="s">
        <v>151</v>
      </c>
      <c r="G21" s="78"/>
      <c r="H21" s="78"/>
      <c r="I21" s="78"/>
      <c r="J21" s="78"/>
      <c r="K21" s="78"/>
    </row>
    <row r="22" spans="2:11" ht="25.5" customHeight="1" x14ac:dyDescent="0.25">
      <c r="B22" s="71" t="s">
        <v>152</v>
      </c>
      <c r="C22" s="77" t="s">
        <v>153</v>
      </c>
      <c r="D22" s="77"/>
      <c r="E22" s="77"/>
      <c r="F22" s="78" t="s">
        <v>154</v>
      </c>
      <c r="G22" s="78"/>
      <c r="H22" s="78"/>
      <c r="I22" s="78"/>
      <c r="J22" s="78"/>
      <c r="K22" s="78"/>
    </row>
  </sheetData>
  <mergeCells count="26">
    <mergeCell ref="C21:E21"/>
    <mergeCell ref="F21:K21"/>
    <mergeCell ref="C22:E22"/>
    <mergeCell ref="F22:K22"/>
    <mergeCell ref="C18:E18"/>
    <mergeCell ref="F18:K18"/>
    <mergeCell ref="C19:E19"/>
    <mergeCell ref="F19:K19"/>
    <mergeCell ref="C20:E20"/>
    <mergeCell ref="F20:K20"/>
    <mergeCell ref="C15:E15"/>
    <mergeCell ref="F15:K15"/>
    <mergeCell ref="C16:E16"/>
    <mergeCell ref="F16:K16"/>
    <mergeCell ref="C17:E17"/>
    <mergeCell ref="F17:K17"/>
    <mergeCell ref="B12:K12"/>
    <mergeCell ref="C13:E13"/>
    <mergeCell ref="F13:K13"/>
    <mergeCell ref="C14:E14"/>
    <mergeCell ref="F14:K14"/>
    <mergeCell ref="B1:K1"/>
    <mergeCell ref="B2:K2"/>
    <mergeCell ref="B4:E4"/>
    <mergeCell ref="H4:K4"/>
    <mergeCell ref="C10:F1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Start</vt:lpstr>
      <vt:lpstr>Analyse</vt:lpstr>
      <vt:lpstr>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2026-07-19T11:09:51Z</dcterms:created>
  <dcterms:modified xsi:type="dcterms:W3CDTF">2026-07-19T11:21:07Z</dcterms:modified>
  <dc:language>en-US</dc:language>
</cp:coreProperties>
</file>