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21AC25B-23D6-4928-8502-1E320C64F71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parchallenge" sheetId="1" r:id="rId1"/>
  </sheets>
  <definedNames>
    <definedName name="_xlnm._FilterDatabase" localSheetId="0" hidden="1">Sparchallenge!$A$11:$J$63</definedName>
    <definedName name="_xlnm.Print_Titles" localSheetId="0">Sparchallenge!$11:$11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4" i="1" l="1"/>
  <c r="G63" i="1"/>
  <c r="E63" i="1"/>
  <c r="C63" i="1"/>
  <c r="B63" i="1"/>
  <c r="G62" i="1"/>
  <c r="E62" i="1"/>
  <c r="C62" i="1"/>
  <c r="B62" i="1"/>
  <c r="G61" i="1"/>
  <c r="E61" i="1"/>
  <c r="C61" i="1"/>
  <c r="B61" i="1"/>
  <c r="G60" i="1"/>
  <c r="E60" i="1"/>
  <c r="C60" i="1"/>
  <c r="B60" i="1"/>
  <c r="G59" i="1"/>
  <c r="E59" i="1"/>
  <c r="C59" i="1"/>
  <c r="B59" i="1"/>
  <c r="G58" i="1"/>
  <c r="E58" i="1"/>
  <c r="C58" i="1"/>
  <c r="B58" i="1"/>
  <c r="G57" i="1"/>
  <c r="E57" i="1"/>
  <c r="C57" i="1"/>
  <c r="B57" i="1"/>
  <c r="G56" i="1"/>
  <c r="E56" i="1"/>
  <c r="C56" i="1"/>
  <c r="B56" i="1"/>
  <c r="G55" i="1"/>
  <c r="E55" i="1"/>
  <c r="C55" i="1"/>
  <c r="B55" i="1"/>
  <c r="G54" i="1"/>
  <c r="E54" i="1"/>
  <c r="C54" i="1"/>
  <c r="B54" i="1"/>
  <c r="G53" i="1"/>
  <c r="E53" i="1"/>
  <c r="C53" i="1"/>
  <c r="B53" i="1"/>
  <c r="G52" i="1"/>
  <c r="E52" i="1"/>
  <c r="C52" i="1"/>
  <c r="B52" i="1"/>
  <c r="G51" i="1"/>
  <c r="E51" i="1"/>
  <c r="C51" i="1"/>
  <c r="B51" i="1"/>
  <c r="G50" i="1"/>
  <c r="E50" i="1"/>
  <c r="C50" i="1"/>
  <c r="B50" i="1"/>
  <c r="G49" i="1"/>
  <c r="E49" i="1"/>
  <c r="C49" i="1"/>
  <c r="B49" i="1"/>
  <c r="G48" i="1"/>
  <c r="E48" i="1"/>
  <c r="C48" i="1"/>
  <c r="B48" i="1"/>
  <c r="G47" i="1"/>
  <c r="E47" i="1"/>
  <c r="C47" i="1"/>
  <c r="B47" i="1"/>
  <c r="G46" i="1"/>
  <c r="E46" i="1"/>
  <c r="C46" i="1"/>
  <c r="B46" i="1"/>
  <c r="G45" i="1"/>
  <c r="E45" i="1"/>
  <c r="C45" i="1"/>
  <c r="B45" i="1"/>
  <c r="G44" i="1"/>
  <c r="E44" i="1"/>
  <c r="C44" i="1"/>
  <c r="B44" i="1"/>
  <c r="G43" i="1"/>
  <c r="E43" i="1"/>
  <c r="C43" i="1"/>
  <c r="B43" i="1"/>
  <c r="G42" i="1"/>
  <c r="E42" i="1"/>
  <c r="C42" i="1"/>
  <c r="B42" i="1"/>
  <c r="G41" i="1"/>
  <c r="E41" i="1"/>
  <c r="C41" i="1"/>
  <c r="B41" i="1"/>
  <c r="G40" i="1"/>
  <c r="E40" i="1"/>
  <c r="C40" i="1"/>
  <c r="B40" i="1"/>
  <c r="G39" i="1"/>
  <c r="E39" i="1"/>
  <c r="C39" i="1"/>
  <c r="B39" i="1"/>
  <c r="G38" i="1"/>
  <c r="E38" i="1"/>
  <c r="C38" i="1"/>
  <c r="B38" i="1"/>
  <c r="G37" i="1"/>
  <c r="E37" i="1"/>
  <c r="C37" i="1"/>
  <c r="B37" i="1"/>
  <c r="G36" i="1"/>
  <c r="E36" i="1"/>
  <c r="C36" i="1"/>
  <c r="B36" i="1"/>
  <c r="G35" i="1"/>
  <c r="E35" i="1"/>
  <c r="C35" i="1"/>
  <c r="B35" i="1"/>
  <c r="G34" i="1"/>
  <c r="E34" i="1"/>
  <c r="C34" i="1"/>
  <c r="B34" i="1"/>
  <c r="G33" i="1"/>
  <c r="E33" i="1"/>
  <c r="C33" i="1"/>
  <c r="B33" i="1"/>
  <c r="G32" i="1"/>
  <c r="E32" i="1"/>
  <c r="C32" i="1"/>
  <c r="B32" i="1"/>
  <c r="G31" i="1"/>
  <c r="E31" i="1"/>
  <c r="C31" i="1"/>
  <c r="B31" i="1"/>
  <c r="G30" i="1"/>
  <c r="E30" i="1"/>
  <c r="C30" i="1"/>
  <c r="B30" i="1"/>
  <c r="G29" i="1"/>
  <c r="E29" i="1"/>
  <c r="C29" i="1"/>
  <c r="B29" i="1"/>
  <c r="G28" i="1"/>
  <c r="E28" i="1"/>
  <c r="C28" i="1"/>
  <c r="B28" i="1"/>
  <c r="G27" i="1"/>
  <c r="E27" i="1"/>
  <c r="C27" i="1"/>
  <c r="B27" i="1"/>
  <c r="G26" i="1"/>
  <c r="E26" i="1"/>
  <c r="C26" i="1"/>
  <c r="B26" i="1"/>
  <c r="G25" i="1"/>
  <c r="E25" i="1"/>
  <c r="C25" i="1"/>
  <c r="B25" i="1"/>
  <c r="G24" i="1"/>
  <c r="E24" i="1"/>
  <c r="C24" i="1"/>
  <c r="B24" i="1"/>
  <c r="G23" i="1"/>
  <c r="E23" i="1"/>
  <c r="C23" i="1"/>
  <c r="B23" i="1"/>
  <c r="G22" i="1"/>
  <c r="E22" i="1"/>
  <c r="C22" i="1"/>
  <c r="B22" i="1"/>
  <c r="G21" i="1"/>
  <c r="E21" i="1"/>
  <c r="C21" i="1"/>
  <c r="B21" i="1"/>
  <c r="G20" i="1"/>
  <c r="E20" i="1"/>
  <c r="C20" i="1"/>
  <c r="B20" i="1"/>
  <c r="G19" i="1"/>
  <c r="E19" i="1"/>
  <c r="H62" i="1" s="1"/>
  <c r="C19" i="1"/>
  <c r="B19" i="1"/>
  <c r="G18" i="1"/>
  <c r="E18" i="1"/>
  <c r="H61" i="1" s="1"/>
  <c r="C18" i="1"/>
  <c r="B18" i="1"/>
  <c r="G17" i="1"/>
  <c r="E17" i="1"/>
  <c r="C17" i="1"/>
  <c r="B17" i="1"/>
  <c r="G16" i="1"/>
  <c r="E16" i="1"/>
  <c r="C16" i="1"/>
  <c r="B16" i="1"/>
  <c r="G15" i="1"/>
  <c r="E15" i="1"/>
  <c r="H28" i="1" s="1"/>
  <c r="C15" i="1"/>
  <c r="B15" i="1"/>
  <c r="G14" i="1"/>
  <c r="E14" i="1"/>
  <c r="C14" i="1"/>
  <c r="B14" i="1"/>
  <c r="I13" i="1"/>
  <c r="G13" i="1"/>
  <c r="I48" i="1" s="1"/>
  <c r="E13" i="1"/>
  <c r="C13" i="1"/>
  <c r="B13" i="1"/>
  <c r="H12" i="1"/>
  <c r="G12" i="1"/>
  <c r="I64" i="1" s="1"/>
  <c r="E12" i="1"/>
  <c r="H54" i="1" s="1"/>
  <c r="C12" i="1"/>
  <c r="B12" i="1"/>
  <c r="C9" i="1"/>
  <c r="G8" i="1"/>
  <c r="E5" i="1"/>
  <c r="I54" i="1" l="1"/>
  <c r="I8" i="1"/>
  <c r="H21" i="1"/>
  <c r="H31" i="1"/>
  <c r="H41" i="1"/>
  <c r="H51" i="1"/>
  <c r="I61" i="1"/>
  <c r="I51" i="1"/>
  <c r="H18" i="1"/>
  <c r="H38" i="1"/>
  <c r="H48" i="1"/>
  <c r="H58" i="1"/>
  <c r="I16" i="1"/>
  <c r="I26" i="1"/>
  <c r="I36" i="1"/>
  <c r="I46" i="1"/>
  <c r="I58" i="1"/>
  <c r="H15" i="1"/>
  <c r="H25" i="1"/>
  <c r="H35" i="1"/>
  <c r="H45" i="1"/>
  <c r="H55" i="1"/>
  <c r="I55" i="1"/>
  <c r="H22" i="1"/>
  <c r="H32" i="1"/>
  <c r="H42" i="1"/>
  <c r="H52" i="1"/>
  <c r="I62" i="1"/>
  <c r="I52" i="1"/>
  <c r="H19" i="1"/>
  <c r="H29" i="1"/>
  <c r="H39" i="1"/>
  <c r="H49" i="1"/>
  <c r="H59" i="1"/>
  <c r="I23" i="1"/>
  <c r="I33" i="1"/>
  <c r="I43" i="1"/>
  <c r="I20" i="1"/>
  <c r="I30" i="1"/>
  <c r="I40" i="1"/>
  <c r="I5" i="1"/>
  <c r="I17" i="1"/>
  <c r="I27" i="1"/>
  <c r="I37" i="1"/>
  <c r="I47" i="1"/>
  <c r="I14" i="1"/>
  <c r="I24" i="1"/>
  <c r="I34" i="1"/>
  <c r="I44" i="1"/>
  <c r="I21" i="1"/>
  <c r="I31" i="1"/>
  <c r="I41" i="1"/>
  <c r="I18" i="1"/>
  <c r="I28" i="1"/>
  <c r="I38" i="1"/>
  <c r="I15" i="1"/>
  <c r="I25" i="1"/>
  <c r="I35" i="1"/>
  <c r="I45" i="1"/>
  <c r="I12" i="1"/>
  <c r="I22" i="1"/>
  <c r="I32" i="1"/>
  <c r="I42" i="1"/>
  <c r="I19" i="1"/>
  <c r="I29" i="1"/>
  <c r="I39" i="1"/>
  <c r="I49" i="1"/>
  <c r="I59" i="1"/>
  <c r="H16" i="1"/>
  <c r="H26" i="1"/>
  <c r="H36" i="1"/>
  <c r="H46" i="1"/>
  <c r="H56" i="1"/>
  <c r="I56" i="1"/>
  <c r="H13" i="1"/>
  <c r="H23" i="1"/>
  <c r="H33" i="1"/>
  <c r="H43" i="1"/>
  <c r="H53" i="1"/>
  <c r="H63" i="1"/>
  <c r="I53" i="1"/>
  <c r="I63" i="1"/>
  <c r="H20" i="1"/>
  <c r="H30" i="1"/>
  <c r="H40" i="1"/>
  <c r="H50" i="1"/>
  <c r="H60" i="1"/>
  <c r="E64" i="1"/>
  <c r="I60" i="1"/>
  <c r="I50" i="1"/>
  <c r="G5" i="1"/>
  <c r="H17" i="1"/>
  <c r="H27" i="1"/>
  <c r="H37" i="1"/>
  <c r="H47" i="1"/>
  <c r="H57" i="1"/>
  <c r="G64" i="1"/>
  <c r="H64" i="1"/>
  <c r="I57" i="1"/>
  <c r="E8" i="1"/>
  <c r="H14" i="1"/>
  <c r="H24" i="1"/>
  <c r="H34" i="1"/>
  <c r="H44" i="1"/>
</calcChain>
</file>

<file path=xl/sharedStrings.xml><?xml version="1.0" encoding="utf-8"?>
<sst xmlns="http://schemas.openxmlformats.org/spreadsheetml/2006/main" count="84" uniqueCount="34">
  <si>
    <t>Wöchentlich sparen · Fortschritt automatisch verfolgen · Vorlage</t>
  </si>
  <si>
    <t>EINSTELLUNGEN</t>
  </si>
  <si>
    <t>ZIELBETRAG</t>
  </si>
  <si>
    <t>BEREITS GESPART</t>
  </si>
  <si>
    <t>NOCH OFFEN</t>
  </si>
  <si>
    <t>Startdatum</t>
  </si>
  <si>
    <t>Sparmodus</t>
  </si>
  <si>
    <t>Aufsteigend</t>
  </si>
  <si>
    <t>Startbetrag</t>
  </si>
  <si>
    <t>FORTSCHRITT</t>
  </si>
  <si>
    <t>WOCHEN ERLEDIGT</t>
  </si>
  <si>
    <t>Ø GEPLANT / WOCHE</t>
  </si>
  <si>
    <t>Schrittweite</t>
  </si>
  <si>
    <t>Enddatum</t>
  </si>
  <si>
    <t>Gelbe Felder ausfüllen · Modi: Aufsteigend / Absteigend / Konstant / Individuell (bei Modus »Individuell« Beträge in Spalte »Eigener Betrag« eintragen) · Woche über Spalte »Erledigt« abhaken – Summen berechnen sich automatisch.</t>
  </si>
  <si>
    <t>Woche</t>
  </si>
  <si>
    <t>Datum</t>
  </si>
  <si>
    <t>KW</t>
  </si>
  <si>
    <t>Eigener
Betrag</t>
  </si>
  <si>
    <t>Geplant</t>
  </si>
  <si>
    <t>Erledigt</t>
  </si>
  <si>
    <t>Gespart</t>
  </si>
  <si>
    <t>Kumuliert
geplant</t>
  </si>
  <si>
    <t>Kumuliert
gespart</t>
  </si>
  <si>
    <t>Notiz</t>
  </si>
  <si>
    <t>Ja</t>
  </si>
  <si>
    <t>Start der Sparchallenge</t>
  </si>
  <si>
    <t>1. Quartal abgeschlossen</t>
  </si>
  <si>
    <t>Halbzeit erreicht</t>
  </si>
  <si>
    <t>Zweite Jahreshälfte startet</t>
  </si>
  <si>
    <t>Nein</t>
  </si>
  <si>
    <t>Sommer-Etappe geschafft</t>
  </si>
  <si>
    <t>GESAMT</t>
  </si>
  <si>
    <t>52-Wochen-Sparchallenge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</si>
</sst>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&quot; €&quot;"/>
    <numFmt numFmtId="166" formatCode="0.0%"/>
    <numFmt numFmtId="167" formatCode="0&quot; / 52&quot;"/>
  </numFmts>
  <fonts count="14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.5"/>
      <color rgb="FFFFFFFF"/>
      <name val="Calibri"/>
      <charset val="1"/>
    </font>
    <font>
      <b/>
      <sz val="9.5"/>
      <color rgb="FFFFFFFF"/>
      <name val="Calibri"/>
      <charset val="1"/>
    </font>
    <font>
      <b/>
      <sz val="8.5"/>
      <color rgb="FF6C7B73"/>
      <name val="Calibri"/>
      <charset val="1"/>
    </font>
    <font>
      <b/>
      <sz val="10"/>
      <color rgb="FF14432E"/>
      <name val="Calibri"/>
      <charset val="1"/>
    </font>
    <font>
      <b/>
      <sz val="10.5"/>
      <color rgb="FF1C2B24"/>
      <name val="Calibri"/>
      <charset val="1"/>
    </font>
    <font>
      <b/>
      <sz val="17"/>
      <color rgb="FF14432E"/>
      <name val="Calibri"/>
      <charset val="1"/>
    </font>
    <font>
      <b/>
      <sz val="17"/>
      <color rgb="FF2E7D5B"/>
      <name val="Calibri"/>
      <charset val="1"/>
    </font>
    <font>
      <b/>
      <sz val="17"/>
      <color rgb="FFC0922B"/>
      <name val="Calibri"/>
      <charset val="1"/>
    </font>
    <font>
      <i/>
      <sz val="9"/>
      <color rgb="FF6C7B73"/>
      <name val="Calibri"/>
      <charset val="1"/>
    </font>
    <font>
      <b/>
      <sz val="10"/>
      <color rgb="FFFFFFFF"/>
      <name val="Calibri"/>
      <charset val="1"/>
    </font>
    <font>
      <sz val="10.5"/>
      <color rgb="FF1C2B24"/>
      <name val="Calibri"/>
      <charset val="1"/>
    </font>
    <font>
      <b/>
      <sz val="10.5"/>
      <color rgb="FFFFFFFF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14432E"/>
        <bgColor rgb="FF1C2B24"/>
      </patternFill>
    </fill>
    <fill>
      <patternFill patternType="solid">
        <fgColor rgb="FF2E7D5B"/>
        <bgColor rgb="FF1E6B45"/>
      </patternFill>
    </fill>
    <fill>
      <patternFill patternType="solid">
        <fgColor rgb="FFF4F8F5"/>
        <bgColor rgb="FFE8F2EC"/>
      </patternFill>
    </fill>
    <fill>
      <patternFill patternType="solid">
        <fgColor rgb="FFE8F2EC"/>
        <bgColor rgb="FFECEFEC"/>
      </patternFill>
    </fill>
    <fill>
      <patternFill patternType="solid">
        <fgColor rgb="FFFFF6D6"/>
        <bgColor rgb="FFFBF0D2"/>
      </patternFill>
    </fill>
  </fills>
  <borders count="6">
    <border>
      <left/>
      <right/>
      <top/>
      <bottom/>
      <diagonal/>
    </border>
    <border>
      <left style="thin">
        <color rgb="FFD2DED7"/>
      </left>
      <right style="thin">
        <color rgb="FFD2DED7"/>
      </right>
      <top style="thick">
        <color rgb="FF14432E"/>
      </top>
      <bottom/>
      <diagonal/>
    </border>
    <border>
      <left style="thin">
        <color rgb="FFD2DED7"/>
      </left>
      <right style="thin">
        <color rgb="FFD2DED7"/>
      </right>
      <top style="thick">
        <color rgb="FF2E7D5B"/>
      </top>
      <bottom/>
      <diagonal/>
    </border>
    <border>
      <left style="thin">
        <color rgb="FFD2DED7"/>
      </left>
      <right style="thin">
        <color rgb="FFD2DED7"/>
      </right>
      <top style="thick">
        <color rgb="FFC0922B"/>
      </top>
      <bottom/>
      <diagonal/>
    </border>
    <border>
      <left style="thin">
        <color rgb="FFD2DED7"/>
      </left>
      <right style="thin">
        <color rgb="FFD2DED7"/>
      </right>
      <top style="thin">
        <color rgb="FFD2DED7"/>
      </top>
      <bottom style="thin">
        <color rgb="FFD2DED7"/>
      </bottom>
      <diagonal/>
    </border>
    <border>
      <left style="thin">
        <color rgb="FFD2DED7"/>
      </left>
      <right style="thin">
        <color rgb="FFD2DED7"/>
      </right>
      <top/>
      <bottom style="thin">
        <color rgb="FFD2DED7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1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5" fontId="12" fillId="6" borderId="4" xfId="0" applyNumberFormat="1" applyFont="1" applyFill="1" applyBorder="1"/>
    <xf numFmtId="165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top" wrapText="1" indent="1"/>
    </xf>
    <xf numFmtId="0" fontId="12" fillId="4" borderId="4" xfId="0" applyFont="1" applyFill="1" applyBorder="1" applyAlignment="1">
      <alignment horizontal="center" vertical="center" wrapText="1"/>
    </xf>
    <xf numFmtId="164" fontId="12" fillId="4" borderId="4" xfId="0" applyNumberFormat="1" applyFont="1" applyFill="1" applyBorder="1" applyAlignment="1">
      <alignment horizontal="center" vertical="center" wrapText="1"/>
    </xf>
    <xf numFmtId="165" fontId="12" fillId="4" borderId="4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left" vertical="top" wrapText="1" indent="1"/>
    </xf>
    <xf numFmtId="165" fontId="13" fillId="2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 inden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13" fillId="2" borderId="4" xfId="0" applyFont="1" applyFill="1" applyBorder="1" applyAlignment="1">
      <alignment horizontal="righ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  <xf numFmtId="165" fontId="6" fillId="6" borderId="4" xfId="0" applyNumberFormat="1" applyFont="1" applyFill="1" applyBorder="1" applyAlignment="1">
      <alignment horizontal="center" vertical="center" wrapText="1"/>
    </xf>
    <xf numFmtId="166" fontId="8" fillId="4" borderId="5" xfId="0" applyNumberFormat="1" applyFont="1" applyFill="1" applyBorder="1" applyAlignment="1">
      <alignment horizontal="left" vertical="center" indent="1"/>
    </xf>
    <xf numFmtId="167" fontId="7" fillId="4" borderId="5" xfId="0" applyNumberFormat="1" applyFont="1" applyFill="1" applyBorder="1" applyAlignment="1">
      <alignment horizontal="left" vertical="center" indent="1"/>
    </xf>
    <xf numFmtId="165" fontId="9" fillId="4" borderId="5" xfId="0" applyNumberFormat="1" applyFont="1" applyFill="1" applyBorder="1" applyAlignment="1">
      <alignment horizontal="left" vertical="center" indent="1"/>
    </xf>
    <xf numFmtId="0" fontId="6" fillId="6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indent="1"/>
    </xf>
    <xf numFmtId="164" fontId="6" fillId="6" borderId="4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left" vertical="center" indent="1"/>
    </xf>
    <xf numFmtId="165" fontId="8" fillId="4" borderId="5" xfId="0" applyNumberFormat="1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3">
    <dxf>
      <font>
        <sz val="10"/>
        <color rgb="FF6C7B73"/>
        <name val="Calibri"/>
        <charset val="1"/>
      </font>
      <fill>
        <patternFill>
          <bgColor rgb="FFECEFEC"/>
        </patternFill>
      </fill>
    </dxf>
    <dxf>
      <font>
        <b/>
        <sz val="10"/>
        <color rgb="FF1E6B45"/>
        <name val="Calibri"/>
        <charset val="1"/>
      </font>
      <fill>
        <patternFill>
          <bgColor rgb="FFD6EBDE"/>
        </patternFill>
      </fill>
    </dxf>
    <dxf>
      <fill>
        <patternFill>
          <bgColor rgb="FFFBF0D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6B45"/>
      <rgbColor rgb="FFD2DED7"/>
      <rgbColor rgb="FF878787"/>
      <rgbColor rgb="FF9999FF"/>
      <rgbColor rgb="FF993366"/>
      <rgbColor rgb="FFFFF6D6"/>
      <rgbColor rgb="FFE8F2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FEC"/>
      <rgbColor rgb="FFD6EBDE"/>
      <rgbColor rgb="FFFBF0D2"/>
      <rgbColor rgb="FF99CCFF"/>
      <rgbColor rgb="FFFF99CC"/>
      <rgbColor rgb="FFCC99FF"/>
      <rgbColor rgb="FFF4F8F5"/>
      <rgbColor rgb="FF3366FF"/>
      <rgbColor rgb="FF33CCCC"/>
      <rgbColor rgb="FF99CC00"/>
      <rgbColor rgb="FFFFCC00"/>
      <rgbColor rgb="FFC0922B"/>
      <rgbColor rgb="FFFF6600"/>
      <rgbColor rgb="FF6C7B73"/>
      <rgbColor rgb="FF969696"/>
      <rgbColor rgb="FF003366"/>
      <rgbColor rgb="FF2E7D5B"/>
      <rgbColor rgb="FF14432E"/>
      <rgbColor rgb="FF333300"/>
      <rgbColor rgb="FF993300"/>
      <rgbColor rgb="FF993366"/>
      <rgbColor rgb="FF333399"/>
      <rgbColor rgb="FF1C2B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Sparfortschritt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Sparchallenge!$H$11</c:f>
              <c:strCache>
                <c:ptCount val="1"/>
                <c:pt idx="0">
                  <c:v>Kumuliert
geplant</c:v>
                </c:pt>
              </c:strCache>
            </c:strRef>
          </c:tx>
          <c:spPr>
            <a:ln w="20160">
              <a:solidFill>
                <a:srgbClr val="C0922B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Sparchallenge!$A$12:$A$63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Sparchallenge!$H$12:$H$63</c:f>
              <c:numCache>
                <c:formatCode>#,##0.00" €"</c:formatCode>
                <c:ptCount val="52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21</c:v>
                </c:pt>
                <c:pt idx="6">
                  <c:v>28</c:v>
                </c:pt>
                <c:pt idx="7">
                  <c:v>36</c:v>
                </c:pt>
                <c:pt idx="8">
                  <c:v>45</c:v>
                </c:pt>
                <c:pt idx="9">
                  <c:v>55</c:v>
                </c:pt>
                <c:pt idx="10">
                  <c:v>66</c:v>
                </c:pt>
                <c:pt idx="11">
                  <c:v>78</c:v>
                </c:pt>
                <c:pt idx="12">
                  <c:v>91</c:v>
                </c:pt>
                <c:pt idx="13">
                  <c:v>105</c:v>
                </c:pt>
                <c:pt idx="14">
                  <c:v>120</c:v>
                </c:pt>
                <c:pt idx="15">
                  <c:v>136</c:v>
                </c:pt>
                <c:pt idx="16">
                  <c:v>153</c:v>
                </c:pt>
                <c:pt idx="17">
                  <c:v>171</c:v>
                </c:pt>
                <c:pt idx="18">
                  <c:v>190</c:v>
                </c:pt>
                <c:pt idx="19">
                  <c:v>210</c:v>
                </c:pt>
                <c:pt idx="20">
                  <c:v>231</c:v>
                </c:pt>
                <c:pt idx="21">
                  <c:v>253</c:v>
                </c:pt>
                <c:pt idx="22">
                  <c:v>276</c:v>
                </c:pt>
                <c:pt idx="23">
                  <c:v>300</c:v>
                </c:pt>
                <c:pt idx="24">
                  <c:v>325</c:v>
                </c:pt>
                <c:pt idx="25">
                  <c:v>351</c:v>
                </c:pt>
                <c:pt idx="26">
                  <c:v>378</c:v>
                </c:pt>
                <c:pt idx="27">
                  <c:v>406</c:v>
                </c:pt>
                <c:pt idx="28">
                  <c:v>435</c:v>
                </c:pt>
                <c:pt idx="29">
                  <c:v>465</c:v>
                </c:pt>
                <c:pt idx="30">
                  <c:v>496</c:v>
                </c:pt>
                <c:pt idx="31">
                  <c:v>528</c:v>
                </c:pt>
                <c:pt idx="32">
                  <c:v>561</c:v>
                </c:pt>
                <c:pt idx="33">
                  <c:v>595</c:v>
                </c:pt>
                <c:pt idx="34">
                  <c:v>630</c:v>
                </c:pt>
                <c:pt idx="35">
                  <c:v>666</c:v>
                </c:pt>
                <c:pt idx="36">
                  <c:v>703</c:v>
                </c:pt>
                <c:pt idx="37">
                  <c:v>741</c:v>
                </c:pt>
                <c:pt idx="38">
                  <c:v>780</c:v>
                </c:pt>
                <c:pt idx="39">
                  <c:v>820</c:v>
                </c:pt>
                <c:pt idx="40">
                  <c:v>861</c:v>
                </c:pt>
                <c:pt idx="41">
                  <c:v>903</c:v>
                </c:pt>
                <c:pt idx="42">
                  <c:v>946</c:v>
                </c:pt>
                <c:pt idx="43">
                  <c:v>990</c:v>
                </c:pt>
                <c:pt idx="44">
                  <c:v>1035</c:v>
                </c:pt>
                <c:pt idx="45">
                  <c:v>1081</c:v>
                </c:pt>
                <c:pt idx="46">
                  <c:v>1128</c:v>
                </c:pt>
                <c:pt idx="47">
                  <c:v>1176</c:v>
                </c:pt>
                <c:pt idx="48">
                  <c:v>1225</c:v>
                </c:pt>
                <c:pt idx="49">
                  <c:v>1275</c:v>
                </c:pt>
                <c:pt idx="50">
                  <c:v>1326</c:v>
                </c:pt>
                <c:pt idx="51">
                  <c:v>1378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A-4565-BF83-6423BB91927A}"/>
            </c:ext>
          </c:extLst>
        </c:ser>
        <c:ser>
          <c:idx val="1"/>
          <c:order val="1"/>
          <c:tx>
            <c:strRef>
              <c:f>Sparchallenge!$I$11</c:f>
              <c:strCache>
                <c:ptCount val="1"/>
                <c:pt idx="0">
                  <c:v>Kumuliert
gespart</c:v>
                </c:pt>
              </c:strCache>
            </c:strRef>
          </c:tx>
          <c:spPr>
            <a:ln w="28080">
              <a:solidFill>
                <a:srgbClr val="2E7D5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Sparchallenge!$A$12:$A$63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Sparchallenge!$I$12:$I$63</c:f>
              <c:numCache>
                <c:formatCode>#,##0.00" €"</c:formatCode>
                <c:ptCount val="52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21</c:v>
                </c:pt>
                <c:pt idx="6">
                  <c:v>28</c:v>
                </c:pt>
                <c:pt idx="7">
                  <c:v>36</c:v>
                </c:pt>
                <c:pt idx="8">
                  <c:v>45</c:v>
                </c:pt>
                <c:pt idx="9">
                  <c:v>55</c:v>
                </c:pt>
                <c:pt idx="10">
                  <c:v>66</c:v>
                </c:pt>
                <c:pt idx="11">
                  <c:v>78</c:v>
                </c:pt>
                <c:pt idx="12">
                  <c:v>91</c:v>
                </c:pt>
                <c:pt idx="13">
                  <c:v>105</c:v>
                </c:pt>
                <c:pt idx="14">
                  <c:v>120</c:v>
                </c:pt>
                <c:pt idx="15">
                  <c:v>136</c:v>
                </c:pt>
                <c:pt idx="16">
                  <c:v>153</c:v>
                </c:pt>
                <c:pt idx="17">
                  <c:v>171</c:v>
                </c:pt>
                <c:pt idx="18">
                  <c:v>190</c:v>
                </c:pt>
                <c:pt idx="19">
                  <c:v>210</c:v>
                </c:pt>
                <c:pt idx="20">
                  <c:v>231</c:v>
                </c:pt>
                <c:pt idx="21">
                  <c:v>253</c:v>
                </c:pt>
                <c:pt idx="22">
                  <c:v>276</c:v>
                </c:pt>
                <c:pt idx="23">
                  <c:v>300</c:v>
                </c:pt>
                <c:pt idx="24">
                  <c:v>325</c:v>
                </c:pt>
                <c:pt idx="25">
                  <c:v>351</c:v>
                </c:pt>
                <c:pt idx="26">
                  <c:v>378</c:v>
                </c:pt>
                <c:pt idx="27">
                  <c:v>378</c:v>
                </c:pt>
                <c:pt idx="28">
                  <c:v>378</c:v>
                </c:pt>
                <c:pt idx="29">
                  <c:v>378</c:v>
                </c:pt>
                <c:pt idx="30">
                  <c:v>378</c:v>
                </c:pt>
                <c:pt idx="31">
                  <c:v>378</c:v>
                </c:pt>
                <c:pt idx="32">
                  <c:v>378</c:v>
                </c:pt>
                <c:pt idx="33">
                  <c:v>378</c:v>
                </c:pt>
                <c:pt idx="34">
                  <c:v>378</c:v>
                </c:pt>
                <c:pt idx="35">
                  <c:v>378</c:v>
                </c:pt>
                <c:pt idx="36">
                  <c:v>378</c:v>
                </c:pt>
                <c:pt idx="37">
                  <c:v>378</c:v>
                </c:pt>
                <c:pt idx="38">
                  <c:v>378</c:v>
                </c:pt>
                <c:pt idx="39">
                  <c:v>378</c:v>
                </c:pt>
                <c:pt idx="40">
                  <c:v>378</c:v>
                </c:pt>
                <c:pt idx="41">
                  <c:v>378</c:v>
                </c:pt>
                <c:pt idx="42">
                  <c:v>378</c:v>
                </c:pt>
                <c:pt idx="43">
                  <c:v>378</c:v>
                </c:pt>
                <c:pt idx="44">
                  <c:v>378</c:v>
                </c:pt>
                <c:pt idx="45">
                  <c:v>378</c:v>
                </c:pt>
                <c:pt idx="46">
                  <c:v>378</c:v>
                </c:pt>
                <c:pt idx="47">
                  <c:v>378</c:v>
                </c:pt>
                <c:pt idx="48">
                  <c:v>378</c:v>
                </c:pt>
                <c:pt idx="49">
                  <c:v>378</c:v>
                </c:pt>
                <c:pt idx="50">
                  <c:v>378</c:v>
                </c:pt>
                <c:pt idx="51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A-4565-BF83-6423BB91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122316"/>
        <c:axId val="13231295"/>
      </c:lineChart>
      <c:catAx>
        <c:axId val="512231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Woche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231295"/>
        <c:crosses val="autoZero"/>
        <c:auto val="1"/>
        <c:lblAlgn val="ctr"/>
        <c:lblOffset val="100"/>
        <c:noMultiLvlLbl val="0"/>
      </c:catAx>
      <c:valAx>
        <c:axId val="1323129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€ kumuliert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12231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11</xdr:row>
      <xdr:rowOff>0</xdr:rowOff>
    </xdr:from>
    <xdr:to>
      <xdr:col>20</xdr:col>
      <xdr:colOff>75960</xdr:colOff>
      <xdr:row>23</xdr:row>
      <xdr:rowOff>208440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4432E"/>
    <pageSetUpPr fitToPage="1"/>
  </sheetPr>
  <dimension ref="A1:J64"/>
  <sheetViews>
    <sheetView showGridLines="0" tabSelected="1" zoomScaleNormal="100" workbookViewId="0">
      <pane ySplit="11" topLeftCell="A12" activePane="bottomLeft" state="frozen"/>
      <selection pane="bottomLeft" activeCell="I71" sqref="I71"/>
    </sheetView>
  </sheetViews>
  <sheetFormatPr baseColWidth="10" defaultColWidth="8.7109375" defaultRowHeight="15" x14ac:dyDescent="0.25"/>
  <cols>
    <col min="1" max="1" width="7" customWidth="1"/>
    <col min="2" max="2" width="12" customWidth="1"/>
    <col min="3" max="3" width="7" customWidth="1"/>
    <col min="4" max="5" width="13" customWidth="1"/>
    <col min="6" max="6" width="11" customWidth="1"/>
    <col min="7" max="7" width="13" customWidth="1"/>
    <col min="8" max="9" width="15" customWidth="1"/>
    <col min="10" max="10" width="24" customWidth="1"/>
    <col min="11" max="11" width="3" customWidth="1"/>
  </cols>
  <sheetData>
    <row r="1" spans="1:10" ht="33.75" customHeight="1" x14ac:dyDescent="0.25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6" customHeight="1" x14ac:dyDescent="0.25"/>
    <row r="4" spans="1:10" ht="13.5" customHeight="1" x14ac:dyDescent="0.25">
      <c r="A4" s="30" t="s">
        <v>1</v>
      </c>
      <c r="B4" s="30"/>
      <c r="C4" s="30"/>
      <c r="D4" s="30"/>
      <c r="E4" s="17" t="s">
        <v>2</v>
      </c>
      <c r="F4" s="17"/>
      <c r="G4" s="24" t="s">
        <v>3</v>
      </c>
      <c r="H4" s="24"/>
      <c r="I4" s="18" t="s">
        <v>4</v>
      </c>
      <c r="J4" s="18"/>
    </row>
    <row r="5" spans="1:10" ht="15" customHeight="1" x14ac:dyDescent="0.25">
      <c r="A5" s="13" t="s">
        <v>5</v>
      </c>
      <c r="B5" s="13"/>
      <c r="C5" s="25">
        <v>46027</v>
      </c>
      <c r="D5" s="25"/>
      <c r="E5" s="26">
        <f>SUM(E12:E63)</f>
        <v>1378</v>
      </c>
      <c r="F5" s="26"/>
      <c r="G5" s="27">
        <f>SUM(G12:G63)</f>
        <v>378</v>
      </c>
      <c r="H5" s="27"/>
      <c r="I5" s="22">
        <f>SUM(E12:E63)-SUM(G12:G63)</f>
        <v>1000</v>
      </c>
      <c r="J5" s="22"/>
    </row>
    <row r="6" spans="1:10" ht="19.5" customHeight="1" x14ac:dyDescent="0.25">
      <c r="A6" s="13" t="s">
        <v>6</v>
      </c>
      <c r="B6" s="13"/>
      <c r="C6" s="23" t="s">
        <v>7</v>
      </c>
      <c r="D6" s="23"/>
    </row>
    <row r="7" spans="1:10" ht="15" customHeight="1" x14ac:dyDescent="0.25">
      <c r="A7" s="13" t="s">
        <v>8</v>
      </c>
      <c r="B7" s="13"/>
      <c r="C7" s="19">
        <v>1</v>
      </c>
      <c r="D7" s="19"/>
      <c r="E7" s="24" t="s">
        <v>9</v>
      </c>
      <c r="F7" s="24"/>
      <c r="G7" s="17" t="s">
        <v>10</v>
      </c>
      <c r="H7" s="17"/>
      <c r="I7" s="18" t="s">
        <v>11</v>
      </c>
      <c r="J7" s="18"/>
    </row>
    <row r="8" spans="1:10" ht="19.5" customHeight="1" x14ac:dyDescent="0.25">
      <c r="A8" s="13" t="s">
        <v>12</v>
      </c>
      <c r="B8" s="13"/>
      <c r="C8" s="19">
        <v>1</v>
      </c>
      <c r="D8" s="19"/>
      <c r="E8" s="20">
        <f>IFERROR(SUM(G12:G63)/SUM(E12:E63),0)</f>
        <v>0.27431059506531202</v>
      </c>
      <c r="F8" s="20"/>
      <c r="G8" s="21">
        <f>COUNTIF(F12:F63,"Ja")</f>
        <v>27</v>
      </c>
      <c r="H8" s="21"/>
      <c r="I8" s="22">
        <f>IFERROR(AVERAGE(E12:E63),0)</f>
        <v>26.5</v>
      </c>
      <c r="J8" s="22"/>
    </row>
    <row r="9" spans="1:10" ht="19.5" customHeight="1" x14ac:dyDescent="0.25">
      <c r="A9" s="13" t="s">
        <v>13</v>
      </c>
      <c r="B9" s="13"/>
      <c r="C9" s="14">
        <f>C5+51*7</f>
        <v>46384</v>
      </c>
      <c r="D9" s="14"/>
    </row>
    <row r="10" spans="1:10" ht="15.75" customHeight="1" x14ac:dyDescent="0.25">
      <c r="A10" s="15" t="s">
        <v>14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30" customHeight="1" x14ac:dyDescent="0.25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22</v>
      </c>
      <c r="I11" s="1" t="s">
        <v>23</v>
      </c>
      <c r="J11" s="1" t="s">
        <v>24</v>
      </c>
    </row>
    <row r="12" spans="1:10" ht="18" customHeight="1" x14ac:dyDescent="0.25">
      <c r="A12" s="2">
        <v>1</v>
      </c>
      <c r="B12" s="3">
        <f>$C$5+(1-1)*7</f>
        <v>46027</v>
      </c>
      <c r="C12" s="2">
        <f t="shared" ref="C12:C43" si="0">WEEKNUM(B12,21)</f>
        <v>2</v>
      </c>
      <c r="D12" s="4"/>
      <c r="E12" s="5">
        <f>ROUND(IF($C$6="Aufsteigend",$C$7+(1-1)*$C$8,IF($C$6="Absteigend",$C$7+(52-1)*$C$8,IF($C$6="Konstant",$C$7,IF($C$6="Individuell",D12,0)))),2)</f>
        <v>1</v>
      </c>
      <c r="F12" s="2" t="s">
        <v>25</v>
      </c>
      <c r="G12" s="5">
        <f t="shared" ref="G12:G43" si="1">IF(F12="Ja",E12,0)</f>
        <v>1</v>
      </c>
      <c r="H12" s="5">
        <f>SUM($E$12:E12)</f>
        <v>1</v>
      </c>
      <c r="I12" s="5">
        <f>SUM($G$12:G12)</f>
        <v>1</v>
      </c>
      <c r="J12" s="6" t="s">
        <v>26</v>
      </c>
    </row>
    <row r="13" spans="1:10" ht="18" customHeight="1" x14ac:dyDescent="0.25">
      <c r="A13" s="7">
        <v>2</v>
      </c>
      <c r="B13" s="8">
        <f>$C$5+(2-1)*7</f>
        <v>46034</v>
      </c>
      <c r="C13" s="7">
        <f t="shared" si="0"/>
        <v>3</v>
      </c>
      <c r="D13" s="4"/>
      <c r="E13" s="9">
        <f>ROUND(IF($C$6="Aufsteigend",$C$7+(2-1)*$C$8,IF($C$6="Absteigend",$C$7+(52-2)*$C$8,IF($C$6="Konstant",$C$7,IF($C$6="Individuell",D13,0)))),2)</f>
        <v>2</v>
      </c>
      <c r="F13" s="7" t="s">
        <v>25</v>
      </c>
      <c r="G13" s="9">
        <f t="shared" si="1"/>
        <v>2</v>
      </c>
      <c r="H13" s="9">
        <f>SUM($E$12:E13)</f>
        <v>3</v>
      </c>
      <c r="I13" s="9">
        <f>SUM($G$12:G13)</f>
        <v>3</v>
      </c>
      <c r="J13" s="10"/>
    </row>
    <row r="14" spans="1:10" ht="18" customHeight="1" x14ac:dyDescent="0.25">
      <c r="A14" s="2">
        <v>3</v>
      </c>
      <c r="B14" s="3">
        <f>$C$5+(3-1)*7</f>
        <v>46041</v>
      </c>
      <c r="C14" s="2">
        <f t="shared" si="0"/>
        <v>4</v>
      </c>
      <c r="D14" s="4"/>
      <c r="E14" s="5">
        <f>ROUND(IF($C$6="Aufsteigend",$C$7+(3-1)*$C$8,IF($C$6="Absteigend",$C$7+(52-3)*$C$8,IF($C$6="Konstant",$C$7,IF($C$6="Individuell",D14,0)))),2)</f>
        <v>3</v>
      </c>
      <c r="F14" s="2" t="s">
        <v>25</v>
      </c>
      <c r="G14" s="5">
        <f t="shared" si="1"/>
        <v>3</v>
      </c>
      <c r="H14" s="5">
        <f>SUM($E$12:E14)</f>
        <v>6</v>
      </c>
      <c r="I14" s="5">
        <f>SUM($G$12:G14)</f>
        <v>6</v>
      </c>
      <c r="J14" s="6"/>
    </row>
    <row r="15" spans="1:10" ht="18" customHeight="1" x14ac:dyDescent="0.25">
      <c r="A15" s="7">
        <v>4</v>
      </c>
      <c r="B15" s="8">
        <f>$C$5+(4-1)*7</f>
        <v>46048</v>
      </c>
      <c r="C15" s="7">
        <f t="shared" si="0"/>
        <v>5</v>
      </c>
      <c r="D15" s="4"/>
      <c r="E15" s="9">
        <f>ROUND(IF($C$6="Aufsteigend",$C$7+(4-1)*$C$8,IF($C$6="Absteigend",$C$7+(52-4)*$C$8,IF($C$6="Konstant",$C$7,IF($C$6="Individuell",D15,0)))),2)</f>
        <v>4</v>
      </c>
      <c r="F15" s="7" t="s">
        <v>25</v>
      </c>
      <c r="G15" s="9">
        <f t="shared" si="1"/>
        <v>4</v>
      </c>
      <c r="H15" s="9">
        <f>SUM($E$12:E15)</f>
        <v>10</v>
      </c>
      <c r="I15" s="9">
        <f>SUM($G$12:G15)</f>
        <v>10</v>
      </c>
      <c r="J15" s="10"/>
    </row>
    <row r="16" spans="1:10" ht="18" customHeight="1" x14ac:dyDescent="0.25">
      <c r="A16" s="2">
        <v>5</v>
      </c>
      <c r="B16" s="3">
        <f>$C$5+(5-1)*7</f>
        <v>46055</v>
      </c>
      <c r="C16" s="2">
        <f t="shared" si="0"/>
        <v>6</v>
      </c>
      <c r="D16" s="4"/>
      <c r="E16" s="5">
        <f>ROUND(IF($C$6="Aufsteigend",$C$7+(5-1)*$C$8,IF($C$6="Absteigend",$C$7+(52-5)*$C$8,IF($C$6="Konstant",$C$7,IF($C$6="Individuell",D16,0)))),2)</f>
        <v>5</v>
      </c>
      <c r="F16" s="2" t="s">
        <v>25</v>
      </c>
      <c r="G16" s="5">
        <f t="shared" si="1"/>
        <v>5</v>
      </c>
      <c r="H16" s="5">
        <f>SUM($E$12:E16)</f>
        <v>15</v>
      </c>
      <c r="I16" s="5">
        <f>SUM($G$12:G16)</f>
        <v>15</v>
      </c>
      <c r="J16" s="6"/>
    </row>
    <row r="17" spans="1:10" ht="18" customHeight="1" x14ac:dyDescent="0.25">
      <c r="A17" s="7">
        <v>6</v>
      </c>
      <c r="B17" s="8">
        <f>$C$5+(6-1)*7</f>
        <v>46062</v>
      </c>
      <c r="C17" s="7">
        <f t="shared" si="0"/>
        <v>7</v>
      </c>
      <c r="D17" s="4"/>
      <c r="E17" s="9">
        <f>ROUND(IF($C$6="Aufsteigend",$C$7+(6-1)*$C$8,IF($C$6="Absteigend",$C$7+(52-6)*$C$8,IF($C$6="Konstant",$C$7,IF($C$6="Individuell",D17,0)))),2)</f>
        <v>6</v>
      </c>
      <c r="F17" s="7" t="s">
        <v>25</v>
      </c>
      <c r="G17" s="9">
        <f t="shared" si="1"/>
        <v>6</v>
      </c>
      <c r="H17" s="9">
        <f>SUM($E$12:E17)</f>
        <v>21</v>
      </c>
      <c r="I17" s="9">
        <f>SUM($G$12:G17)</f>
        <v>21</v>
      </c>
      <c r="J17" s="10"/>
    </row>
    <row r="18" spans="1:10" ht="18" customHeight="1" x14ac:dyDescent="0.25">
      <c r="A18" s="2">
        <v>7</v>
      </c>
      <c r="B18" s="3">
        <f>$C$5+(7-1)*7</f>
        <v>46069</v>
      </c>
      <c r="C18" s="2">
        <f t="shared" si="0"/>
        <v>8</v>
      </c>
      <c r="D18" s="4"/>
      <c r="E18" s="5">
        <f>ROUND(IF($C$6="Aufsteigend",$C$7+(7-1)*$C$8,IF($C$6="Absteigend",$C$7+(52-7)*$C$8,IF($C$6="Konstant",$C$7,IF($C$6="Individuell",D18,0)))),2)</f>
        <v>7</v>
      </c>
      <c r="F18" s="2" t="s">
        <v>25</v>
      </c>
      <c r="G18" s="5">
        <f t="shared" si="1"/>
        <v>7</v>
      </c>
      <c r="H18" s="5">
        <f>SUM($E$12:E18)</f>
        <v>28</v>
      </c>
      <c r="I18" s="5">
        <f>SUM($G$12:G18)</f>
        <v>28</v>
      </c>
      <c r="J18" s="6"/>
    </row>
    <row r="19" spans="1:10" ht="18" customHeight="1" x14ac:dyDescent="0.25">
      <c r="A19" s="7">
        <v>8</v>
      </c>
      <c r="B19" s="8">
        <f>$C$5+(8-1)*7</f>
        <v>46076</v>
      </c>
      <c r="C19" s="7">
        <f t="shared" si="0"/>
        <v>9</v>
      </c>
      <c r="D19" s="4"/>
      <c r="E19" s="9">
        <f>ROUND(IF($C$6="Aufsteigend",$C$7+(8-1)*$C$8,IF($C$6="Absteigend",$C$7+(52-8)*$C$8,IF($C$6="Konstant",$C$7,IF($C$6="Individuell",D19,0)))),2)</f>
        <v>8</v>
      </c>
      <c r="F19" s="7" t="s">
        <v>25</v>
      </c>
      <c r="G19" s="9">
        <f t="shared" si="1"/>
        <v>8</v>
      </c>
      <c r="H19" s="9">
        <f>SUM($E$12:E19)</f>
        <v>36</v>
      </c>
      <c r="I19" s="9">
        <f>SUM($G$12:G19)</f>
        <v>36</v>
      </c>
      <c r="J19" s="10"/>
    </row>
    <row r="20" spans="1:10" ht="18" customHeight="1" x14ac:dyDescent="0.25">
      <c r="A20" s="2">
        <v>9</v>
      </c>
      <c r="B20" s="3">
        <f>$C$5+(9-1)*7</f>
        <v>46083</v>
      </c>
      <c r="C20" s="2">
        <f t="shared" si="0"/>
        <v>10</v>
      </c>
      <c r="D20" s="4"/>
      <c r="E20" s="5">
        <f>ROUND(IF($C$6="Aufsteigend",$C$7+(9-1)*$C$8,IF($C$6="Absteigend",$C$7+(52-9)*$C$8,IF($C$6="Konstant",$C$7,IF($C$6="Individuell",D20,0)))),2)</f>
        <v>9</v>
      </c>
      <c r="F20" s="2" t="s">
        <v>25</v>
      </c>
      <c r="G20" s="5">
        <f t="shared" si="1"/>
        <v>9</v>
      </c>
      <c r="H20" s="5">
        <f>SUM($E$12:E20)</f>
        <v>45</v>
      </c>
      <c r="I20" s="5">
        <f>SUM($G$12:G20)</f>
        <v>45</v>
      </c>
      <c r="J20" s="6"/>
    </row>
    <row r="21" spans="1:10" ht="18" customHeight="1" x14ac:dyDescent="0.25">
      <c r="A21" s="7">
        <v>10</v>
      </c>
      <c r="B21" s="8">
        <f>$C$5+(10-1)*7</f>
        <v>46090</v>
      </c>
      <c r="C21" s="7">
        <f t="shared" si="0"/>
        <v>11</v>
      </c>
      <c r="D21" s="4"/>
      <c r="E21" s="9">
        <f>ROUND(IF($C$6="Aufsteigend",$C$7+(10-1)*$C$8,IF($C$6="Absteigend",$C$7+(52-10)*$C$8,IF($C$6="Konstant",$C$7,IF($C$6="Individuell",D21,0)))),2)</f>
        <v>10</v>
      </c>
      <c r="F21" s="7" t="s">
        <v>25</v>
      </c>
      <c r="G21" s="9">
        <f t="shared" si="1"/>
        <v>10</v>
      </c>
      <c r="H21" s="9">
        <f>SUM($E$12:E21)</f>
        <v>55</v>
      </c>
      <c r="I21" s="9">
        <f>SUM($G$12:G21)</f>
        <v>55</v>
      </c>
      <c r="J21" s="10"/>
    </row>
    <row r="22" spans="1:10" ht="18" customHeight="1" x14ac:dyDescent="0.25">
      <c r="A22" s="2">
        <v>11</v>
      </c>
      <c r="B22" s="3">
        <f>$C$5+(11-1)*7</f>
        <v>46097</v>
      </c>
      <c r="C22" s="2">
        <f t="shared" si="0"/>
        <v>12</v>
      </c>
      <c r="D22" s="4"/>
      <c r="E22" s="5">
        <f>ROUND(IF($C$6="Aufsteigend",$C$7+(11-1)*$C$8,IF($C$6="Absteigend",$C$7+(52-11)*$C$8,IF($C$6="Konstant",$C$7,IF($C$6="Individuell",D22,0)))),2)</f>
        <v>11</v>
      </c>
      <c r="F22" s="2" t="s">
        <v>25</v>
      </c>
      <c r="G22" s="5">
        <f t="shared" si="1"/>
        <v>11</v>
      </c>
      <c r="H22" s="5">
        <f>SUM($E$12:E22)</f>
        <v>66</v>
      </c>
      <c r="I22" s="5">
        <f>SUM($G$12:G22)</f>
        <v>66</v>
      </c>
      <c r="J22" s="6"/>
    </row>
    <row r="23" spans="1:10" ht="18" customHeight="1" x14ac:dyDescent="0.25">
      <c r="A23" s="7">
        <v>12</v>
      </c>
      <c r="B23" s="8">
        <f>$C$5+(12-1)*7</f>
        <v>46104</v>
      </c>
      <c r="C23" s="7">
        <f t="shared" si="0"/>
        <v>13</v>
      </c>
      <c r="D23" s="4"/>
      <c r="E23" s="9">
        <f>ROUND(IF($C$6="Aufsteigend",$C$7+(12-1)*$C$8,IF($C$6="Absteigend",$C$7+(52-12)*$C$8,IF($C$6="Konstant",$C$7,IF($C$6="Individuell",D23,0)))),2)</f>
        <v>12</v>
      </c>
      <c r="F23" s="7" t="s">
        <v>25</v>
      </c>
      <c r="G23" s="9">
        <f t="shared" si="1"/>
        <v>12</v>
      </c>
      <c r="H23" s="9">
        <f>SUM($E$12:E23)</f>
        <v>78</v>
      </c>
      <c r="I23" s="9">
        <f>SUM($G$12:G23)</f>
        <v>78</v>
      </c>
      <c r="J23" s="10"/>
    </row>
    <row r="24" spans="1:10" ht="18" customHeight="1" x14ac:dyDescent="0.25">
      <c r="A24" s="2">
        <v>13</v>
      </c>
      <c r="B24" s="3">
        <f>$C$5+(13-1)*7</f>
        <v>46111</v>
      </c>
      <c r="C24" s="2">
        <f t="shared" si="0"/>
        <v>14</v>
      </c>
      <c r="D24" s="4"/>
      <c r="E24" s="5">
        <f>ROUND(IF($C$6="Aufsteigend",$C$7+(13-1)*$C$8,IF($C$6="Absteigend",$C$7+(52-13)*$C$8,IF($C$6="Konstant",$C$7,IF($C$6="Individuell",D24,0)))),2)</f>
        <v>13</v>
      </c>
      <c r="F24" s="2" t="s">
        <v>25</v>
      </c>
      <c r="G24" s="5">
        <f t="shared" si="1"/>
        <v>13</v>
      </c>
      <c r="H24" s="5">
        <f>SUM($E$12:E24)</f>
        <v>91</v>
      </c>
      <c r="I24" s="5">
        <f>SUM($G$12:G24)</f>
        <v>91</v>
      </c>
      <c r="J24" s="6" t="s">
        <v>27</v>
      </c>
    </row>
    <row r="25" spans="1:10" ht="18" customHeight="1" x14ac:dyDescent="0.25">
      <c r="A25" s="7">
        <v>14</v>
      </c>
      <c r="B25" s="8">
        <f>$C$5+(14-1)*7</f>
        <v>46118</v>
      </c>
      <c r="C25" s="7">
        <f t="shared" si="0"/>
        <v>15</v>
      </c>
      <c r="D25" s="4"/>
      <c r="E25" s="9">
        <f>ROUND(IF($C$6="Aufsteigend",$C$7+(14-1)*$C$8,IF($C$6="Absteigend",$C$7+(52-14)*$C$8,IF($C$6="Konstant",$C$7,IF($C$6="Individuell",D25,0)))),2)</f>
        <v>14</v>
      </c>
      <c r="F25" s="7" t="s">
        <v>25</v>
      </c>
      <c r="G25" s="9">
        <f t="shared" si="1"/>
        <v>14</v>
      </c>
      <c r="H25" s="9">
        <f>SUM($E$12:E25)</f>
        <v>105</v>
      </c>
      <c r="I25" s="9">
        <f>SUM($G$12:G25)</f>
        <v>105</v>
      </c>
      <c r="J25" s="10"/>
    </row>
    <row r="26" spans="1:10" ht="18" customHeight="1" x14ac:dyDescent="0.25">
      <c r="A26" s="2">
        <v>15</v>
      </c>
      <c r="B26" s="3">
        <f>$C$5+(15-1)*7</f>
        <v>46125</v>
      </c>
      <c r="C26" s="2">
        <f t="shared" si="0"/>
        <v>16</v>
      </c>
      <c r="D26" s="4"/>
      <c r="E26" s="5">
        <f>ROUND(IF($C$6="Aufsteigend",$C$7+(15-1)*$C$8,IF($C$6="Absteigend",$C$7+(52-15)*$C$8,IF($C$6="Konstant",$C$7,IF($C$6="Individuell",D26,0)))),2)</f>
        <v>15</v>
      </c>
      <c r="F26" s="2" t="s">
        <v>25</v>
      </c>
      <c r="G26" s="5">
        <f t="shared" si="1"/>
        <v>15</v>
      </c>
      <c r="H26" s="5">
        <f>SUM($E$12:E26)</f>
        <v>120</v>
      </c>
      <c r="I26" s="5">
        <f>SUM($G$12:G26)</f>
        <v>120</v>
      </c>
      <c r="J26" s="6"/>
    </row>
    <row r="27" spans="1:10" ht="18" customHeight="1" x14ac:dyDescent="0.25">
      <c r="A27" s="7">
        <v>16</v>
      </c>
      <c r="B27" s="8">
        <f>$C$5+(16-1)*7</f>
        <v>46132</v>
      </c>
      <c r="C27" s="7">
        <f t="shared" si="0"/>
        <v>17</v>
      </c>
      <c r="D27" s="4"/>
      <c r="E27" s="9">
        <f>ROUND(IF($C$6="Aufsteigend",$C$7+(16-1)*$C$8,IF($C$6="Absteigend",$C$7+(52-16)*$C$8,IF($C$6="Konstant",$C$7,IF($C$6="Individuell",D27,0)))),2)</f>
        <v>16</v>
      </c>
      <c r="F27" s="7" t="s">
        <v>25</v>
      </c>
      <c r="G27" s="9">
        <f t="shared" si="1"/>
        <v>16</v>
      </c>
      <c r="H27" s="9">
        <f>SUM($E$12:E27)</f>
        <v>136</v>
      </c>
      <c r="I27" s="9">
        <f>SUM($G$12:G27)</f>
        <v>136</v>
      </c>
      <c r="J27" s="10"/>
    </row>
    <row r="28" spans="1:10" ht="18" customHeight="1" x14ac:dyDescent="0.25">
      <c r="A28" s="2">
        <v>17</v>
      </c>
      <c r="B28" s="3">
        <f>$C$5+(17-1)*7</f>
        <v>46139</v>
      </c>
      <c r="C28" s="2">
        <f t="shared" si="0"/>
        <v>18</v>
      </c>
      <c r="D28" s="4"/>
      <c r="E28" s="5">
        <f>ROUND(IF($C$6="Aufsteigend",$C$7+(17-1)*$C$8,IF($C$6="Absteigend",$C$7+(52-17)*$C$8,IF($C$6="Konstant",$C$7,IF($C$6="Individuell",D28,0)))),2)</f>
        <v>17</v>
      </c>
      <c r="F28" s="2" t="s">
        <v>25</v>
      </c>
      <c r="G28" s="5">
        <f t="shared" si="1"/>
        <v>17</v>
      </c>
      <c r="H28" s="5">
        <f>SUM($E$12:E28)</f>
        <v>153</v>
      </c>
      <c r="I28" s="5">
        <f>SUM($G$12:G28)</f>
        <v>153</v>
      </c>
      <c r="J28" s="6"/>
    </row>
    <row r="29" spans="1:10" ht="18" customHeight="1" x14ac:dyDescent="0.25">
      <c r="A29" s="7">
        <v>18</v>
      </c>
      <c r="B29" s="8">
        <f>$C$5+(18-1)*7</f>
        <v>46146</v>
      </c>
      <c r="C29" s="7">
        <f t="shared" si="0"/>
        <v>19</v>
      </c>
      <c r="D29" s="4"/>
      <c r="E29" s="9">
        <f>ROUND(IF($C$6="Aufsteigend",$C$7+(18-1)*$C$8,IF($C$6="Absteigend",$C$7+(52-18)*$C$8,IF($C$6="Konstant",$C$7,IF($C$6="Individuell",D29,0)))),2)</f>
        <v>18</v>
      </c>
      <c r="F29" s="7" t="s">
        <v>25</v>
      </c>
      <c r="G29" s="9">
        <f t="shared" si="1"/>
        <v>18</v>
      </c>
      <c r="H29" s="9">
        <f>SUM($E$12:E29)</f>
        <v>171</v>
      </c>
      <c r="I29" s="9">
        <f>SUM($G$12:G29)</f>
        <v>171</v>
      </c>
      <c r="J29" s="10"/>
    </row>
    <row r="30" spans="1:10" ht="18" customHeight="1" x14ac:dyDescent="0.25">
      <c r="A30" s="2">
        <v>19</v>
      </c>
      <c r="B30" s="3">
        <f>$C$5+(19-1)*7</f>
        <v>46153</v>
      </c>
      <c r="C30" s="2">
        <f t="shared" si="0"/>
        <v>20</v>
      </c>
      <c r="D30" s="4"/>
      <c r="E30" s="5">
        <f>ROUND(IF($C$6="Aufsteigend",$C$7+(19-1)*$C$8,IF($C$6="Absteigend",$C$7+(52-19)*$C$8,IF($C$6="Konstant",$C$7,IF($C$6="Individuell",D30,0)))),2)</f>
        <v>19</v>
      </c>
      <c r="F30" s="2" t="s">
        <v>25</v>
      </c>
      <c r="G30" s="5">
        <f t="shared" si="1"/>
        <v>19</v>
      </c>
      <c r="H30" s="5">
        <f>SUM($E$12:E30)</f>
        <v>190</v>
      </c>
      <c r="I30" s="5">
        <f>SUM($G$12:G30)</f>
        <v>190</v>
      </c>
      <c r="J30" s="6"/>
    </row>
    <row r="31" spans="1:10" ht="18" customHeight="1" x14ac:dyDescent="0.25">
      <c r="A31" s="7">
        <v>20</v>
      </c>
      <c r="B31" s="8">
        <f>$C$5+(20-1)*7</f>
        <v>46160</v>
      </c>
      <c r="C31" s="7">
        <f t="shared" si="0"/>
        <v>21</v>
      </c>
      <c r="D31" s="4"/>
      <c r="E31" s="9">
        <f>ROUND(IF($C$6="Aufsteigend",$C$7+(20-1)*$C$8,IF($C$6="Absteigend",$C$7+(52-20)*$C$8,IF($C$6="Konstant",$C$7,IF($C$6="Individuell",D31,0)))),2)</f>
        <v>20</v>
      </c>
      <c r="F31" s="7" t="s">
        <v>25</v>
      </c>
      <c r="G31" s="9">
        <f t="shared" si="1"/>
        <v>20</v>
      </c>
      <c r="H31" s="9">
        <f>SUM($E$12:E31)</f>
        <v>210</v>
      </c>
      <c r="I31" s="9">
        <f>SUM($G$12:G31)</f>
        <v>210</v>
      </c>
      <c r="J31" s="10"/>
    </row>
    <row r="32" spans="1:10" ht="18" customHeight="1" x14ac:dyDescent="0.25">
      <c r="A32" s="2">
        <v>21</v>
      </c>
      <c r="B32" s="3">
        <f>$C$5+(21-1)*7</f>
        <v>46167</v>
      </c>
      <c r="C32" s="2">
        <f t="shared" si="0"/>
        <v>22</v>
      </c>
      <c r="D32" s="4"/>
      <c r="E32" s="5">
        <f>ROUND(IF($C$6="Aufsteigend",$C$7+(21-1)*$C$8,IF($C$6="Absteigend",$C$7+(52-21)*$C$8,IF($C$6="Konstant",$C$7,IF($C$6="Individuell",D32,0)))),2)</f>
        <v>21</v>
      </c>
      <c r="F32" s="2" t="s">
        <v>25</v>
      </c>
      <c r="G32" s="5">
        <f t="shared" si="1"/>
        <v>21</v>
      </c>
      <c r="H32" s="5">
        <f>SUM($E$12:E32)</f>
        <v>231</v>
      </c>
      <c r="I32" s="5">
        <f>SUM($G$12:G32)</f>
        <v>231</v>
      </c>
      <c r="J32" s="6"/>
    </row>
    <row r="33" spans="1:10" ht="18" customHeight="1" x14ac:dyDescent="0.25">
      <c r="A33" s="7">
        <v>22</v>
      </c>
      <c r="B33" s="8">
        <f>$C$5+(22-1)*7</f>
        <v>46174</v>
      </c>
      <c r="C33" s="7">
        <f t="shared" si="0"/>
        <v>23</v>
      </c>
      <c r="D33" s="4"/>
      <c r="E33" s="9">
        <f>ROUND(IF($C$6="Aufsteigend",$C$7+(22-1)*$C$8,IF($C$6="Absteigend",$C$7+(52-22)*$C$8,IF($C$6="Konstant",$C$7,IF($C$6="Individuell",D33,0)))),2)</f>
        <v>22</v>
      </c>
      <c r="F33" s="7" t="s">
        <v>25</v>
      </c>
      <c r="G33" s="9">
        <f t="shared" si="1"/>
        <v>22</v>
      </c>
      <c r="H33" s="9">
        <f>SUM($E$12:E33)</f>
        <v>253</v>
      </c>
      <c r="I33" s="9">
        <f>SUM($G$12:G33)</f>
        <v>253</v>
      </c>
      <c r="J33" s="10"/>
    </row>
    <row r="34" spans="1:10" ht="18" customHeight="1" x14ac:dyDescent="0.25">
      <c r="A34" s="2">
        <v>23</v>
      </c>
      <c r="B34" s="3">
        <f>$C$5+(23-1)*7</f>
        <v>46181</v>
      </c>
      <c r="C34" s="2">
        <f t="shared" si="0"/>
        <v>24</v>
      </c>
      <c r="D34" s="4"/>
      <c r="E34" s="5">
        <f>ROUND(IF($C$6="Aufsteigend",$C$7+(23-1)*$C$8,IF($C$6="Absteigend",$C$7+(52-23)*$C$8,IF($C$6="Konstant",$C$7,IF($C$6="Individuell",D34,0)))),2)</f>
        <v>23</v>
      </c>
      <c r="F34" s="2" t="s">
        <v>25</v>
      </c>
      <c r="G34" s="5">
        <f t="shared" si="1"/>
        <v>23</v>
      </c>
      <c r="H34" s="5">
        <f>SUM($E$12:E34)</f>
        <v>276</v>
      </c>
      <c r="I34" s="5">
        <f>SUM($G$12:G34)</f>
        <v>276</v>
      </c>
      <c r="J34" s="6"/>
    </row>
    <row r="35" spans="1:10" ht="18" customHeight="1" x14ac:dyDescent="0.25">
      <c r="A35" s="7">
        <v>24</v>
      </c>
      <c r="B35" s="8">
        <f>$C$5+(24-1)*7</f>
        <v>46188</v>
      </c>
      <c r="C35" s="7">
        <f t="shared" si="0"/>
        <v>25</v>
      </c>
      <c r="D35" s="4"/>
      <c r="E35" s="9">
        <f>ROUND(IF($C$6="Aufsteigend",$C$7+(24-1)*$C$8,IF($C$6="Absteigend",$C$7+(52-24)*$C$8,IF($C$6="Konstant",$C$7,IF($C$6="Individuell",D35,0)))),2)</f>
        <v>24</v>
      </c>
      <c r="F35" s="7" t="s">
        <v>25</v>
      </c>
      <c r="G35" s="9">
        <f t="shared" si="1"/>
        <v>24</v>
      </c>
      <c r="H35" s="9">
        <f>SUM($E$12:E35)</f>
        <v>300</v>
      </c>
      <c r="I35" s="9">
        <f>SUM($G$12:G35)</f>
        <v>300</v>
      </c>
      <c r="J35" s="10"/>
    </row>
    <row r="36" spans="1:10" ht="18" customHeight="1" x14ac:dyDescent="0.25">
      <c r="A36" s="2">
        <v>25</v>
      </c>
      <c r="B36" s="3">
        <f>$C$5+(25-1)*7</f>
        <v>46195</v>
      </c>
      <c r="C36" s="2">
        <f t="shared" si="0"/>
        <v>26</v>
      </c>
      <c r="D36" s="4"/>
      <c r="E36" s="5">
        <f>ROUND(IF($C$6="Aufsteigend",$C$7+(25-1)*$C$8,IF($C$6="Absteigend",$C$7+(52-25)*$C$8,IF($C$6="Konstant",$C$7,IF($C$6="Individuell",D36,0)))),2)</f>
        <v>25</v>
      </c>
      <c r="F36" s="2" t="s">
        <v>25</v>
      </c>
      <c r="G36" s="5">
        <f t="shared" si="1"/>
        <v>25</v>
      </c>
      <c r="H36" s="5">
        <f>SUM($E$12:E36)</f>
        <v>325</v>
      </c>
      <c r="I36" s="5">
        <f>SUM($G$12:G36)</f>
        <v>325</v>
      </c>
      <c r="J36" s="6"/>
    </row>
    <row r="37" spans="1:10" ht="18" customHeight="1" x14ac:dyDescent="0.25">
      <c r="A37" s="7">
        <v>26</v>
      </c>
      <c r="B37" s="8">
        <f>$C$5+(26-1)*7</f>
        <v>46202</v>
      </c>
      <c r="C37" s="7">
        <f t="shared" si="0"/>
        <v>27</v>
      </c>
      <c r="D37" s="4"/>
      <c r="E37" s="9">
        <f>ROUND(IF($C$6="Aufsteigend",$C$7+(26-1)*$C$8,IF($C$6="Absteigend",$C$7+(52-26)*$C$8,IF($C$6="Konstant",$C$7,IF($C$6="Individuell",D37,0)))),2)</f>
        <v>26</v>
      </c>
      <c r="F37" s="7" t="s">
        <v>25</v>
      </c>
      <c r="G37" s="9">
        <f t="shared" si="1"/>
        <v>26</v>
      </c>
      <c r="H37" s="9">
        <f>SUM($E$12:E37)</f>
        <v>351</v>
      </c>
      <c r="I37" s="9">
        <f>SUM($G$12:G37)</f>
        <v>351</v>
      </c>
      <c r="J37" s="10" t="s">
        <v>28</v>
      </c>
    </row>
    <row r="38" spans="1:10" ht="18" customHeight="1" x14ac:dyDescent="0.25">
      <c r="A38" s="2">
        <v>27</v>
      </c>
      <c r="B38" s="3">
        <f>$C$5+(27-1)*7</f>
        <v>46209</v>
      </c>
      <c r="C38" s="2">
        <f t="shared" si="0"/>
        <v>28</v>
      </c>
      <c r="D38" s="4"/>
      <c r="E38" s="5">
        <f>ROUND(IF($C$6="Aufsteigend",$C$7+(27-1)*$C$8,IF($C$6="Absteigend",$C$7+(52-27)*$C$8,IF($C$6="Konstant",$C$7,IF($C$6="Individuell",D38,0)))),2)</f>
        <v>27</v>
      </c>
      <c r="F38" s="2" t="s">
        <v>25</v>
      </c>
      <c r="G38" s="5">
        <f t="shared" si="1"/>
        <v>27</v>
      </c>
      <c r="H38" s="5">
        <f>SUM($E$12:E38)</f>
        <v>378</v>
      </c>
      <c r="I38" s="5">
        <f>SUM($G$12:G38)</f>
        <v>378</v>
      </c>
      <c r="J38" s="6" t="s">
        <v>29</v>
      </c>
    </row>
    <row r="39" spans="1:10" ht="18" customHeight="1" x14ac:dyDescent="0.25">
      <c r="A39" s="7">
        <v>28</v>
      </c>
      <c r="B39" s="8">
        <f>$C$5+(28-1)*7</f>
        <v>46216</v>
      </c>
      <c r="C39" s="7">
        <f t="shared" si="0"/>
        <v>29</v>
      </c>
      <c r="D39" s="4"/>
      <c r="E39" s="9">
        <f>ROUND(IF($C$6="Aufsteigend",$C$7+(28-1)*$C$8,IF($C$6="Absteigend",$C$7+(52-28)*$C$8,IF($C$6="Konstant",$C$7,IF($C$6="Individuell",D39,0)))),2)</f>
        <v>28</v>
      </c>
      <c r="F39" s="7" t="s">
        <v>30</v>
      </c>
      <c r="G39" s="9">
        <f t="shared" si="1"/>
        <v>0</v>
      </c>
      <c r="H39" s="9">
        <f>SUM($E$12:E39)</f>
        <v>406</v>
      </c>
      <c r="I39" s="9">
        <f>SUM($G$12:G39)</f>
        <v>378</v>
      </c>
      <c r="J39" s="10"/>
    </row>
    <row r="40" spans="1:10" ht="18" customHeight="1" x14ac:dyDescent="0.25">
      <c r="A40" s="2">
        <v>29</v>
      </c>
      <c r="B40" s="3">
        <f>$C$5+(29-1)*7</f>
        <v>46223</v>
      </c>
      <c r="C40" s="2">
        <f t="shared" si="0"/>
        <v>30</v>
      </c>
      <c r="D40" s="4"/>
      <c r="E40" s="5">
        <f>ROUND(IF($C$6="Aufsteigend",$C$7+(29-1)*$C$8,IF($C$6="Absteigend",$C$7+(52-29)*$C$8,IF($C$6="Konstant",$C$7,IF($C$6="Individuell",D40,0)))),2)</f>
        <v>29</v>
      </c>
      <c r="F40" s="2" t="s">
        <v>30</v>
      </c>
      <c r="G40" s="5">
        <f t="shared" si="1"/>
        <v>0</v>
      </c>
      <c r="H40" s="5">
        <f>SUM($E$12:E40)</f>
        <v>435</v>
      </c>
      <c r="I40" s="5">
        <f>SUM($G$12:G40)</f>
        <v>378</v>
      </c>
      <c r="J40" s="6"/>
    </row>
    <row r="41" spans="1:10" ht="18" customHeight="1" x14ac:dyDescent="0.25">
      <c r="A41" s="7">
        <v>30</v>
      </c>
      <c r="B41" s="8">
        <f>$C$5+(30-1)*7</f>
        <v>46230</v>
      </c>
      <c r="C41" s="7">
        <f t="shared" si="0"/>
        <v>31</v>
      </c>
      <c r="D41" s="4"/>
      <c r="E41" s="9">
        <f>ROUND(IF($C$6="Aufsteigend",$C$7+(30-1)*$C$8,IF($C$6="Absteigend",$C$7+(52-30)*$C$8,IF($C$6="Konstant",$C$7,IF($C$6="Individuell",D41,0)))),2)</f>
        <v>30</v>
      </c>
      <c r="F41" s="7" t="s">
        <v>30</v>
      </c>
      <c r="G41" s="9">
        <f t="shared" si="1"/>
        <v>0</v>
      </c>
      <c r="H41" s="9">
        <f>SUM($E$12:E41)</f>
        <v>465</v>
      </c>
      <c r="I41" s="9">
        <f>SUM($G$12:G41)</f>
        <v>378</v>
      </c>
      <c r="J41" s="10"/>
    </row>
    <row r="42" spans="1:10" ht="18" customHeight="1" x14ac:dyDescent="0.25">
      <c r="A42" s="2">
        <v>31</v>
      </c>
      <c r="B42" s="3">
        <f>$C$5+(31-1)*7</f>
        <v>46237</v>
      </c>
      <c r="C42" s="2">
        <f t="shared" si="0"/>
        <v>32</v>
      </c>
      <c r="D42" s="4"/>
      <c r="E42" s="5">
        <f>ROUND(IF($C$6="Aufsteigend",$C$7+(31-1)*$C$8,IF($C$6="Absteigend",$C$7+(52-31)*$C$8,IF($C$6="Konstant",$C$7,IF($C$6="Individuell",D42,0)))),2)</f>
        <v>31</v>
      </c>
      <c r="F42" s="2" t="s">
        <v>30</v>
      </c>
      <c r="G42" s="5">
        <f t="shared" si="1"/>
        <v>0</v>
      </c>
      <c r="H42" s="5">
        <f>SUM($E$12:E42)</f>
        <v>496</v>
      </c>
      <c r="I42" s="5">
        <f>SUM($G$12:G42)</f>
        <v>378</v>
      </c>
      <c r="J42" s="6"/>
    </row>
    <row r="43" spans="1:10" ht="18" customHeight="1" x14ac:dyDescent="0.25">
      <c r="A43" s="7">
        <v>32</v>
      </c>
      <c r="B43" s="8">
        <f>$C$5+(32-1)*7</f>
        <v>46244</v>
      </c>
      <c r="C43" s="7">
        <f t="shared" si="0"/>
        <v>33</v>
      </c>
      <c r="D43" s="4"/>
      <c r="E43" s="9">
        <f>ROUND(IF($C$6="Aufsteigend",$C$7+(32-1)*$C$8,IF($C$6="Absteigend",$C$7+(52-32)*$C$8,IF($C$6="Konstant",$C$7,IF($C$6="Individuell",D43,0)))),2)</f>
        <v>32</v>
      </c>
      <c r="F43" s="7" t="s">
        <v>30</v>
      </c>
      <c r="G43" s="9">
        <f t="shared" si="1"/>
        <v>0</v>
      </c>
      <c r="H43" s="9">
        <f>SUM($E$12:E43)</f>
        <v>528</v>
      </c>
      <c r="I43" s="9">
        <f>SUM($G$12:G43)</f>
        <v>378</v>
      </c>
      <c r="J43" s="10"/>
    </row>
    <row r="44" spans="1:10" ht="18" customHeight="1" x14ac:dyDescent="0.25">
      <c r="A44" s="2">
        <v>33</v>
      </c>
      <c r="B44" s="3">
        <f>$C$5+(33-1)*7</f>
        <v>46251</v>
      </c>
      <c r="C44" s="2">
        <f t="shared" ref="C44:C63" si="2">WEEKNUM(B44,21)</f>
        <v>34</v>
      </c>
      <c r="D44" s="4"/>
      <c r="E44" s="5">
        <f>ROUND(IF($C$6="Aufsteigend",$C$7+(33-1)*$C$8,IF($C$6="Absteigend",$C$7+(52-33)*$C$8,IF($C$6="Konstant",$C$7,IF($C$6="Individuell",D44,0)))),2)</f>
        <v>33</v>
      </c>
      <c r="F44" s="2" t="s">
        <v>30</v>
      </c>
      <c r="G44" s="5">
        <f t="shared" ref="G44:G63" si="3">IF(F44="Ja",E44,0)</f>
        <v>0</v>
      </c>
      <c r="H44" s="5">
        <f>SUM($E$12:E44)</f>
        <v>561</v>
      </c>
      <c r="I44" s="5">
        <f>SUM($G$12:G44)</f>
        <v>378</v>
      </c>
      <c r="J44" s="6"/>
    </row>
    <row r="45" spans="1:10" ht="18" customHeight="1" x14ac:dyDescent="0.25">
      <c r="A45" s="7">
        <v>34</v>
      </c>
      <c r="B45" s="8">
        <f>$C$5+(34-1)*7</f>
        <v>46258</v>
      </c>
      <c r="C45" s="7">
        <f t="shared" si="2"/>
        <v>35</v>
      </c>
      <c r="D45" s="4"/>
      <c r="E45" s="9">
        <f>ROUND(IF($C$6="Aufsteigend",$C$7+(34-1)*$C$8,IF($C$6="Absteigend",$C$7+(52-34)*$C$8,IF($C$6="Konstant",$C$7,IF($C$6="Individuell",D45,0)))),2)</f>
        <v>34</v>
      </c>
      <c r="F45" s="7" t="s">
        <v>30</v>
      </c>
      <c r="G45" s="9">
        <f t="shared" si="3"/>
        <v>0</v>
      </c>
      <c r="H45" s="9">
        <f>SUM($E$12:E45)</f>
        <v>595</v>
      </c>
      <c r="I45" s="9">
        <f>SUM($G$12:G45)</f>
        <v>378</v>
      </c>
      <c r="J45" s="10"/>
    </row>
    <row r="46" spans="1:10" ht="18" customHeight="1" x14ac:dyDescent="0.25">
      <c r="A46" s="2">
        <v>35</v>
      </c>
      <c r="B46" s="3">
        <f>$C$5+(35-1)*7</f>
        <v>46265</v>
      </c>
      <c r="C46" s="2">
        <f t="shared" si="2"/>
        <v>36</v>
      </c>
      <c r="D46" s="4"/>
      <c r="E46" s="5">
        <f>ROUND(IF($C$6="Aufsteigend",$C$7+(35-1)*$C$8,IF($C$6="Absteigend",$C$7+(52-35)*$C$8,IF($C$6="Konstant",$C$7,IF($C$6="Individuell",D46,0)))),2)</f>
        <v>35</v>
      </c>
      <c r="F46" s="2" t="s">
        <v>30</v>
      </c>
      <c r="G46" s="5">
        <f t="shared" si="3"/>
        <v>0</v>
      </c>
      <c r="H46" s="5">
        <f>SUM($E$12:E46)</f>
        <v>630</v>
      </c>
      <c r="I46" s="5">
        <f>SUM($G$12:G46)</f>
        <v>378</v>
      </c>
      <c r="J46" s="6"/>
    </row>
    <row r="47" spans="1:10" ht="18" customHeight="1" x14ac:dyDescent="0.25">
      <c r="A47" s="7">
        <v>36</v>
      </c>
      <c r="B47" s="8">
        <f>$C$5+(36-1)*7</f>
        <v>46272</v>
      </c>
      <c r="C47" s="7">
        <f t="shared" si="2"/>
        <v>37</v>
      </c>
      <c r="D47" s="4"/>
      <c r="E47" s="9">
        <f>ROUND(IF($C$6="Aufsteigend",$C$7+(36-1)*$C$8,IF($C$6="Absteigend",$C$7+(52-36)*$C$8,IF($C$6="Konstant",$C$7,IF($C$6="Individuell",D47,0)))),2)</f>
        <v>36</v>
      </c>
      <c r="F47" s="7" t="s">
        <v>30</v>
      </c>
      <c r="G47" s="9">
        <f t="shared" si="3"/>
        <v>0</v>
      </c>
      <c r="H47" s="9">
        <f>SUM($E$12:E47)</f>
        <v>666</v>
      </c>
      <c r="I47" s="9">
        <f>SUM($G$12:G47)</f>
        <v>378</v>
      </c>
      <c r="J47" s="10"/>
    </row>
    <row r="48" spans="1:10" ht="18" customHeight="1" x14ac:dyDescent="0.25">
      <c r="A48" s="2">
        <v>37</v>
      </c>
      <c r="B48" s="3">
        <f>$C$5+(37-1)*7</f>
        <v>46279</v>
      </c>
      <c r="C48" s="2">
        <f t="shared" si="2"/>
        <v>38</v>
      </c>
      <c r="D48" s="4"/>
      <c r="E48" s="5">
        <f>ROUND(IF($C$6="Aufsteigend",$C$7+(37-1)*$C$8,IF($C$6="Absteigend",$C$7+(52-37)*$C$8,IF($C$6="Konstant",$C$7,IF($C$6="Individuell",D48,0)))),2)</f>
        <v>37</v>
      </c>
      <c r="F48" s="2" t="s">
        <v>30</v>
      </c>
      <c r="G48" s="5">
        <f t="shared" si="3"/>
        <v>0</v>
      </c>
      <c r="H48" s="5">
        <f>SUM($E$12:E48)</f>
        <v>703</v>
      </c>
      <c r="I48" s="5">
        <f>SUM($G$12:G48)</f>
        <v>378</v>
      </c>
      <c r="J48" s="6"/>
    </row>
    <row r="49" spans="1:10" ht="18" customHeight="1" x14ac:dyDescent="0.25">
      <c r="A49" s="7">
        <v>38</v>
      </c>
      <c r="B49" s="8">
        <f>$C$5+(38-1)*7</f>
        <v>46286</v>
      </c>
      <c r="C49" s="7">
        <f t="shared" si="2"/>
        <v>39</v>
      </c>
      <c r="D49" s="4"/>
      <c r="E49" s="9">
        <f>ROUND(IF($C$6="Aufsteigend",$C$7+(38-1)*$C$8,IF($C$6="Absteigend",$C$7+(52-38)*$C$8,IF($C$6="Konstant",$C$7,IF($C$6="Individuell",D49,0)))),2)</f>
        <v>38</v>
      </c>
      <c r="F49" s="7" t="s">
        <v>30</v>
      </c>
      <c r="G49" s="9">
        <f t="shared" si="3"/>
        <v>0</v>
      </c>
      <c r="H49" s="9">
        <f>SUM($E$12:E49)</f>
        <v>741</v>
      </c>
      <c r="I49" s="9">
        <f>SUM($G$12:G49)</f>
        <v>378</v>
      </c>
      <c r="J49" s="10"/>
    </row>
    <row r="50" spans="1:10" ht="18" customHeight="1" x14ac:dyDescent="0.25">
      <c r="A50" s="2">
        <v>39</v>
      </c>
      <c r="B50" s="3">
        <f>$C$5+(39-1)*7</f>
        <v>46293</v>
      </c>
      <c r="C50" s="2">
        <f t="shared" si="2"/>
        <v>40</v>
      </c>
      <c r="D50" s="4"/>
      <c r="E50" s="5">
        <f>ROUND(IF($C$6="Aufsteigend",$C$7+(39-1)*$C$8,IF($C$6="Absteigend",$C$7+(52-39)*$C$8,IF($C$6="Konstant",$C$7,IF($C$6="Individuell",D50,0)))),2)</f>
        <v>39</v>
      </c>
      <c r="F50" s="2" t="s">
        <v>30</v>
      </c>
      <c r="G50" s="5">
        <f t="shared" si="3"/>
        <v>0</v>
      </c>
      <c r="H50" s="5">
        <f>SUM($E$12:E50)</f>
        <v>780</v>
      </c>
      <c r="I50" s="5">
        <f>SUM($G$12:G50)</f>
        <v>378</v>
      </c>
      <c r="J50" s="6" t="s">
        <v>31</v>
      </c>
    </row>
    <row r="51" spans="1:10" ht="18" customHeight="1" x14ac:dyDescent="0.25">
      <c r="A51" s="7">
        <v>40</v>
      </c>
      <c r="B51" s="8">
        <f>$C$5+(40-1)*7</f>
        <v>46300</v>
      </c>
      <c r="C51" s="7">
        <f t="shared" si="2"/>
        <v>41</v>
      </c>
      <c r="D51" s="4"/>
      <c r="E51" s="9">
        <f>ROUND(IF($C$6="Aufsteigend",$C$7+(40-1)*$C$8,IF($C$6="Absteigend",$C$7+(52-40)*$C$8,IF($C$6="Konstant",$C$7,IF($C$6="Individuell",D51,0)))),2)</f>
        <v>40</v>
      </c>
      <c r="F51" s="7" t="s">
        <v>30</v>
      </c>
      <c r="G51" s="9">
        <f t="shared" si="3"/>
        <v>0</v>
      </c>
      <c r="H51" s="9">
        <f>SUM($E$12:E51)</f>
        <v>820</v>
      </c>
      <c r="I51" s="9">
        <f>SUM($G$12:G51)</f>
        <v>378</v>
      </c>
      <c r="J51" s="10"/>
    </row>
    <row r="52" spans="1:10" ht="18" customHeight="1" x14ac:dyDescent="0.25">
      <c r="A52" s="2">
        <v>41</v>
      </c>
      <c r="B52" s="3">
        <f>$C$5+(41-1)*7</f>
        <v>46307</v>
      </c>
      <c r="C52" s="2">
        <f t="shared" si="2"/>
        <v>42</v>
      </c>
      <c r="D52" s="4"/>
      <c r="E52" s="5">
        <f>ROUND(IF($C$6="Aufsteigend",$C$7+(41-1)*$C$8,IF($C$6="Absteigend",$C$7+(52-41)*$C$8,IF($C$6="Konstant",$C$7,IF($C$6="Individuell",D52,0)))),2)</f>
        <v>41</v>
      </c>
      <c r="F52" s="2" t="s">
        <v>30</v>
      </c>
      <c r="G52" s="5">
        <f t="shared" si="3"/>
        <v>0</v>
      </c>
      <c r="H52" s="5">
        <f>SUM($E$12:E52)</f>
        <v>861</v>
      </c>
      <c r="I52" s="5">
        <f>SUM($G$12:G52)</f>
        <v>378</v>
      </c>
      <c r="J52" s="6"/>
    </row>
    <row r="53" spans="1:10" ht="18" customHeight="1" x14ac:dyDescent="0.25">
      <c r="A53" s="7">
        <v>42</v>
      </c>
      <c r="B53" s="8">
        <f>$C$5+(42-1)*7</f>
        <v>46314</v>
      </c>
      <c r="C53" s="7">
        <f t="shared" si="2"/>
        <v>43</v>
      </c>
      <c r="D53" s="4"/>
      <c r="E53" s="9">
        <f>ROUND(IF($C$6="Aufsteigend",$C$7+(42-1)*$C$8,IF($C$6="Absteigend",$C$7+(52-42)*$C$8,IF($C$6="Konstant",$C$7,IF($C$6="Individuell",D53,0)))),2)</f>
        <v>42</v>
      </c>
      <c r="F53" s="7" t="s">
        <v>30</v>
      </c>
      <c r="G53" s="9">
        <f t="shared" si="3"/>
        <v>0</v>
      </c>
      <c r="H53" s="9">
        <f>SUM($E$12:E53)</f>
        <v>903</v>
      </c>
      <c r="I53" s="9">
        <f>SUM($G$12:G53)</f>
        <v>378</v>
      </c>
      <c r="J53" s="10"/>
    </row>
    <row r="54" spans="1:10" ht="18" customHeight="1" x14ac:dyDescent="0.25">
      <c r="A54" s="2">
        <v>43</v>
      </c>
      <c r="B54" s="3">
        <f>$C$5+(43-1)*7</f>
        <v>46321</v>
      </c>
      <c r="C54" s="2">
        <f t="shared" si="2"/>
        <v>44</v>
      </c>
      <c r="D54" s="4"/>
      <c r="E54" s="5">
        <f>ROUND(IF($C$6="Aufsteigend",$C$7+(43-1)*$C$8,IF($C$6="Absteigend",$C$7+(52-43)*$C$8,IF($C$6="Konstant",$C$7,IF($C$6="Individuell",D54,0)))),2)</f>
        <v>43</v>
      </c>
      <c r="F54" s="2" t="s">
        <v>30</v>
      </c>
      <c r="G54" s="5">
        <f t="shared" si="3"/>
        <v>0</v>
      </c>
      <c r="H54" s="5">
        <f>SUM($E$12:E54)</f>
        <v>946</v>
      </c>
      <c r="I54" s="5">
        <f>SUM($G$12:G54)</f>
        <v>378</v>
      </c>
      <c r="J54" s="6"/>
    </row>
    <row r="55" spans="1:10" ht="18" customHeight="1" x14ac:dyDescent="0.25">
      <c r="A55" s="7">
        <v>44</v>
      </c>
      <c r="B55" s="8">
        <f>$C$5+(44-1)*7</f>
        <v>46328</v>
      </c>
      <c r="C55" s="7">
        <f t="shared" si="2"/>
        <v>45</v>
      </c>
      <c r="D55" s="4"/>
      <c r="E55" s="9">
        <f>ROUND(IF($C$6="Aufsteigend",$C$7+(44-1)*$C$8,IF($C$6="Absteigend",$C$7+(52-44)*$C$8,IF($C$6="Konstant",$C$7,IF($C$6="Individuell",D55,0)))),2)</f>
        <v>44</v>
      </c>
      <c r="F55" s="7" t="s">
        <v>30</v>
      </c>
      <c r="G55" s="9">
        <f t="shared" si="3"/>
        <v>0</v>
      </c>
      <c r="H55" s="9">
        <f>SUM($E$12:E55)</f>
        <v>990</v>
      </c>
      <c r="I55" s="9">
        <f>SUM($G$12:G55)</f>
        <v>378</v>
      </c>
      <c r="J55" s="10"/>
    </row>
    <row r="56" spans="1:10" ht="18" customHeight="1" x14ac:dyDescent="0.25">
      <c r="A56" s="2">
        <v>45</v>
      </c>
      <c r="B56" s="3">
        <f>$C$5+(45-1)*7</f>
        <v>46335</v>
      </c>
      <c r="C56" s="2">
        <f t="shared" si="2"/>
        <v>46</v>
      </c>
      <c r="D56" s="4"/>
      <c r="E56" s="5">
        <f>ROUND(IF($C$6="Aufsteigend",$C$7+(45-1)*$C$8,IF($C$6="Absteigend",$C$7+(52-45)*$C$8,IF($C$6="Konstant",$C$7,IF($C$6="Individuell",D56,0)))),2)</f>
        <v>45</v>
      </c>
      <c r="F56" s="2" t="s">
        <v>30</v>
      </c>
      <c r="G56" s="5">
        <f t="shared" si="3"/>
        <v>0</v>
      </c>
      <c r="H56" s="5">
        <f>SUM($E$12:E56)</f>
        <v>1035</v>
      </c>
      <c r="I56" s="5">
        <f>SUM($G$12:G56)</f>
        <v>378</v>
      </c>
      <c r="J56" s="6"/>
    </row>
    <row r="57" spans="1:10" ht="18" customHeight="1" x14ac:dyDescent="0.25">
      <c r="A57" s="7">
        <v>46</v>
      </c>
      <c r="B57" s="8">
        <f>$C$5+(46-1)*7</f>
        <v>46342</v>
      </c>
      <c r="C57" s="7">
        <f t="shared" si="2"/>
        <v>47</v>
      </c>
      <c r="D57" s="4"/>
      <c r="E57" s="9">
        <f>ROUND(IF($C$6="Aufsteigend",$C$7+(46-1)*$C$8,IF($C$6="Absteigend",$C$7+(52-46)*$C$8,IF($C$6="Konstant",$C$7,IF($C$6="Individuell",D57,0)))),2)</f>
        <v>46</v>
      </c>
      <c r="F57" s="7" t="s">
        <v>30</v>
      </c>
      <c r="G57" s="9">
        <f t="shared" si="3"/>
        <v>0</v>
      </c>
      <c r="H57" s="9">
        <f>SUM($E$12:E57)</f>
        <v>1081</v>
      </c>
      <c r="I57" s="9">
        <f>SUM($G$12:G57)</f>
        <v>378</v>
      </c>
      <c r="J57" s="10"/>
    </row>
    <row r="58" spans="1:10" ht="18" customHeight="1" x14ac:dyDescent="0.25">
      <c r="A58" s="2">
        <v>47</v>
      </c>
      <c r="B58" s="3">
        <f>$C$5+(47-1)*7</f>
        <v>46349</v>
      </c>
      <c r="C58" s="2">
        <f t="shared" si="2"/>
        <v>48</v>
      </c>
      <c r="D58" s="4"/>
      <c r="E58" s="5">
        <f>ROUND(IF($C$6="Aufsteigend",$C$7+(47-1)*$C$8,IF($C$6="Absteigend",$C$7+(52-47)*$C$8,IF($C$6="Konstant",$C$7,IF($C$6="Individuell",D58,0)))),2)</f>
        <v>47</v>
      </c>
      <c r="F58" s="2" t="s">
        <v>30</v>
      </c>
      <c r="G58" s="5">
        <f t="shared" si="3"/>
        <v>0</v>
      </c>
      <c r="H58" s="5">
        <f>SUM($E$12:E58)</f>
        <v>1128</v>
      </c>
      <c r="I58" s="5">
        <f>SUM($G$12:G58)</f>
        <v>378</v>
      </c>
      <c r="J58" s="6"/>
    </row>
    <row r="59" spans="1:10" ht="18" customHeight="1" x14ac:dyDescent="0.25">
      <c r="A59" s="7">
        <v>48</v>
      </c>
      <c r="B59" s="8">
        <f>$C$5+(48-1)*7</f>
        <v>46356</v>
      </c>
      <c r="C59" s="7">
        <f t="shared" si="2"/>
        <v>49</v>
      </c>
      <c r="D59" s="4"/>
      <c r="E59" s="9">
        <f>ROUND(IF($C$6="Aufsteigend",$C$7+(48-1)*$C$8,IF($C$6="Absteigend",$C$7+(52-48)*$C$8,IF($C$6="Konstant",$C$7,IF($C$6="Individuell",D59,0)))),2)</f>
        <v>48</v>
      </c>
      <c r="F59" s="7" t="s">
        <v>30</v>
      </c>
      <c r="G59" s="9">
        <f t="shared" si="3"/>
        <v>0</v>
      </c>
      <c r="H59" s="9">
        <f>SUM($E$12:E59)</f>
        <v>1176</v>
      </c>
      <c r="I59" s="9">
        <f>SUM($G$12:G59)</f>
        <v>378</v>
      </c>
      <c r="J59" s="10"/>
    </row>
    <row r="60" spans="1:10" ht="18" customHeight="1" x14ac:dyDescent="0.25">
      <c r="A60" s="2">
        <v>49</v>
      </c>
      <c r="B60" s="3">
        <f>$C$5+(49-1)*7</f>
        <v>46363</v>
      </c>
      <c r="C60" s="2">
        <f t="shared" si="2"/>
        <v>50</v>
      </c>
      <c r="D60" s="4"/>
      <c r="E60" s="5">
        <f>ROUND(IF($C$6="Aufsteigend",$C$7+(49-1)*$C$8,IF($C$6="Absteigend",$C$7+(52-49)*$C$8,IF($C$6="Konstant",$C$7,IF($C$6="Individuell",D60,0)))),2)</f>
        <v>49</v>
      </c>
      <c r="F60" s="2" t="s">
        <v>30</v>
      </c>
      <c r="G60" s="5">
        <f t="shared" si="3"/>
        <v>0</v>
      </c>
      <c r="H60" s="5">
        <f>SUM($E$12:E60)</f>
        <v>1225</v>
      </c>
      <c r="I60" s="5">
        <f>SUM($G$12:G60)</f>
        <v>378</v>
      </c>
      <c r="J60" s="6"/>
    </row>
    <row r="61" spans="1:10" ht="18" customHeight="1" x14ac:dyDescent="0.25">
      <c r="A61" s="7">
        <v>50</v>
      </c>
      <c r="B61" s="8">
        <f>$C$5+(50-1)*7</f>
        <v>46370</v>
      </c>
      <c r="C61" s="7">
        <f t="shared" si="2"/>
        <v>51</v>
      </c>
      <c r="D61" s="4"/>
      <c r="E61" s="9">
        <f>ROUND(IF($C$6="Aufsteigend",$C$7+(50-1)*$C$8,IF($C$6="Absteigend",$C$7+(52-50)*$C$8,IF($C$6="Konstant",$C$7,IF($C$6="Individuell",D61,0)))),2)</f>
        <v>50</v>
      </c>
      <c r="F61" s="7" t="s">
        <v>30</v>
      </c>
      <c r="G61" s="9">
        <f t="shared" si="3"/>
        <v>0</v>
      </c>
      <c r="H61" s="9">
        <f>SUM($E$12:E61)</f>
        <v>1275</v>
      </c>
      <c r="I61" s="9">
        <f>SUM($G$12:G61)</f>
        <v>378</v>
      </c>
      <c r="J61" s="10"/>
    </row>
    <row r="62" spans="1:10" ht="18" customHeight="1" x14ac:dyDescent="0.25">
      <c r="A62" s="2">
        <v>51</v>
      </c>
      <c r="B62" s="3">
        <f>$C$5+(51-1)*7</f>
        <v>46377</v>
      </c>
      <c r="C62" s="2">
        <f t="shared" si="2"/>
        <v>52</v>
      </c>
      <c r="D62" s="4"/>
      <c r="E62" s="5">
        <f>ROUND(IF($C$6="Aufsteigend",$C$7+(51-1)*$C$8,IF($C$6="Absteigend",$C$7+(52-51)*$C$8,IF($C$6="Konstant",$C$7,IF($C$6="Individuell",D62,0)))),2)</f>
        <v>51</v>
      </c>
      <c r="F62" s="2" t="s">
        <v>30</v>
      </c>
      <c r="G62" s="5">
        <f t="shared" si="3"/>
        <v>0</v>
      </c>
      <c r="H62" s="5">
        <f>SUM($E$12:E62)</f>
        <v>1326</v>
      </c>
      <c r="I62" s="5">
        <f>SUM($G$12:G62)</f>
        <v>378</v>
      </c>
      <c r="J62" s="6"/>
    </row>
    <row r="63" spans="1:10" ht="18" customHeight="1" x14ac:dyDescent="0.25">
      <c r="A63" s="7">
        <v>52</v>
      </c>
      <c r="B63" s="8">
        <f>$C$5+(52-1)*7</f>
        <v>46384</v>
      </c>
      <c r="C63" s="7">
        <f t="shared" si="2"/>
        <v>53</v>
      </c>
      <c r="D63" s="4"/>
      <c r="E63" s="9">
        <f>ROUND(IF($C$6="Aufsteigend",$C$7+(52-1)*$C$8,IF($C$6="Absteigend",$C$7+(52-52)*$C$8,IF($C$6="Konstant",$C$7,IF($C$6="Individuell",D63,0)))),2)</f>
        <v>52</v>
      </c>
      <c r="F63" s="7" t="s">
        <v>30</v>
      </c>
      <c r="G63" s="9">
        <f t="shared" si="3"/>
        <v>0</v>
      </c>
      <c r="H63" s="9">
        <f>SUM($E$12:E63)</f>
        <v>1378</v>
      </c>
      <c r="I63" s="9">
        <f>SUM($G$12:G63)</f>
        <v>378</v>
      </c>
      <c r="J63" s="10"/>
    </row>
    <row r="64" spans="1:10" ht="21.75" customHeight="1" x14ac:dyDescent="0.25">
      <c r="A64" s="16" t="s">
        <v>32</v>
      </c>
      <c r="B64" s="16"/>
      <c r="C64" s="16"/>
      <c r="D64" s="16"/>
      <c r="E64" s="11">
        <f>SUM(E12:E63)</f>
        <v>1378</v>
      </c>
      <c r="F64" s="12" t="str">
        <f>COUNTIF(F12:F63,"Ja")&amp;" / 52"</f>
        <v>27 / 52</v>
      </c>
      <c r="G64" s="11">
        <f>SUM(G12:G63)</f>
        <v>378</v>
      </c>
      <c r="H64" s="11">
        <f>SUM(E12:E63)</f>
        <v>1378</v>
      </c>
      <c r="I64" s="11">
        <f>SUM(G12:G63)</f>
        <v>378</v>
      </c>
      <c r="J64" s="12"/>
    </row>
  </sheetData>
  <autoFilter ref="A11:J63" xr:uid="{00000000-0009-0000-0000-000000000000}"/>
  <mergeCells count="27">
    <mergeCell ref="A1:J1"/>
    <mergeCell ref="A2:J2"/>
    <mergeCell ref="A4:D4"/>
    <mergeCell ref="E4:F4"/>
    <mergeCell ref="G4:H4"/>
    <mergeCell ref="I4:J4"/>
    <mergeCell ref="A5:B5"/>
    <mergeCell ref="C5:D5"/>
    <mergeCell ref="E5:F5"/>
    <mergeCell ref="G5:H5"/>
    <mergeCell ref="I5:J5"/>
    <mergeCell ref="A6:B6"/>
    <mergeCell ref="C6:D6"/>
    <mergeCell ref="A7:B7"/>
    <mergeCell ref="C7:D7"/>
    <mergeCell ref="E7:F7"/>
    <mergeCell ref="A9:B9"/>
    <mergeCell ref="C9:D9"/>
    <mergeCell ref="A10:J10"/>
    <mergeCell ref="A64:D64"/>
    <mergeCell ref="G7:H7"/>
    <mergeCell ref="I7:J7"/>
    <mergeCell ref="A8:B8"/>
    <mergeCell ref="C8:D8"/>
    <mergeCell ref="E8:F8"/>
    <mergeCell ref="G8:H8"/>
    <mergeCell ref="I8:J8"/>
  </mergeCells>
  <conditionalFormatting sqref="A12:J63">
    <cfRule type="expression" dxfId="2" priority="5">
      <formula>AND($B12&lt;=TODAY(),TODAY()&lt;$B12+7)</formula>
    </cfRule>
  </conditionalFormatting>
  <conditionalFormatting sqref="F12:F63">
    <cfRule type="cellIs" dxfId="1" priority="2" operator="equal">
      <formula>"Ja"</formula>
    </cfRule>
    <cfRule type="cellIs" dxfId="0" priority="3" operator="equal">
      <formula>"Nein"</formula>
    </cfRule>
  </conditionalFormatting>
  <conditionalFormatting sqref="I12:I63">
    <cfRule type="dataBar" priority="4">
      <dataBar>
        <cfvo type="num" val="0"/>
        <cfvo type="formula" val="$I$63"/>
        <color rgb="FF2E7D5B"/>
      </dataBar>
      <extLst>
        <ext xmlns:x14="http://schemas.microsoft.com/office/spreadsheetml/2009/9/main" uri="{B025F937-C7B1-47D3-B67F-A62EFF666E3E}">
          <x14:id>{289C382D-E4B2-4358-A159-48FAD498A0A3}</x14:id>
        </ext>
      </extLst>
    </cfRule>
  </conditionalFormatting>
  <dataValidations count="3">
    <dataValidation type="list" promptTitle="Sparmodus" prompt="Sparmodus wählen" sqref="C6:D6" xr:uid="{00000000-0002-0000-0000-000000000000}">
      <formula1>"Aufsteigend,Absteigend,Konstant,Individuell"</formula1>
      <formula2>0</formula2>
    </dataValidation>
    <dataValidation type="list" allowBlank="1" prompt="Woche erledigt?" sqref="F12:F63" xr:uid="{00000000-0002-0000-0000-000001000000}">
      <formula1>"Ja,Nein"</formula1>
      <formula2>0</formula2>
    </dataValidation>
    <dataValidation type="decimal" operator="greaterThanOrEqual" allowBlank="1" error="Bitte einen Betrag ≥ 0 eingeben." sqref="C7:D8 D12:D63" xr:uid="{00000000-0002-0000-0000-000002000000}">
      <formula1>0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9C382D-E4B2-4358-A159-48FAD498A0A3}">
            <x14:dataBar axisPosition="none">
              <x14:cfvo type="num">
                <xm:f>0</xm:f>
              </x14:cfvo>
              <x14:cfvo type="formula">
                <xm:f>$I$63</xm:f>
              </x14:cfvo>
              <x14:negativeFillColor rgb="FF2E7D5B"/>
            </x14:dataBar>
          </x14:cfRule>
          <xm:sqref>I12:I63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Sparchallenge</vt:lpstr>
      <vt:lpstr>Sparchallenge!Drucktitel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2026-07-18T09:24:33Z</dcterms:created>
  <dcterms:modified xsi:type="dcterms:W3CDTF">2026-07-18T09:39:04Z</dcterms:modified>
  <dc:language>en-US</dc:language>
</cp:coreProperties>
</file>