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F28CEFC2-F24F-4587-886C-275F578743D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hallenge" sheetId="1" r:id="rId1"/>
    <sheet name="Einstellungen" sheetId="2" r:id="rId2"/>
  </sheets>
  <definedNames>
    <definedName name="_xlnm.Print_Area" localSheetId="0">Challenge!$A$1:$N$72</definedName>
    <definedName name="Sparziel_Text">Einstellungen!$C$10</definedName>
    <definedName name="Startbetrag">Einstellungen!$C$6</definedName>
    <definedName name="Startdatum">Einstellungen!$C$8</definedName>
    <definedName name="Steigerung">Einstellungen!$C$7</definedName>
    <definedName name="Waehrung">Einstellungen!$C$9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2" l="1"/>
  <c r="C47" i="1" s="1"/>
  <c r="F66" i="1"/>
  <c r="E66" i="1"/>
  <c r="D65" i="1"/>
  <c r="D64" i="1"/>
  <c r="I8" i="1" s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66" i="1" s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G14" i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D14" i="1"/>
  <c r="N10" i="1"/>
  <c r="D10" i="1"/>
  <c r="L8" i="1"/>
  <c r="E8" i="1"/>
  <c r="C61" i="1" l="1"/>
  <c r="C55" i="1"/>
  <c r="C62" i="1"/>
  <c r="C26" i="1"/>
  <c r="C46" i="1"/>
  <c r="C28" i="1"/>
  <c r="B8" i="1"/>
  <c r="C32" i="1"/>
  <c r="C52" i="1"/>
  <c r="C56" i="1"/>
  <c r="B5" i="1"/>
  <c r="C25" i="1"/>
  <c r="C45" i="1"/>
  <c r="C63" i="1"/>
  <c r="C14" i="1"/>
  <c r="C34" i="1"/>
  <c r="C54" i="1"/>
  <c r="C21" i="1"/>
  <c r="C41" i="1"/>
  <c r="C15" i="1"/>
  <c r="C35" i="1"/>
  <c r="C22" i="1"/>
  <c r="C42" i="1"/>
  <c r="C49" i="1"/>
  <c r="C16" i="1"/>
  <c r="C36" i="1"/>
  <c r="C43" i="1"/>
  <c r="C30" i="1"/>
  <c r="C50" i="1"/>
  <c r="C57" i="1"/>
  <c r="C19" i="1"/>
  <c r="C39" i="1"/>
  <c r="C33" i="1"/>
  <c r="C53" i="1"/>
  <c r="C48" i="1"/>
  <c r="C29" i="1"/>
  <c r="C23" i="1"/>
  <c r="C17" i="1"/>
  <c r="C37" i="1"/>
  <c r="C24" i="1"/>
  <c r="C44" i="1"/>
  <c r="C64" i="1"/>
  <c r="C58" i="1"/>
  <c r="C31" i="1"/>
  <c r="C51" i="1"/>
  <c r="C18" i="1"/>
  <c r="C38" i="1"/>
  <c r="C65" i="1"/>
  <c r="C59" i="1"/>
  <c r="C20" i="1"/>
  <c r="C40" i="1"/>
  <c r="C60" i="1"/>
  <c r="C27" i="1"/>
</calcChain>
</file>

<file path=xl/sharedStrings.xml><?xml version="1.0" encoding="utf-8"?>
<sst xmlns="http://schemas.openxmlformats.org/spreadsheetml/2006/main" count="47" uniqueCount="38">
  <si>
    <t>52-WOCHEN-CHALLENGE</t>
  </si>
  <si>
    <t>Woche für Woche ein Stück näher am Ziel – kleiner Betrag, große Wirkung</t>
  </si>
  <si>
    <t>SPARZIEL GESAMT</t>
  </si>
  <si>
    <t>BEREITS GESPART</t>
  </si>
  <si>
    <t>FORTSCHRITT</t>
  </si>
  <si>
    <t>WOCHEN GESCHAFFT</t>
  </si>
  <si>
    <t>GESAMTFORTSCHRITT</t>
  </si>
  <si>
    <t>WÖCHENTLICHER SPARPLAN</t>
  </si>
  <si>
    <t>Woche</t>
  </si>
  <si>
    <t>Datum (KW-Start)</t>
  </si>
  <si>
    <t>Zielbetrag</t>
  </si>
  <si>
    <t>Gespart</t>
  </si>
  <si>
    <t>✓</t>
  </si>
  <si>
    <t>Kumuliert</t>
  </si>
  <si>
    <t>x</t>
  </si>
  <si>
    <t>Gesamt</t>
  </si>
  <si>
    <t>SO FUNKTIONIERT'S</t>
  </si>
  <si>
    <t>•  In Spalte „Gespart“ trägst du den tatsächlich beiseitegelegten Betrag ein.</t>
  </si>
  <si>
    <t>•  Setze in Spalte „✓“ ein x, sobald die Woche geschafft ist – die Zeile wird grün.</t>
  </si>
  <si>
    <t>•  Zielbeträge und Datum berechnen sich aus dem Blatt „Einstellungen“.</t>
  </si>
  <si>
    <t>•  Kacheln, Balken und Diagramm oben aktualisieren sich automatisch.</t>
  </si>
  <si>
    <t>Einstellungen der Challenge</t>
  </si>
  <si>
    <t>Passe hier Startbetrag, Steigerung und Startdatum an. Der Sparplan im Blatt „Challenge“ rechnet automatisch mit.</t>
  </si>
  <si>
    <t>Parameter</t>
  </si>
  <si>
    <t>Wert</t>
  </si>
  <si>
    <t>Varianten-Tipp</t>
  </si>
  <si>
    <t>Startbetrag (Woche 1)</t>
  </si>
  <si>
    <t>•  Klassisch: Start 1 €, Steigerung 1 € → 1.378 € Sparziel.</t>
  </si>
  <si>
    <t>Wöchentliche Steigerung</t>
  </si>
  <si>
    <t>•  Umgekehrt: Start 52 €, Steigerung −1 € (früh mehr sparen).</t>
  </si>
  <si>
    <t>Startdatum (Woche 1)</t>
  </si>
  <si>
    <t>•  Fixbetrag: Steigerung 0 € → jede Woche gleicher Betrag.</t>
  </si>
  <si>
    <t>Währung</t>
  </si>
  <si>
    <t>€</t>
  </si>
  <si>
    <t>•  Doppelt: Steigerung 2 € → 2.756 € Sparziel.</t>
  </si>
  <si>
    <t>Sparen für (Ziel)</t>
  </si>
  <si>
    <t>Reisebudget 2026</t>
  </si>
  <si>
    <t>Gold hinterlegte Felder sind Eingabefelder.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</si>
</sst>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0.0%"/>
    <numFmt numFmtId="166" formatCode="&quot;TT.&quot;mm&quot;.JJJJ&quot;"/>
    <numFmt numFmtId="170" formatCode="dd\.mm\.yyyy;@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.5"/>
      <color rgb="FFFFFFFF"/>
      <name val="Calibri"/>
      <charset val="1"/>
    </font>
    <font>
      <b/>
      <sz val="11"/>
      <color rgb="FF4A2545"/>
      <name val="Calibri"/>
      <charset val="1"/>
    </font>
    <font>
      <b/>
      <sz val="8"/>
      <color rgb="FFFFFFFF"/>
      <name val="Calibri"/>
      <charset val="1"/>
    </font>
    <font>
      <b/>
      <sz val="18"/>
      <color rgb="FFFFFFFF"/>
      <name val="Calibri"/>
      <charset val="1"/>
    </font>
    <font>
      <b/>
      <sz val="9"/>
      <color rgb="FF4A2545"/>
      <name val="Calibri"/>
      <charset val="1"/>
    </font>
    <font>
      <b/>
      <sz val="10"/>
      <color rgb="FFFFFFFF"/>
      <name val="Calibri"/>
      <charset val="1"/>
    </font>
    <font>
      <b/>
      <sz val="9"/>
      <color rgb="FF7A6E80"/>
      <name val="Calibri"/>
      <charset val="1"/>
    </font>
    <font>
      <b/>
      <sz val="9.5"/>
      <color rgb="FF4A2545"/>
      <name val="Calibri"/>
      <charset val="1"/>
    </font>
    <font>
      <sz val="9.5"/>
      <color rgb="FF7A6E80"/>
      <name val="Calibri"/>
      <charset val="1"/>
    </font>
    <font>
      <sz val="9.5"/>
      <color rgb="FF2A2230"/>
      <name val="Calibri"/>
      <charset val="1"/>
    </font>
    <font>
      <b/>
      <sz val="9.5"/>
      <color rgb="FF2A2230"/>
      <name val="Calibri"/>
      <charset val="1"/>
    </font>
    <font>
      <b/>
      <sz val="11"/>
      <color rgb="FF2F8F5B"/>
      <name val="Calibri"/>
      <charset val="1"/>
    </font>
    <font>
      <sz val="9.5"/>
      <color rgb="FF4A2545"/>
      <name val="Calibri"/>
      <charset val="1"/>
    </font>
    <font>
      <b/>
      <sz val="10"/>
      <color rgb="FF4A2545"/>
      <name val="Calibri"/>
      <charset val="1"/>
    </font>
    <font>
      <sz val="9"/>
      <color rgb="FF7A6E80"/>
      <name val="Calibri"/>
      <charset val="1"/>
    </font>
    <font>
      <b/>
      <sz val="14"/>
      <color rgb="FF4A2545"/>
      <name val="Calibri"/>
      <charset val="1"/>
    </font>
    <font>
      <i/>
      <sz val="9"/>
      <color rgb="FF7A6E80"/>
      <name val="Calibri"/>
      <charset val="1"/>
    </font>
    <font>
      <sz val="10"/>
      <color rgb="FF2A2230"/>
      <name val="Calibri"/>
      <charset val="1"/>
    </font>
    <font>
      <sz val="9"/>
      <color rgb="FF2A223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4A2545"/>
        <bgColor rgb="FF2A2230"/>
      </patternFill>
    </fill>
    <fill>
      <patternFill patternType="solid">
        <fgColor rgb="FFC8963E"/>
        <bgColor rgb="FF969696"/>
      </patternFill>
    </fill>
    <fill>
      <patternFill patternType="solid">
        <fgColor rgb="FFEFE1EC"/>
        <bgColor rgb="FFF5E9CE"/>
      </patternFill>
    </fill>
    <fill>
      <patternFill patternType="solid">
        <fgColor rgb="FF2F8F5B"/>
        <bgColor rgb="FF008080"/>
      </patternFill>
    </fill>
    <fill>
      <patternFill patternType="solid">
        <fgColor rgb="FF6E3B63"/>
        <bgColor rgb="FF993366"/>
      </patternFill>
    </fill>
    <fill>
      <patternFill patternType="solid">
        <fgColor rgb="FFFFFFFF"/>
        <bgColor rgb="FFF5F3F5"/>
      </patternFill>
    </fill>
    <fill>
      <patternFill patternType="solid">
        <fgColor rgb="FFF5F3F5"/>
        <bgColor rgb="FFFFFFFF"/>
      </patternFill>
    </fill>
    <fill>
      <patternFill patternType="solid">
        <fgColor rgb="FFF5E9CE"/>
        <bgColor rgb="FFEFE1EC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3DC"/>
      </left>
      <right style="thin">
        <color rgb="FFDCD3DC"/>
      </right>
      <top style="thin">
        <color rgb="FFDCD3DC"/>
      </top>
      <bottom style="thin">
        <color rgb="FFDCD3DC"/>
      </bottom>
      <diagonal/>
    </border>
    <border>
      <left style="thin">
        <color rgb="FFC8963E"/>
      </left>
      <right style="thin">
        <color rgb="FFC8963E"/>
      </right>
      <top style="thin">
        <color rgb="FFC8963E"/>
      </top>
      <bottom style="thin">
        <color rgb="FFC8963E"/>
      </bottom>
      <diagonal/>
    </border>
    <border>
      <left style="thin">
        <color rgb="FFDCD3DC"/>
      </left>
      <right/>
      <top style="thin">
        <color rgb="FFDCD3DC"/>
      </top>
      <bottom style="thin">
        <color rgb="FFDCD3DC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9" fontId="8" fillId="0" borderId="0" xfId="0" applyNumberFormat="1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4" fontId="11" fillId="7" borderId="2" xfId="0" applyNumberFormat="1" applyFont="1" applyFill="1" applyBorder="1" applyAlignment="1">
      <alignment horizontal="right" vertical="center" indent="1"/>
    </xf>
    <xf numFmtId="164" fontId="12" fillId="7" borderId="2" xfId="0" applyNumberFormat="1" applyFont="1" applyFill="1" applyBorder="1" applyAlignment="1">
      <alignment horizontal="right" vertical="center" indent="1"/>
    </xf>
    <xf numFmtId="0" fontId="13" fillId="7" borderId="2" xfId="0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horizontal="right" vertical="center" indent="1"/>
    </xf>
    <xf numFmtId="0" fontId="9" fillId="4" borderId="2" xfId="0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right" vertical="center" indent="1"/>
    </xf>
    <xf numFmtId="164" fontId="12" fillId="4" borderId="2" xfId="0" applyNumberFormat="1" applyFont="1" applyFill="1" applyBorder="1" applyAlignment="1">
      <alignment horizontal="right" vertical="center" indent="1"/>
    </xf>
    <xf numFmtId="0" fontId="13" fillId="4" borderId="2" xfId="0" applyFont="1" applyFill="1" applyBorder="1" applyAlignment="1">
      <alignment horizontal="center" vertical="center" wrapText="1"/>
    </xf>
    <xf numFmtId="164" fontId="14" fillId="4" borderId="2" xfId="0" applyNumberFormat="1" applyFont="1" applyFill="1" applyBorder="1" applyAlignment="1">
      <alignment horizontal="right" vertical="center" indent="1"/>
    </xf>
    <xf numFmtId="164" fontId="7" fillId="2" borderId="1" xfId="0" applyNumberFormat="1" applyFont="1" applyFill="1" applyBorder="1" applyAlignment="1">
      <alignment horizontal="right" vertical="center" indent="1"/>
    </xf>
    <xf numFmtId="0" fontId="7" fillId="2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7" fillId="6" borderId="1" xfId="0" applyFont="1" applyFill="1" applyBorder="1" applyAlignment="1">
      <alignment horizontal="left" vertical="center" wrapText="1"/>
    </xf>
    <xf numFmtId="0" fontId="0" fillId="6" borderId="1" xfId="0" applyFill="1" applyBorder="1"/>
    <xf numFmtId="0" fontId="19" fillId="8" borderId="2" xfId="0" applyFont="1" applyFill="1" applyBorder="1" applyAlignment="1">
      <alignment horizontal="left" vertical="center" wrapText="1"/>
    </xf>
    <xf numFmtId="164" fontId="15" fillId="9" borderId="3" xfId="0" applyNumberFormat="1" applyFont="1" applyFill="1" applyBorder="1" applyAlignment="1">
      <alignment horizontal="center" vertical="center" wrapText="1"/>
    </xf>
    <xf numFmtId="166" fontId="15" fillId="9" borderId="3" xfId="0" applyNumberFormat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0" fillId="8" borderId="4" xfId="0" applyFont="1" applyFill="1" applyBorder="1" applyAlignment="1">
      <alignment horizontal="left" vertical="center" wrapText="1"/>
    </xf>
    <xf numFmtId="0" fontId="20" fillId="7" borderId="4" xfId="0" applyFont="1" applyFill="1" applyBorder="1" applyAlignment="1">
      <alignment horizontal="left" vertical="center" wrapText="1"/>
    </xf>
    <xf numFmtId="170" fontId="10" fillId="7" borderId="2" xfId="0" applyNumberFormat="1" applyFont="1" applyFill="1" applyBorder="1" applyAlignment="1">
      <alignment horizontal="center" vertical="center" wrapText="1"/>
    </xf>
    <xf numFmtId="170" fontId="10" fillId="4" borderId="2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3">
    <dxf>
      <font>
        <b/>
        <sz val="11"/>
        <color rgb="FFFFFFFF"/>
        <name val="Calibri"/>
        <charset val="1"/>
      </font>
      <fill>
        <patternFill>
          <bgColor rgb="FF2F8F5B"/>
        </patternFill>
      </fill>
    </dxf>
    <dxf>
      <fill>
        <patternFill>
          <bgColor rgb="FFF5E9CE"/>
        </patternFill>
      </fill>
    </dxf>
    <dxf>
      <fill>
        <patternFill>
          <bgColor rgb="FFD8EF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6E3B63"/>
      <rgbColor rgb="FFF5F3F5"/>
      <rgbColor rgb="FFEFE1EC"/>
      <rgbColor rgb="FF660066"/>
      <rgbColor rgb="FFFF8080"/>
      <rgbColor rgb="FF0066CC"/>
      <rgbColor rgb="FFDCD3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FDF"/>
      <rgbColor rgb="FFF5E9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63E"/>
      <rgbColor rgb="FFFF6600"/>
      <rgbColor rgb="FF7A6E80"/>
      <rgbColor rgb="FF969696"/>
      <rgbColor rgb="FF003366"/>
      <rgbColor rgb="FF2F8F5B"/>
      <rgbColor rgb="FF003300"/>
      <rgbColor rgb="FF4A2545"/>
      <rgbColor rgb="FF993300"/>
      <rgbColor rgb="FF993366"/>
      <rgbColor rgb="FF333399"/>
      <rgbColor rgb="FF2A22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Sparverlauf (kumuliert)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Challenge!$G$13</c:f>
              <c:strCache>
                <c:ptCount val="1"/>
                <c:pt idx="0">
                  <c:v>Kumuliert</c:v>
                </c:pt>
              </c:strCache>
            </c:strRef>
          </c:tx>
          <c:spPr>
            <a:ln w="28080">
              <a:solidFill>
                <a:srgbClr val="C8963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Challenge!$B$14:$B$65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Challenge!$G$14:$G$65</c:f>
              <c:numCache>
                <c:formatCode>#,##0.00" €"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21</c:v>
                </c:pt>
                <c:pt idx="6">
                  <c:v>31</c:v>
                </c:pt>
                <c:pt idx="7">
                  <c:v>39</c:v>
                </c:pt>
                <c:pt idx="8">
                  <c:v>48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58</c:v>
                </c:pt>
                <c:pt idx="13">
                  <c:v>58</c:v>
                </c:pt>
                <c:pt idx="14">
                  <c:v>58</c:v>
                </c:pt>
                <c:pt idx="15">
                  <c:v>58</c:v>
                </c:pt>
                <c:pt idx="16">
                  <c:v>58</c:v>
                </c:pt>
                <c:pt idx="17">
                  <c:v>58</c:v>
                </c:pt>
                <c:pt idx="18">
                  <c:v>58</c:v>
                </c:pt>
                <c:pt idx="19">
                  <c:v>58</c:v>
                </c:pt>
                <c:pt idx="20">
                  <c:v>58</c:v>
                </c:pt>
                <c:pt idx="21">
                  <c:v>58</c:v>
                </c:pt>
                <c:pt idx="22">
                  <c:v>58</c:v>
                </c:pt>
                <c:pt idx="23">
                  <c:v>58</c:v>
                </c:pt>
                <c:pt idx="24">
                  <c:v>58</c:v>
                </c:pt>
                <c:pt idx="25">
                  <c:v>58</c:v>
                </c:pt>
                <c:pt idx="26">
                  <c:v>58</c:v>
                </c:pt>
                <c:pt idx="27">
                  <c:v>58</c:v>
                </c:pt>
                <c:pt idx="28">
                  <c:v>58</c:v>
                </c:pt>
                <c:pt idx="29">
                  <c:v>58</c:v>
                </c:pt>
                <c:pt idx="30">
                  <c:v>58</c:v>
                </c:pt>
                <c:pt idx="31">
                  <c:v>58</c:v>
                </c:pt>
                <c:pt idx="32">
                  <c:v>58</c:v>
                </c:pt>
                <c:pt idx="33">
                  <c:v>58</c:v>
                </c:pt>
                <c:pt idx="34">
                  <c:v>58</c:v>
                </c:pt>
                <c:pt idx="35">
                  <c:v>58</c:v>
                </c:pt>
                <c:pt idx="36">
                  <c:v>58</c:v>
                </c:pt>
                <c:pt idx="37">
                  <c:v>58</c:v>
                </c:pt>
                <c:pt idx="38">
                  <c:v>58</c:v>
                </c:pt>
                <c:pt idx="39">
                  <c:v>58</c:v>
                </c:pt>
                <c:pt idx="40">
                  <c:v>58</c:v>
                </c:pt>
                <c:pt idx="41">
                  <c:v>58</c:v>
                </c:pt>
                <c:pt idx="42">
                  <c:v>58</c:v>
                </c:pt>
                <c:pt idx="43">
                  <c:v>58</c:v>
                </c:pt>
                <c:pt idx="44">
                  <c:v>58</c:v>
                </c:pt>
                <c:pt idx="45">
                  <c:v>58</c:v>
                </c:pt>
                <c:pt idx="46">
                  <c:v>58</c:v>
                </c:pt>
                <c:pt idx="47">
                  <c:v>58</c:v>
                </c:pt>
                <c:pt idx="48">
                  <c:v>58</c:v>
                </c:pt>
                <c:pt idx="49">
                  <c:v>58</c:v>
                </c:pt>
                <c:pt idx="50">
                  <c:v>58</c:v>
                </c:pt>
                <c:pt idx="5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A-4CFB-BB4B-4699C7211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9072786"/>
        <c:axId val="30304555"/>
      </c:lineChart>
      <c:catAx>
        <c:axId val="7907278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Woche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0304555"/>
        <c:crosses val="autoZero"/>
        <c:auto val="1"/>
        <c:lblAlgn val="ctr"/>
        <c:lblOffset val="100"/>
        <c:noMultiLvlLbl val="0"/>
      </c:catAx>
      <c:valAx>
        <c:axId val="30304555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907278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12</xdr:row>
      <xdr:rowOff>0</xdr:rowOff>
    </xdr:from>
    <xdr:to>
      <xdr:col>13</xdr:col>
      <xdr:colOff>160920</xdr:colOff>
      <xdr:row>21</xdr:row>
      <xdr:rowOff>129960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72"/>
  <sheetViews>
    <sheetView showGridLines="0" tabSelected="1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N88" sqref="N88"/>
    </sheetView>
  </sheetViews>
  <sheetFormatPr baseColWidth="10" defaultColWidth="8.7109375" defaultRowHeight="15" x14ac:dyDescent="0.25"/>
  <cols>
    <col min="1" max="1" width="2.140625" customWidth="1"/>
    <col min="2" max="2" width="8" customWidth="1"/>
    <col min="3" max="3" width="13" customWidth="1"/>
    <col min="4" max="5" width="16" customWidth="1"/>
    <col min="6" max="6" width="6" customWidth="1"/>
    <col min="7" max="7" width="18" customWidth="1"/>
    <col min="8" max="8" width="2" customWidth="1"/>
    <col min="9" max="9" width="16" customWidth="1"/>
    <col min="10" max="10" width="8" customWidth="1"/>
    <col min="11" max="11" width="13" customWidth="1"/>
    <col min="12" max="12" width="16" customWidth="1"/>
    <col min="13" max="13" width="6" customWidth="1"/>
    <col min="14" max="14" width="18" customWidth="1"/>
  </cols>
  <sheetData>
    <row r="2" spans="2:14" ht="42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4" ht="19.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4" ht="6" customHeight="1" x14ac:dyDescent="0.25"/>
    <row r="5" spans="2:14" ht="21.75" customHeight="1" x14ac:dyDescent="0.25">
      <c r="B5" s="12" t="str">
        <f>CONCATENATE("Ich spare für:  ",Sparziel_Text,"        ·        Start: ",TEXT(Startdatum,"DD.MM.YYYY"))</f>
        <v>Ich spare für:  Reisebudget 2026        ·        Start: 05.01.YYYY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4" ht="6" customHeight="1" x14ac:dyDescent="0.25"/>
    <row r="7" spans="2:14" ht="15.75" customHeight="1" x14ac:dyDescent="0.25">
      <c r="B7" s="11" t="s">
        <v>2</v>
      </c>
      <c r="C7" s="11"/>
      <c r="D7" s="11"/>
      <c r="E7" s="10" t="s">
        <v>3</v>
      </c>
      <c r="F7" s="10"/>
      <c r="G7" s="10"/>
      <c r="I7" s="9" t="s">
        <v>4</v>
      </c>
      <c r="J7" s="9"/>
      <c r="K7" s="9"/>
      <c r="L7" s="8" t="s">
        <v>5</v>
      </c>
      <c r="M7" s="8"/>
      <c r="N7" s="8"/>
    </row>
    <row r="8" spans="2:14" ht="33.75" customHeight="1" x14ac:dyDescent="0.25">
      <c r="B8" s="7">
        <f>SUM($D$14:$D$65)</f>
        <v>1378</v>
      </c>
      <c r="C8" s="7"/>
      <c r="D8" s="7"/>
      <c r="E8" s="6">
        <f>SUM($E$14:$E$65)</f>
        <v>58</v>
      </c>
      <c r="F8" s="6"/>
      <c r="G8" s="6"/>
      <c r="I8" s="5">
        <f>IFERROR(SUM($E$14:$E$65)/SUM($D$14:$D$65),0)</f>
        <v>4.2089985486211901E-2</v>
      </c>
      <c r="J8" s="5"/>
      <c r="K8" s="5"/>
      <c r="L8" s="4" t="str">
        <f>COUNTIF($F$14:$F$65,"x")&amp;" / 52"</f>
        <v>10 / 52</v>
      </c>
      <c r="M8" s="4"/>
      <c r="N8" s="4"/>
    </row>
    <row r="9" spans="2:14" ht="6" customHeight="1" x14ac:dyDescent="0.25"/>
    <row r="10" spans="2:14" ht="19.5" customHeight="1" x14ac:dyDescent="0.25">
      <c r="B10" s="3" t="s">
        <v>6</v>
      </c>
      <c r="C10" s="3"/>
      <c r="D10" s="2">
        <f>IFERROR(SUM($E$14:$E$65)/SUM($D$14:$D$65),0)</f>
        <v>4.2089985486211901E-2</v>
      </c>
      <c r="E10" s="2"/>
      <c r="F10" s="2"/>
      <c r="G10" s="2"/>
      <c r="H10" s="2"/>
      <c r="I10" s="2"/>
      <c r="J10" s="2"/>
      <c r="K10" s="2"/>
      <c r="L10" s="2"/>
      <c r="M10" s="2"/>
      <c r="N10" s="15">
        <f>COUNTIF($F$14:$F$65,"x")/52</f>
        <v>0.19230769230769232</v>
      </c>
    </row>
    <row r="11" spans="2:14" ht="7.5" customHeight="1" x14ac:dyDescent="0.25"/>
    <row r="12" spans="2:14" ht="19.5" customHeight="1" x14ac:dyDescent="0.25">
      <c r="B12" s="1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24" customHeight="1" x14ac:dyDescent="0.25">
      <c r="B13" s="16" t="s">
        <v>8</v>
      </c>
      <c r="C13" s="16" t="s">
        <v>9</v>
      </c>
      <c r="D13" s="16" t="s">
        <v>10</v>
      </c>
      <c r="E13" s="16" t="s">
        <v>11</v>
      </c>
      <c r="F13" s="16" t="s">
        <v>12</v>
      </c>
      <c r="G13" s="16" t="s">
        <v>13</v>
      </c>
    </row>
    <row r="14" spans="2:14" ht="18.75" customHeight="1" x14ac:dyDescent="0.25">
      <c r="B14" s="17">
        <v>1</v>
      </c>
      <c r="C14" s="42">
        <f>Startdatum+(1-1)*7</f>
        <v>46027</v>
      </c>
      <c r="D14" s="18">
        <f>Startbetrag+(1-1)*Steigerung</f>
        <v>1</v>
      </c>
      <c r="E14" s="19">
        <v>1</v>
      </c>
      <c r="F14" s="20" t="s">
        <v>14</v>
      </c>
      <c r="G14" s="21">
        <f>IF(E14="",0,E14)</f>
        <v>1</v>
      </c>
    </row>
    <row r="15" spans="2:14" ht="18.75" customHeight="1" x14ac:dyDescent="0.25">
      <c r="B15" s="22">
        <v>2</v>
      </c>
      <c r="C15" s="43">
        <f>Startdatum+(2-1)*7</f>
        <v>46034</v>
      </c>
      <c r="D15" s="23">
        <f>Startbetrag+(2-1)*Steigerung</f>
        <v>2</v>
      </c>
      <c r="E15" s="24">
        <v>2</v>
      </c>
      <c r="F15" s="25" t="s">
        <v>14</v>
      </c>
      <c r="G15" s="26">
        <f t="shared" ref="G15:G46" si="0">G14+IF(E15="",0,E15)</f>
        <v>3</v>
      </c>
    </row>
    <row r="16" spans="2:14" ht="18.75" customHeight="1" x14ac:dyDescent="0.25">
      <c r="B16" s="17">
        <v>3</v>
      </c>
      <c r="C16" s="42">
        <f>Startdatum+(3-1)*7</f>
        <v>46041</v>
      </c>
      <c r="D16" s="18">
        <f>Startbetrag+(3-1)*Steigerung</f>
        <v>3</v>
      </c>
      <c r="E16" s="19">
        <v>3</v>
      </c>
      <c r="F16" s="20" t="s">
        <v>14</v>
      </c>
      <c r="G16" s="21">
        <f t="shared" si="0"/>
        <v>6</v>
      </c>
    </row>
    <row r="17" spans="2:7" ht="18.75" customHeight="1" x14ac:dyDescent="0.25">
      <c r="B17" s="22">
        <v>4</v>
      </c>
      <c r="C17" s="43">
        <f>Startdatum+(4-1)*7</f>
        <v>46048</v>
      </c>
      <c r="D17" s="23">
        <f>Startbetrag+(4-1)*Steigerung</f>
        <v>4</v>
      </c>
      <c r="E17" s="24">
        <v>4</v>
      </c>
      <c r="F17" s="25" t="s">
        <v>14</v>
      </c>
      <c r="G17" s="26">
        <f t="shared" si="0"/>
        <v>10</v>
      </c>
    </row>
    <row r="18" spans="2:7" ht="18.75" customHeight="1" x14ac:dyDescent="0.25">
      <c r="B18" s="17">
        <v>5</v>
      </c>
      <c r="C18" s="42">
        <f>Startdatum+(5-1)*7</f>
        <v>46055</v>
      </c>
      <c r="D18" s="18">
        <f>Startbetrag+(5-1)*Steigerung</f>
        <v>5</v>
      </c>
      <c r="E18" s="19">
        <v>5</v>
      </c>
      <c r="F18" s="20" t="s">
        <v>14</v>
      </c>
      <c r="G18" s="21">
        <f t="shared" si="0"/>
        <v>15</v>
      </c>
    </row>
    <row r="19" spans="2:7" ht="18.75" customHeight="1" x14ac:dyDescent="0.25">
      <c r="B19" s="22">
        <v>6</v>
      </c>
      <c r="C19" s="43">
        <f>Startdatum+(6-1)*7</f>
        <v>46062</v>
      </c>
      <c r="D19" s="23">
        <f>Startbetrag+(6-1)*Steigerung</f>
        <v>6</v>
      </c>
      <c r="E19" s="24">
        <v>6</v>
      </c>
      <c r="F19" s="25" t="s">
        <v>14</v>
      </c>
      <c r="G19" s="26">
        <f t="shared" si="0"/>
        <v>21</v>
      </c>
    </row>
    <row r="20" spans="2:7" ht="18.75" customHeight="1" x14ac:dyDescent="0.25">
      <c r="B20" s="17">
        <v>7</v>
      </c>
      <c r="C20" s="42">
        <f>Startdatum+(7-1)*7</f>
        <v>46069</v>
      </c>
      <c r="D20" s="18">
        <f>Startbetrag+(7-1)*Steigerung</f>
        <v>7</v>
      </c>
      <c r="E20" s="19">
        <v>10</v>
      </c>
      <c r="F20" s="20" t="s">
        <v>14</v>
      </c>
      <c r="G20" s="21">
        <f t="shared" si="0"/>
        <v>31</v>
      </c>
    </row>
    <row r="21" spans="2:7" ht="18.75" customHeight="1" x14ac:dyDescent="0.25">
      <c r="B21" s="22">
        <v>8</v>
      </c>
      <c r="C21" s="43">
        <f>Startdatum+(8-1)*7</f>
        <v>46076</v>
      </c>
      <c r="D21" s="23">
        <f>Startbetrag+(8-1)*Steigerung</f>
        <v>8</v>
      </c>
      <c r="E21" s="24">
        <v>8</v>
      </c>
      <c r="F21" s="25" t="s">
        <v>14</v>
      </c>
      <c r="G21" s="26">
        <f t="shared" si="0"/>
        <v>39</v>
      </c>
    </row>
    <row r="22" spans="2:7" ht="18.75" customHeight="1" x14ac:dyDescent="0.25">
      <c r="B22" s="17">
        <v>9</v>
      </c>
      <c r="C22" s="42">
        <f>Startdatum+(9-1)*7</f>
        <v>46083</v>
      </c>
      <c r="D22" s="18">
        <f>Startbetrag+(9-1)*Steigerung</f>
        <v>9</v>
      </c>
      <c r="E22" s="19">
        <v>9</v>
      </c>
      <c r="F22" s="20" t="s">
        <v>14</v>
      </c>
      <c r="G22" s="21">
        <f t="shared" si="0"/>
        <v>48</v>
      </c>
    </row>
    <row r="23" spans="2:7" ht="18.75" customHeight="1" x14ac:dyDescent="0.25">
      <c r="B23" s="22">
        <v>10</v>
      </c>
      <c r="C23" s="43">
        <f>Startdatum+(10-1)*7</f>
        <v>46090</v>
      </c>
      <c r="D23" s="23">
        <f>Startbetrag+(10-1)*Steigerung</f>
        <v>10</v>
      </c>
      <c r="E23" s="24">
        <v>10</v>
      </c>
      <c r="F23" s="25" t="s">
        <v>14</v>
      </c>
      <c r="G23" s="26">
        <f t="shared" si="0"/>
        <v>58</v>
      </c>
    </row>
    <row r="24" spans="2:7" ht="18.75" customHeight="1" x14ac:dyDescent="0.25">
      <c r="B24" s="17">
        <v>11</v>
      </c>
      <c r="C24" s="42">
        <f>Startdatum+(11-1)*7</f>
        <v>46097</v>
      </c>
      <c r="D24" s="18">
        <f>Startbetrag+(11-1)*Steigerung</f>
        <v>11</v>
      </c>
      <c r="E24" s="19"/>
      <c r="F24" s="20"/>
      <c r="G24" s="21">
        <f t="shared" si="0"/>
        <v>58</v>
      </c>
    </row>
    <row r="25" spans="2:7" ht="18.75" customHeight="1" x14ac:dyDescent="0.25">
      <c r="B25" s="22">
        <v>12</v>
      </c>
      <c r="C25" s="43">
        <f>Startdatum+(12-1)*7</f>
        <v>46104</v>
      </c>
      <c r="D25" s="23">
        <f>Startbetrag+(12-1)*Steigerung</f>
        <v>12</v>
      </c>
      <c r="E25" s="24"/>
      <c r="F25" s="25"/>
      <c r="G25" s="26">
        <f t="shared" si="0"/>
        <v>58</v>
      </c>
    </row>
    <row r="26" spans="2:7" ht="18.75" customHeight="1" x14ac:dyDescent="0.25">
      <c r="B26" s="17">
        <v>13</v>
      </c>
      <c r="C26" s="42">
        <f>Startdatum+(13-1)*7</f>
        <v>46111</v>
      </c>
      <c r="D26" s="18">
        <f>Startbetrag+(13-1)*Steigerung</f>
        <v>13</v>
      </c>
      <c r="E26" s="19"/>
      <c r="F26" s="20"/>
      <c r="G26" s="21">
        <f t="shared" si="0"/>
        <v>58</v>
      </c>
    </row>
    <row r="27" spans="2:7" ht="18.75" customHeight="1" x14ac:dyDescent="0.25">
      <c r="B27" s="22">
        <v>14</v>
      </c>
      <c r="C27" s="43">
        <f>Startdatum+(14-1)*7</f>
        <v>46118</v>
      </c>
      <c r="D27" s="23">
        <f>Startbetrag+(14-1)*Steigerung</f>
        <v>14</v>
      </c>
      <c r="E27" s="24"/>
      <c r="F27" s="25"/>
      <c r="G27" s="26">
        <f t="shared" si="0"/>
        <v>58</v>
      </c>
    </row>
    <row r="28" spans="2:7" ht="18.75" customHeight="1" x14ac:dyDescent="0.25">
      <c r="B28" s="17">
        <v>15</v>
      </c>
      <c r="C28" s="42">
        <f>Startdatum+(15-1)*7</f>
        <v>46125</v>
      </c>
      <c r="D28" s="18">
        <f>Startbetrag+(15-1)*Steigerung</f>
        <v>15</v>
      </c>
      <c r="E28" s="19"/>
      <c r="F28" s="20"/>
      <c r="G28" s="21">
        <f t="shared" si="0"/>
        <v>58</v>
      </c>
    </row>
    <row r="29" spans="2:7" ht="18.75" customHeight="1" x14ac:dyDescent="0.25">
      <c r="B29" s="22">
        <v>16</v>
      </c>
      <c r="C29" s="43">
        <f>Startdatum+(16-1)*7</f>
        <v>46132</v>
      </c>
      <c r="D29" s="23">
        <f>Startbetrag+(16-1)*Steigerung</f>
        <v>16</v>
      </c>
      <c r="E29" s="24"/>
      <c r="F29" s="25"/>
      <c r="G29" s="26">
        <f t="shared" si="0"/>
        <v>58</v>
      </c>
    </row>
    <row r="30" spans="2:7" ht="18.75" customHeight="1" x14ac:dyDescent="0.25">
      <c r="B30" s="17">
        <v>17</v>
      </c>
      <c r="C30" s="42">
        <f>Startdatum+(17-1)*7</f>
        <v>46139</v>
      </c>
      <c r="D30" s="18">
        <f>Startbetrag+(17-1)*Steigerung</f>
        <v>17</v>
      </c>
      <c r="E30" s="19"/>
      <c r="F30" s="20"/>
      <c r="G30" s="21">
        <f t="shared" si="0"/>
        <v>58</v>
      </c>
    </row>
    <row r="31" spans="2:7" ht="18.75" customHeight="1" x14ac:dyDescent="0.25">
      <c r="B31" s="22">
        <v>18</v>
      </c>
      <c r="C31" s="43">
        <f>Startdatum+(18-1)*7</f>
        <v>46146</v>
      </c>
      <c r="D31" s="23">
        <f>Startbetrag+(18-1)*Steigerung</f>
        <v>18</v>
      </c>
      <c r="E31" s="24"/>
      <c r="F31" s="25"/>
      <c r="G31" s="26">
        <f t="shared" si="0"/>
        <v>58</v>
      </c>
    </row>
    <row r="32" spans="2:7" ht="18.75" customHeight="1" x14ac:dyDescent="0.25">
      <c r="B32" s="17">
        <v>19</v>
      </c>
      <c r="C32" s="42">
        <f>Startdatum+(19-1)*7</f>
        <v>46153</v>
      </c>
      <c r="D32" s="18">
        <f>Startbetrag+(19-1)*Steigerung</f>
        <v>19</v>
      </c>
      <c r="E32" s="19"/>
      <c r="F32" s="20"/>
      <c r="G32" s="21">
        <f t="shared" si="0"/>
        <v>58</v>
      </c>
    </row>
    <row r="33" spans="2:7" ht="18.75" customHeight="1" x14ac:dyDescent="0.25">
      <c r="B33" s="22">
        <v>20</v>
      </c>
      <c r="C33" s="43">
        <f>Startdatum+(20-1)*7</f>
        <v>46160</v>
      </c>
      <c r="D33" s="23">
        <f>Startbetrag+(20-1)*Steigerung</f>
        <v>20</v>
      </c>
      <c r="E33" s="24"/>
      <c r="F33" s="25"/>
      <c r="G33" s="26">
        <f t="shared" si="0"/>
        <v>58</v>
      </c>
    </row>
    <row r="34" spans="2:7" ht="18.75" customHeight="1" x14ac:dyDescent="0.25">
      <c r="B34" s="17">
        <v>21</v>
      </c>
      <c r="C34" s="42">
        <f>Startdatum+(21-1)*7</f>
        <v>46167</v>
      </c>
      <c r="D34" s="18">
        <f>Startbetrag+(21-1)*Steigerung</f>
        <v>21</v>
      </c>
      <c r="E34" s="19"/>
      <c r="F34" s="20"/>
      <c r="G34" s="21">
        <f t="shared" si="0"/>
        <v>58</v>
      </c>
    </row>
    <row r="35" spans="2:7" ht="18.75" customHeight="1" x14ac:dyDescent="0.25">
      <c r="B35" s="22">
        <v>22</v>
      </c>
      <c r="C35" s="43">
        <f>Startdatum+(22-1)*7</f>
        <v>46174</v>
      </c>
      <c r="D35" s="23">
        <f>Startbetrag+(22-1)*Steigerung</f>
        <v>22</v>
      </c>
      <c r="E35" s="24"/>
      <c r="F35" s="25"/>
      <c r="G35" s="26">
        <f t="shared" si="0"/>
        <v>58</v>
      </c>
    </row>
    <row r="36" spans="2:7" ht="18.75" customHeight="1" x14ac:dyDescent="0.25">
      <c r="B36" s="17">
        <v>23</v>
      </c>
      <c r="C36" s="42">
        <f>Startdatum+(23-1)*7</f>
        <v>46181</v>
      </c>
      <c r="D36" s="18">
        <f>Startbetrag+(23-1)*Steigerung</f>
        <v>23</v>
      </c>
      <c r="E36" s="19"/>
      <c r="F36" s="20"/>
      <c r="G36" s="21">
        <f t="shared" si="0"/>
        <v>58</v>
      </c>
    </row>
    <row r="37" spans="2:7" ht="18.75" customHeight="1" x14ac:dyDescent="0.25">
      <c r="B37" s="22">
        <v>24</v>
      </c>
      <c r="C37" s="43">
        <f>Startdatum+(24-1)*7</f>
        <v>46188</v>
      </c>
      <c r="D37" s="23">
        <f>Startbetrag+(24-1)*Steigerung</f>
        <v>24</v>
      </c>
      <c r="E37" s="24"/>
      <c r="F37" s="25"/>
      <c r="G37" s="26">
        <f t="shared" si="0"/>
        <v>58</v>
      </c>
    </row>
    <row r="38" spans="2:7" ht="18.75" customHeight="1" x14ac:dyDescent="0.25">
      <c r="B38" s="17">
        <v>25</v>
      </c>
      <c r="C38" s="42">
        <f>Startdatum+(25-1)*7</f>
        <v>46195</v>
      </c>
      <c r="D38" s="18">
        <f>Startbetrag+(25-1)*Steigerung</f>
        <v>25</v>
      </c>
      <c r="E38" s="19"/>
      <c r="F38" s="20"/>
      <c r="G38" s="21">
        <f t="shared" si="0"/>
        <v>58</v>
      </c>
    </row>
    <row r="39" spans="2:7" ht="18.75" customHeight="1" x14ac:dyDescent="0.25">
      <c r="B39" s="22">
        <v>26</v>
      </c>
      <c r="C39" s="43">
        <f>Startdatum+(26-1)*7</f>
        <v>46202</v>
      </c>
      <c r="D39" s="23">
        <f>Startbetrag+(26-1)*Steigerung</f>
        <v>26</v>
      </c>
      <c r="E39" s="24"/>
      <c r="F39" s="25"/>
      <c r="G39" s="26">
        <f t="shared" si="0"/>
        <v>58</v>
      </c>
    </row>
    <row r="40" spans="2:7" ht="18.75" customHeight="1" x14ac:dyDescent="0.25">
      <c r="B40" s="17">
        <v>27</v>
      </c>
      <c r="C40" s="42">
        <f>Startdatum+(27-1)*7</f>
        <v>46209</v>
      </c>
      <c r="D40" s="18">
        <f>Startbetrag+(27-1)*Steigerung</f>
        <v>27</v>
      </c>
      <c r="E40" s="19"/>
      <c r="F40" s="20"/>
      <c r="G40" s="21">
        <f t="shared" si="0"/>
        <v>58</v>
      </c>
    </row>
    <row r="41" spans="2:7" ht="18.75" customHeight="1" x14ac:dyDescent="0.25">
      <c r="B41" s="22">
        <v>28</v>
      </c>
      <c r="C41" s="43">
        <f>Startdatum+(28-1)*7</f>
        <v>46216</v>
      </c>
      <c r="D41" s="23">
        <f>Startbetrag+(28-1)*Steigerung</f>
        <v>28</v>
      </c>
      <c r="E41" s="24"/>
      <c r="F41" s="25"/>
      <c r="G41" s="26">
        <f t="shared" si="0"/>
        <v>58</v>
      </c>
    </row>
    <row r="42" spans="2:7" ht="18.75" customHeight="1" x14ac:dyDescent="0.25">
      <c r="B42" s="17">
        <v>29</v>
      </c>
      <c r="C42" s="42">
        <f>Startdatum+(29-1)*7</f>
        <v>46223</v>
      </c>
      <c r="D42" s="18">
        <f>Startbetrag+(29-1)*Steigerung</f>
        <v>29</v>
      </c>
      <c r="E42" s="19"/>
      <c r="F42" s="20"/>
      <c r="G42" s="21">
        <f t="shared" si="0"/>
        <v>58</v>
      </c>
    </row>
    <row r="43" spans="2:7" ht="18.75" customHeight="1" x14ac:dyDescent="0.25">
      <c r="B43" s="22">
        <v>30</v>
      </c>
      <c r="C43" s="43">
        <f>Startdatum+(30-1)*7</f>
        <v>46230</v>
      </c>
      <c r="D43" s="23">
        <f>Startbetrag+(30-1)*Steigerung</f>
        <v>30</v>
      </c>
      <c r="E43" s="24"/>
      <c r="F43" s="25"/>
      <c r="G43" s="26">
        <f t="shared" si="0"/>
        <v>58</v>
      </c>
    </row>
    <row r="44" spans="2:7" ht="18.75" customHeight="1" x14ac:dyDescent="0.25">
      <c r="B44" s="17">
        <v>31</v>
      </c>
      <c r="C44" s="42">
        <f>Startdatum+(31-1)*7</f>
        <v>46237</v>
      </c>
      <c r="D44" s="18">
        <f>Startbetrag+(31-1)*Steigerung</f>
        <v>31</v>
      </c>
      <c r="E44" s="19"/>
      <c r="F44" s="20"/>
      <c r="G44" s="21">
        <f t="shared" si="0"/>
        <v>58</v>
      </c>
    </row>
    <row r="45" spans="2:7" ht="18.75" customHeight="1" x14ac:dyDescent="0.25">
      <c r="B45" s="22">
        <v>32</v>
      </c>
      <c r="C45" s="43">
        <f>Startdatum+(32-1)*7</f>
        <v>46244</v>
      </c>
      <c r="D45" s="23">
        <f>Startbetrag+(32-1)*Steigerung</f>
        <v>32</v>
      </c>
      <c r="E45" s="24"/>
      <c r="F45" s="25"/>
      <c r="G45" s="26">
        <f t="shared" si="0"/>
        <v>58</v>
      </c>
    </row>
    <row r="46" spans="2:7" ht="18.75" customHeight="1" x14ac:dyDescent="0.25">
      <c r="B46" s="17">
        <v>33</v>
      </c>
      <c r="C46" s="42">
        <f>Startdatum+(33-1)*7</f>
        <v>46251</v>
      </c>
      <c r="D46" s="18">
        <f>Startbetrag+(33-1)*Steigerung</f>
        <v>33</v>
      </c>
      <c r="E46" s="19"/>
      <c r="F46" s="20"/>
      <c r="G46" s="21">
        <f t="shared" si="0"/>
        <v>58</v>
      </c>
    </row>
    <row r="47" spans="2:7" ht="18.75" customHeight="1" x14ac:dyDescent="0.25">
      <c r="B47" s="22">
        <v>34</v>
      </c>
      <c r="C47" s="43">
        <f>Startdatum+(34-1)*7</f>
        <v>46258</v>
      </c>
      <c r="D47" s="23">
        <f>Startbetrag+(34-1)*Steigerung</f>
        <v>34</v>
      </c>
      <c r="E47" s="24"/>
      <c r="F47" s="25"/>
      <c r="G47" s="26">
        <f t="shared" ref="G47:G65" si="1">G46+IF(E47="",0,E47)</f>
        <v>58</v>
      </c>
    </row>
    <row r="48" spans="2:7" ht="18.75" customHeight="1" x14ac:dyDescent="0.25">
      <c r="B48" s="17">
        <v>35</v>
      </c>
      <c r="C48" s="42">
        <f>Startdatum+(35-1)*7</f>
        <v>46265</v>
      </c>
      <c r="D48" s="18">
        <f>Startbetrag+(35-1)*Steigerung</f>
        <v>35</v>
      </c>
      <c r="E48" s="19"/>
      <c r="F48" s="20"/>
      <c r="G48" s="21">
        <f t="shared" si="1"/>
        <v>58</v>
      </c>
    </row>
    <row r="49" spans="2:7" ht="18.75" customHeight="1" x14ac:dyDescent="0.25">
      <c r="B49" s="22">
        <v>36</v>
      </c>
      <c r="C49" s="43">
        <f>Startdatum+(36-1)*7</f>
        <v>46272</v>
      </c>
      <c r="D49" s="23">
        <f>Startbetrag+(36-1)*Steigerung</f>
        <v>36</v>
      </c>
      <c r="E49" s="24"/>
      <c r="F49" s="25"/>
      <c r="G49" s="26">
        <f t="shared" si="1"/>
        <v>58</v>
      </c>
    </row>
    <row r="50" spans="2:7" ht="18.75" customHeight="1" x14ac:dyDescent="0.25">
      <c r="B50" s="17">
        <v>37</v>
      </c>
      <c r="C50" s="42">
        <f>Startdatum+(37-1)*7</f>
        <v>46279</v>
      </c>
      <c r="D50" s="18">
        <f>Startbetrag+(37-1)*Steigerung</f>
        <v>37</v>
      </c>
      <c r="E50" s="19"/>
      <c r="F50" s="20"/>
      <c r="G50" s="21">
        <f t="shared" si="1"/>
        <v>58</v>
      </c>
    </row>
    <row r="51" spans="2:7" ht="18.75" customHeight="1" x14ac:dyDescent="0.25">
      <c r="B51" s="22">
        <v>38</v>
      </c>
      <c r="C51" s="43">
        <f>Startdatum+(38-1)*7</f>
        <v>46286</v>
      </c>
      <c r="D51" s="23">
        <f>Startbetrag+(38-1)*Steigerung</f>
        <v>38</v>
      </c>
      <c r="E51" s="24"/>
      <c r="F51" s="25"/>
      <c r="G51" s="26">
        <f t="shared" si="1"/>
        <v>58</v>
      </c>
    </row>
    <row r="52" spans="2:7" ht="18.75" customHeight="1" x14ac:dyDescent="0.25">
      <c r="B52" s="17">
        <v>39</v>
      </c>
      <c r="C52" s="42">
        <f>Startdatum+(39-1)*7</f>
        <v>46293</v>
      </c>
      <c r="D52" s="18">
        <f>Startbetrag+(39-1)*Steigerung</f>
        <v>39</v>
      </c>
      <c r="E52" s="19"/>
      <c r="F52" s="20"/>
      <c r="G52" s="21">
        <f t="shared" si="1"/>
        <v>58</v>
      </c>
    </row>
    <row r="53" spans="2:7" ht="18.75" customHeight="1" x14ac:dyDescent="0.25">
      <c r="B53" s="22">
        <v>40</v>
      </c>
      <c r="C53" s="43">
        <f>Startdatum+(40-1)*7</f>
        <v>46300</v>
      </c>
      <c r="D53" s="23">
        <f>Startbetrag+(40-1)*Steigerung</f>
        <v>40</v>
      </c>
      <c r="E53" s="24"/>
      <c r="F53" s="25"/>
      <c r="G53" s="26">
        <f t="shared" si="1"/>
        <v>58</v>
      </c>
    </row>
    <row r="54" spans="2:7" ht="18.75" customHeight="1" x14ac:dyDescent="0.25">
      <c r="B54" s="17">
        <v>41</v>
      </c>
      <c r="C54" s="42">
        <f>Startdatum+(41-1)*7</f>
        <v>46307</v>
      </c>
      <c r="D54" s="18">
        <f>Startbetrag+(41-1)*Steigerung</f>
        <v>41</v>
      </c>
      <c r="E54" s="19"/>
      <c r="F54" s="20"/>
      <c r="G54" s="21">
        <f t="shared" si="1"/>
        <v>58</v>
      </c>
    </row>
    <row r="55" spans="2:7" ht="18.75" customHeight="1" x14ac:dyDescent="0.25">
      <c r="B55" s="22">
        <v>42</v>
      </c>
      <c r="C55" s="43">
        <f>Startdatum+(42-1)*7</f>
        <v>46314</v>
      </c>
      <c r="D55" s="23">
        <f>Startbetrag+(42-1)*Steigerung</f>
        <v>42</v>
      </c>
      <c r="E55" s="24"/>
      <c r="F55" s="25"/>
      <c r="G55" s="26">
        <f t="shared" si="1"/>
        <v>58</v>
      </c>
    </row>
    <row r="56" spans="2:7" ht="18.75" customHeight="1" x14ac:dyDescent="0.25">
      <c r="B56" s="17">
        <v>43</v>
      </c>
      <c r="C56" s="42">
        <f>Startdatum+(43-1)*7</f>
        <v>46321</v>
      </c>
      <c r="D56" s="18">
        <f>Startbetrag+(43-1)*Steigerung</f>
        <v>43</v>
      </c>
      <c r="E56" s="19"/>
      <c r="F56" s="20"/>
      <c r="G56" s="21">
        <f t="shared" si="1"/>
        <v>58</v>
      </c>
    </row>
    <row r="57" spans="2:7" ht="18.75" customHeight="1" x14ac:dyDescent="0.25">
      <c r="B57" s="22">
        <v>44</v>
      </c>
      <c r="C57" s="43">
        <f>Startdatum+(44-1)*7</f>
        <v>46328</v>
      </c>
      <c r="D57" s="23">
        <f>Startbetrag+(44-1)*Steigerung</f>
        <v>44</v>
      </c>
      <c r="E57" s="24"/>
      <c r="F57" s="25"/>
      <c r="G57" s="26">
        <f t="shared" si="1"/>
        <v>58</v>
      </c>
    </row>
    <row r="58" spans="2:7" ht="18.75" customHeight="1" x14ac:dyDescent="0.25">
      <c r="B58" s="17">
        <v>45</v>
      </c>
      <c r="C58" s="42">
        <f>Startdatum+(45-1)*7</f>
        <v>46335</v>
      </c>
      <c r="D58" s="18">
        <f>Startbetrag+(45-1)*Steigerung</f>
        <v>45</v>
      </c>
      <c r="E58" s="19"/>
      <c r="F58" s="20"/>
      <c r="G58" s="21">
        <f t="shared" si="1"/>
        <v>58</v>
      </c>
    </row>
    <row r="59" spans="2:7" ht="18.75" customHeight="1" x14ac:dyDescent="0.25">
      <c r="B59" s="22">
        <v>46</v>
      </c>
      <c r="C59" s="43">
        <f>Startdatum+(46-1)*7</f>
        <v>46342</v>
      </c>
      <c r="D59" s="23">
        <f>Startbetrag+(46-1)*Steigerung</f>
        <v>46</v>
      </c>
      <c r="E59" s="24"/>
      <c r="F59" s="25"/>
      <c r="G59" s="26">
        <f t="shared" si="1"/>
        <v>58</v>
      </c>
    </row>
    <row r="60" spans="2:7" ht="18.75" customHeight="1" x14ac:dyDescent="0.25">
      <c r="B60" s="17">
        <v>47</v>
      </c>
      <c r="C60" s="42">
        <f>Startdatum+(47-1)*7</f>
        <v>46349</v>
      </c>
      <c r="D60" s="18">
        <f>Startbetrag+(47-1)*Steigerung</f>
        <v>47</v>
      </c>
      <c r="E60" s="19"/>
      <c r="F60" s="20"/>
      <c r="G60" s="21">
        <f t="shared" si="1"/>
        <v>58</v>
      </c>
    </row>
    <row r="61" spans="2:7" ht="18.75" customHeight="1" x14ac:dyDescent="0.25">
      <c r="B61" s="22">
        <v>48</v>
      </c>
      <c r="C61" s="43">
        <f>Startdatum+(48-1)*7</f>
        <v>46356</v>
      </c>
      <c r="D61" s="23">
        <f>Startbetrag+(48-1)*Steigerung</f>
        <v>48</v>
      </c>
      <c r="E61" s="24"/>
      <c r="F61" s="25"/>
      <c r="G61" s="26">
        <f t="shared" si="1"/>
        <v>58</v>
      </c>
    </row>
    <row r="62" spans="2:7" ht="18.75" customHeight="1" x14ac:dyDescent="0.25">
      <c r="B62" s="17">
        <v>49</v>
      </c>
      <c r="C62" s="42">
        <f>Startdatum+(49-1)*7</f>
        <v>46363</v>
      </c>
      <c r="D62" s="18">
        <f>Startbetrag+(49-1)*Steigerung</f>
        <v>49</v>
      </c>
      <c r="E62" s="19"/>
      <c r="F62" s="20"/>
      <c r="G62" s="21">
        <f t="shared" si="1"/>
        <v>58</v>
      </c>
    </row>
    <row r="63" spans="2:7" ht="18.75" customHeight="1" x14ac:dyDescent="0.25">
      <c r="B63" s="22">
        <v>50</v>
      </c>
      <c r="C63" s="43">
        <f>Startdatum+(50-1)*7</f>
        <v>46370</v>
      </c>
      <c r="D63" s="23">
        <f>Startbetrag+(50-1)*Steigerung</f>
        <v>50</v>
      </c>
      <c r="E63" s="24"/>
      <c r="F63" s="25"/>
      <c r="G63" s="26">
        <f t="shared" si="1"/>
        <v>58</v>
      </c>
    </row>
    <row r="64" spans="2:7" ht="18.75" customHeight="1" x14ac:dyDescent="0.25">
      <c r="B64" s="17">
        <v>51</v>
      </c>
      <c r="C64" s="42">
        <f>Startdatum+(51-1)*7</f>
        <v>46377</v>
      </c>
      <c r="D64" s="18">
        <f>Startbetrag+(51-1)*Steigerung</f>
        <v>51</v>
      </c>
      <c r="E64" s="19"/>
      <c r="F64" s="20"/>
      <c r="G64" s="21">
        <f t="shared" si="1"/>
        <v>58</v>
      </c>
    </row>
    <row r="65" spans="2:14" ht="18.75" customHeight="1" x14ac:dyDescent="0.25">
      <c r="B65" s="22">
        <v>52</v>
      </c>
      <c r="C65" s="43">
        <f>Startdatum+(52-1)*7</f>
        <v>46384</v>
      </c>
      <c r="D65" s="23">
        <f>Startbetrag+(52-1)*Steigerung</f>
        <v>52</v>
      </c>
      <c r="E65" s="24"/>
      <c r="F65" s="25"/>
      <c r="G65" s="26">
        <f t="shared" si="1"/>
        <v>58</v>
      </c>
    </row>
    <row r="66" spans="2:14" ht="21.75" customHeight="1" x14ac:dyDescent="0.25">
      <c r="B66" s="37" t="s">
        <v>15</v>
      </c>
      <c r="C66" s="37"/>
      <c r="D66" s="27">
        <f>SUM($D$14:$D$65)</f>
        <v>1378</v>
      </c>
      <c r="E66" s="27">
        <f>SUM($E$14:$E$65)</f>
        <v>58</v>
      </c>
      <c r="F66" s="28">
        <f>COUNTIF($F$14:$F$65,"x")</f>
        <v>10</v>
      </c>
      <c r="G66" s="27">
        <f>G65</f>
        <v>58</v>
      </c>
    </row>
    <row r="68" spans="2:14" ht="15" customHeight="1" x14ac:dyDescent="0.25">
      <c r="I68" s="38" t="s">
        <v>16</v>
      </c>
      <c r="J68" s="38"/>
      <c r="K68" s="38"/>
      <c r="L68" s="38"/>
      <c r="M68" s="38"/>
      <c r="N68" s="38"/>
    </row>
    <row r="69" spans="2:14" ht="13.5" customHeight="1" x14ac:dyDescent="0.25">
      <c r="I69" s="39" t="s">
        <v>17</v>
      </c>
      <c r="J69" s="39"/>
      <c r="K69" s="39"/>
      <c r="L69" s="39"/>
      <c r="M69" s="39"/>
      <c r="N69" s="39"/>
    </row>
    <row r="70" spans="2:14" ht="13.5" customHeight="1" x14ac:dyDescent="0.25">
      <c r="I70" s="39" t="s">
        <v>18</v>
      </c>
      <c r="J70" s="39"/>
      <c r="K70" s="39"/>
      <c r="L70" s="39"/>
      <c r="M70" s="39"/>
      <c r="N70" s="39"/>
    </row>
    <row r="71" spans="2:14" ht="13.5" customHeight="1" x14ac:dyDescent="0.25">
      <c r="I71" s="39" t="s">
        <v>19</v>
      </c>
      <c r="J71" s="39"/>
      <c r="K71" s="39"/>
      <c r="L71" s="39"/>
      <c r="M71" s="39"/>
      <c r="N71" s="39"/>
    </row>
    <row r="72" spans="2:14" ht="13.5" customHeight="1" x14ac:dyDescent="0.25">
      <c r="I72" s="39" t="s">
        <v>20</v>
      </c>
      <c r="J72" s="39"/>
      <c r="K72" s="39"/>
      <c r="L72" s="39"/>
      <c r="M72" s="39"/>
      <c r="N72" s="39"/>
    </row>
  </sheetData>
  <mergeCells count="20">
    <mergeCell ref="I71:N71"/>
    <mergeCell ref="I72:N72"/>
    <mergeCell ref="B12:N12"/>
    <mergeCell ref="B66:C66"/>
    <mergeCell ref="I68:N68"/>
    <mergeCell ref="I69:N69"/>
    <mergeCell ref="I70:N70"/>
    <mergeCell ref="B8:D8"/>
    <mergeCell ref="E8:G8"/>
    <mergeCell ref="I8:K8"/>
    <mergeCell ref="L8:N8"/>
    <mergeCell ref="B10:C10"/>
    <mergeCell ref="D10:M10"/>
    <mergeCell ref="B2:N2"/>
    <mergeCell ref="B3:N3"/>
    <mergeCell ref="B5:N5"/>
    <mergeCell ref="B7:D7"/>
    <mergeCell ref="E7:G7"/>
    <mergeCell ref="I7:K7"/>
    <mergeCell ref="L7:N7"/>
  </mergeCells>
  <conditionalFormatting sqref="B14:G65">
    <cfRule type="expression" dxfId="2" priority="3">
      <formula>$F14="x"</formula>
    </cfRule>
  </conditionalFormatting>
  <conditionalFormatting sqref="D10">
    <cfRule type="dataBar" priority="2">
      <dataBar>
        <cfvo type="num" val="0"/>
        <cfvo type="num" val="1"/>
        <color rgb="FFC8963E"/>
      </dataBar>
      <extLst>
        <ext xmlns:x14="http://schemas.microsoft.com/office/spreadsheetml/2009/9/main" uri="{B025F937-C7B1-47D3-B67F-A62EFF666E3E}">
          <x14:id>{E6222FFC-6D80-46AD-954D-D57335C06E91}</x14:id>
        </ext>
      </extLst>
    </cfRule>
  </conditionalFormatting>
  <conditionalFormatting sqref="E14:E65">
    <cfRule type="expression" dxfId="1" priority="5">
      <formula>AND($F14="x",$E14&lt;$D14)</formula>
    </cfRule>
  </conditionalFormatting>
  <conditionalFormatting sqref="F14:F65">
    <cfRule type="cellIs" dxfId="0" priority="4" operator="equal">
      <formula>"x"</formula>
    </cfRule>
  </conditionalFormatting>
  <dataValidations count="2">
    <dataValidation type="list" allowBlank="1" errorTitle="Nur x zulässig" error="Bitte &quot;x&quot; eintragen oder leer lassen." sqref="F14:F65" xr:uid="{00000000-0002-0000-0000-000000000000}">
      <formula1>"x"</formula1>
      <formula2>0</formula2>
    </dataValidation>
    <dataValidation type="decimal" operator="greaterThanOrEqual" allowBlank="1" errorTitle="Ungültiger Betrag" error="Bitte einen Betrag ≥ 0 eingeben." sqref="E14:E65" xr:uid="{00000000-0002-0000-0000-000001000000}">
      <formula1>0</formula1>
      <formula2>0</formula2>
    </dataValidation>
  </dataValidations>
  <printOptions horizontalCentered="1"/>
  <pageMargins left="0.3" right="0.3" top="0.4" bottom="0.4" header="0.511811023622047" footer="0.511811023622047"/>
  <pageSetup fitToHeight="0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222FFC-6D80-46AD-954D-D57335C06E91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8963E"/>
            </x14:dataBar>
          </x14:cfRule>
          <xm:sqref>D10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2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18" customWidth="1"/>
    <col min="4" max="4" width="2.42578125" customWidth="1"/>
    <col min="5" max="5" width="22" customWidth="1"/>
    <col min="6" max="6" width="16" customWidth="1"/>
  </cols>
  <sheetData>
    <row r="2" spans="2:6" ht="18.75" x14ac:dyDescent="0.3">
      <c r="B2" s="29" t="s">
        <v>21</v>
      </c>
    </row>
    <row r="3" spans="2:6" x14ac:dyDescent="0.25">
      <c r="B3" s="30" t="s">
        <v>22</v>
      </c>
    </row>
    <row r="5" spans="2:6" x14ac:dyDescent="0.25">
      <c r="B5" s="31" t="s">
        <v>23</v>
      </c>
      <c r="C5" s="16" t="s">
        <v>24</v>
      </c>
      <c r="E5" s="31" t="s">
        <v>25</v>
      </c>
      <c r="F5" s="32"/>
    </row>
    <row r="6" spans="2:6" ht="22.35" customHeight="1" x14ac:dyDescent="0.25">
      <c r="B6" s="33" t="s">
        <v>26</v>
      </c>
      <c r="C6" s="34">
        <v>1</v>
      </c>
      <c r="E6" s="40" t="s">
        <v>27</v>
      </c>
      <c r="F6" s="40"/>
    </row>
    <row r="7" spans="2:6" ht="22.35" customHeight="1" x14ac:dyDescent="0.25">
      <c r="B7" s="33" t="s">
        <v>28</v>
      </c>
      <c r="C7" s="34">
        <v>1</v>
      </c>
      <c r="E7" s="41" t="s">
        <v>29</v>
      </c>
      <c r="F7" s="41"/>
    </row>
    <row r="8" spans="2:6" ht="22.35" customHeight="1" x14ac:dyDescent="0.25">
      <c r="B8" s="33" t="s">
        <v>30</v>
      </c>
      <c r="C8" s="35">
        <f>DATE(2026,1,5)</f>
        <v>46027</v>
      </c>
      <c r="E8" s="40" t="s">
        <v>31</v>
      </c>
      <c r="F8" s="40"/>
    </row>
    <row r="9" spans="2:6" ht="15" customHeight="1" x14ac:dyDescent="0.25">
      <c r="B9" s="33" t="s">
        <v>32</v>
      </c>
      <c r="C9" s="36" t="s">
        <v>33</v>
      </c>
      <c r="E9" s="41" t="s">
        <v>34</v>
      </c>
      <c r="F9" s="41"/>
    </row>
    <row r="10" spans="2:6" x14ac:dyDescent="0.25">
      <c r="B10" s="33" t="s">
        <v>35</v>
      </c>
      <c r="C10" s="36" t="s">
        <v>36</v>
      </c>
    </row>
    <row r="12" spans="2:6" x14ac:dyDescent="0.25">
      <c r="B12" s="30" t="s">
        <v>37</v>
      </c>
    </row>
  </sheetData>
  <mergeCells count="4">
    <mergeCell ref="E6:F6"/>
    <mergeCell ref="E7:F7"/>
    <mergeCell ref="E8:F8"/>
    <mergeCell ref="E9:F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Challenge</vt:lpstr>
      <vt:lpstr>Einstellungen</vt:lpstr>
      <vt:lpstr>Challenge!Druckbereich</vt:lpstr>
      <vt:lpstr>Sparziel_Text</vt:lpstr>
      <vt:lpstr>Startbetrag</vt:lpstr>
      <vt:lpstr>Startdatum</vt:lpstr>
      <vt:lpstr>Steigerung</vt:lpstr>
      <vt:lpstr>Waehrung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2026-07-18T08:50:21Z</dcterms:created>
  <dcterms:modified xsi:type="dcterms:W3CDTF">2026-07-18T09:31:12Z</dcterms:modified>
  <dc:language>en-US</dc:language>
</cp:coreProperties>
</file>