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D0088773-F647-47B8-962D-960F01CA336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parplan" sheetId="1" r:id="rId1"/>
    <sheet name="Auswertung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4" i="1" l="1"/>
  <c r="H70" i="1"/>
  <c r="G70" i="1"/>
  <c r="F70" i="1"/>
  <c r="H69" i="1"/>
  <c r="E69" i="1"/>
  <c r="C69" i="1"/>
  <c r="K69" i="1" s="1"/>
  <c r="K68" i="1"/>
  <c r="H68" i="1"/>
  <c r="E68" i="1"/>
  <c r="C68" i="1"/>
  <c r="D68" i="1" s="1"/>
  <c r="H67" i="1"/>
  <c r="E67" i="1"/>
  <c r="C67" i="1"/>
  <c r="K67" i="1" s="1"/>
  <c r="H66" i="1"/>
  <c r="E66" i="1"/>
  <c r="C66" i="1"/>
  <c r="K66" i="1" s="1"/>
  <c r="K65" i="1"/>
  <c r="H65" i="1"/>
  <c r="E65" i="1"/>
  <c r="D65" i="1"/>
  <c r="C65" i="1"/>
  <c r="H64" i="1"/>
  <c r="E64" i="1"/>
  <c r="C64" i="1"/>
  <c r="K64" i="1" s="1"/>
  <c r="K63" i="1"/>
  <c r="H63" i="1"/>
  <c r="E63" i="1"/>
  <c r="C63" i="1"/>
  <c r="D63" i="1" s="1"/>
  <c r="H62" i="1"/>
  <c r="E62" i="1"/>
  <c r="C62" i="1"/>
  <c r="D62" i="1" s="1"/>
  <c r="H61" i="1"/>
  <c r="E61" i="1"/>
  <c r="C61" i="1"/>
  <c r="K61" i="1" s="1"/>
  <c r="K60" i="1"/>
  <c r="H60" i="1"/>
  <c r="E60" i="1"/>
  <c r="C60" i="1"/>
  <c r="D60" i="1" s="1"/>
  <c r="H59" i="1"/>
  <c r="E59" i="1"/>
  <c r="C59" i="1"/>
  <c r="K59" i="1" s="1"/>
  <c r="K58" i="1"/>
  <c r="H58" i="1"/>
  <c r="E58" i="1"/>
  <c r="C58" i="1"/>
  <c r="D58" i="1" s="1"/>
  <c r="H57" i="1"/>
  <c r="E57" i="1"/>
  <c r="C57" i="1"/>
  <c r="K57" i="1" s="1"/>
  <c r="H56" i="1"/>
  <c r="E56" i="1"/>
  <c r="C56" i="1"/>
  <c r="K56" i="1" s="1"/>
  <c r="K55" i="1"/>
  <c r="H55" i="1"/>
  <c r="E55" i="1"/>
  <c r="D55" i="1"/>
  <c r="C55" i="1"/>
  <c r="H54" i="1"/>
  <c r="E54" i="1"/>
  <c r="C54" i="1"/>
  <c r="K54" i="1" s="1"/>
  <c r="K53" i="1"/>
  <c r="H53" i="1"/>
  <c r="E53" i="1"/>
  <c r="C53" i="1"/>
  <c r="D53" i="1" s="1"/>
  <c r="H52" i="1"/>
  <c r="E52" i="1"/>
  <c r="C52" i="1"/>
  <c r="K52" i="1" s="1"/>
  <c r="H51" i="1"/>
  <c r="E51" i="1"/>
  <c r="C51" i="1"/>
  <c r="K51" i="1" s="1"/>
  <c r="K50" i="1"/>
  <c r="H50" i="1"/>
  <c r="E50" i="1"/>
  <c r="C50" i="1"/>
  <c r="D50" i="1" s="1"/>
  <c r="H49" i="1"/>
  <c r="E49" i="1"/>
  <c r="C49" i="1"/>
  <c r="K49" i="1" s="1"/>
  <c r="K48" i="1"/>
  <c r="H48" i="1"/>
  <c r="E48" i="1"/>
  <c r="C48" i="1"/>
  <c r="D48" i="1" s="1"/>
  <c r="H47" i="1"/>
  <c r="E47" i="1"/>
  <c r="C47" i="1"/>
  <c r="K47" i="1" s="1"/>
  <c r="H46" i="1"/>
  <c r="E46" i="1"/>
  <c r="C46" i="1"/>
  <c r="K46" i="1" s="1"/>
  <c r="K45" i="1"/>
  <c r="H45" i="1"/>
  <c r="E45" i="1"/>
  <c r="D45" i="1"/>
  <c r="C45" i="1"/>
  <c r="H44" i="1"/>
  <c r="E44" i="1"/>
  <c r="C44" i="1"/>
  <c r="K44" i="1" s="1"/>
  <c r="K43" i="1"/>
  <c r="H43" i="1"/>
  <c r="E43" i="1"/>
  <c r="C43" i="1"/>
  <c r="D43" i="1" s="1"/>
  <c r="H42" i="1"/>
  <c r="E42" i="1"/>
  <c r="C42" i="1"/>
  <c r="D42" i="1" s="1"/>
  <c r="H41" i="1"/>
  <c r="E41" i="1"/>
  <c r="C41" i="1"/>
  <c r="K41" i="1" s="1"/>
  <c r="K40" i="1"/>
  <c r="H40" i="1"/>
  <c r="E40" i="1"/>
  <c r="C40" i="1"/>
  <c r="D40" i="1" s="1"/>
  <c r="H39" i="1"/>
  <c r="E39" i="1"/>
  <c r="C39" i="1"/>
  <c r="K39" i="1" s="1"/>
  <c r="K38" i="1"/>
  <c r="H38" i="1"/>
  <c r="E38" i="1"/>
  <c r="C38" i="1"/>
  <c r="D38" i="1" s="1"/>
  <c r="H37" i="1"/>
  <c r="E37" i="1"/>
  <c r="C37" i="1"/>
  <c r="K37" i="1" s="1"/>
  <c r="H36" i="1"/>
  <c r="E36" i="1"/>
  <c r="C36" i="1"/>
  <c r="K36" i="1" s="1"/>
  <c r="K35" i="1"/>
  <c r="H35" i="1"/>
  <c r="E35" i="1"/>
  <c r="D35" i="1"/>
  <c r="C35" i="1"/>
  <c r="H34" i="1"/>
  <c r="E34" i="1"/>
  <c r="C34" i="1"/>
  <c r="K34" i="1" s="1"/>
  <c r="K33" i="1"/>
  <c r="H33" i="1"/>
  <c r="E33" i="1"/>
  <c r="C33" i="1"/>
  <c r="D33" i="1" s="1"/>
  <c r="H32" i="1"/>
  <c r="E32" i="1"/>
  <c r="C32" i="1"/>
  <c r="D32" i="1" s="1"/>
  <c r="H31" i="1"/>
  <c r="E31" i="1"/>
  <c r="C31" i="1"/>
  <c r="K31" i="1" s="1"/>
  <c r="K30" i="1"/>
  <c r="H30" i="1"/>
  <c r="E30" i="1"/>
  <c r="C30" i="1"/>
  <c r="D30" i="1" s="1"/>
  <c r="H29" i="1"/>
  <c r="E29" i="1"/>
  <c r="C29" i="1"/>
  <c r="K29" i="1" s="1"/>
  <c r="K28" i="1"/>
  <c r="H28" i="1"/>
  <c r="E28" i="1"/>
  <c r="C28" i="1"/>
  <c r="D28" i="1" s="1"/>
  <c r="H27" i="1"/>
  <c r="E27" i="1"/>
  <c r="C27" i="1"/>
  <c r="K27" i="1" s="1"/>
  <c r="H26" i="1"/>
  <c r="E26" i="1"/>
  <c r="C26" i="1"/>
  <c r="K26" i="1" s="1"/>
  <c r="K25" i="1"/>
  <c r="H25" i="1"/>
  <c r="E25" i="1"/>
  <c r="D25" i="1"/>
  <c r="C25" i="1"/>
  <c r="H24" i="1"/>
  <c r="E24" i="1"/>
  <c r="C24" i="1"/>
  <c r="K24" i="1" s="1"/>
  <c r="K23" i="1"/>
  <c r="H23" i="1"/>
  <c r="E23" i="1"/>
  <c r="C23" i="1"/>
  <c r="D23" i="1" s="1"/>
  <c r="H22" i="1"/>
  <c r="E22" i="1"/>
  <c r="C22" i="1"/>
  <c r="D22" i="1" s="1"/>
  <c r="H21" i="1"/>
  <c r="E21" i="1"/>
  <c r="C21" i="1"/>
  <c r="K21" i="1" s="1"/>
  <c r="K20" i="1"/>
  <c r="H20" i="1"/>
  <c r="E20" i="1"/>
  <c r="L58" i="1" s="1"/>
  <c r="C20" i="1"/>
  <c r="D20" i="1" s="1"/>
  <c r="H19" i="1"/>
  <c r="E19" i="1"/>
  <c r="L64" i="1" s="1"/>
  <c r="C19" i="1"/>
  <c r="K19" i="1" s="1"/>
  <c r="L18" i="1"/>
  <c r="K18" i="1"/>
  <c r="H18" i="1"/>
  <c r="E18" i="1"/>
  <c r="L66" i="1" s="1"/>
  <c r="C18" i="1"/>
  <c r="D18" i="1" s="1"/>
  <c r="H12" i="1"/>
  <c r="D12" i="1"/>
  <c r="L23" i="1" l="1"/>
  <c r="D27" i="1"/>
  <c r="L33" i="1"/>
  <c r="D37" i="1"/>
  <c r="L43" i="1"/>
  <c r="D47" i="1"/>
  <c r="L53" i="1"/>
  <c r="D57" i="1"/>
  <c r="L63" i="1"/>
  <c r="D67" i="1"/>
  <c r="C6" i="2"/>
  <c r="L20" i="1"/>
  <c r="D24" i="1"/>
  <c r="L30" i="1"/>
  <c r="L40" i="1"/>
  <c r="D44" i="1"/>
  <c r="L50" i="1"/>
  <c r="L60" i="1"/>
  <c r="D64" i="1"/>
  <c r="D34" i="1"/>
  <c r="D54" i="1"/>
  <c r="D13" i="2"/>
  <c r="C7" i="2"/>
  <c r="C14" i="2"/>
  <c r="D14" i="2"/>
  <c r="E14" i="2" s="1"/>
  <c r="D21" i="1"/>
  <c r="L27" i="1"/>
  <c r="D31" i="1"/>
  <c r="L37" i="1"/>
  <c r="D41" i="1"/>
  <c r="L47" i="1"/>
  <c r="D51" i="1"/>
  <c r="L57" i="1"/>
  <c r="D61" i="1"/>
  <c r="L67" i="1"/>
  <c r="D7" i="2"/>
  <c r="L24" i="1"/>
  <c r="L34" i="1"/>
  <c r="L44" i="1"/>
  <c r="L54" i="1"/>
  <c r="C8" i="2"/>
  <c r="D8" i="2"/>
  <c r="E8" i="2" s="1"/>
  <c r="C15" i="2"/>
  <c r="L31" i="1"/>
  <c r="D15" i="2"/>
  <c r="E15" i="2" s="1"/>
  <c r="C9" i="2"/>
  <c r="L21" i="1"/>
  <c r="L41" i="1"/>
  <c r="D9" i="2"/>
  <c r="D19" i="1"/>
  <c r="L25" i="1"/>
  <c r="D29" i="1"/>
  <c r="L35" i="1"/>
  <c r="D39" i="1"/>
  <c r="L45" i="1"/>
  <c r="D49" i="1"/>
  <c r="L55" i="1"/>
  <c r="D59" i="1"/>
  <c r="L65" i="1"/>
  <c r="D69" i="1"/>
  <c r="D16" i="2"/>
  <c r="L28" i="1"/>
  <c r="L38" i="1"/>
  <c r="D52" i="1"/>
  <c r="C10" i="2"/>
  <c r="K22" i="1"/>
  <c r="C12" i="2" s="1"/>
  <c r="K32" i="1"/>
  <c r="D6" i="2" s="1"/>
  <c r="L22" i="1"/>
  <c r="D26" i="1"/>
  <c r="L32" i="1"/>
  <c r="L42" i="1"/>
  <c r="D46" i="1"/>
  <c r="L52" i="1"/>
  <c r="L62" i="1"/>
  <c r="C17" i="2"/>
  <c r="L51" i="1"/>
  <c r="L61" i="1"/>
  <c r="K42" i="1"/>
  <c r="K62" i="1"/>
  <c r="D11" i="2" s="1"/>
  <c r="D36" i="1"/>
  <c r="D56" i="1"/>
  <c r="D66" i="1"/>
  <c r="D17" i="2"/>
  <c r="E17" i="2" s="1"/>
  <c r="L48" i="1"/>
  <c r="L68" i="1"/>
  <c r="D10" i="2"/>
  <c r="L19" i="1"/>
  <c r="L29" i="1"/>
  <c r="L39" i="1"/>
  <c r="L49" i="1"/>
  <c r="L59" i="1"/>
  <c r="L69" i="1"/>
  <c r="E70" i="1"/>
  <c r="L26" i="1"/>
  <c r="L36" i="1"/>
  <c r="L46" i="1"/>
  <c r="L56" i="1"/>
  <c r="E6" i="2" l="1"/>
  <c r="B13" i="1"/>
  <c r="F12" i="1"/>
  <c r="B12" i="1"/>
  <c r="E7" i="2"/>
  <c r="E10" i="2"/>
  <c r="D12" i="2"/>
  <c r="E12" i="2" s="1"/>
  <c r="E9" i="2"/>
  <c r="C16" i="2"/>
  <c r="C11" i="2"/>
  <c r="E11" i="2" s="1"/>
  <c r="E16" i="2"/>
  <c r="C13" i="2"/>
  <c r="E13" i="2" s="1"/>
  <c r="C18" i="2" l="1"/>
  <c r="E18" i="2"/>
  <c r="D18" i="2"/>
</calcChain>
</file>

<file path=xl/sharedStrings.xml><?xml version="1.0" encoding="utf-8"?>
<sst xmlns="http://schemas.openxmlformats.org/spreadsheetml/2006/main" count="66" uniqueCount="48">
  <si>
    <t>Woche für Woche zum Sparziel – dein persönlicher Sparplan mit automatischer Auswertung</t>
  </si>
  <si>
    <t>⚙  EINSTELLUNGEN</t>
  </si>
  <si>
    <t>Startdatum</t>
  </si>
  <si>
    <t>Sparmodus</t>
  </si>
  <si>
    <t>Basisbetrag (€)</t>
  </si>
  <si>
    <t>Schrittweite (€)</t>
  </si>
  <si>
    <t>Aufsteigend</t>
  </si>
  <si>
    <t>Gelb = editierbar.  Modus »Aufsteigend« startet klein und steigt jede Woche · »Absteigend« startet hoch · »Konstant« = jede Woche gleicher Betrag (Basisbetrag).</t>
  </si>
  <si>
    <t>📈  ÜBERSICHT</t>
  </si>
  <si>
    <t>SPARZIEL GESAMT</t>
  </si>
  <si>
    <t>BEREITS GESPART</t>
  </si>
  <si>
    <t>FORTSCHRITT</t>
  </si>
  <si>
    <t>ERLEDIGTE WOCHEN</t>
  </si>
  <si>
    <t>Woche</t>
  </si>
  <si>
    <t>Datum</t>
  </si>
  <si>
    <t>Monat</t>
  </si>
  <si>
    <t>Soll-Einlage</t>
  </si>
  <si>
    <t>Ist-Einlage</t>
  </si>
  <si>
    <t>Erledigt</t>
  </si>
  <si>
    <t>Kumuliert Ist</t>
  </si>
  <si>
    <t>Notiz</t>
  </si>
  <si>
    <t>MonatNr</t>
  </si>
  <si>
    <t>Kum. Soll</t>
  </si>
  <si>
    <t>✔</t>
  </si>
  <si>
    <t>Aufgerundet gespart</t>
  </si>
  <si>
    <t>Bonus dazugelegt</t>
  </si>
  <si>
    <t>Diese Woche knapp – nachgeholt in W15</t>
  </si>
  <si>
    <t>Rest aus dem Monat draufgelegt</t>
  </si>
  <si>
    <t>GESAMT</t>
  </si>
  <si>
    <t>Auswertung 2026</t>
  </si>
  <si>
    <t>Monatliche Soll- und Ist-Werte (automatisch aus dem Sparplan)</t>
  </si>
  <si>
    <t>Soll (€)</t>
  </si>
  <si>
    <t>Ist (€)</t>
  </si>
  <si>
    <t>Differenz (€)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</si>
  <si>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</si>
  <si>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</si>
  <si>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</si>
  <si>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</si>
  <si>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</si>
  <si>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</si>
  <si>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</si>
  <si>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</si>
  <si>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</si>
  <si>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</si>
  <si>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</si>
  <si>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</si>
  <si>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Gesamt</t>
  </si>
  <si>
    <t>52-Wochen-Sparchallenge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</si>
</sst>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&quot; €&quot;"/>
    <numFmt numFmtId="166" formatCode="0.0%"/>
    <numFmt numFmtId="167" formatCode="\+#,##0.00&quot; €&quot;;\-#,##0.00&quot; €&quot;;000&quot; €&quot;"/>
  </numFmts>
  <fonts count="19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0"/>
      <color rgb="FF6B7A82"/>
      <name val="Calibri"/>
      <charset val="1"/>
    </font>
    <font>
      <b/>
      <sz val="10"/>
      <color rgb="FFFFFFFF"/>
      <name val="Calibri"/>
      <charset val="1"/>
    </font>
    <font>
      <sz val="9"/>
      <color rgb="FF6B7A82"/>
      <name val="Calibri"/>
      <charset val="1"/>
    </font>
    <font>
      <b/>
      <sz val="11"/>
      <color rgb="FF0A363D"/>
      <name val="Calibri"/>
      <charset val="1"/>
    </font>
    <font>
      <i/>
      <sz val="8.5"/>
      <color rgb="FF6B7A82"/>
      <name val="Calibri"/>
      <charset val="1"/>
    </font>
    <font>
      <b/>
      <sz val="8.5"/>
      <color rgb="FF6B7A82"/>
      <name val="Calibri"/>
      <charset val="1"/>
    </font>
    <font>
      <b/>
      <sz val="17"/>
      <color rgb="FF0E4B54"/>
      <name val="Calibri"/>
      <charset val="1"/>
    </font>
    <font>
      <b/>
      <sz val="17"/>
      <color rgb="FF3F8F5B"/>
      <name val="Calibri"/>
      <charset val="1"/>
    </font>
    <font>
      <b/>
      <sz val="17"/>
      <color rgb="FFE0A02E"/>
      <name val="Calibri"/>
      <charset val="1"/>
    </font>
    <font>
      <b/>
      <sz val="11"/>
      <color rgb="FFE0A02E"/>
      <name val="Calibri"/>
      <charset val="1"/>
    </font>
    <font>
      <b/>
      <sz val="9.5"/>
      <color rgb="FF0A363D"/>
      <name val="Calibri"/>
      <charset val="1"/>
    </font>
    <font>
      <b/>
      <sz val="10"/>
      <color rgb="FF0E4B54"/>
      <name val="Calibri"/>
      <charset val="1"/>
    </font>
    <font>
      <sz val="10"/>
      <color rgb="FF233039"/>
      <name val="Calibri"/>
      <charset val="1"/>
    </font>
    <font>
      <b/>
      <sz val="11"/>
      <color rgb="FF3F8F5B"/>
      <name val="Calibri"/>
      <charset val="1"/>
    </font>
    <font>
      <b/>
      <sz val="11"/>
      <color rgb="FFFFFFFF"/>
      <name val="Calibri"/>
      <charset val="1"/>
    </font>
    <font>
      <b/>
      <sz val="20"/>
      <color rgb="FFFFFFFF"/>
      <name val="Calibri"/>
      <charset val="1"/>
    </font>
    <font>
      <b/>
      <sz val="10"/>
      <color rgb="FF0A363D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0E4B54"/>
        <bgColor rgb="FF0A363D"/>
      </patternFill>
    </fill>
    <fill>
      <patternFill patternType="solid">
        <fgColor rgb="FFFBEBCB"/>
        <bgColor rgb="FFF6F3ED"/>
      </patternFill>
    </fill>
    <fill>
      <patternFill patternType="solid">
        <fgColor rgb="FFEAF1F2"/>
        <bgColor rgb="FFE4F1E9"/>
      </patternFill>
    </fill>
    <fill>
      <patternFill patternType="solid">
        <fgColor rgb="FFF6F3ED"/>
        <bgColor rgb="FFEAF1F2"/>
      </patternFill>
    </fill>
    <fill>
      <patternFill patternType="solid">
        <fgColor rgb="FFFFFFFF"/>
        <bgColor rgb="FFF6F3ED"/>
      </patternFill>
    </fill>
    <fill>
      <patternFill patternType="solid">
        <fgColor rgb="FF0A363D"/>
        <bgColor rgb="FF233039"/>
      </patternFill>
    </fill>
  </fills>
  <borders count="5">
    <border>
      <left/>
      <right/>
      <top/>
      <bottom/>
      <diagonal/>
    </border>
    <border>
      <left style="thin">
        <color rgb="FF0E4B54"/>
      </left>
      <right style="thin">
        <color rgb="FF0E4B54"/>
      </right>
      <top style="thin">
        <color rgb="FF0E4B54"/>
      </top>
      <bottom style="thin">
        <color rgb="FF0E4B54"/>
      </bottom>
      <diagonal/>
    </border>
    <border>
      <left style="thin">
        <color rgb="FFDDE3E4"/>
      </left>
      <right style="thin">
        <color rgb="FFDDE3E4"/>
      </right>
      <top style="thin">
        <color rgb="FFDDE3E4"/>
      </top>
      <bottom style="thin">
        <color rgb="FFDDE3E4"/>
      </bottom>
      <diagonal/>
    </border>
    <border>
      <left style="thin">
        <color rgb="FFFFFFFF"/>
      </left>
      <right style="thin">
        <color rgb="FFFFFFFF"/>
      </right>
      <top style="thin">
        <color rgb="FFDDE3E4"/>
      </top>
      <bottom style="thin">
        <color rgb="FFDDE3E4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1" fillId="0" borderId="0" xfId="0" applyFont="1" applyAlignment="1">
      <alignment horizontal="left" vertical="center" indent="1"/>
    </xf>
    <xf numFmtId="0" fontId="8" fillId="4" borderId="2" xfId="0" applyFont="1" applyFill="1" applyBorder="1" applyAlignment="1">
      <alignment horizontal="center" vertical="center"/>
    </xf>
    <xf numFmtId="166" fontId="10" fillId="4" borderId="2" xfId="0" applyNumberFormat="1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165" fontId="8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165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13" fillId="6" borderId="2" xfId="0" applyFont="1" applyFill="1" applyBorder="1" applyAlignment="1">
      <alignment horizontal="center" vertical="center"/>
    </xf>
    <xf numFmtId="164" fontId="14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165" fontId="0" fillId="6" borderId="2" xfId="0" applyNumberFormat="1" applyFill="1" applyBorder="1" applyAlignment="1">
      <alignment horizontal="right" vertical="center"/>
    </xf>
    <xf numFmtId="0" fontId="15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/>
    <xf numFmtId="0" fontId="13" fillId="5" borderId="2" xfId="0" applyFont="1" applyFill="1" applyBorder="1" applyAlignment="1">
      <alignment horizontal="center" vertical="center"/>
    </xf>
    <xf numFmtId="164" fontId="14" fillId="5" borderId="2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right" vertical="center"/>
    </xf>
    <xf numFmtId="0" fontId="15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left" vertical="center" wrapText="1"/>
    </xf>
    <xf numFmtId="165" fontId="16" fillId="7" borderId="4" xfId="0" applyNumberFormat="1" applyFont="1" applyFill="1" applyBorder="1" applyAlignment="1">
      <alignment horizontal="right" vertical="center"/>
    </xf>
    <xf numFmtId="0" fontId="16" fillId="7" borderId="4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left" vertical="center"/>
    </xf>
    <xf numFmtId="165" fontId="14" fillId="5" borderId="2" xfId="0" applyNumberFormat="1" applyFont="1" applyFill="1" applyBorder="1" applyAlignment="1">
      <alignment horizontal="right" vertical="center"/>
    </xf>
    <xf numFmtId="167" fontId="14" fillId="5" borderId="2" xfId="0" applyNumberFormat="1" applyFont="1" applyFill="1" applyBorder="1" applyAlignment="1">
      <alignment horizontal="right" vertical="center"/>
    </xf>
    <xf numFmtId="0" fontId="18" fillId="6" borderId="2" xfId="0" applyFont="1" applyFill="1" applyBorder="1" applyAlignment="1">
      <alignment horizontal="left" vertical="center"/>
    </xf>
    <xf numFmtId="165" fontId="14" fillId="6" borderId="2" xfId="0" applyNumberFormat="1" applyFont="1" applyFill="1" applyBorder="1" applyAlignment="1">
      <alignment horizontal="right" vertical="center"/>
    </xf>
    <xf numFmtId="167" fontId="14" fillId="6" borderId="2" xfId="0" applyNumberFormat="1" applyFont="1" applyFill="1" applyBorder="1" applyAlignment="1">
      <alignment horizontal="right" vertical="center"/>
    </xf>
    <xf numFmtId="0" fontId="3" fillId="7" borderId="2" xfId="0" applyFont="1" applyFill="1" applyBorder="1" applyAlignment="1">
      <alignment horizontal="left" vertical="center"/>
    </xf>
    <xf numFmtId="165" fontId="3" fillId="7" borderId="2" xfId="0" applyNumberFormat="1" applyFont="1" applyFill="1" applyBorder="1" applyAlignment="1">
      <alignment horizontal="right" vertical="center"/>
    </xf>
    <xf numFmtId="167" fontId="3" fillId="7" borderId="2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left" vertical="center" indent="1"/>
    </xf>
    <xf numFmtId="0" fontId="16" fillId="7" borderId="0" xfId="0" applyFont="1" applyFill="1" applyAlignment="1">
      <alignment horizontal="right" vertical="center" indent="1"/>
    </xf>
    <xf numFmtId="0" fontId="17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1">
    <dxf>
      <fill>
        <patternFill>
          <bgColor rgb="FFE4F1E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6F3ED"/>
      <rgbColor rgb="FFE4F1E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1F2"/>
      <rgbColor rgb="FFDDE3E4"/>
      <rgbColor rgb="FFFBEB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0A02E"/>
      <rgbColor rgb="FFFF6600"/>
      <rgbColor rgb="FF6B7A82"/>
      <rgbColor rgb="FF969696"/>
      <rgbColor rgb="FF0A363D"/>
      <rgbColor rgb="FF3F8F5B"/>
      <rgbColor rgb="FF0E4B54"/>
      <rgbColor rgb="FF333300"/>
      <rgbColor rgb="FF993300"/>
      <rgbColor rgb="FF993366"/>
      <rgbColor rgb="FF333399"/>
      <rgbColor rgb="FF23303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Kumulierter Sparverlauf – Soll vs. Ist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Sparplan!$L$17</c:f>
              <c:strCache>
                <c:ptCount val="1"/>
                <c:pt idx="0">
                  <c:v>Kum. Soll</c:v>
                </c:pt>
              </c:strCache>
            </c:strRef>
          </c:tx>
          <c:spPr>
            <a:ln w="28080">
              <a:solidFill>
                <a:srgbClr val="E0A02E"/>
              </a:solidFill>
              <a:round/>
            </a:ln>
          </c:spPr>
          <c:marker>
            <c:symbol val="none"/>
          </c:marker>
          <c:cat>
            <c:numRef>
              <c:f>Sparplan!$B$18:$B$69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Sparplan!$L$18:$L$69</c:f>
            </c:numRef>
          </c:val>
          <c:smooth val="1"/>
          <c:extLst>
            <c:ext xmlns:c16="http://schemas.microsoft.com/office/drawing/2014/chart" uri="{C3380CC4-5D6E-409C-BE32-E72D297353CC}">
              <c16:uniqueId val="{00000000-63E7-4609-AE96-A10A0B14674A}"/>
            </c:ext>
          </c:extLst>
        </c:ser>
        <c:ser>
          <c:idx val="1"/>
          <c:order val="1"/>
          <c:tx>
            <c:strRef>
              <c:f>Sparplan!$H$17</c:f>
              <c:strCache>
                <c:ptCount val="1"/>
                <c:pt idx="0">
                  <c:v>Kumuliert Ist</c:v>
                </c:pt>
              </c:strCache>
            </c:strRef>
          </c:tx>
          <c:spPr>
            <a:ln w="28080">
              <a:solidFill>
                <a:srgbClr val="0E4B5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Sparplan!$B$18:$B$69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Sparplan!$H$18:$H$69</c:f>
              <c:numCache>
                <c:formatCode>#,##0.00" €"</c:formatCode>
                <c:ptCount val="52"/>
                <c:pt idx="0">
                  <c:v>1</c:v>
                </c:pt>
                <c:pt idx="1">
                  <c:v>3</c:v>
                </c:pt>
                <c:pt idx="2">
                  <c:v>8</c:v>
                </c:pt>
                <c:pt idx="3">
                  <c:v>12</c:v>
                </c:pt>
                <c:pt idx="4">
                  <c:v>17</c:v>
                </c:pt>
                <c:pt idx="5">
                  <c:v>23</c:v>
                </c:pt>
                <c:pt idx="6">
                  <c:v>33</c:v>
                </c:pt>
                <c:pt idx="7">
                  <c:v>41</c:v>
                </c:pt>
                <c:pt idx="8">
                  <c:v>50</c:v>
                </c:pt>
                <c:pt idx="9">
                  <c:v>60</c:v>
                </c:pt>
                <c:pt idx="10">
                  <c:v>71</c:v>
                </c:pt>
                <c:pt idx="11">
                  <c:v>83</c:v>
                </c:pt>
                <c:pt idx="12">
                  <c:v>96</c:v>
                </c:pt>
                <c:pt idx="13">
                  <c:v>106</c:v>
                </c:pt>
                <c:pt idx="14">
                  <c:v>121</c:v>
                </c:pt>
                <c:pt idx="15">
                  <c:v>137</c:v>
                </c:pt>
                <c:pt idx="16">
                  <c:v>154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  <c:pt idx="24">
                  <c:v>174</c:v>
                </c:pt>
                <c:pt idx="25">
                  <c:v>174</c:v>
                </c:pt>
                <c:pt idx="26">
                  <c:v>174</c:v>
                </c:pt>
                <c:pt idx="27">
                  <c:v>174</c:v>
                </c:pt>
                <c:pt idx="28">
                  <c:v>174</c:v>
                </c:pt>
                <c:pt idx="29">
                  <c:v>174</c:v>
                </c:pt>
                <c:pt idx="30">
                  <c:v>174</c:v>
                </c:pt>
                <c:pt idx="31">
                  <c:v>174</c:v>
                </c:pt>
                <c:pt idx="32">
                  <c:v>174</c:v>
                </c:pt>
                <c:pt idx="33">
                  <c:v>174</c:v>
                </c:pt>
                <c:pt idx="34">
                  <c:v>174</c:v>
                </c:pt>
                <c:pt idx="35">
                  <c:v>174</c:v>
                </c:pt>
                <c:pt idx="36">
                  <c:v>174</c:v>
                </c:pt>
                <c:pt idx="37">
                  <c:v>174</c:v>
                </c:pt>
                <c:pt idx="38">
                  <c:v>174</c:v>
                </c:pt>
                <c:pt idx="39">
                  <c:v>174</c:v>
                </c:pt>
                <c:pt idx="40">
                  <c:v>174</c:v>
                </c:pt>
                <c:pt idx="41">
                  <c:v>174</c:v>
                </c:pt>
                <c:pt idx="42">
                  <c:v>174</c:v>
                </c:pt>
                <c:pt idx="43">
                  <c:v>174</c:v>
                </c:pt>
                <c:pt idx="44">
                  <c:v>174</c:v>
                </c:pt>
                <c:pt idx="45">
                  <c:v>174</c:v>
                </c:pt>
                <c:pt idx="46">
                  <c:v>174</c:v>
                </c:pt>
                <c:pt idx="47">
                  <c:v>174</c:v>
                </c:pt>
                <c:pt idx="48">
                  <c:v>174</c:v>
                </c:pt>
                <c:pt idx="49">
                  <c:v>174</c:v>
                </c:pt>
                <c:pt idx="50">
                  <c:v>174</c:v>
                </c:pt>
                <c:pt idx="51">
                  <c:v>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3E7-4609-AE96-A10A0B146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6357580"/>
        <c:axId val="30087209"/>
      </c:lineChart>
      <c:catAx>
        <c:axId val="7635758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Woche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0087209"/>
        <c:crosses val="autoZero"/>
        <c:auto val="1"/>
        <c:lblAlgn val="ctr"/>
        <c:lblOffset val="100"/>
        <c:noMultiLvlLbl val="0"/>
      </c:catAx>
      <c:valAx>
        <c:axId val="3008720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€ kumuliert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635758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Sparbetrag pro Monat – Soll vs. Ist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Auswertung!$C$5</c:f>
              <c:strCache>
                <c:ptCount val="1"/>
                <c:pt idx="0">
                  <c:v>Soll (€)</c:v>
                </c:pt>
              </c:strCache>
            </c:strRef>
          </c:tx>
          <c:spPr>
            <a:solidFill>
              <a:srgbClr val="E0A02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Auswertung!$B$6:$B$17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Auswertung!$C$6:$C$17</c:f>
              <c:numCache>
                <c:formatCode>#,##0.00" €"</c:formatCode>
                <c:ptCount val="12"/>
                <c:pt idx="0">
                  <c:v>10</c:v>
                </c:pt>
                <c:pt idx="1">
                  <c:v>26</c:v>
                </c:pt>
                <c:pt idx="2">
                  <c:v>55</c:v>
                </c:pt>
                <c:pt idx="3">
                  <c:v>62</c:v>
                </c:pt>
                <c:pt idx="4">
                  <c:v>78</c:v>
                </c:pt>
                <c:pt idx="5">
                  <c:v>120</c:v>
                </c:pt>
                <c:pt idx="6">
                  <c:v>114</c:v>
                </c:pt>
                <c:pt idx="7">
                  <c:v>165</c:v>
                </c:pt>
                <c:pt idx="8">
                  <c:v>150</c:v>
                </c:pt>
                <c:pt idx="9">
                  <c:v>166</c:v>
                </c:pt>
                <c:pt idx="10">
                  <c:v>230</c:v>
                </c:pt>
                <c:pt idx="11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B-49E3-99E5-C3E36E741BF8}"/>
            </c:ext>
          </c:extLst>
        </c:ser>
        <c:ser>
          <c:idx val="1"/>
          <c:order val="1"/>
          <c:tx>
            <c:strRef>
              <c:f>Auswertung!$D$5</c:f>
              <c:strCache>
                <c:ptCount val="1"/>
                <c:pt idx="0">
                  <c:v>Ist (€)</c:v>
                </c:pt>
              </c:strCache>
            </c:strRef>
          </c:tx>
          <c:spPr>
            <a:solidFill>
              <a:srgbClr val="0E4B5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Auswertung!$B$6:$B$17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Auswertung!$D$6:$D$17</c:f>
              <c:numCache>
                <c:formatCode>#,##0.00" €"</c:formatCode>
                <c:ptCount val="12"/>
                <c:pt idx="0">
                  <c:v>12</c:v>
                </c:pt>
                <c:pt idx="1">
                  <c:v>29</c:v>
                </c:pt>
                <c:pt idx="2">
                  <c:v>55</c:v>
                </c:pt>
                <c:pt idx="3">
                  <c:v>58</c:v>
                </c:pt>
                <c:pt idx="4">
                  <c:v>20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0B-49E3-99E5-C3E36E741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09350"/>
        <c:axId val="73172751"/>
      </c:barChart>
      <c:catAx>
        <c:axId val="8340935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3172751"/>
        <c:crosses val="autoZero"/>
        <c:auto val="1"/>
        <c:lblAlgn val="ctr"/>
        <c:lblOffset val="100"/>
        <c:noMultiLvlLbl val="0"/>
      </c:catAx>
      <c:valAx>
        <c:axId val="7317275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340935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16</xdr:col>
      <xdr:colOff>4680</xdr:colOff>
      <xdr:row>19</xdr:row>
      <xdr:rowOff>8280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21</xdr:row>
      <xdr:rowOff>0</xdr:rowOff>
    </xdr:from>
    <xdr:to>
      <xdr:col>16</xdr:col>
      <xdr:colOff>4680</xdr:colOff>
      <xdr:row>36</xdr:row>
      <xdr:rowOff>93960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4B54"/>
  </sheetPr>
  <dimension ref="B1:L70"/>
  <sheetViews>
    <sheetView showGridLines="0" tabSelected="1" zoomScaleNormal="100" workbookViewId="0">
      <pane xSplit="1" ySplit="17" topLeftCell="B18" activePane="bottomRight" state="frozen"/>
      <selection pane="topRight" activeCell="B1" sqref="B1"/>
      <selection pane="bottomLeft" activeCell="A18" sqref="A18"/>
      <selection pane="bottomRight" activeCell="Q70" sqref="Q70"/>
    </sheetView>
  </sheetViews>
  <sheetFormatPr baseColWidth="10" defaultColWidth="8.7109375" defaultRowHeight="15" x14ac:dyDescent="0.25"/>
  <cols>
    <col min="1" max="1" width="2.42578125" customWidth="1"/>
    <col min="2" max="2" width="8" customWidth="1"/>
    <col min="3" max="3" width="13" customWidth="1"/>
    <col min="4" max="4" width="11" customWidth="1"/>
    <col min="5" max="6" width="14" customWidth="1"/>
    <col min="7" max="7" width="11" customWidth="1"/>
    <col min="8" max="8" width="16" customWidth="1"/>
    <col min="9" max="9" width="34" customWidth="1"/>
    <col min="10" max="10" width="2.42578125" customWidth="1"/>
    <col min="11" max="11" width="9" hidden="1" customWidth="1"/>
    <col min="12" max="12" width="13" hidden="1" customWidth="1"/>
  </cols>
  <sheetData>
    <row r="1" spans="2:9" ht="21.75" customHeight="1" x14ac:dyDescent="0.25">
      <c r="B1" s="14" t="s">
        <v>47</v>
      </c>
      <c r="C1" s="14"/>
      <c r="D1" s="14"/>
      <c r="E1" s="14"/>
      <c r="F1" s="14"/>
      <c r="G1" s="14"/>
      <c r="H1" s="14"/>
      <c r="I1" s="14"/>
    </row>
    <row r="2" spans="2:9" ht="19.5" customHeight="1" x14ac:dyDescent="0.25">
      <c r="B2" s="14"/>
      <c r="C2" s="14"/>
      <c r="D2" s="14"/>
      <c r="E2" s="14"/>
      <c r="F2" s="14"/>
      <c r="G2" s="14"/>
      <c r="H2" s="14"/>
      <c r="I2" s="14"/>
    </row>
    <row r="3" spans="2:9" ht="18" customHeight="1" x14ac:dyDescent="0.25">
      <c r="B3" s="13" t="s">
        <v>0</v>
      </c>
      <c r="C3" s="13"/>
      <c r="D3" s="13"/>
      <c r="E3" s="13"/>
      <c r="F3" s="13"/>
      <c r="G3" s="13"/>
      <c r="H3" s="13"/>
      <c r="I3" s="13"/>
    </row>
    <row r="5" spans="2:9" ht="18" customHeight="1" x14ac:dyDescent="0.25">
      <c r="B5" s="12" t="s">
        <v>1</v>
      </c>
      <c r="C5" s="12"/>
      <c r="D5" s="12"/>
      <c r="E5" s="12"/>
      <c r="F5" s="12"/>
      <c r="G5" s="12"/>
      <c r="H5" s="12"/>
      <c r="I5" s="12"/>
    </row>
    <row r="6" spans="2:9" x14ac:dyDescent="0.25">
      <c r="B6" s="11" t="s">
        <v>2</v>
      </c>
      <c r="C6" s="11"/>
      <c r="D6" s="11" t="s">
        <v>3</v>
      </c>
      <c r="E6" s="11"/>
      <c r="F6" s="11" t="s">
        <v>4</v>
      </c>
      <c r="G6" s="11"/>
      <c r="H6" s="11" t="s">
        <v>5</v>
      </c>
      <c r="I6" s="11"/>
    </row>
    <row r="7" spans="2:9" ht="21.75" customHeight="1" x14ac:dyDescent="0.25">
      <c r="B7" s="10">
        <v>46027</v>
      </c>
      <c r="C7" s="10"/>
      <c r="D7" s="9" t="s">
        <v>6</v>
      </c>
      <c r="E7" s="9"/>
      <c r="F7" s="8">
        <v>1</v>
      </c>
      <c r="G7" s="8"/>
      <c r="H7" s="8">
        <v>1</v>
      </c>
      <c r="I7" s="8"/>
    </row>
    <row r="8" spans="2:9" ht="15" customHeight="1" x14ac:dyDescent="0.25">
      <c r="B8" s="7" t="s">
        <v>7</v>
      </c>
      <c r="C8" s="7"/>
      <c r="D8" s="7"/>
      <c r="E8" s="7"/>
      <c r="F8" s="7"/>
      <c r="G8" s="7"/>
      <c r="H8" s="7"/>
      <c r="I8" s="7"/>
    </row>
    <row r="10" spans="2:9" ht="18" customHeight="1" x14ac:dyDescent="0.25">
      <c r="B10" s="12" t="s">
        <v>8</v>
      </c>
      <c r="C10" s="12"/>
      <c r="D10" s="12"/>
      <c r="E10" s="12"/>
      <c r="F10" s="12"/>
      <c r="G10" s="12"/>
      <c r="H10" s="12"/>
      <c r="I10" s="12"/>
    </row>
    <row r="11" spans="2:9" ht="15" customHeight="1" x14ac:dyDescent="0.25">
      <c r="B11" s="6" t="s">
        <v>9</v>
      </c>
      <c r="C11" s="6"/>
      <c r="D11" s="6" t="s">
        <v>10</v>
      </c>
      <c r="E11" s="6"/>
      <c r="F11" s="6" t="s">
        <v>11</v>
      </c>
      <c r="G11" s="6"/>
      <c r="H11" s="6" t="s">
        <v>12</v>
      </c>
      <c r="I11" s="6"/>
    </row>
    <row r="12" spans="2:9" ht="30" customHeight="1" x14ac:dyDescent="0.25">
      <c r="B12" s="5">
        <f>$E$70</f>
        <v>1378</v>
      </c>
      <c r="C12" s="5"/>
      <c r="D12" s="4">
        <f>$F$70</f>
        <v>174</v>
      </c>
      <c r="E12" s="4"/>
      <c r="F12" s="3">
        <f>IFERROR($F$70/$E$70,0)</f>
        <v>0.1262699564586357</v>
      </c>
      <c r="G12" s="3"/>
      <c r="H12" s="2" t="str">
        <f>COUNTIF(G18:G69,"✔")&amp;" / 52"</f>
        <v>18 / 52</v>
      </c>
      <c r="I12" s="2"/>
    </row>
    <row r="13" spans="2:9" ht="18" customHeight="1" x14ac:dyDescent="0.25">
      <c r="B13" s="1" t="str">
        <f>REPT("█",ROUND(IFERROR($F$70/$E$70,0)*32,0))&amp;REPT("░",32-ROUND(IFERROR($F$70/$E$70,0)*32,0))&amp;"   "&amp;TEXT(IFERROR($F$70/$E$70,0),"0.0%")</f>
        <v>████░░░░░░░░░░░░░░░░░░░░░░░░░░░░   13%</v>
      </c>
      <c r="C13" s="1"/>
      <c r="D13" s="1"/>
      <c r="E13" s="1"/>
      <c r="F13" s="1"/>
      <c r="G13" s="1"/>
      <c r="H13" s="1"/>
      <c r="I13" s="1"/>
    </row>
    <row r="14" spans="2:9" ht="18" customHeight="1" x14ac:dyDescent="0.25">
      <c r="B14" s="44" t="str">
        <f ca="1">"Soll bis heute (Stand "&amp;TEXT(TODAY(),"DD.MM.AAAA")&amp;"):  "&amp;TEXT(SUMIFS($E$18:$E$69,$C$18:$C$69,"&lt;="&amp;TODAY()),"#,##0.00 €")&amp;"      Differenz zum Ist:  "&amp;TEXT($F$70-SUMIFS($E$18:$E$69,$C$18:$C$69,"&lt;="&amp;TODAY()),"+#,##0.00 €;-#,##0.00 €;0,00 €")</f>
        <v>Soll bis heute (Stand 18.07.2026):  406,000 €      Differenz zum Ist:  -232,000 €</v>
      </c>
      <c r="C14" s="44"/>
      <c r="D14" s="44"/>
      <c r="E14" s="44"/>
      <c r="F14" s="44"/>
      <c r="G14" s="44"/>
      <c r="H14" s="44"/>
      <c r="I14" s="44"/>
    </row>
    <row r="17" spans="2:12" ht="25.5" customHeight="1" x14ac:dyDescent="0.25">
      <c r="B17" s="15" t="s">
        <v>13</v>
      </c>
      <c r="C17" s="15" t="s">
        <v>14</v>
      </c>
      <c r="D17" s="15" t="s">
        <v>15</v>
      </c>
      <c r="E17" s="15" t="s">
        <v>16</v>
      </c>
      <c r="F17" s="15" t="s">
        <v>17</v>
      </c>
      <c r="G17" s="15" t="s">
        <v>18</v>
      </c>
      <c r="H17" s="15" t="s">
        <v>19</v>
      </c>
      <c r="I17" s="15" t="s">
        <v>20</v>
      </c>
      <c r="K17" s="16" t="s">
        <v>21</v>
      </c>
      <c r="L17" s="16" t="s">
        <v>22</v>
      </c>
    </row>
    <row r="18" spans="2:12" x14ac:dyDescent="0.25">
      <c r="B18" s="17">
        <v>1</v>
      </c>
      <c r="C18" s="18">
        <f>$B$7+(1-1)*7</f>
        <v>46027</v>
      </c>
      <c r="D18" s="19" t="str">
        <f t="shared" ref="D18:D49" si="0">CHOOSE(MONTH(C18),"Jan","Feb","Mär","Apr","Mai","Jun","Jul","Aug","Sep","Okt","Nov","Dez")&amp;" "&amp;RIGHT(YEAR(C18),2)</f>
        <v>Jan 26</v>
      </c>
      <c r="E18" s="20">
        <f t="shared" ref="E18:E49" si="1">IF($D$7="Aufsteigend",$F$7+(B18-1)*$H$7,IF($D$7="Absteigend",$F$7+(52-B18)*$H$7,$F$7))</f>
        <v>1</v>
      </c>
      <c r="F18" s="20">
        <v>1</v>
      </c>
      <c r="G18" s="21" t="s">
        <v>23</v>
      </c>
      <c r="H18" s="20">
        <f>SUM($F$18:F18)</f>
        <v>1</v>
      </c>
      <c r="I18" s="22"/>
      <c r="K18" s="23">
        <f t="shared" ref="K18:K49" si="2">MONTH(C18)</f>
        <v>1</v>
      </c>
      <c r="L18" s="24">
        <f>SUM($E$18:E18)</f>
        <v>1</v>
      </c>
    </row>
    <row r="19" spans="2:12" x14ac:dyDescent="0.25">
      <c r="B19" s="25">
        <v>2</v>
      </c>
      <c r="C19" s="26">
        <f>$B$7+(2-1)*7</f>
        <v>46034</v>
      </c>
      <c r="D19" s="27" t="str">
        <f t="shared" si="0"/>
        <v>Jan 26</v>
      </c>
      <c r="E19" s="28">
        <f t="shared" si="1"/>
        <v>2</v>
      </c>
      <c r="F19" s="28">
        <v>2</v>
      </c>
      <c r="G19" s="29" t="s">
        <v>23</v>
      </c>
      <c r="H19" s="28">
        <f>SUM($F$18:F19)</f>
        <v>3</v>
      </c>
      <c r="I19" s="30"/>
      <c r="K19" s="23">
        <f t="shared" si="2"/>
        <v>1</v>
      </c>
      <c r="L19" s="24">
        <f>SUM($E$18:E19)</f>
        <v>3</v>
      </c>
    </row>
    <row r="20" spans="2:12" x14ac:dyDescent="0.25">
      <c r="B20" s="17">
        <v>3</v>
      </c>
      <c r="C20" s="18">
        <f>$B$7+(3-1)*7</f>
        <v>46041</v>
      </c>
      <c r="D20" s="19" t="str">
        <f t="shared" si="0"/>
        <v>Jan 26</v>
      </c>
      <c r="E20" s="20">
        <f t="shared" si="1"/>
        <v>3</v>
      </c>
      <c r="F20" s="20">
        <v>5</v>
      </c>
      <c r="G20" s="21" t="s">
        <v>23</v>
      </c>
      <c r="H20" s="20">
        <f>SUM($F$18:F20)</f>
        <v>8</v>
      </c>
      <c r="I20" s="22" t="s">
        <v>24</v>
      </c>
      <c r="K20" s="23">
        <f t="shared" si="2"/>
        <v>1</v>
      </c>
      <c r="L20" s="24">
        <f>SUM($E$18:E20)</f>
        <v>6</v>
      </c>
    </row>
    <row r="21" spans="2:12" x14ac:dyDescent="0.25">
      <c r="B21" s="25">
        <v>4</v>
      </c>
      <c r="C21" s="26">
        <f>$B$7+(4-1)*7</f>
        <v>46048</v>
      </c>
      <c r="D21" s="27" t="str">
        <f t="shared" si="0"/>
        <v>Jan 26</v>
      </c>
      <c r="E21" s="28">
        <f t="shared" si="1"/>
        <v>4</v>
      </c>
      <c r="F21" s="28">
        <v>4</v>
      </c>
      <c r="G21" s="29" t="s">
        <v>23</v>
      </c>
      <c r="H21" s="28">
        <f>SUM($F$18:F21)</f>
        <v>12</v>
      </c>
      <c r="I21" s="30"/>
      <c r="K21" s="23">
        <f t="shared" si="2"/>
        <v>1</v>
      </c>
      <c r="L21" s="24">
        <f>SUM($E$18:E21)</f>
        <v>10</v>
      </c>
    </row>
    <row r="22" spans="2:12" x14ac:dyDescent="0.25">
      <c r="B22" s="17">
        <v>5</v>
      </c>
      <c r="C22" s="18">
        <f>$B$7+(5-1)*7</f>
        <v>46055</v>
      </c>
      <c r="D22" s="19" t="str">
        <f t="shared" si="0"/>
        <v>Feb 26</v>
      </c>
      <c r="E22" s="20">
        <f t="shared" si="1"/>
        <v>5</v>
      </c>
      <c r="F22" s="20">
        <v>5</v>
      </c>
      <c r="G22" s="21" t="s">
        <v>23</v>
      </c>
      <c r="H22" s="20">
        <f>SUM($F$18:F22)</f>
        <v>17</v>
      </c>
      <c r="I22" s="22"/>
      <c r="K22" s="23">
        <f t="shared" si="2"/>
        <v>2</v>
      </c>
      <c r="L22" s="24">
        <f>SUM($E$18:E22)</f>
        <v>15</v>
      </c>
    </row>
    <row r="23" spans="2:12" x14ac:dyDescent="0.25">
      <c r="B23" s="25">
        <v>6</v>
      </c>
      <c r="C23" s="26">
        <f>$B$7+(6-1)*7</f>
        <v>46062</v>
      </c>
      <c r="D23" s="27" t="str">
        <f t="shared" si="0"/>
        <v>Feb 26</v>
      </c>
      <c r="E23" s="28">
        <f t="shared" si="1"/>
        <v>6</v>
      </c>
      <c r="F23" s="28">
        <v>6</v>
      </c>
      <c r="G23" s="29" t="s">
        <v>23</v>
      </c>
      <c r="H23" s="28">
        <f>SUM($F$18:F23)</f>
        <v>23</v>
      </c>
      <c r="I23" s="30"/>
      <c r="K23" s="23">
        <f t="shared" si="2"/>
        <v>2</v>
      </c>
      <c r="L23" s="24">
        <f>SUM($E$18:E23)</f>
        <v>21</v>
      </c>
    </row>
    <row r="24" spans="2:12" x14ac:dyDescent="0.25">
      <c r="B24" s="17">
        <v>7</v>
      </c>
      <c r="C24" s="18">
        <f>$B$7+(7-1)*7</f>
        <v>46069</v>
      </c>
      <c r="D24" s="19" t="str">
        <f t="shared" si="0"/>
        <v>Feb 26</v>
      </c>
      <c r="E24" s="20">
        <f t="shared" si="1"/>
        <v>7</v>
      </c>
      <c r="F24" s="20">
        <v>10</v>
      </c>
      <c r="G24" s="21" t="s">
        <v>23</v>
      </c>
      <c r="H24" s="20">
        <f>SUM($F$18:F24)</f>
        <v>33</v>
      </c>
      <c r="I24" s="22" t="s">
        <v>25</v>
      </c>
      <c r="K24" s="23">
        <f t="shared" si="2"/>
        <v>2</v>
      </c>
      <c r="L24" s="24">
        <f>SUM($E$18:E24)</f>
        <v>28</v>
      </c>
    </row>
    <row r="25" spans="2:12" x14ac:dyDescent="0.25">
      <c r="B25" s="25">
        <v>8</v>
      </c>
      <c r="C25" s="26">
        <f>$B$7+(8-1)*7</f>
        <v>46076</v>
      </c>
      <c r="D25" s="27" t="str">
        <f t="shared" si="0"/>
        <v>Feb 26</v>
      </c>
      <c r="E25" s="28">
        <f t="shared" si="1"/>
        <v>8</v>
      </c>
      <c r="F25" s="28">
        <v>8</v>
      </c>
      <c r="G25" s="29" t="s">
        <v>23</v>
      </c>
      <c r="H25" s="28">
        <f>SUM($F$18:F25)</f>
        <v>41</v>
      </c>
      <c r="I25" s="30"/>
      <c r="K25" s="23">
        <f t="shared" si="2"/>
        <v>2</v>
      </c>
      <c r="L25" s="24">
        <f>SUM($E$18:E25)</f>
        <v>36</v>
      </c>
    </row>
    <row r="26" spans="2:12" x14ac:dyDescent="0.25">
      <c r="B26" s="17">
        <v>9</v>
      </c>
      <c r="C26" s="18">
        <f>$B$7+(9-1)*7</f>
        <v>46083</v>
      </c>
      <c r="D26" s="19" t="str">
        <f t="shared" si="0"/>
        <v>Mär 26</v>
      </c>
      <c r="E26" s="20">
        <f t="shared" si="1"/>
        <v>9</v>
      </c>
      <c r="F26" s="20">
        <v>9</v>
      </c>
      <c r="G26" s="21" t="s">
        <v>23</v>
      </c>
      <c r="H26" s="20">
        <f>SUM($F$18:F26)</f>
        <v>50</v>
      </c>
      <c r="I26" s="22"/>
      <c r="K26" s="23">
        <f t="shared" si="2"/>
        <v>3</v>
      </c>
      <c r="L26" s="24">
        <f>SUM($E$18:E26)</f>
        <v>45</v>
      </c>
    </row>
    <row r="27" spans="2:12" x14ac:dyDescent="0.25">
      <c r="B27" s="25">
        <v>10</v>
      </c>
      <c r="C27" s="26">
        <f>$B$7+(10-1)*7</f>
        <v>46090</v>
      </c>
      <c r="D27" s="27" t="str">
        <f t="shared" si="0"/>
        <v>Mär 26</v>
      </c>
      <c r="E27" s="28">
        <f t="shared" si="1"/>
        <v>10</v>
      </c>
      <c r="F27" s="28">
        <v>10</v>
      </c>
      <c r="G27" s="29" t="s">
        <v>23</v>
      </c>
      <c r="H27" s="28">
        <f>SUM($F$18:F27)</f>
        <v>60</v>
      </c>
      <c r="I27" s="30"/>
      <c r="K27" s="23">
        <f t="shared" si="2"/>
        <v>3</v>
      </c>
      <c r="L27" s="24">
        <f>SUM($E$18:E27)</f>
        <v>55</v>
      </c>
    </row>
    <row r="28" spans="2:12" x14ac:dyDescent="0.25">
      <c r="B28" s="17">
        <v>11</v>
      </c>
      <c r="C28" s="18">
        <f>$B$7+(11-1)*7</f>
        <v>46097</v>
      </c>
      <c r="D28" s="19" t="str">
        <f t="shared" si="0"/>
        <v>Mär 26</v>
      </c>
      <c r="E28" s="20">
        <f t="shared" si="1"/>
        <v>11</v>
      </c>
      <c r="F28" s="20">
        <v>11</v>
      </c>
      <c r="G28" s="21" t="s">
        <v>23</v>
      </c>
      <c r="H28" s="20">
        <f>SUM($F$18:F28)</f>
        <v>71</v>
      </c>
      <c r="I28" s="22"/>
      <c r="K28" s="23">
        <f t="shared" si="2"/>
        <v>3</v>
      </c>
      <c r="L28" s="24">
        <f>SUM($E$18:E28)</f>
        <v>66</v>
      </c>
    </row>
    <row r="29" spans="2:12" x14ac:dyDescent="0.25">
      <c r="B29" s="25">
        <v>12</v>
      </c>
      <c r="C29" s="26">
        <f>$B$7+(12-1)*7</f>
        <v>46104</v>
      </c>
      <c r="D29" s="27" t="str">
        <f t="shared" si="0"/>
        <v>Mär 26</v>
      </c>
      <c r="E29" s="28">
        <f t="shared" si="1"/>
        <v>12</v>
      </c>
      <c r="F29" s="28">
        <v>12</v>
      </c>
      <c r="G29" s="29" t="s">
        <v>23</v>
      </c>
      <c r="H29" s="28">
        <f>SUM($F$18:F29)</f>
        <v>83</v>
      </c>
      <c r="I29" s="30"/>
      <c r="K29" s="23">
        <f t="shared" si="2"/>
        <v>3</v>
      </c>
      <c r="L29" s="24">
        <f>SUM($E$18:E29)</f>
        <v>78</v>
      </c>
    </row>
    <row r="30" spans="2:12" x14ac:dyDescent="0.25">
      <c r="B30" s="17">
        <v>13</v>
      </c>
      <c r="C30" s="18">
        <f>$B$7+(13-1)*7</f>
        <v>46111</v>
      </c>
      <c r="D30" s="19" t="str">
        <f t="shared" si="0"/>
        <v>Mär 26</v>
      </c>
      <c r="E30" s="20">
        <f t="shared" si="1"/>
        <v>13</v>
      </c>
      <c r="F30" s="20">
        <v>13</v>
      </c>
      <c r="G30" s="21" t="s">
        <v>23</v>
      </c>
      <c r="H30" s="20">
        <f>SUM($F$18:F30)</f>
        <v>96</v>
      </c>
      <c r="I30" s="22"/>
      <c r="K30" s="23">
        <f t="shared" si="2"/>
        <v>3</v>
      </c>
      <c r="L30" s="24">
        <f>SUM($E$18:E30)</f>
        <v>91</v>
      </c>
    </row>
    <row r="31" spans="2:12" x14ac:dyDescent="0.25">
      <c r="B31" s="25">
        <v>14</v>
      </c>
      <c r="C31" s="26">
        <f>$B$7+(14-1)*7</f>
        <v>46118</v>
      </c>
      <c r="D31" s="27" t="str">
        <f t="shared" si="0"/>
        <v>Apr 26</v>
      </c>
      <c r="E31" s="28">
        <f t="shared" si="1"/>
        <v>14</v>
      </c>
      <c r="F31" s="28">
        <v>10</v>
      </c>
      <c r="G31" s="29" t="s">
        <v>23</v>
      </c>
      <c r="H31" s="28">
        <f>SUM($F$18:F31)</f>
        <v>106</v>
      </c>
      <c r="I31" s="30" t="s">
        <v>26</v>
      </c>
      <c r="K31" s="23">
        <f t="shared" si="2"/>
        <v>4</v>
      </c>
      <c r="L31" s="24">
        <f>SUM($E$18:E31)</f>
        <v>105</v>
      </c>
    </row>
    <row r="32" spans="2:12" x14ac:dyDescent="0.25">
      <c r="B32" s="17">
        <v>15</v>
      </c>
      <c r="C32" s="18">
        <f>$B$7+(15-1)*7</f>
        <v>46125</v>
      </c>
      <c r="D32" s="19" t="str">
        <f t="shared" si="0"/>
        <v>Apr 26</v>
      </c>
      <c r="E32" s="20">
        <f t="shared" si="1"/>
        <v>15</v>
      </c>
      <c r="F32" s="20">
        <v>15</v>
      </c>
      <c r="G32" s="21" t="s">
        <v>23</v>
      </c>
      <c r="H32" s="20">
        <f>SUM($F$18:F32)</f>
        <v>121</v>
      </c>
      <c r="I32" s="22"/>
      <c r="K32" s="23">
        <f t="shared" si="2"/>
        <v>4</v>
      </c>
      <c r="L32" s="24">
        <f>SUM($E$18:E32)</f>
        <v>120</v>
      </c>
    </row>
    <row r="33" spans="2:12" x14ac:dyDescent="0.25">
      <c r="B33" s="25">
        <v>16</v>
      </c>
      <c r="C33" s="26">
        <f>$B$7+(16-1)*7</f>
        <v>46132</v>
      </c>
      <c r="D33" s="27" t="str">
        <f t="shared" si="0"/>
        <v>Apr 26</v>
      </c>
      <c r="E33" s="28">
        <f t="shared" si="1"/>
        <v>16</v>
      </c>
      <c r="F33" s="28">
        <v>16</v>
      </c>
      <c r="G33" s="29" t="s">
        <v>23</v>
      </c>
      <c r="H33" s="28">
        <f>SUM($F$18:F33)</f>
        <v>137</v>
      </c>
      <c r="I33" s="30"/>
      <c r="K33" s="23">
        <f t="shared" si="2"/>
        <v>4</v>
      </c>
      <c r="L33" s="24">
        <f>SUM($E$18:E33)</f>
        <v>136</v>
      </c>
    </row>
    <row r="34" spans="2:12" x14ac:dyDescent="0.25">
      <c r="B34" s="17">
        <v>17</v>
      </c>
      <c r="C34" s="18">
        <f>$B$7+(17-1)*7</f>
        <v>46139</v>
      </c>
      <c r="D34" s="19" t="str">
        <f t="shared" si="0"/>
        <v>Apr 26</v>
      </c>
      <c r="E34" s="20">
        <f t="shared" si="1"/>
        <v>17</v>
      </c>
      <c r="F34" s="20">
        <v>17</v>
      </c>
      <c r="G34" s="21" t="s">
        <v>23</v>
      </c>
      <c r="H34" s="20">
        <f>SUM($F$18:F34)</f>
        <v>154</v>
      </c>
      <c r="I34" s="22"/>
      <c r="K34" s="23">
        <f t="shared" si="2"/>
        <v>4</v>
      </c>
      <c r="L34" s="24">
        <f>SUM($E$18:E34)</f>
        <v>153</v>
      </c>
    </row>
    <row r="35" spans="2:12" x14ac:dyDescent="0.25">
      <c r="B35" s="25">
        <v>18</v>
      </c>
      <c r="C35" s="26">
        <f>$B$7+(18-1)*7</f>
        <v>46146</v>
      </c>
      <c r="D35" s="27" t="str">
        <f t="shared" si="0"/>
        <v>Mai 26</v>
      </c>
      <c r="E35" s="28">
        <f t="shared" si="1"/>
        <v>18</v>
      </c>
      <c r="F35" s="28">
        <v>20</v>
      </c>
      <c r="G35" s="29" t="s">
        <v>23</v>
      </c>
      <c r="H35" s="28">
        <f>SUM($F$18:F35)</f>
        <v>174</v>
      </c>
      <c r="I35" s="30" t="s">
        <v>27</v>
      </c>
      <c r="K35" s="23">
        <f t="shared" si="2"/>
        <v>5</v>
      </c>
      <c r="L35" s="24">
        <f>SUM($E$18:E35)</f>
        <v>171</v>
      </c>
    </row>
    <row r="36" spans="2:12" x14ac:dyDescent="0.25">
      <c r="B36" s="17">
        <v>19</v>
      </c>
      <c r="C36" s="18">
        <f>$B$7+(19-1)*7</f>
        <v>46153</v>
      </c>
      <c r="D36" s="19" t="str">
        <f t="shared" si="0"/>
        <v>Mai 26</v>
      </c>
      <c r="E36" s="20">
        <f t="shared" si="1"/>
        <v>19</v>
      </c>
      <c r="F36" s="20"/>
      <c r="G36" s="21"/>
      <c r="H36" s="20">
        <f>SUM($F$18:F36)</f>
        <v>174</v>
      </c>
      <c r="I36" s="22"/>
      <c r="K36" s="23">
        <f t="shared" si="2"/>
        <v>5</v>
      </c>
      <c r="L36" s="24">
        <f>SUM($E$18:E36)</f>
        <v>190</v>
      </c>
    </row>
    <row r="37" spans="2:12" x14ac:dyDescent="0.25">
      <c r="B37" s="25">
        <v>20</v>
      </c>
      <c r="C37" s="26">
        <f>$B$7+(20-1)*7</f>
        <v>46160</v>
      </c>
      <c r="D37" s="27" t="str">
        <f t="shared" si="0"/>
        <v>Mai 26</v>
      </c>
      <c r="E37" s="28">
        <f t="shared" si="1"/>
        <v>20</v>
      </c>
      <c r="F37" s="28"/>
      <c r="G37" s="29"/>
      <c r="H37" s="28">
        <f>SUM($F$18:F37)</f>
        <v>174</v>
      </c>
      <c r="I37" s="30"/>
      <c r="K37" s="23">
        <f t="shared" si="2"/>
        <v>5</v>
      </c>
      <c r="L37" s="24">
        <f>SUM($E$18:E37)</f>
        <v>210</v>
      </c>
    </row>
    <row r="38" spans="2:12" x14ac:dyDescent="0.25">
      <c r="B38" s="17">
        <v>21</v>
      </c>
      <c r="C38" s="18">
        <f>$B$7+(21-1)*7</f>
        <v>46167</v>
      </c>
      <c r="D38" s="19" t="str">
        <f t="shared" si="0"/>
        <v>Mai 26</v>
      </c>
      <c r="E38" s="20">
        <f t="shared" si="1"/>
        <v>21</v>
      </c>
      <c r="F38" s="20"/>
      <c r="G38" s="21"/>
      <c r="H38" s="20">
        <f>SUM($F$18:F38)</f>
        <v>174</v>
      </c>
      <c r="I38" s="22"/>
      <c r="K38" s="23">
        <f t="shared" si="2"/>
        <v>5</v>
      </c>
      <c r="L38" s="24">
        <f>SUM($E$18:E38)</f>
        <v>231</v>
      </c>
    </row>
    <row r="39" spans="2:12" x14ac:dyDescent="0.25">
      <c r="B39" s="25">
        <v>22</v>
      </c>
      <c r="C39" s="26">
        <f>$B$7+(22-1)*7</f>
        <v>46174</v>
      </c>
      <c r="D39" s="27" t="str">
        <f t="shared" si="0"/>
        <v>Jun 26</v>
      </c>
      <c r="E39" s="28">
        <f t="shared" si="1"/>
        <v>22</v>
      </c>
      <c r="F39" s="28"/>
      <c r="G39" s="29"/>
      <c r="H39" s="28">
        <f>SUM($F$18:F39)</f>
        <v>174</v>
      </c>
      <c r="I39" s="30"/>
      <c r="K39" s="23">
        <f t="shared" si="2"/>
        <v>6</v>
      </c>
      <c r="L39" s="24">
        <f>SUM($E$18:E39)</f>
        <v>253</v>
      </c>
    </row>
    <row r="40" spans="2:12" x14ac:dyDescent="0.25">
      <c r="B40" s="17">
        <v>23</v>
      </c>
      <c r="C40" s="18">
        <f>$B$7+(23-1)*7</f>
        <v>46181</v>
      </c>
      <c r="D40" s="19" t="str">
        <f t="shared" si="0"/>
        <v>Jun 26</v>
      </c>
      <c r="E40" s="20">
        <f t="shared" si="1"/>
        <v>23</v>
      </c>
      <c r="F40" s="20"/>
      <c r="G40" s="21"/>
      <c r="H40" s="20">
        <f>SUM($F$18:F40)</f>
        <v>174</v>
      </c>
      <c r="I40" s="22"/>
      <c r="K40" s="23">
        <f t="shared" si="2"/>
        <v>6</v>
      </c>
      <c r="L40" s="24">
        <f>SUM($E$18:E40)</f>
        <v>276</v>
      </c>
    </row>
    <row r="41" spans="2:12" x14ac:dyDescent="0.25">
      <c r="B41" s="25">
        <v>24</v>
      </c>
      <c r="C41" s="26">
        <f>$B$7+(24-1)*7</f>
        <v>46188</v>
      </c>
      <c r="D41" s="27" t="str">
        <f t="shared" si="0"/>
        <v>Jun 26</v>
      </c>
      <c r="E41" s="28">
        <f t="shared" si="1"/>
        <v>24</v>
      </c>
      <c r="F41" s="28"/>
      <c r="G41" s="29"/>
      <c r="H41" s="28">
        <f>SUM($F$18:F41)</f>
        <v>174</v>
      </c>
      <c r="I41" s="30"/>
      <c r="K41" s="23">
        <f t="shared" si="2"/>
        <v>6</v>
      </c>
      <c r="L41" s="24">
        <f>SUM($E$18:E41)</f>
        <v>300</v>
      </c>
    </row>
    <row r="42" spans="2:12" x14ac:dyDescent="0.25">
      <c r="B42" s="17">
        <v>25</v>
      </c>
      <c r="C42" s="18">
        <f>$B$7+(25-1)*7</f>
        <v>46195</v>
      </c>
      <c r="D42" s="19" t="str">
        <f t="shared" si="0"/>
        <v>Jun 26</v>
      </c>
      <c r="E42" s="20">
        <f t="shared" si="1"/>
        <v>25</v>
      </c>
      <c r="F42" s="20"/>
      <c r="G42" s="21"/>
      <c r="H42" s="20">
        <f>SUM($F$18:F42)</f>
        <v>174</v>
      </c>
      <c r="I42" s="22"/>
      <c r="K42" s="23">
        <f t="shared" si="2"/>
        <v>6</v>
      </c>
      <c r="L42" s="24">
        <f>SUM($E$18:E42)</f>
        <v>325</v>
      </c>
    </row>
    <row r="43" spans="2:12" x14ac:dyDescent="0.25">
      <c r="B43" s="25">
        <v>26</v>
      </c>
      <c r="C43" s="26">
        <f>$B$7+(26-1)*7</f>
        <v>46202</v>
      </c>
      <c r="D43" s="27" t="str">
        <f t="shared" si="0"/>
        <v>Jun 26</v>
      </c>
      <c r="E43" s="28">
        <f t="shared" si="1"/>
        <v>26</v>
      </c>
      <c r="F43" s="28"/>
      <c r="G43" s="29"/>
      <c r="H43" s="28">
        <f>SUM($F$18:F43)</f>
        <v>174</v>
      </c>
      <c r="I43" s="30"/>
      <c r="K43" s="23">
        <f t="shared" si="2"/>
        <v>6</v>
      </c>
      <c r="L43" s="24">
        <f>SUM($E$18:E43)</f>
        <v>351</v>
      </c>
    </row>
    <row r="44" spans="2:12" x14ac:dyDescent="0.25">
      <c r="B44" s="17">
        <v>27</v>
      </c>
      <c r="C44" s="18">
        <f>$B$7+(27-1)*7</f>
        <v>46209</v>
      </c>
      <c r="D44" s="19" t="str">
        <f t="shared" si="0"/>
        <v>Jul 26</v>
      </c>
      <c r="E44" s="20">
        <f t="shared" si="1"/>
        <v>27</v>
      </c>
      <c r="F44" s="20"/>
      <c r="G44" s="21"/>
      <c r="H44" s="20">
        <f>SUM($F$18:F44)</f>
        <v>174</v>
      </c>
      <c r="I44" s="22"/>
      <c r="K44" s="23">
        <f t="shared" si="2"/>
        <v>7</v>
      </c>
      <c r="L44" s="24">
        <f>SUM($E$18:E44)</f>
        <v>378</v>
      </c>
    </row>
    <row r="45" spans="2:12" x14ac:dyDescent="0.25">
      <c r="B45" s="25">
        <v>28</v>
      </c>
      <c r="C45" s="26">
        <f>$B$7+(28-1)*7</f>
        <v>46216</v>
      </c>
      <c r="D45" s="27" t="str">
        <f t="shared" si="0"/>
        <v>Jul 26</v>
      </c>
      <c r="E45" s="28">
        <f t="shared" si="1"/>
        <v>28</v>
      </c>
      <c r="F45" s="28"/>
      <c r="G45" s="29"/>
      <c r="H45" s="28">
        <f>SUM($F$18:F45)</f>
        <v>174</v>
      </c>
      <c r="I45" s="30"/>
      <c r="K45" s="23">
        <f t="shared" si="2"/>
        <v>7</v>
      </c>
      <c r="L45" s="24">
        <f>SUM($E$18:E45)</f>
        <v>406</v>
      </c>
    </row>
    <row r="46" spans="2:12" x14ac:dyDescent="0.25">
      <c r="B46" s="17">
        <v>29</v>
      </c>
      <c r="C46" s="18">
        <f>$B$7+(29-1)*7</f>
        <v>46223</v>
      </c>
      <c r="D46" s="19" t="str">
        <f t="shared" si="0"/>
        <v>Jul 26</v>
      </c>
      <c r="E46" s="20">
        <f t="shared" si="1"/>
        <v>29</v>
      </c>
      <c r="F46" s="20"/>
      <c r="G46" s="21"/>
      <c r="H46" s="20">
        <f>SUM($F$18:F46)</f>
        <v>174</v>
      </c>
      <c r="I46" s="22"/>
      <c r="K46" s="23">
        <f t="shared" si="2"/>
        <v>7</v>
      </c>
      <c r="L46" s="24">
        <f>SUM($E$18:E46)</f>
        <v>435</v>
      </c>
    </row>
    <row r="47" spans="2:12" x14ac:dyDescent="0.25">
      <c r="B47" s="25">
        <v>30</v>
      </c>
      <c r="C47" s="26">
        <f>$B$7+(30-1)*7</f>
        <v>46230</v>
      </c>
      <c r="D47" s="27" t="str">
        <f t="shared" si="0"/>
        <v>Jul 26</v>
      </c>
      <c r="E47" s="28">
        <f t="shared" si="1"/>
        <v>30</v>
      </c>
      <c r="F47" s="28"/>
      <c r="G47" s="29"/>
      <c r="H47" s="28">
        <f>SUM($F$18:F47)</f>
        <v>174</v>
      </c>
      <c r="I47" s="30"/>
      <c r="K47" s="23">
        <f t="shared" si="2"/>
        <v>7</v>
      </c>
      <c r="L47" s="24">
        <f>SUM($E$18:E47)</f>
        <v>465</v>
      </c>
    </row>
    <row r="48" spans="2:12" x14ac:dyDescent="0.25">
      <c r="B48" s="17">
        <v>31</v>
      </c>
      <c r="C48" s="18">
        <f>$B$7+(31-1)*7</f>
        <v>46237</v>
      </c>
      <c r="D48" s="19" t="str">
        <f t="shared" si="0"/>
        <v>Aug 26</v>
      </c>
      <c r="E48" s="20">
        <f t="shared" si="1"/>
        <v>31</v>
      </c>
      <c r="F48" s="20"/>
      <c r="G48" s="21"/>
      <c r="H48" s="20">
        <f>SUM($F$18:F48)</f>
        <v>174</v>
      </c>
      <c r="I48" s="22"/>
      <c r="K48" s="23">
        <f t="shared" si="2"/>
        <v>8</v>
      </c>
      <c r="L48" s="24">
        <f>SUM($E$18:E48)</f>
        <v>496</v>
      </c>
    </row>
    <row r="49" spans="2:12" x14ac:dyDescent="0.25">
      <c r="B49" s="25">
        <v>32</v>
      </c>
      <c r="C49" s="26">
        <f>$B$7+(32-1)*7</f>
        <v>46244</v>
      </c>
      <c r="D49" s="27" t="str">
        <f t="shared" si="0"/>
        <v>Aug 26</v>
      </c>
      <c r="E49" s="28">
        <f t="shared" si="1"/>
        <v>32</v>
      </c>
      <c r="F49" s="28"/>
      <c r="G49" s="29"/>
      <c r="H49" s="28">
        <f>SUM($F$18:F49)</f>
        <v>174</v>
      </c>
      <c r="I49" s="30"/>
      <c r="K49" s="23">
        <f t="shared" si="2"/>
        <v>8</v>
      </c>
      <c r="L49" s="24">
        <f>SUM($E$18:E49)</f>
        <v>528</v>
      </c>
    </row>
    <row r="50" spans="2:12" x14ac:dyDescent="0.25">
      <c r="B50" s="17">
        <v>33</v>
      </c>
      <c r="C50" s="18">
        <f>$B$7+(33-1)*7</f>
        <v>46251</v>
      </c>
      <c r="D50" s="19" t="str">
        <f t="shared" ref="D50:D81" si="3">CHOOSE(MONTH(C50),"Jan","Feb","Mär","Apr","Mai","Jun","Jul","Aug","Sep","Okt","Nov","Dez")&amp;" "&amp;RIGHT(YEAR(C50),2)</f>
        <v>Aug 26</v>
      </c>
      <c r="E50" s="20">
        <f t="shared" ref="E50:E69" si="4">IF($D$7="Aufsteigend",$F$7+(B50-1)*$H$7,IF($D$7="Absteigend",$F$7+(52-B50)*$H$7,$F$7))</f>
        <v>33</v>
      </c>
      <c r="F50" s="20"/>
      <c r="G50" s="21"/>
      <c r="H50" s="20">
        <f>SUM($F$18:F50)</f>
        <v>174</v>
      </c>
      <c r="I50" s="22"/>
      <c r="K50" s="23">
        <f t="shared" ref="K50:K69" si="5">MONTH(C50)</f>
        <v>8</v>
      </c>
      <c r="L50" s="24">
        <f>SUM($E$18:E50)</f>
        <v>561</v>
      </c>
    </row>
    <row r="51" spans="2:12" x14ac:dyDescent="0.25">
      <c r="B51" s="25">
        <v>34</v>
      </c>
      <c r="C51" s="26">
        <f>$B$7+(34-1)*7</f>
        <v>46258</v>
      </c>
      <c r="D51" s="27" t="str">
        <f t="shared" si="3"/>
        <v>Aug 26</v>
      </c>
      <c r="E51" s="28">
        <f t="shared" si="4"/>
        <v>34</v>
      </c>
      <c r="F51" s="28"/>
      <c r="G51" s="29"/>
      <c r="H51" s="28">
        <f>SUM($F$18:F51)</f>
        <v>174</v>
      </c>
      <c r="I51" s="30"/>
      <c r="K51" s="23">
        <f t="shared" si="5"/>
        <v>8</v>
      </c>
      <c r="L51" s="24">
        <f>SUM($E$18:E51)</f>
        <v>595</v>
      </c>
    </row>
    <row r="52" spans="2:12" x14ac:dyDescent="0.25">
      <c r="B52" s="17">
        <v>35</v>
      </c>
      <c r="C52" s="18">
        <f>$B$7+(35-1)*7</f>
        <v>46265</v>
      </c>
      <c r="D52" s="19" t="str">
        <f t="shared" si="3"/>
        <v>Aug 26</v>
      </c>
      <c r="E52" s="20">
        <f t="shared" si="4"/>
        <v>35</v>
      </c>
      <c r="F52" s="20"/>
      <c r="G52" s="21"/>
      <c r="H52" s="20">
        <f>SUM($F$18:F52)</f>
        <v>174</v>
      </c>
      <c r="I52" s="22"/>
      <c r="K52" s="23">
        <f t="shared" si="5"/>
        <v>8</v>
      </c>
      <c r="L52" s="24">
        <f>SUM($E$18:E52)</f>
        <v>630</v>
      </c>
    </row>
    <row r="53" spans="2:12" x14ac:dyDescent="0.25">
      <c r="B53" s="25">
        <v>36</v>
      </c>
      <c r="C53" s="26">
        <f>$B$7+(36-1)*7</f>
        <v>46272</v>
      </c>
      <c r="D53" s="27" t="str">
        <f t="shared" si="3"/>
        <v>Sep 26</v>
      </c>
      <c r="E53" s="28">
        <f t="shared" si="4"/>
        <v>36</v>
      </c>
      <c r="F53" s="28"/>
      <c r="G53" s="29"/>
      <c r="H53" s="28">
        <f>SUM($F$18:F53)</f>
        <v>174</v>
      </c>
      <c r="I53" s="30"/>
      <c r="K53" s="23">
        <f t="shared" si="5"/>
        <v>9</v>
      </c>
      <c r="L53" s="24">
        <f>SUM($E$18:E53)</f>
        <v>666</v>
      </c>
    </row>
    <row r="54" spans="2:12" x14ac:dyDescent="0.25">
      <c r="B54" s="17">
        <v>37</v>
      </c>
      <c r="C54" s="18">
        <f>$B$7+(37-1)*7</f>
        <v>46279</v>
      </c>
      <c r="D54" s="19" t="str">
        <f t="shared" si="3"/>
        <v>Sep 26</v>
      </c>
      <c r="E54" s="20">
        <f t="shared" si="4"/>
        <v>37</v>
      </c>
      <c r="F54" s="20"/>
      <c r="G54" s="21"/>
      <c r="H54" s="20">
        <f>SUM($F$18:F54)</f>
        <v>174</v>
      </c>
      <c r="I54" s="22"/>
      <c r="K54" s="23">
        <f t="shared" si="5"/>
        <v>9</v>
      </c>
      <c r="L54" s="24">
        <f>SUM($E$18:E54)</f>
        <v>703</v>
      </c>
    </row>
    <row r="55" spans="2:12" x14ac:dyDescent="0.25">
      <c r="B55" s="25">
        <v>38</v>
      </c>
      <c r="C55" s="26">
        <f>$B$7+(38-1)*7</f>
        <v>46286</v>
      </c>
      <c r="D55" s="27" t="str">
        <f t="shared" si="3"/>
        <v>Sep 26</v>
      </c>
      <c r="E55" s="28">
        <f t="shared" si="4"/>
        <v>38</v>
      </c>
      <c r="F55" s="28"/>
      <c r="G55" s="29"/>
      <c r="H55" s="28">
        <f>SUM($F$18:F55)</f>
        <v>174</v>
      </c>
      <c r="I55" s="30"/>
      <c r="K55" s="23">
        <f t="shared" si="5"/>
        <v>9</v>
      </c>
      <c r="L55" s="24">
        <f>SUM($E$18:E55)</f>
        <v>741</v>
      </c>
    </row>
    <row r="56" spans="2:12" x14ac:dyDescent="0.25">
      <c r="B56" s="17">
        <v>39</v>
      </c>
      <c r="C56" s="18">
        <f>$B$7+(39-1)*7</f>
        <v>46293</v>
      </c>
      <c r="D56" s="19" t="str">
        <f t="shared" si="3"/>
        <v>Sep 26</v>
      </c>
      <c r="E56" s="20">
        <f t="shared" si="4"/>
        <v>39</v>
      </c>
      <c r="F56" s="20"/>
      <c r="G56" s="21"/>
      <c r="H56" s="20">
        <f>SUM($F$18:F56)</f>
        <v>174</v>
      </c>
      <c r="I56" s="22"/>
      <c r="K56" s="23">
        <f t="shared" si="5"/>
        <v>9</v>
      </c>
      <c r="L56" s="24">
        <f>SUM($E$18:E56)</f>
        <v>780</v>
      </c>
    </row>
    <row r="57" spans="2:12" x14ac:dyDescent="0.25">
      <c r="B57" s="25">
        <v>40</v>
      </c>
      <c r="C57" s="26">
        <f>$B$7+(40-1)*7</f>
        <v>46300</v>
      </c>
      <c r="D57" s="27" t="str">
        <f t="shared" si="3"/>
        <v>Okt 26</v>
      </c>
      <c r="E57" s="28">
        <f t="shared" si="4"/>
        <v>40</v>
      </c>
      <c r="F57" s="28"/>
      <c r="G57" s="29"/>
      <c r="H57" s="28">
        <f>SUM($F$18:F57)</f>
        <v>174</v>
      </c>
      <c r="I57" s="30"/>
      <c r="K57" s="23">
        <f t="shared" si="5"/>
        <v>10</v>
      </c>
      <c r="L57" s="24">
        <f>SUM($E$18:E57)</f>
        <v>820</v>
      </c>
    </row>
    <row r="58" spans="2:12" x14ac:dyDescent="0.25">
      <c r="B58" s="17">
        <v>41</v>
      </c>
      <c r="C58" s="18">
        <f>$B$7+(41-1)*7</f>
        <v>46307</v>
      </c>
      <c r="D58" s="19" t="str">
        <f t="shared" si="3"/>
        <v>Okt 26</v>
      </c>
      <c r="E58" s="20">
        <f t="shared" si="4"/>
        <v>41</v>
      </c>
      <c r="F58" s="20"/>
      <c r="G58" s="21"/>
      <c r="H58" s="20">
        <f>SUM($F$18:F58)</f>
        <v>174</v>
      </c>
      <c r="I58" s="22"/>
      <c r="K58" s="23">
        <f t="shared" si="5"/>
        <v>10</v>
      </c>
      <c r="L58" s="24">
        <f>SUM($E$18:E58)</f>
        <v>861</v>
      </c>
    </row>
    <row r="59" spans="2:12" x14ac:dyDescent="0.25">
      <c r="B59" s="25">
        <v>42</v>
      </c>
      <c r="C59" s="26">
        <f>$B$7+(42-1)*7</f>
        <v>46314</v>
      </c>
      <c r="D59" s="27" t="str">
        <f t="shared" si="3"/>
        <v>Okt 26</v>
      </c>
      <c r="E59" s="28">
        <f t="shared" si="4"/>
        <v>42</v>
      </c>
      <c r="F59" s="28"/>
      <c r="G59" s="29"/>
      <c r="H59" s="28">
        <f>SUM($F$18:F59)</f>
        <v>174</v>
      </c>
      <c r="I59" s="30"/>
      <c r="K59" s="23">
        <f t="shared" si="5"/>
        <v>10</v>
      </c>
      <c r="L59" s="24">
        <f>SUM($E$18:E59)</f>
        <v>903</v>
      </c>
    </row>
    <row r="60" spans="2:12" x14ac:dyDescent="0.25">
      <c r="B60" s="17">
        <v>43</v>
      </c>
      <c r="C60" s="18">
        <f>$B$7+(43-1)*7</f>
        <v>46321</v>
      </c>
      <c r="D60" s="19" t="str">
        <f t="shared" si="3"/>
        <v>Okt 26</v>
      </c>
      <c r="E60" s="20">
        <f t="shared" si="4"/>
        <v>43</v>
      </c>
      <c r="F60" s="20"/>
      <c r="G60" s="21"/>
      <c r="H60" s="20">
        <f>SUM($F$18:F60)</f>
        <v>174</v>
      </c>
      <c r="I60" s="22"/>
      <c r="K60" s="23">
        <f t="shared" si="5"/>
        <v>10</v>
      </c>
      <c r="L60" s="24">
        <f>SUM($E$18:E60)</f>
        <v>946</v>
      </c>
    </row>
    <row r="61" spans="2:12" x14ac:dyDescent="0.25">
      <c r="B61" s="25">
        <v>44</v>
      </c>
      <c r="C61" s="26">
        <f>$B$7+(44-1)*7</f>
        <v>46328</v>
      </c>
      <c r="D61" s="27" t="str">
        <f t="shared" si="3"/>
        <v>Nov 26</v>
      </c>
      <c r="E61" s="28">
        <f t="shared" si="4"/>
        <v>44</v>
      </c>
      <c r="F61" s="28"/>
      <c r="G61" s="29"/>
      <c r="H61" s="28">
        <f>SUM($F$18:F61)</f>
        <v>174</v>
      </c>
      <c r="I61" s="30"/>
      <c r="K61" s="23">
        <f t="shared" si="5"/>
        <v>11</v>
      </c>
      <c r="L61" s="24">
        <f>SUM($E$18:E61)</f>
        <v>990</v>
      </c>
    </row>
    <row r="62" spans="2:12" x14ac:dyDescent="0.25">
      <c r="B62" s="17">
        <v>45</v>
      </c>
      <c r="C62" s="18">
        <f>$B$7+(45-1)*7</f>
        <v>46335</v>
      </c>
      <c r="D62" s="19" t="str">
        <f t="shared" si="3"/>
        <v>Nov 26</v>
      </c>
      <c r="E62" s="20">
        <f t="shared" si="4"/>
        <v>45</v>
      </c>
      <c r="F62" s="20"/>
      <c r="G62" s="21"/>
      <c r="H62" s="20">
        <f>SUM($F$18:F62)</f>
        <v>174</v>
      </c>
      <c r="I62" s="22"/>
      <c r="K62" s="23">
        <f t="shared" si="5"/>
        <v>11</v>
      </c>
      <c r="L62" s="24">
        <f>SUM($E$18:E62)</f>
        <v>1035</v>
      </c>
    </row>
    <row r="63" spans="2:12" x14ac:dyDescent="0.25">
      <c r="B63" s="25">
        <v>46</v>
      </c>
      <c r="C63" s="26">
        <f>$B$7+(46-1)*7</f>
        <v>46342</v>
      </c>
      <c r="D63" s="27" t="str">
        <f t="shared" si="3"/>
        <v>Nov 26</v>
      </c>
      <c r="E63" s="28">
        <f t="shared" si="4"/>
        <v>46</v>
      </c>
      <c r="F63" s="28"/>
      <c r="G63" s="29"/>
      <c r="H63" s="28">
        <f>SUM($F$18:F63)</f>
        <v>174</v>
      </c>
      <c r="I63" s="30"/>
      <c r="K63" s="23">
        <f t="shared" si="5"/>
        <v>11</v>
      </c>
      <c r="L63" s="24">
        <f>SUM($E$18:E63)</f>
        <v>1081</v>
      </c>
    </row>
    <row r="64" spans="2:12" x14ac:dyDescent="0.25">
      <c r="B64" s="17">
        <v>47</v>
      </c>
      <c r="C64" s="18">
        <f>$B$7+(47-1)*7</f>
        <v>46349</v>
      </c>
      <c r="D64" s="19" t="str">
        <f t="shared" si="3"/>
        <v>Nov 26</v>
      </c>
      <c r="E64" s="20">
        <f t="shared" si="4"/>
        <v>47</v>
      </c>
      <c r="F64" s="20"/>
      <c r="G64" s="21"/>
      <c r="H64" s="20">
        <f>SUM($F$18:F64)</f>
        <v>174</v>
      </c>
      <c r="I64" s="22"/>
      <c r="K64" s="23">
        <f t="shared" si="5"/>
        <v>11</v>
      </c>
      <c r="L64" s="24">
        <f>SUM($E$18:E64)</f>
        <v>1128</v>
      </c>
    </row>
    <row r="65" spans="2:12" x14ac:dyDescent="0.25">
      <c r="B65" s="25">
        <v>48</v>
      </c>
      <c r="C65" s="26">
        <f>$B$7+(48-1)*7</f>
        <v>46356</v>
      </c>
      <c r="D65" s="27" t="str">
        <f t="shared" si="3"/>
        <v>Nov 26</v>
      </c>
      <c r="E65" s="28">
        <f t="shared" si="4"/>
        <v>48</v>
      </c>
      <c r="F65" s="28"/>
      <c r="G65" s="29"/>
      <c r="H65" s="28">
        <f>SUM($F$18:F65)</f>
        <v>174</v>
      </c>
      <c r="I65" s="30"/>
      <c r="K65" s="23">
        <f t="shared" si="5"/>
        <v>11</v>
      </c>
      <c r="L65" s="24">
        <f>SUM($E$18:E65)</f>
        <v>1176</v>
      </c>
    </row>
    <row r="66" spans="2:12" x14ac:dyDescent="0.25">
      <c r="B66" s="17">
        <v>49</v>
      </c>
      <c r="C66" s="18">
        <f>$B$7+(49-1)*7</f>
        <v>46363</v>
      </c>
      <c r="D66" s="19" t="str">
        <f t="shared" si="3"/>
        <v>Dez 26</v>
      </c>
      <c r="E66" s="20">
        <f t="shared" si="4"/>
        <v>49</v>
      </c>
      <c r="F66" s="20"/>
      <c r="G66" s="21"/>
      <c r="H66" s="20">
        <f>SUM($F$18:F66)</f>
        <v>174</v>
      </c>
      <c r="I66" s="22"/>
      <c r="K66" s="23">
        <f t="shared" si="5"/>
        <v>12</v>
      </c>
      <c r="L66" s="24">
        <f>SUM($E$18:E66)</f>
        <v>1225</v>
      </c>
    </row>
    <row r="67" spans="2:12" x14ac:dyDescent="0.25">
      <c r="B67" s="25">
        <v>50</v>
      </c>
      <c r="C67" s="26">
        <f>$B$7+(50-1)*7</f>
        <v>46370</v>
      </c>
      <c r="D67" s="27" t="str">
        <f t="shared" si="3"/>
        <v>Dez 26</v>
      </c>
      <c r="E67" s="28">
        <f t="shared" si="4"/>
        <v>50</v>
      </c>
      <c r="F67" s="28"/>
      <c r="G67" s="29"/>
      <c r="H67" s="28">
        <f>SUM($F$18:F67)</f>
        <v>174</v>
      </c>
      <c r="I67" s="30"/>
      <c r="K67" s="23">
        <f t="shared" si="5"/>
        <v>12</v>
      </c>
      <c r="L67" s="24">
        <f>SUM($E$18:E67)</f>
        <v>1275</v>
      </c>
    </row>
    <row r="68" spans="2:12" x14ac:dyDescent="0.25">
      <c r="B68" s="17">
        <v>51</v>
      </c>
      <c r="C68" s="18">
        <f>$B$7+(51-1)*7</f>
        <v>46377</v>
      </c>
      <c r="D68" s="19" t="str">
        <f t="shared" si="3"/>
        <v>Dez 26</v>
      </c>
      <c r="E68" s="20">
        <f t="shared" si="4"/>
        <v>51</v>
      </c>
      <c r="F68" s="20"/>
      <c r="G68" s="21"/>
      <c r="H68" s="20">
        <f>SUM($F$18:F68)</f>
        <v>174</v>
      </c>
      <c r="I68" s="22"/>
      <c r="K68" s="23">
        <f t="shared" si="5"/>
        <v>12</v>
      </c>
      <c r="L68" s="24">
        <f>SUM($E$18:E68)</f>
        <v>1326</v>
      </c>
    </row>
    <row r="69" spans="2:12" x14ac:dyDescent="0.25">
      <c r="B69" s="25">
        <v>52</v>
      </c>
      <c r="C69" s="26">
        <f>$B$7+(52-1)*7</f>
        <v>46384</v>
      </c>
      <c r="D69" s="27" t="str">
        <f t="shared" si="3"/>
        <v>Dez 26</v>
      </c>
      <c r="E69" s="28">
        <f t="shared" si="4"/>
        <v>52</v>
      </c>
      <c r="F69" s="28"/>
      <c r="G69" s="29"/>
      <c r="H69" s="28">
        <f>SUM($F$18:F69)</f>
        <v>174</v>
      </c>
      <c r="I69" s="30"/>
      <c r="K69" s="23">
        <f t="shared" si="5"/>
        <v>12</v>
      </c>
      <c r="L69" s="24">
        <f>SUM($E$18:E69)</f>
        <v>1378</v>
      </c>
    </row>
    <row r="70" spans="2:12" ht="21.75" customHeight="1" x14ac:dyDescent="0.25">
      <c r="B70" s="45" t="s">
        <v>28</v>
      </c>
      <c r="C70" s="45"/>
      <c r="D70" s="45"/>
      <c r="E70" s="31">
        <f>SUM(E18:E69)</f>
        <v>1378</v>
      </c>
      <c r="F70" s="31">
        <f>SUM(F18:F69)</f>
        <v>174</v>
      </c>
      <c r="G70" s="32" t="str">
        <f>COUNTIF(G18:G69,"✔")&amp;" ✔"</f>
        <v>18 ✔</v>
      </c>
      <c r="H70" s="31">
        <f>SUM(F18:F69)</f>
        <v>174</v>
      </c>
      <c r="I70" s="33"/>
    </row>
  </sheetData>
  <mergeCells count="24">
    <mergeCell ref="B14:I14"/>
    <mergeCell ref="B70:D70"/>
    <mergeCell ref="B12:C12"/>
    <mergeCell ref="D12:E12"/>
    <mergeCell ref="F12:G12"/>
    <mergeCell ref="H12:I12"/>
    <mergeCell ref="B13:I13"/>
    <mergeCell ref="B10:I10"/>
    <mergeCell ref="B11:C11"/>
    <mergeCell ref="D11:E11"/>
    <mergeCell ref="F11:G11"/>
    <mergeCell ref="H11:I11"/>
    <mergeCell ref="B7:C7"/>
    <mergeCell ref="D7:E7"/>
    <mergeCell ref="F7:G7"/>
    <mergeCell ref="H7:I7"/>
    <mergeCell ref="B8:I8"/>
    <mergeCell ref="B1:I2"/>
    <mergeCell ref="B3:I3"/>
    <mergeCell ref="B5:I5"/>
    <mergeCell ref="B6:C6"/>
    <mergeCell ref="D6:E6"/>
    <mergeCell ref="F6:G6"/>
    <mergeCell ref="H6:I6"/>
  </mergeCells>
  <conditionalFormatting sqref="B18:I69">
    <cfRule type="expression" dxfId="0" priority="2">
      <formula>$G18="✔"</formula>
    </cfRule>
  </conditionalFormatting>
  <conditionalFormatting sqref="H18:H69">
    <cfRule type="dataBar" priority="3">
      <dataBar>
        <cfvo type="min"/>
        <cfvo type="max"/>
        <color rgb="FF0E4B54"/>
      </dataBar>
      <extLst>
        <ext xmlns:x14="http://schemas.microsoft.com/office/spreadsheetml/2009/9/main" uri="{B025F937-C7B1-47D3-B67F-A62EFF666E3E}">
          <x14:id>{70B0E0F9-AF43-4D87-937E-4C38E17D2DFC}</x14:id>
        </ext>
      </extLst>
    </cfRule>
  </conditionalFormatting>
  <dataValidations count="2">
    <dataValidation type="list" sqref="D7" xr:uid="{00000000-0002-0000-0000-000000000000}">
      <formula1>"Aufsteigend,Absteigend,Konstant"</formula1>
      <formula2>0</formula2>
    </dataValidation>
    <dataValidation type="list" allowBlank="1" sqref="G18:G69" xr:uid="{00000000-0002-0000-0000-000001000000}">
      <formula1>"✔"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0B0E0F9-AF43-4D87-937E-4C38E17D2DFC}">
            <x14:dataBar axisPosition="none">
              <x14:cfvo type="min"/>
              <x14:cfvo type="max"/>
              <x14:negativeFillColor rgb="FF0E4B54"/>
            </x14:dataBar>
          </x14:cfRule>
          <xm:sqref>H18:H69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0A02E"/>
  </sheetPr>
  <dimension ref="B1:E18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12" customWidth="1"/>
    <col min="3" max="5" width="13" customWidth="1"/>
    <col min="6" max="6" width="2.42578125" customWidth="1"/>
  </cols>
  <sheetData>
    <row r="1" spans="2:5" ht="19.5" customHeight="1" x14ac:dyDescent="0.25">
      <c r="B1" s="46" t="s">
        <v>29</v>
      </c>
      <c r="C1" s="46"/>
      <c r="D1" s="46"/>
      <c r="E1" s="46"/>
    </row>
    <row r="2" spans="2:5" ht="18" customHeight="1" x14ac:dyDescent="0.25">
      <c r="B2" s="46"/>
      <c r="C2" s="46"/>
      <c r="D2" s="46"/>
      <c r="E2" s="46"/>
    </row>
    <row r="3" spans="2:5" x14ac:dyDescent="0.25">
      <c r="B3" s="13" t="s">
        <v>30</v>
      </c>
      <c r="C3" s="13"/>
      <c r="D3" s="13"/>
      <c r="E3" s="13"/>
    </row>
    <row r="5" spans="2:5" ht="21.75" customHeight="1" x14ac:dyDescent="0.25">
      <c r="B5" s="34" t="s">
        <v>15</v>
      </c>
      <c r="C5" s="34" t="s">
        <v>31</v>
      </c>
      <c r="D5" s="34" t="s">
        <v>32</v>
      </c>
      <c r="E5" s="34" t="s">
        <v>33</v>
      </c>
    </row>
    <row r="6" spans="2:5" x14ac:dyDescent="0.25">
      <c r="B6" s="35" t="s">
        <v>34</v>
      </c>
      <c r="C6" s="36">
        <f>SUMIFS(Sparplan!$E$18:$E$69,Sparplan!$K$18:$K$69,1)</f>
        <v>10</v>
      </c>
      <c r="D6" s="36">
        <f>SUMIFS(Sparplan!$F$18:$F$69,Sparplan!$K$18:$K$69,1)</f>
        <v>12</v>
      </c>
      <c r="E6" s="37">
        <f t="shared" ref="E6:E17" si="0">D6-C6</f>
        <v>2</v>
      </c>
    </row>
    <row r="7" spans="2:5" x14ac:dyDescent="0.25">
      <c r="B7" s="38" t="s">
        <v>35</v>
      </c>
      <c r="C7" s="39">
        <f>SUMIFS(Sparplan!$E$18:$E$69,Sparplan!$K$18:$K$69,2)</f>
        <v>26</v>
      </c>
      <c r="D7" s="39">
        <f>SUMIFS(Sparplan!$F$18:$F$69,Sparplan!$K$18:$K$69,2)</f>
        <v>29</v>
      </c>
      <c r="E7" s="40">
        <f t="shared" si="0"/>
        <v>3</v>
      </c>
    </row>
    <row r="8" spans="2:5" x14ac:dyDescent="0.25">
      <c r="B8" s="35" t="s">
        <v>36</v>
      </c>
      <c r="C8" s="36">
        <f>SUMIFS(Sparplan!$E$18:$E$69,Sparplan!$K$18:$K$69,3)</f>
        <v>55</v>
      </c>
      <c r="D8" s="36">
        <f>SUMIFS(Sparplan!$F$18:$F$69,Sparplan!$K$18:$K$69,3)</f>
        <v>55</v>
      </c>
      <c r="E8" s="37">
        <f t="shared" si="0"/>
        <v>0</v>
      </c>
    </row>
    <row r="9" spans="2:5" x14ac:dyDescent="0.25">
      <c r="B9" s="38" t="s">
        <v>37</v>
      </c>
      <c r="C9" s="39">
        <f>SUMIFS(Sparplan!$E$18:$E$69,Sparplan!$K$18:$K$69,4)</f>
        <v>62</v>
      </c>
      <c r="D9" s="39">
        <f>SUMIFS(Sparplan!$F$18:$F$69,Sparplan!$K$18:$K$69,4)</f>
        <v>58</v>
      </c>
      <c r="E9" s="40">
        <f t="shared" si="0"/>
        <v>-4</v>
      </c>
    </row>
    <row r="10" spans="2:5" x14ac:dyDescent="0.25">
      <c r="B10" s="35" t="s">
        <v>38</v>
      </c>
      <c r="C10" s="36">
        <f>SUMIFS(Sparplan!$E$18:$E$69,Sparplan!$K$18:$K$69,5)</f>
        <v>78</v>
      </c>
      <c r="D10" s="36">
        <f>SUMIFS(Sparplan!$F$18:$F$69,Sparplan!$K$18:$K$69,5)</f>
        <v>20</v>
      </c>
      <c r="E10" s="37">
        <f t="shared" si="0"/>
        <v>-58</v>
      </c>
    </row>
    <row r="11" spans="2:5" x14ac:dyDescent="0.25">
      <c r="B11" s="38" t="s">
        <v>39</v>
      </c>
      <c r="C11" s="39">
        <f>SUMIFS(Sparplan!$E$18:$E$69,Sparplan!$K$18:$K$69,6)</f>
        <v>120</v>
      </c>
      <c r="D11" s="39">
        <f>SUMIFS(Sparplan!$F$18:$F$69,Sparplan!$K$18:$K$69,6)</f>
        <v>0</v>
      </c>
      <c r="E11" s="40">
        <f t="shared" si="0"/>
        <v>-120</v>
      </c>
    </row>
    <row r="12" spans="2:5" x14ac:dyDescent="0.25">
      <c r="B12" s="35" t="s">
        <v>40</v>
      </c>
      <c r="C12" s="36">
        <f>SUMIFS(Sparplan!$E$18:$E$69,Sparplan!$K$18:$K$69,7)</f>
        <v>114</v>
      </c>
      <c r="D12" s="36">
        <f>SUMIFS(Sparplan!$F$18:$F$69,Sparplan!$K$18:$K$69,7)</f>
        <v>0</v>
      </c>
      <c r="E12" s="37">
        <f t="shared" si="0"/>
        <v>-114</v>
      </c>
    </row>
    <row r="13" spans="2:5" x14ac:dyDescent="0.25">
      <c r="B13" s="38" t="s">
        <v>41</v>
      </c>
      <c r="C13" s="39">
        <f>SUMIFS(Sparplan!$E$18:$E$69,Sparplan!$K$18:$K$69,8)</f>
        <v>165</v>
      </c>
      <c r="D13" s="39">
        <f>SUMIFS(Sparplan!$F$18:$F$69,Sparplan!$K$18:$K$69,8)</f>
        <v>0</v>
      </c>
      <c r="E13" s="40">
        <f t="shared" si="0"/>
        <v>-165</v>
      </c>
    </row>
    <row r="14" spans="2:5" x14ac:dyDescent="0.25">
      <c r="B14" s="35" t="s">
        <v>42</v>
      </c>
      <c r="C14" s="36">
        <f>SUMIFS(Sparplan!$E$18:$E$69,Sparplan!$K$18:$K$69,9)</f>
        <v>150</v>
      </c>
      <c r="D14" s="36">
        <f>SUMIFS(Sparplan!$F$18:$F$69,Sparplan!$K$18:$K$69,9)</f>
        <v>0</v>
      </c>
      <c r="E14" s="37">
        <f t="shared" si="0"/>
        <v>-150</v>
      </c>
    </row>
    <row r="15" spans="2:5" x14ac:dyDescent="0.25">
      <c r="B15" s="38" t="s">
        <v>43</v>
      </c>
      <c r="C15" s="39">
        <f>SUMIFS(Sparplan!$E$18:$E$69,Sparplan!$K$18:$K$69,10)</f>
        <v>166</v>
      </c>
      <c r="D15" s="39">
        <f>SUMIFS(Sparplan!$F$18:$F$69,Sparplan!$K$18:$K$69,10)</f>
        <v>0</v>
      </c>
      <c r="E15" s="40">
        <f t="shared" si="0"/>
        <v>-166</v>
      </c>
    </row>
    <row r="16" spans="2:5" x14ac:dyDescent="0.25">
      <c r="B16" s="35" t="s">
        <v>44</v>
      </c>
      <c r="C16" s="36">
        <f>SUMIFS(Sparplan!$E$18:$E$69,Sparplan!$K$18:$K$69,11)</f>
        <v>230</v>
      </c>
      <c r="D16" s="36">
        <f>SUMIFS(Sparplan!$F$18:$F$69,Sparplan!$K$18:$K$69,11)</f>
        <v>0</v>
      </c>
      <c r="E16" s="37">
        <f t="shared" si="0"/>
        <v>-230</v>
      </c>
    </row>
    <row r="17" spans="2:5" x14ac:dyDescent="0.25">
      <c r="B17" s="38" t="s">
        <v>45</v>
      </c>
      <c r="C17" s="39">
        <f>SUMIFS(Sparplan!$E$18:$E$69,Sparplan!$K$18:$K$69,12)</f>
        <v>202</v>
      </c>
      <c r="D17" s="39">
        <f>SUMIFS(Sparplan!$F$18:$F$69,Sparplan!$K$18:$K$69,12)</f>
        <v>0</v>
      </c>
      <c r="E17" s="40">
        <f t="shared" si="0"/>
        <v>-202</v>
      </c>
    </row>
    <row r="18" spans="2:5" x14ac:dyDescent="0.25">
      <c r="B18" s="41" t="s">
        <v>46</v>
      </c>
      <c r="C18" s="42">
        <f>SUM(C6:C17)</f>
        <v>1378</v>
      </c>
      <c r="D18" s="42">
        <f>SUM(D6:D17)</f>
        <v>174</v>
      </c>
      <c r="E18" s="43">
        <f>SUM(E6:E17)</f>
        <v>-1204</v>
      </c>
    </row>
  </sheetData>
  <mergeCells count="2">
    <mergeCell ref="B1:E2"/>
    <mergeCell ref="B3:E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Sparplan</vt:lpstr>
      <vt:lpstr>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2026-07-18T09:34:40Z</dcterms:created>
  <dcterms:modified xsi:type="dcterms:W3CDTF">2026-07-18T09:38:48Z</dcterms:modified>
  <dc:language>en-US</dc:language>
</cp:coreProperties>
</file>