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4CE17F28-8429-4040-B394-9D827DB68DE2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Stammdaten" sheetId="1" r:id="rId1"/>
    <sheet name="Stundenerfassung" sheetId="2" r:id="rId2"/>
    <sheet name="Auswertung" sheetId="3" r:id="rId3"/>
  </sheets>
  <definedNames>
    <definedName name="_xlnm.Print_Titles" localSheetId="1">Stundenerfassung!$6:$7</definedName>
    <definedName name="Feiertage_Datum">Stammdaten!$F$57:$F$65</definedName>
    <definedName name="Mitarbeiter_Namen">Stammdaten!$B$23:$B$34</definedName>
    <definedName name="Mitarbeiter_Tabelle">Stammdaten!$B$23:$F$34</definedName>
    <definedName name="Pause_Standard">Stammdaten!$C$16</definedName>
    <definedName name="Projekt_Namen">Stammdaten!$C$39:$C$53</definedName>
    <definedName name="Projekt_Tabelle">Stammdaten!$B$39:$G$53</definedName>
    <definedName name="Soll_Tag">Stammdaten!$C$14</definedName>
    <definedName name="Status_Liste">Stammdaten!$D$57:$D$63</definedName>
    <definedName name="Taetigkeit_Liste">Stammdaten!$B$57:$B$67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7" i="3" l="1"/>
  <c r="D46" i="3"/>
  <c r="C46" i="3"/>
  <c r="C45" i="3"/>
  <c r="C44" i="3"/>
  <c r="C43" i="3"/>
  <c r="C42" i="3"/>
  <c r="C41" i="3"/>
  <c r="C35" i="3"/>
  <c r="G34" i="3"/>
  <c r="E34" i="3"/>
  <c r="C34" i="3"/>
  <c r="C33" i="3"/>
  <c r="C32" i="3"/>
  <c r="C31" i="3"/>
  <c r="C30" i="3"/>
  <c r="C29" i="3"/>
  <c r="C28" i="3"/>
  <c r="C27" i="3"/>
  <c r="F21" i="3"/>
  <c r="E21" i="3"/>
  <c r="D21" i="3"/>
  <c r="F20" i="3"/>
  <c r="E20" i="3"/>
  <c r="D20" i="3"/>
  <c r="F19" i="3"/>
  <c r="E19" i="3"/>
  <c r="D19" i="3"/>
  <c r="F18" i="3"/>
  <c r="E18" i="3"/>
  <c r="F17" i="3"/>
  <c r="E17" i="3"/>
  <c r="D17" i="3"/>
  <c r="F16" i="3"/>
  <c r="E16" i="3"/>
  <c r="E22" i="3" s="1"/>
  <c r="F11" i="3"/>
  <c r="F10" i="3"/>
  <c r="F6" i="3"/>
  <c r="M125" i="2"/>
  <c r="L125" i="2"/>
  <c r="N125" i="2" s="1"/>
  <c r="G125" i="2"/>
  <c r="E125" i="2"/>
  <c r="C125" i="2"/>
  <c r="A125" i="2"/>
  <c r="M124" i="2"/>
  <c r="L124" i="2"/>
  <c r="G124" i="2"/>
  <c r="E124" i="2"/>
  <c r="C124" i="2"/>
  <c r="A124" i="2"/>
  <c r="M123" i="2"/>
  <c r="L123" i="2"/>
  <c r="N123" i="2" s="1"/>
  <c r="G123" i="2"/>
  <c r="E123" i="2"/>
  <c r="C123" i="2"/>
  <c r="A123" i="2"/>
  <c r="M122" i="2"/>
  <c r="L122" i="2"/>
  <c r="N122" i="2" s="1"/>
  <c r="G122" i="2"/>
  <c r="E122" i="2"/>
  <c r="C122" i="2"/>
  <c r="A122" i="2"/>
  <c r="M121" i="2"/>
  <c r="L121" i="2"/>
  <c r="N121" i="2" s="1"/>
  <c r="G121" i="2"/>
  <c r="E121" i="2"/>
  <c r="C121" i="2"/>
  <c r="A121" i="2"/>
  <c r="M120" i="2"/>
  <c r="L120" i="2"/>
  <c r="G120" i="2"/>
  <c r="E120" i="2"/>
  <c r="C120" i="2"/>
  <c r="A120" i="2"/>
  <c r="M119" i="2"/>
  <c r="L119" i="2"/>
  <c r="N119" i="2" s="1"/>
  <c r="G119" i="2"/>
  <c r="E119" i="2"/>
  <c r="C119" i="2"/>
  <c r="A119" i="2"/>
  <c r="M118" i="2"/>
  <c r="L118" i="2"/>
  <c r="G118" i="2"/>
  <c r="E118" i="2"/>
  <c r="C118" i="2"/>
  <c r="A118" i="2"/>
  <c r="M117" i="2"/>
  <c r="L117" i="2"/>
  <c r="N117" i="2" s="1"/>
  <c r="G117" i="2"/>
  <c r="E117" i="2"/>
  <c r="C117" i="2"/>
  <c r="A117" i="2"/>
  <c r="M116" i="2"/>
  <c r="L116" i="2"/>
  <c r="N116" i="2" s="1"/>
  <c r="G116" i="2"/>
  <c r="E116" i="2"/>
  <c r="C116" i="2"/>
  <c r="A116" i="2"/>
  <c r="M115" i="2"/>
  <c r="L115" i="2"/>
  <c r="N115" i="2" s="1"/>
  <c r="G115" i="2"/>
  <c r="E115" i="2"/>
  <c r="C115" i="2"/>
  <c r="A115" i="2"/>
  <c r="M114" i="2"/>
  <c r="L114" i="2"/>
  <c r="G114" i="2"/>
  <c r="E114" i="2"/>
  <c r="C114" i="2"/>
  <c r="A114" i="2"/>
  <c r="M113" i="2"/>
  <c r="L113" i="2"/>
  <c r="N113" i="2" s="1"/>
  <c r="G113" i="2"/>
  <c r="E113" i="2"/>
  <c r="C113" i="2"/>
  <c r="A113" i="2"/>
  <c r="M112" i="2"/>
  <c r="L112" i="2"/>
  <c r="N112" i="2" s="1"/>
  <c r="G112" i="2"/>
  <c r="E112" i="2"/>
  <c r="C112" i="2"/>
  <c r="A112" i="2"/>
  <c r="M111" i="2"/>
  <c r="L111" i="2"/>
  <c r="N111" i="2" s="1"/>
  <c r="G111" i="2"/>
  <c r="E111" i="2"/>
  <c r="C111" i="2"/>
  <c r="A111" i="2"/>
  <c r="M110" i="2"/>
  <c r="L110" i="2"/>
  <c r="N110" i="2" s="1"/>
  <c r="G110" i="2"/>
  <c r="E110" i="2"/>
  <c r="C110" i="2"/>
  <c r="A110" i="2"/>
  <c r="M109" i="2"/>
  <c r="L109" i="2"/>
  <c r="N109" i="2" s="1"/>
  <c r="G109" i="2"/>
  <c r="E109" i="2"/>
  <c r="C109" i="2"/>
  <c r="A109" i="2"/>
  <c r="M108" i="2"/>
  <c r="L108" i="2"/>
  <c r="G108" i="2"/>
  <c r="E108" i="2"/>
  <c r="C108" i="2"/>
  <c r="A108" i="2"/>
  <c r="M107" i="2"/>
  <c r="L107" i="2"/>
  <c r="N107" i="2" s="1"/>
  <c r="G107" i="2"/>
  <c r="E107" i="2"/>
  <c r="C107" i="2"/>
  <c r="A107" i="2"/>
  <c r="M106" i="2"/>
  <c r="L106" i="2"/>
  <c r="N106" i="2" s="1"/>
  <c r="G106" i="2"/>
  <c r="E106" i="2"/>
  <c r="C106" i="2"/>
  <c r="A106" i="2"/>
  <c r="M105" i="2"/>
  <c r="L105" i="2"/>
  <c r="G105" i="2"/>
  <c r="E105" i="2"/>
  <c r="C105" i="2"/>
  <c r="A105" i="2"/>
  <c r="M104" i="2"/>
  <c r="L104" i="2"/>
  <c r="G104" i="2"/>
  <c r="E104" i="2"/>
  <c r="C104" i="2"/>
  <c r="A104" i="2"/>
  <c r="M103" i="2"/>
  <c r="L103" i="2"/>
  <c r="N103" i="2" s="1"/>
  <c r="G103" i="2"/>
  <c r="E103" i="2"/>
  <c r="C103" i="2"/>
  <c r="A103" i="2"/>
  <c r="M102" i="2"/>
  <c r="L102" i="2"/>
  <c r="G102" i="2"/>
  <c r="E102" i="2"/>
  <c r="C102" i="2"/>
  <c r="A102" i="2"/>
  <c r="M101" i="2"/>
  <c r="L101" i="2"/>
  <c r="G101" i="2"/>
  <c r="E101" i="2"/>
  <c r="C101" i="2"/>
  <c r="A101" i="2"/>
  <c r="M100" i="2"/>
  <c r="L100" i="2"/>
  <c r="G100" i="2"/>
  <c r="E100" i="2"/>
  <c r="C100" i="2"/>
  <c r="A100" i="2"/>
  <c r="M99" i="2"/>
  <c r="L99" i="2"/>
  <c r="N99" i="2" s="1"/>
  <c r="G99" i="2"/>
  <c r="E99" i="2"/>
  <c r="C99" i="2"/>
  <c r="A99" i="2"/>
  <c r="M98" i="2"/>
  <c r="L98" i="2"/>
  <c r="G98" i="2"/>
  <c r="E98" i="2"/>
  <c r="C98" i="2"/>
  <c r="A98" i="2"/>
  <c r="M97" i="2"/>
  <c r="L97" i="2"/>
  <c r="N97" i="2" s="1"/>
  <c r="G97" i="2"/>
  <c r="E97" i="2"/>
  <c r="C97" i="2"/>
  <c r="A97" i="2"/>
  <c r="M96" i="2"/>
  <c r="L96" i="2"/>
  <c r="N96" i="2" s="1"/>
  <c r="G96" i="2"/>
  <c r="E96" i="2"/>
  <c r="C96" i="2"/>
  <c r="A96" i="2"/>
  <c r="M95" i="2"/>
  <c r="L95" i="2"/>
  <c r="N95" i="2" s="1"/>
  <c r="G95" i="2"/>
  <c r="E95" i="2"/>
  <c r="C95" i="2"/>
  <c r="A95" i="2"/>
  <c r="M94" i="2"/>
  <c r="L94" i="2"/>
  <c r="G94" i="2"/>
  <c r="E94" i="2"/>
  <c r="C94" i="2"/>
  <c r="A94" i="2"/>
  <c r="M93" i="2"/>
  <c r="L93" i="2"/>
  <c r="N93" i="2" s="1"/>
  <c r="G93" i="2"/>
  <c r="E93" i="2"/>
  <c r="C93" i="2"/>
  <c r="A93" i="2"/>
  <c r="M92" i="2"/>
  <c r="L92" i="2"/>
  <c r="N92" i="2" s="1"/>
  <c r="G92" i="2"/>
  <c r="E92" i="2"/>
  <c r="C92" i="2"/>
  <c r="A92" i="2"/>
  <c r="M91" i="2"/>
  <c r="L91" i="2"/>
  <c r="N91" i="2" s="1"/>
  <c r="G91" i="2"/>
  <c r="E91" i="2"/>
  <c r="C91" i="2"/>
  <c r="A91" i="2"/>
  <c r="M90" i="2"/>
  <c r="L90" i="2"/>
  <c r="N90" i="2" s="1"/>
  <c r="G90" i="2"/>
  <c r="E90" i="2"/>
  <c r="C90" i="2"/>
  <c r="A90" i="2"/>
  <c r="M89" i="2"/>
  <c r="L89" i="2"/>
  <c r="N89" i="2" s="1"/>
  <c r="G89" i="2"/>
  <c r="E89" i="2"/>
  <c r="C89" i="2"/>
  <c r="A89" i="2"/>
  <c r="M88" i="2"/>
  <c r="L88" i="2"/>
  <c r="G88" i="2"/>
  <c r="E88" i="2"/>
  <c r="C88" i="2"/>
  <c r="A88" i="2"/>
  <c r="M87" i="2"/>
  <c r="L87" i="2"/>
  <c r="N87" i="2" s="1"/>
  <c r="G87" i="2"/>
  <c r="E87" i="2"/>
  <c r="C87" i="2"/>
  <c r="A87" i="2"/>
  <c r="M86" i="2"/>
  <c r="L86" i="2"/>
  <c r="N86" i="2" s="1"/>
  <c r="G86" i="2"/>
  <c r="E86" i="2"/>
  <c r="C86" i="2"/>
  <c r="A86" i="2"/>
  <c r="M85" i="2"/>
  <c r="L85" i="2"/>
  <c r="G85" i="2"/>
  <c r="E85" i="2"/>
  <c r="C85" i="2"/>
  <c r="A85" i="2"/>
  <c r="M84" i="2"/>
  <c r="L84" i="2"/>
  <c r="G84" i="2"/>
  <c r="E84" i="2"/>
  <c r="C84" i="2"/>
  <c r="A84" i="2"/>
  <c r="M83" i="2"/>
  <c r="L83" i="2"/>
  <c r="N83" i="2" s="1"/>
  <c r="G83" i="2"/>
  <c r="E83" i="2"/>
  <c r="C83" i="2"/>
  <c r="A83" i="2"/>
  <c r="M82" i="2"/>
  <c r="L82" i="2"/>
  <c r="N82" i="2" s="1"/>
  <c r="G82" i="2"/>
  <c r="E82" i="2"/>
  <c r="C82" i="2"/>
  <c r="A82" i="2"/>
  <c r="M81" i="2"/>
  <c r="L81" i="2"/>
  <c r="N81" i="2" s="1"/>
  <c r="G81" i="2"/>
  <c r="E81" i="2"/>
  <c r="C81" i="2"/>
  <c r="A81" i="2"/>
  <c r="M80" i="2"/>
  <c r="L80" i="2"/>
  <c r="G80" i="2"/>
  <c r="E80" i="2"/>
  <c r="C80" i="2"/>
  <c r="A80" i="2"/>
  <c r="M79" i="2"/>
  <c r="L79" i="2"/>
  <c r="G79" i="2"/>
  <c r="E79" i="2"/>
  <c r="C79" i="2"/>
  <c r="A79" i="2"/>
  <c r="M78" i="2"/>
  <c r="L78" i="2"/>
  <c r="G78" i="2"/>
  <c r="E78" i="2"/>
  <c r="C78" i="2"/>
  <c r="A78" i="2"/>
  <c r="M77" i="2"/>
  <c r="L77" i="2"/>
  <c r="N77" i="2" s="1"/>
  <c r="G77" i="2"/>
  <c r="E77" i="2"/>
  <c r="C77" i="2"/>
  <c r="A77" i="2"/>
  <c r="M76" i="2"/>
  <c r="L76" i="2"/>
  <c r="N76" i="2" s="1"/>
  <c r="G76" i="2"/>
  <c r="E76" i="2"/>
  <c r="C76" i="2"/>
  <c r="A76" i="2"/>
  <c r="M75" i="2"/>
  <c r="L75" i="2"/>
  <c r="N75" i="2" s="1"/>
  <c r="G75" i="2"/>
  <c r="E75" i="2"/>
  <c r="C75" i="2"/>
  <c r="M74" i="2"/>
  <c r="L74" i="2"/>
  <c r="N74" i="2" s="1"/>
  <c r="G74" i="2"/>
  <c r="E74" i="2"/>
  <c r="C74" i="2"/>
  <c r="M73" i="2"/>
  <c r="L73" i="2"/>
  <c r="N73" i="2" s="1"/>
  <c r="G73" i="2"/>
  <c r="E73" i="2"/>
  <c r="C73" i="2"/>
  <c r="M72" i="2"/>
  <c r="L72" i="2"/>
  <c r="N72" i="2" s="1"/>
  <c r="G72" i="2"/>
  <c r="E72" i="2"/>
  <c r="C72" i="2"/>
  <c r="M71" i="2"/>
  <c r="L71" i="2"/>
  <c r="N71" i="2" s="1"/>
  <c r="G71" i="2"/>
  <c r="E71" i="2"/>
  <c r="C71" i="2"/>
  <c r="M70" i="2"/>
  <c r="L70" i="2"/>
  <c r="G70" i="2"/>
  <c r="E70" i="2"/>
  <c r="C70" i="2"/>
  <c r="M69" i="2"/>
  <c r="L69" i="2"/>
  <c r="N69" i="2" s="1"/>
  <c r="G69" i="2"/>
  <c r="E69" i="2"/>
  <c r="C69" i="2"/>
  <c r="M68" i="2"/>
  <c r="L68" i="2"/>
  <c r="N68" i="2" s="1"/>
  <c r="G68" i="2"/>
  <c r="E68" i="2"/>
  <c r="C68" i="2"/>
  <c r="M67" i="2"/>
  <c r="L67" i="2"/>
  <c r="N67" i="2" s="1"/>
  <c r="G67" i="2"/>
  <c r="E67" i="2"/>
  <c r="C67" i="2"/>
  <c r="M66" i="2"/>
  <c r="L66" i="2"/>
  <c r="N66" i="2" s="1"/>
  <c r="G66" i="2"/>
  <c r="E66" i="2"/>
  <c r="C66" i="2"/>
  <c r="M65" i="2"/>
  <c r="L65" i="2"/>
  <c r="N65" i="2" s="1"/>
  <c r="G65" i="2"/>
  <c r="E65" i="2"/>
  <c r="C65" i="2"/>
  <c r="M64" i="2"/>
  <c r="L64" i="2"/>
  <c r="N64" i="2" s="1"/>
  <c r="G64" i="2"/>
  <c r="E64" i="2"/>
  <c r="C64" i="2"/>
  <c r="M63" i="2"/>
  <c r="L63" i="2"/>
  <c r="N63" i="2" s="1"/>
  <c r="G63" i="2"/>
  <c r="E63" i="2"/>
  <c r="C63" i="2"/>
  <c r="M62" i="2"/>
  <c r="L62" i="2"/>
  <c r="N62" i="2" s="1"/>
  <c r="G62" i="2"/>
  <c r="E62" i="2"/>
  <c r="C62" i="2"/>
  <c r="M61" i="2"/>
  <c r="L61" i="2"/>
  <c r="N61" i="2" s="1"/>
  <c r="G61" i="2"/>
  <c r="E61" i="2"/>
  <c r="C61" i="2"/>
  <c r="M60" i="2"/>
  <c r="L60" i="2"/>
  <c r="G60" i="2"/>
  <c r="E60" i="2"/>
  <c r="C60" i="2"/>
  <c r="M59" i="2"/>
  <c r="L59" i="2"/>
  <c r="N59" i="2" s="1"/>
  <c r="G59" i="2"/>
  <c r="E59" i="2"/>
  <c r="C59" i="2"/>
  <c r="M58" i="2"/>
  <c r="L58" i="2"/>
  <c r="N58" i="2" s="1"/>
  <c r="G58" i="2"/>
  <c r="E58" i="2"/>
  <c r="C58" i="2"/>
  <c r="M57" i="2"/>
  <c r="L57" i="2"/>
  <c r="N57" i="2" s="1"/>
  <c r="G57" i="2"/>
  <c r="E57" i="2"/>
  <c r="C57" i="2"/>
  <c r="M56" i="2"/>
  <c r="L56" i="2"/>
  <c r="N56" i="2" s="1"/>
  <c r="G56" i="2"/>
  <c r="E56" i="2"/>
  <c r="C56" i="2"/>
  <c r="M55" i="2"/>
  <c r="L55" i="2"/>
  <c r="N55" i="2" s="1"/>
  <c r="G55" i="2"/>
  <c r="E55" i="2"/>
  <c r="C55" i="2"/>
  <c r="M54" i="2"/>
  <c r="L54" i="2"/>
  <c r="N54" i="2" s="1"/>
  <c r="G54" i="2"/>
  <c r="E54" i="2"/>
  <c r="C54" i="2"/>
  <c r="M53" i="2"/>
  <c r="L53" i="2"/>
  <c r="N53" i="2" s="1"/>
  <c r="G53" i="2"/>
  <c r="E53" i="2"/>
  <c r="C53" i="2"/>
  <c r="M52" i="2"/>
  <c r="L52" i="2"/>
  <c r="D18" i="3" s="1"/>
  <c r="G52" i="2"/>
  <c r="E52" i="2"/>
  <c r="C52" i="2"/>
  <c r="M51" i="2"/>
  <c r="L51" i="2"/>
  <c r="N51" i="2" s="1"/>
  <c r="G51" i="2"/>
  <c r="E51" i="2"/>
  <c r="C51" i="2"/>
  <c r="M50" i="2"/>
  <c r="L50" i="2"/>
  <c r="G50" i="2"/>
  <c r="E50" i="2"/>
  <c r="C50" i="2"/>
  <c r="M49" i="2"/>
  <c r="L49" i="2"/>
  <c r="N49" i="2" s="1"/>
  <c r="G49" i="2"/>
  <c r="E49" i="2"/>
  <c r="C49" i="2"/>
  <c r="M48" i="2"/>
  <c r="L48" i="2"/>
  <c r="N48" i="2" s="1"/>
  <c r="G48" i="2"/>
  <c r="E48" i="2"/>
  <c r="C48" i="2"/>
  <c r="M47" i="2"/>
  <c r="L47" i="2"/>
  <c r="N47" i="2" s="1"/>
  <c r="G47" i="2"/>
  <c r="E47" i="2"/>
  <c r="C47" i="2"/>
  <c r="M46" i="2"/>
  <c r="L46" i="2"/>
  <c r="N46" i="2" s="1"/>
  <c r="G46" i="2"/>
  <c r="E46" i="2"/>
  <c r="C46" i="2"/>
  <c r="M45" i="2"/>
  <c r="L45" i="2"/>
  <c r="N45" i="2" s="1"/>
  <c r="G45" i="2"/>
  <c r="E45" i="2"/>
  <c r="C45" i="2"/>
  <c r="M44" i="2"/>
  <c r="L44" i="2"/>
  <c r="N44" i="2" s="1"/>
  <c r="G44" i="2"/>
  <c r="E44" i="2"/>
  <c r="C44" i="2"/>
  <c r="M43" i="2"/>
  <c r="L43" i="2"/>
  <c r="G43" i="2"/>
  <c r="E43" i="2"/>
  <c r="C43" i="2"/>
  <c r="M42" i="2"/>
  <c r="L42" i="2"/>
  <c r="N42" i="2" s="1"/>
  <c r="G42" i="2"/>
  <c r="E42" i="2"/>
  <c r="C42" i="2"/>
  <c r="M41" i="2"/>
  <c r="L41" i="2"/>
  <c r="N41" i="2" s="1"/>
  <c r="G41" i="2"/>
  <c r="E41" i="2"/>
  <c r="C41" i="2"/>
  <c r="M40" i="2"/>
  <c r="L40" i="2"/>
  <c r="G40" i="2"/>
  <c r="E40" i="2"/>
  <c r="C40" i="2"/>
  <c r="M39" i="2"/>
  <c r="L39" i="2"/>
  <c r="N39" i="2" s="1"/>
  <c r="G39" i="2"/>
  <c r="E39" i="2"/>
  <c r="C39" i="2"/>
  <c r="M38" i="2"/>
  <c r="L38" i="2"/>
  <c r="N38" i="2" s="1"/>
  <c r="G38" i="2"/>
  <c r="E38" i="2"/>
  <c r="C38" i="2"/>
  <c r="M37" i="2"/>
  <c r="L37" i="2"/>
  <c r="G37" i="2"/>
  <c r="E37" i="2"/>
  <c r="C37" i="2"/>
  <c r="M36" i="2"/>
  <c r="L36" i="2"/>
  <c r="N36" i="2" s="1"/>
  <c r="G36" i="2"/>
  <c r="E36" i="2"/>
  <c r="C36" i="2"/>
  <c r="M35" i="2"/>
  <c r="L35" i="2"/>
  <c r="N35" i="2" s="1"/>
  <c r="G35" i="2"/>
  <c r="E35" i="2"/>
  <c r="C35" i="2"/>
  <c r="M34" i="2"/>
  <c r="L34" i="2"/>
  <c r="N34" i="2" s="1"/>
  <c r="G34" i="2"/>
  <c r="E34" i="2"/>
  <c r="C34" i="2"/>
  <c r="M33" i="2"/>
  <c r="L33" i="2"/>
  <c r="G33" i="2"/>
  <c r="E33" i="2"/>
  <c r="C33" i="2"/>
  <c r="M32" i="2"/>
  <c r="L32" i="2"/>
  <c r="N32" i="2" s="1"/>
  <c r="G32" i="2"/>
  <c r="E32" i="2"/>
  <c r="C32" i="2"/>
  <c r="M31" i="2"/>
  <c r="L31" i="2"/>
  <c r="N31" i="2" s="1"/>
  <c r="G31" i="2"/>
  <c r="E31" i="2"/>
  <c r="C31" i="2"/>
  <c r="M30" i="2"/>
  <c r="L30" i="2"/>
  <c r="G30" i="2"/>
  <c r="E30" i="2"/>
  <c r="C30" i="2"/>
  <c r="M29" i="2"/>
  <c r="L29" i="2"/>
  <c r="G29" i="2"/>
  <c r="E29" i="2"/>
  <c r="C29" i="2"/>
  <c r="M28" i="2"/>
  <c r="L28" i="2"/>
  <c r="G28" i="2"/>
  <c r="E28" i="2"/>
  <c r="C28" i="2"/>
  <c r="M27" i="2"/>
  <c r="L27" i="2"/>
  <c r="N27" i="2" s="1"/>
  <c r="G27" i="2"/>
  <c r="E27" i="2"/>
  <c r="C27" i="2"/>
  <c r="M26" i="2"/>
  <c r="L26" i="2"/>
  <c r="N26" i="2" s="1"/>
  <c r="G26" i="2"/>
  <c r="E26" i="2"/>
  <c r="C26" i="2"/>
  <c r="M25" i="2"/>
  <c r="L25" i="2"/>
  <c r="G25" i="2"/>
  <c r="E25" i="2"/>
  <c r="C25" i="2"/>
  <c r="M24" i="2"/>
  <c r="L24" i="2"/>
  <c r="N24" i="2" s="1"/>
  <c r="G24" i="2"/>
  <c r="E24" i="2"/>
  <c r="C24" i="2"/>
  <c r="M23" i="2"/>
  <c r="L23" i="2"/>
  <c r="G23" i="2"/>
  <c r="E23" i="2"/>
  <c r="C23" i="2"/>
  <c r="M22" i="2"/>
  <c r="L22" i="2"/>
  <c r="N22" i="2" s="1"/>
  <c r="G22" i="2"/>
  <c r="E22" i="2"/>
  <c r="C22" i="2"/>
  <c r="M21" i="2"/>
  <c r="L21" i="2"/>
  <c r="G21" i="2"/>
  <c r="E21" i="2"/>
  <c r="C21" i="2"/>
  <c r="M20" i="2"/>
  <c r="L20" i="2"/>
  <c r="G20" i="2"/>
  <c r="E20" i="2"/>
  <c r="C20" i="2"/>
  <c r="M19" i="2"/>
  <c r="L19" i="2"/>
  <c r="N19" i="2" s="1"/>
  <c r="G19" i="2"/>
  <c r="E19" i="2"/>
  <c r="C19" i="2"/>
  <c r="M18" i="2"/>
  <c r="L18" i="2"/>
  <c r="N18" i="2" s="1"/>
  <c r="G18" i="2"/>
  <c r="E18" i="2"/>
  <c r="C18" i="2"/>
  <c r="M17" i="2"/>
  <c r="L17" i="2"/>
  <c r="G17" i="2"/>
  <c r="E17" i="2"/>
  <c r="C17" i="2"/>
  <c r="M16" i="2"/>
  <c r="L16" i="2"/>
  <c r="N16" i="2" s="1"/>
  <c r="G16" i="2"/>
  <c r="E16" i="2"/>
  <c r="C16" i="2"/>
  <c r="M15" i="2"/>
  <c r="L15" i="2"/>
  <c r="G15" i="2"/>
  <c r="E15" i="2"/>
  <c r="C15" i="2"/>
  <c r="M14" i="2"/>
  <c r="L14" i="2"/>
  <c r="N14" i="2" s="1"/>
  <c r="G14" i="2"/>
  <c r="E14" i="2"/>
  <c r="C14" i="2"/>
  <c r="M13" i="2"/>
  <c r="L13" i="2"/>
  <c r="G13" i="2"/>
  <c r="E13" i="2"/>
  <c r="C13" i="2"/>
  <c r="M12" i="2"/>
  <c r="L12" i="2"/>
  <c r="N12" i="2" s="1"/>
  <c r="G12" i="2"/>
  <c r="E12" i="2"/>
  <c r="C12" i="2"/>
  <c r="M11" i="2"/>
  <c r="L11" i="2"/>
  <c r="N11" i="2" s="1"/>
  <c r="G11" i="2"/>
  <c r="E11" i="2"/>
  <c r="C11" i="2"/>
  <c r="M10" i="2"/>
  <c r="L10" i="2"/>
  <c r="G10" i="2"/>
  <c r="E10" i="2"/>
  <c r="C10" i="2"/>
  <c r="M9" i="2"/>
  <c r="L9" i="2"/>
  <c r="N9" i="2" s="1"/>
  <c r="G9" i="2"/>
  <c r="E9" i="2"/>
  <c r="C9" i="2"/>
  <c r="M8" i="2"/>
  <c r="L8" i="2"/>
  <c r="G8" i="2"/>
  <c r="E8" i="2"/>
  <c r="C8" i="2"/>
  <c r="L4" i="2"/>
  <c r="H4" i="2"/>
  <c r="C4" i="2"/>
  <c r="N84" i="2" l="1"/>
  <c r="N94" i="2"/>
  <c r="N104" i="2"/>
  <c r="N114" i="2"/>
  <c r="N124" i="2"/>
  <c r="N101" i="2"/>
  <c r="G29" i="3"/>
  <c r="N33" i="2"/>
  <c r="N102" i="2"/>
  <c r="C21" i="3"/>
  <c r="N78" i="2"/>
  <c r="N88" i="2"/>
  <c r="N98" i="2"/>
  <c r="N108" i="2"/>
  <c r="E31" i="3"/>
  <c r="N13" i="2"/>
  <c r="C18" i="3"/>
  <c r="N85" i="2"/>
  <c r="N118" i="2"/>
  <c r="N10" i="2"/>
  <c r="G17" i="3" s="1"/>
  <c r="N30" i="2"/>
  <c r="F22" i="3"/>
  <c r="D44" i="3"/>
  <c r="N23" i="2"/>
  <c r="N70" i="2"/>
  <c r="G21" i="3" s="1"/>
  <c r="N120" i="2"/>
  <c r="N43" i="2"/>
  <c r="L127" i="2"/>
  <c r="E33" i="3"/>
  <c r="D16" i="3"/>
  <c r="D22" i="3" s="1"/>
  <c r="N60" i="2"/>
  <c r="G20" i="3" s="1"/>
  <c r="C17" i="3"/>
  <c r="N80" i="2"/>
  <c r="N50" i="2"/>
  <c r="E30" i="3"/>
  <c r="N100" i="2"/>
  <c r="N20" i="2"/>
  <c r="N40" i="2"/>
  <c r="D47" i="3"/>
  <c r="N25" i="2"/>
  <c r="N29" i="2"/>
  <c r="N79" i="2"/>
  <c r="N105" i="2"/>
  <c r="G32" i="3"/>
  <c r="N8" i="2"/>
  <c r="N28" i="2"/>
  <c r="N17" i="2"/>
  <c r="N37" i="2"/>
  <c r="D41" i="3"/>
  <c r="F7" i="3"/>
  <c r="C19" i="3"/>
  <c r="F8" i="3"/>
  <c r="E27" i="3"/>
  <c r="E32" i="3"/>
  <c r="D42" i="3"/>
  <c r="C16" i="3"/>
  <c r="C20" i="3"/>
  <c r="E28" i="3"/>
  <c r="D43" i="3"/>
  <c r="N15" i="2"/>
  <c r="E29" i="3"/>
  <c r="D45" i="3"/>
  <c r="N21" i="2"/>
  <c r="N52" i="2"/>
  <c r="E35" i="3"/>
  <c r="G33" i="3" l="1"/>
  <c r="G28" i="3"/>
  <c r="E44" i="3"/>
  <c r="G31" i="3"/>
  <c r="G27" i="3"/>
  <c r="G18" i="3"/>
  <c r="F29" i="3"/>
  <c r="C22" i="3"/>
  <c r="E45" i="3"/>
  <c r="F33" i="3"/>
  <c r="E47" i="3"/>
  <c r="F35" i="3"/>
  <c r="N127" i="2"/>
  <c r="G35" i="3"/>
  <c r="G30" i="3"/>
  <c r="G19" i="3"/>
  <c r="E46" i="3"/>
  <c r="E43" i="3"/>
  <c r="F9" i="3"/>
  <c r="E42" i="3"/>
  <c r="F32" i="3"/>
  <c r="F30" i="3"/>
  <c r="G16" i="3"/>
  <c r="E36" i="3"/>
  <c r="F27" i="3"/>
  <c r="F31" i="3"/>
  <c r="F34" i="3"/>
  <c r="F28" i="3"/>
  <c r="E41" i="3"/>
  <c r="G36" i="3" l="1"/>
  <c r="G22" i="3"/>
</calcChain>
</file>

<file path=xl/sharedStrings.xml><?xml version="1.0" encoding="utf-8"?>
<sst xmlns="http://schemas.openxmlformats.org/spreadsheetml/2006/main" count="580" uniqueCount="228">
  <si>
    <t>STAMMDATEN</t>
  </si>
  <si>
    <t>Zentrale Datenbasis für die Zeiterfassung – Geschäftsjahr 2026</t>
  </si>
  <si>
    <t>1. FIRMENDATEN</t>
  </si>
  <si>
    <t>Firma</t>
  </si>
  <si>
    <t>Hoffmann Handwerk GmbH</t>
  </si>
  <si>
    <t>Anschrift</t>
  </si>
  <si>
    <t>Industrieweg 24, 30559 Hannover</t>
  </si>
  <si>
    <t>Telefon</t>
  </si>
  <si>
    <t>+49 511 987 65 43</t>
  </si>
  <si>
    <t>E-Mail</t>
  </si>
  <si>
    <t>kontakt@hoffmann-handwerk.de</t>
  </si>
  <si>
    <t>Steuernummer</t>
  </si>
  <si>
    <t>25/142/87654</t>
  </si>
  <si>
    <t>Geschäftsjahr</t>
  </si>
  <si>
    <t>2. EINSTELLUNGEN</t>
  </si>
  <si>
    <t>Tägliche Sollarbeitszeit (Std.)</t>
  </si>
  <si>
    <t>Wöchentliche Sollarbeitszeit (Std.)</t>
  </si>
  <si>
    <t>Standard-Pausenzeit (Min.)</t>
  </si>
  <si>
    <t>Überstundenzuschlag</t>
  </si>
  <si>
    <t>Standard-Stundensatz Kunde (€/h)</t>
  </si>
  <si>
    <t>3. MITARBEITER</t>
  </si>
  <si>
    <t>Name</t>
  </si>
  <si>
    <t>Personal-Nr.</t>
  </si>
  <si>
    <t>Position</t>
  </si>
  <si>
    <t>Lohn (€/h)</t>
  </si>
  <si>
    <t>Aktiv</t>
  </si>
  <si>
    <t>Thomas Berger</t>
  </si>
  <si>
    <t>P-001</t>
  </si>
  <si>
    <t>Vorarbeiter</t>
  </si>
  <si>
    <t>Ja</t>
  </si>
  <si>
    <t>Sarah Lehmann</t>
  </si>
  <si>
    <t>P-002</t>
  </si>
  <si>
    <t>Gesellin</t>
  </si>
  <si>
    <t>Daniel Krüger</t>
  </si>
  <si>
    <t>P-003</t>
  </si>
  <si>
    <t>Geselle</t>
  </si>
  <si>
    <t>Markus Wolff</t>
  </si>
  <si>
    <t>P-004</t>
  </si>
  <si>
    <t>Julia Hoffmann</t>
  </si>
  <si>
    <t>P-005</t>
  </si>
  <si>
    <t>Auszubildende</t>
  </si>
  <si>
    <t>Andreas Schmidt</t>
  </si>
  <si>
    <t>P-006</t>
  </si>
  <si>
    <t>4. PROJEKTE / KUNDEN</t>
  </si>
  <si>
    <t>Projekt-Nr.</t>
  </si>
  <si>
    <t>Projektbezeichnung</t>
  </si>
  <si>
    <t>Kunde</t>
  </si>
  <si>
    <t>Kundensatz (€/h)</t>
  </si>
  <si>
    <t>Status</t>
  </si>
  <si>
    <t>A-2026-001</t>
  </si>
  <si>
    <t>Sanierung Wohnhaus Schulze</t>
  </si>
  <si>
    <t>Familie Schulze</t>
  </si>
  <si>
    <t>Berliner Allee 47, 30175 Hannover</t>
  </si>
  <si>
    <t>A-2026-002</t>
  </si>
  <si>
    <t>Neubau Bürogebäude Krause</t>
  </si>
  <si>
    <t>Krause Immobilien GmbH</t>
  </si>
  <si>
    <t>Hauptstraße 12, 30159 Hannover</t>
  </si>
  <si>
    <t>A-2026-003</t>
  </si>
  <si>
    <t>Modernisierung Verwaltungstrakt</t>
  </si>
  <si>
    <t>Stadtwerke Region Süd</t>
  </si>
  <si>
    <t>Marktplatz 3, 31135 Hildesheim</t>
  </si>
  <si>
    <t>A-2026-004</t>
  </si>
  <si>
    <t>Renovierung Arztpraxis</t>
  </si>
  <si>
    <t>Dr. med. Susanne Becker</t>
  </si>
  <si>
    <t>Lindenweg 8, 30519 Hannover</t>
  </si>
  <si>
    <t>A-2026-005</t>
  </si>
  <si>
    <t>Umbau Café am Markt</t>
  </si>
  <si>
    <t>Friedrich Gastro GmbH</t>
  </si>
  <si>
    <t>Bahnhofstr. 22, 30161 Hannover</t>
  </si>
  <si>
    <t>A-2026-006</t>
  </si>
  <si>
    <t>Wartungsvertrag Hausverwaltung</t>
  </si>
  <si>
    <t>Lehmann Hausverwaltung KG</t>
  </si>
  <si>
    <t>Wiesenstr. 5, 30627 Hannover</t>
  </si>
  <si>
    <t>A-2026-007</t>
  </si>
  <si>
    <t>Dachstuhl Neubau Bauer</t>
  </si>
  <si>
    <t>Bauer GbR</t>
  </si>
  <si>
    <t>Eichenallee 31, 30989 Gehrden</t>
  </si>
  <si>
    <t>A-2026-008</t>
  </si>
  <si>
    <t>Innenausbau Therapiepraxis</t>
  </si>
  <si>
    <t>Wagner Therapie GbR</t>
  </si>
  <si>
    <t>Heinrichstr. 12, 30171 Hannover</t>
  </si>
  <si>
    <t>Geplant</t>
  </si>
  <si>
    <t>INTERN</t>
  </si>
  <si>
    <t>Interne Arbeiten / Werkstatt</t>
  </si>
  <si>
    <t>–</t>
  </si>
  <si>
    <t>5. TÄTIGKEITSARTEN</t>
  </si>
  <si>
    <t>6. STATUS</t>
  </si>
  <si>
    <t>7. FEIERTAGE 2026 (bundesweit)</t>
  </si>
  <si>
    <t>Bezeichnung</t>
  </si>
  <si>
    <t>Beschreibung</t>
  </si>
  <si>
    <t>Datum</t>
  </si>
  <si>
    <t>Montage</t>
  </si>
  <si>
    <t>Arbeit</t>
  </si>
  <si>
    <t>Reguläre Arbeitszeit</t>
  </si>
  <si>
    <t>Neujahr</t>
  </si>
  <si>
    <t>Demontage</t>
  </si>
  <si>
    <t>Überstd.</t>
  </si>
  <si>
    <t>Überstunden</t>
  </si>
  <si>
    <t>Karfreitag</t>
  </si>
  <si>
    <t>Reparatur</t>
  </si>
  <si>
    <t>Urlaub</t>
  </si>
  <si>
    <t>Bezahlter Urlaubstag</t>
  </si>
  <si>
    <t>Ostermontag</t>
  </si>
  <si>
    <t>Wartung</t>
  </si>
  <si>
    <t>Krank</t>
  </si>
  <si>
    <t>Arbeitsunfähigkeit</t>
  </si>
  <si>
    <t>Tag der Arbeit</t>
  </si>
  <si>
    <t>Anfahrt / Fahrzeit</t>
  </si>
  <si>
    <t>Feiertag</t>
  </si>
  <si>
    <t>Gesetzlicher Feiertag</t>
  </si>
  <si>
    <t>Christi Himmelfahrt</t>
  </si>
  <si>
    <t>Beratung / Aufmaß</t>
  </si>
  <si>
    <t>Frei</t>
  </si>
  <si>
    <t>Unbezahlter Freitag / Abbau</t>
  </si>
  <si>
    <t>Pfingstmontag</t>
  </si>
  <si>
    <t>Materialeinkauf</t>
  </si>
  <si>
    <t>Schulung</t>
  </si>
  <si>
    <t>Fortbildung / Lehrgang</t>
  </si>
  <si>
    <t>Tag der Deutschen Einheit</t>
  </si>
  <si>
    <t>Vorbereitung</t>
  </si>
  <si>
    <t>1. Weihnachtstag</t>
  </si>
  <si>
    <t>Reinigung / Aufräumen</t>
  </si>
  <si>
    <t>2. Weihnachtstag</t>
  </si>
  <si>
    <t>Sonstiges</t>
  </si>
  <si>
    <t>ℹ  HINWEIS</t>
  </si>
  <si>
    <t>Diese Stammdaten dienen als Grundlage für die Stundenerfassung. Änderungen an Mitarbeitern, Projekten oder Tarifen werden automatisch in der Tabelle "Stundenerfassung" über Dropdowns und Formeln berücksichtigt. Pflichtangaben pro Stundenzettel gemäß ArbZG/MiLoG: Name, Datum, Beginn, Ende, Pausen, Gesamtdauer – im Handwerk ergänzt um Projekt/Arbeitsort und Tätigkeit. Aufbewahrungsfrist: mind. 2 Jahre.</t>
  </si>
  <si>
    <t>Tägliche Arbeitszeiterfassung mit Projekt- und Tätigkeitsbezug – Beträge und Stunden werden automatisch berechnet.</t>
  </si>
  <si>
    <t>Firma:</t>
  </si>
  <si>
    <t>Geschäftsjahr:</t>
  </si>
  <si>
    <t>Erfassungsstand:</t>
  </si>
  <si>
    <t>Legende:</t>
  </si>
  <si>
    <t>Wochenende</t>
  </si>
  <si>
    <t>Auto. berechnet</t>
  </si>
  <si>
    <t>Nr.</t>
  </si>
  <si>
    <t>WT</t>
  </si>
  <si>
    <t>Mitarbeiter</t>
  </si>
  <si>
    <t>Pers.-Nr.</t>
  </si>
  <si>
    <t>Projekt-Nr</t>
  </si>
  <si>
    <t>Projekt / Kunde</t>
  </si>
  <si>
    <t>Tätigkeit</t>
  </si>
  <si>
    <t>Beginn</t>
  </si>
  <si>
    <t>Ende</t>
  </si>
  <si>
    <t>Pause (Min)</t>
  </si>
  <si>
    <t>Arbeitsstd.</t>
  </si>
  <si>
    <t>€/h</t>
  </si>
  <si>
    <t>Betrag (€)</t>
  </si>
  <si>
    <t>Bemerkungen</t>
  </si>
  <si>
    <t>Lfd. Nr.</t>
  </si>
  <si>
    <t>Arbeitstag</t>
  </si>
  <si>
    <t>Wochentag</t>
  </si>
  <si>
    <t>Auswahl aus Stammdaten</t>
  </si>
  <si>
    <t>Automatisch</t>
  </si>
  <si>
    <t>Auswahl Projekt</t>
  </si>
  <si>
    <t>Automatisch befüllt</t>
  </si>
  <si>
    <t>Auswahl Tätigkeitsart</t>
  </si>
  <si>
    <t>Format HH:MM</t>
  </si>
  <si>
    <t>Pausenzeit in Minuten</t>
  </si>
  <si>
    <t>Berechnung</t>
  </si>
  <si>
    <t>Auswahl Status</t>
  </si>
  <si>
    <t>Freitext</t>
  </si>
  <si>
    <t>Projektplanung Q1</t>
  </si>
  <si>
    <t>Materialaufstellung</t>
  </si>
  <si>
    <t>Trockenbau OG eingebaut</t>
  </si>
  <si>
    <t>Anfahrt zur Baustelle</t>
  </si>
  <si>
    <t>Aufmaß vor Ort genommen</t>
  </si>
  <si>
    <t>Türrahmen montiert</t>
  </si>
  <si>
    <t>Werkzeug und Material gerichtet</t>
  </si>
  <si>
    <t>Decke verkleidet – Nachmittag</t>
  </si>
  <si>
    <t>Decke verkleidet</t>
  </si>
  <si>
    <t>Verkleidung angebracht</t>
  </si>
  <si>
    <t>Fensterbänke gesetzt</t>
  </si>
  <si>
    <t>Sicherheitsunterweisung</t>
  </si>
  <si>
    <t>Krankmeldung erhalten</t>
  </si>
  <si>
    <t>Baumarkt für Verbrauchsmaterial</t>
  </si>
  <si>
    <t>Baustelle besenrein übergeben</t>
  </si>
  <si>
    <t>Anfahrt nach Gehrden</t>
  </si>
  <si>
    <t>Plan abgesprochen</t>
  </si>
  <si>
    <t>AU-Bescheinigung liegt vor</t>
  </si>
  <si>
    <t>Routinekontrolle ausgeführt</t>
  </si>
  <si>
    <t>Arbeitsbereich eingerichtet</t>
  </si>
  <si>
    <t>Dachstuhl Vorbereitung</t>
  </si>
  <si>
    <t>Decke verkleidet – Rest</t>
  </si>
  <si>
    <t>Wartungsintervall abgeschlossen</t>
  </si>
  <si>
    <t>Defekte Stelle ausgetauscht</t>
  </si>
  <si>
    <t>Trockenbau OG (Assistenz)</t>
  </si>
  <si>
    <t>Dachstuhl Aufbau</t>
  </si>
  <si>
    <t>Trennwand zurückgebaut</t>
  </si>
  <si>
    <t>Altbestand entfernt</t>
  </si>
  <si>
    <t>Nacharbeit Vorgewerk</t>
  </si>
  <si>
    <t>Geplanter Urlaub 13.–16.01.</t>
  </si>
  <si>
    <t>Verschleißteile geprüft</t>
  </si>
  <si>
    <t>Dachstuhl (Assistenz)</t>
  </si>
  <si>
    <t>Verkleidung – Nachmittag</t>
  </si>
  <si>
    <t>Materialtransport</t>
  </si>
  <si>
    <t>Produktschulung Lieferant</t>
  </si>
  <si>
    <t>Beschädigung behoben</t>
  </si>
  <si>
    <t>Werkzeugpflege</t>
  </si>
  <si>
    <t>Werkstatt aufgeräumt</t>
  </si>
  <si>
    <t>Abnahme mit Auftraggeber</t>
  </si>
  <si>
    <t>Lagerinventur</t>
  </si>
  <si>
    <t>Dachstuhl – Restarbeiten</t>
  </si>
  <si>
    <t>SUMMEN</t>
  </si>
  <si>
    <t>AUSWERTUNG</t>
  </si>
  <si>
    <t>Übersicht über Stunden, Beträge und Abwesenheiten – automatisch aktualisiert.</t>
  </si>
  <si>
    <t>◆  KENNZAHLEN GESAMT</t>
  </si>
  <si>
    <t>Erfasste Einträge</t>
  </si>
  <si>
    <t>Gesamtarbeitsstunden</t>
  </si>
  <si>
    <t>davon Überstunden</t>
  </si>
  <si>
    <t>Umsatz (verrechenbar)</t>
  </si>
  <si>
    <t>Urlaubstage gesamt</t>
  </si>
  <si>
    <t>Krankheitstage gesamt</t>
  </si>
  <si>
    <t>◆  AUSWERTUNG PRO MITARBEITER</t>
  </si>
  <si>
    <t>Std. Arbeit</t>
  </si>
  <si>
    <t>Std. Überstd.</t>
  </si>
  <si>
    <t>Urlaub (T.)</t>
  </si>
  <si>
    <t>Krank (T.)</t>
  </si>
  <si>
    <t>Umsatz (€)</t>
  </si>
  <si>
    <t>GESAMT</t>
  </si>
  <si>
    <t>◆  AUSWERTUNG PRO PROJEKT</t>
  </si>
  <si>
    <t>Anteil</t>
  </si>
  <si>
    <t>◆  STATUS-VERTEILUNG</t>
  </si>
  <si>
    <t>Einträge</t>
  </si>
  <si>
    <t>Stunden</t>
  </si>
  <si>
    <t>Anteil Std.</t>
  </si>
  <si>
    <t>Unbezahlter Freitag</t>
  </si>
  <si>
    <t>ℹ  Hinweis</t>
  </si>
  <si>
    <t>Alle Werte werden direkt aus der Tabelle "Stundenerfassung" gelesen und aktualisieren sich automatisch. Stundensätze und Tarife können in den Stammdaten angepasst werden. Für Lohnabrechnung: Spalte "Überstd." enthält Mehrarbeit, die mit dem in den Einstellungen hinterlegten Zuschlag separat ausgezahlt werden kann.</t>
  </si>
  <si>
    <t>ZEITERFASSUNG HANDWERK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</si>
</sst>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dd\.mm\.yyyy"/>
    <numFmt numFmtId="166" formatCode="hh:mm"/>
    <numFmt numFmtId="167" formatCode="000"/>
  </numFmts>
  <fonts count="17" x14ac:knownFonts="1">
    <font>
      <sz val="11"/>
      <color theme="1"/>
      <name val="Calibri"/>
      <family val="2"/>
      <charset val="1"/>
    </font>
    <font>
      <b/>
      <sz val="22"/>
      <color rgb="FF1F4E79"/>
      <name val="Arial"/>
      <charset val="1"/>
    </font>
    <font>
      <i/>
      <sz val="11"/>
      <color rgb="FF595959"/>
      <name val="Arial"/>
      <charset val="1"/>
    </font>
    <font>
      <b/>
      <sz val="11"/>
      <color rgb="FFFFFFFF"/>
      <name val="Arial"/>
      <charset val="1"/>
    </font>
    <font>
      <b/>
      <sz val="10"/>
      <color rgb="FF262626"/>
      <name val="Arial"/>
      <charset val="1"/>
    </font>
    <font>
      <sz val="10"/>
      <color rgb="FF262626"/>
      <name val="Arial"/>
      <charset val="1"/>
    </font>
    <font>
      <b/>
      <sz val="10"/>
      <color rgb="FF1F4E79"/>
      <name val="Arial"/>
      <charset val="1"/>
    </font>
    <font>
      <b/>
      <sz val="10"/>
      <color rgb="FFFFFFFF"/>
      <name val="Arial"/>
      <charset val="1"/>
    </font>
    <font>
      <b/>
      <sz val="11"/>
      <color rgb="FF1F4E79"/>
      <name val="Arial"/>
      <charset val="1"/>
    </font>
    <font>
      <i/>
      <sz val="9"/>
      <color rgb="FF595959"/>
      <name val="Arial"/>
      <charset val="1"/>
    </font>
    <font>
      <i/>
      <sz val="10"/>
      <color rgb="FF595959"/>
      <name val="Arial"/>
      <charset val="1"/>
    </font>
    <font>
      <b/>
      <sz val="9"/>
      <color rgb="FF595959"/>
      <name val="Arial"/>
      <charset val="1"/>
    </font>
    <font>
      <sz val="9"/>
      <color rgb="FF595959"/>
      <name val="Arial"/>
      <charset val="1"/>
    </font>
    <font>
      <i/>
      <sz val="8"/>
      <color rgb="FF808080"/>
      <name val="Arial"/>
      <charset val="1"/>
    </font>
    <font>
      <sz val="9"/>
      <color rgb="FF808080"/>
      <name val="Arial"/>
      <charset val="1"/>
    </font>
    <font>
      <b/>
      <sz val="12"/>
      <color rgb="FF1F4E79"/>
      <name val="Arial"/>
      <charset val="1"/>
    </font>
    <font>
      <b/>
      <sz val="10"/>
      <color rgb="FFC00000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EEBF7"/>
        <bgColor rgb="FFD9E1F2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D9E1F2"/>
        <bgColor rgb="FFDEEBF7"/>
      </patternFill>
    </fill>
    <fill>
      <patternFill patternType="solid">
        <fgColor rgb="FFF8CBAD"/>
        <bgColor rgb="FFFFF2CC"/>
      </patternFill>
    </fill>
    <fill>
      <patternFill patternType="solid">
        <fgColor rgb="FFE2EFDA"/>
        <bgColor rgb="FFDEEBF7"/>
      </patternFill>
    </fill>
    <fill>
      <patternFill patternType="solid">
        <fgColor rgb="FFF2F2F2"/>
        <bgColor rgb="FFE2EFDA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4" borderId="1" xfId="0" applyFill="1" applyBorder="1"/>
    <xf numFmtId="164" fontId="15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5" borderId="1" xfId="0" applyFill="1" applyBorder="1"/>
    <xf numFmtId="0" fontId="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7" fontId="4" fillId="10" borderId="1" xfId="0" applyNumberFormat="1" applyFont="1" applyFill="1" applyBorder="1" applyAlignment="1">
      <alignment horizontal="center" vertical="center" wrapText="1"/>
    </xf>
    <xf numFmtId="164" fontId="12" fillId="10" borderId="1" xfId="0" applyNumberFormat="1" applyFont="1" applyFill="1" applyBorder="1" applyAlignment="1">
      <alignment horizontal="right" vertical="center"/>
    </xf>
    <xf numFmtId="164" fontId="6" fillId="10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165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1" fontId="0" fillId="0" borderId="1" xfId="0" applyNumberFormat="1" applyBorder="1"/>
    <xf numFmtId="167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164" fontId="3" fillId="2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6" fillId="0" borderId="1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167" fontId="7" fillId="4" borderId="1" xfId="0" applyNumberFormat="1" applyFont="1" applyFill="1" applyBorder="1" applyAlignment="1">
      <alignment horizontal="right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Standard" xfId="0" builtinId="0"/>
  </cellStyles>
  <dxfs count="4">
    <dxf>
      <fill>
        <patternFill>
          <bgColor rgb="FFE2EFDA"/>
        </patternFill>
      </fill>
    </dxf>
    <dxf>
      <fill>
        <patternFill>
          <bgColor rgb="FFF8CBAD"/>
        </patternFill>
      </fill>
    </dxf>
    <dxf>
      <fill>
        <patternFill>
          <bgColor rgb="FFD9E1F2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8CBAD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2" customWidth="1"/>
    <col min="3" max="4" width="24" customWidth="1"/>
    <col min="5" max="5" width="22" customWidth="1"/>
    <col min="6" max="6" width="16" customWidth="1"/>
    <col min="7" max="7" width="14" customWidth="1"/>
  </cols>
  <sheetData>
    <row r="2" spans="2:4" ht="30" customHeight="1" x14ac:dyDescent="0.4">
      <c r="B2" s="15" t="s">
        <v>0</v>
      </c>
    </row>
    <row r="3" spans="2:4" x14ac:dyDescent="0.25">
      <c r="B3" s="16" t="s">
        <v>1</v>
      </c>
    </row>
    <row r="5" spans="2:4" ht="21.75" customHeight="1" x14ac:dyDescent="0.25">
      <c r="B5" s="11" t="s">
        <v>2</v>
      </c>
      <c r="C5" s="11"/>
      <c r="D5" s="11"/>
    </row>
    <row r="6" spans="2:4" ht="15" customHeight="1" x14ac:dyDescent="0.25">
      <c r="B6" s="18" t="s">
        <v>3</v>
      </c>
      <c r="C6" s="10" t="s">
        <v>4</v>
      </c>
      <c r="D6" s="10"/>
    </row>
    <row r="7" spans="2:4" ht="15" customHeight="1" x14ac:dyDescent="0.25">
      <c r="B7" s="18" t="s">
        <v>5</v>
      </c>
      <c r="C7" s="10" t="s">
        <v>6</v>
      </c>
      <c r="D7" s="10"/>
    </row>
    <row r="8" spans="2:4" ht="15" customHeight="1" x14ac:dyDescent="0.25">
      <c r="B8" s="18" t="s">
        <v>7</v>
      </c>
      <c r="C8" s="10" t="s">
        <v>8</v>
      </c>
      <c r="D8" s="10"/>
    </row>
    <row r="9" spans="2:4" ht="15" customHeight="1" x14ac:dyDescent="0.25">
      <c r="B9" s="18" t="s">
        <v>9</v>
      </c>
      <c r="C9" s="10" t="s">
        <v>10</v>
      </c>
      <c r="D9" s="10"/>
    </row>
    <row r="10" spans="2:4" ht="15" customHeight="1" x14ac:dyDescent="0.25">
      <c r="B10" s="18" t="s">
        <v>11</v>
      </c>
      <c r="C10" s="10" t="s">
        <v>12</v>
      </c>
      <c r="D10" s="10"/>
    </row>
    <row r="11" spans="2:4" x14ac:dyDescent="0.25">
      <c r="B11" s="18" t="s">
        <v>13</v>
      </c>
      <c r="C11" s="10">
        <v>2026</v>
      </c>
      <c r="D11" s="10"/>
    </row>
    <row r="13" spans="2:4" ht="21.75" customHeight="1" x14ac:dyDescent="0.25">
      <c r="B13" s="11" t="s">
        <v>14</v>
      </c>
      <c r="C13" s="11"/>
      <c r="D13" s="11"/>
    </row>
    <row r="14" spans="2:4" ht="25.5" x14ac:dyDescent="0.25">
      <c r="B14" s="18" t="s">
        <v>15</v>
      </c>
      <c r="C14" s="9">
        <v>8</v>
      </c>
      <c r="D14" s="9"/>
    </row>
    <row r="15" spans="2:4" ht="25.5" x14ac:dyDescent="0.25">
      <c r="B15" s="18" t="s">
        <v>16</v>
      </c>
      <c r="C15" s="9">
        <v>40</v>
      </c>
      <c r="D15" s="9"/>
    </row>
    <row r="16" spans="2:4" ht="25.5" x14ac:dyDescent="0.25">
      <c r="B16" s="18" t="s">
        <v>17</v>
      </c>
      <c r="C16" s="8">
        <v>30</v>
      </c>
      <c r="D16" s="8"/>
    </row>
    <row r="17" spans="2:6" x14ac:dyDescent="0.25">
      <c r="B17" s="18" t="s">
        <v>18</v>
      </c>
      <c r="C17" s="9">
        <v>0.25</v>
      </c>
      <c r="D17" s="9"/>
    </row>
    <row r="18" spans="2:6" ht="25.5" x14ac:dyDescent="0.25">
      <c r="B18" s="18" t="s">
        <v>19</v>
      </c>
      <c r="C18" s="7">
        <v>65</v>
      </c>
      <c r="D18" s="7"/>
    </row>
    <row r="21" spans="2:6" ht="21.75" customHeight="1" x14ac:dyDescent="0.25">
      <c r="B21" s="11" t="s">
        <v>20</v>
      </c>
      <c r="C21" s="11"/>
      <c r="D21" s="11"/>
      <c r="E21" s="11"/>
      <c r="F21" s="11"/>
    </row>
    <row r="22" spans="2:6" ht="25.5" customHeight="1" x14ac:dyDescent="0.25">
      <c r="B22" s="21" t="s">
        <v>21</v>
      </c>
      <c r="C22" s="21" t="s">
        <v>22</v>
      </c>
      <c r="D22" s="21" t="s">
        <v>23</v>
      </c>
      <c r="E22" s="21" t="s">
        <v>24</v>
      </c>
      <c r="F22" s="21" t="s">
        <v>25</v>
      </c>
    </row>
    <row r="23" spans="2:6" x14ac:dyDescent="0.25">
      <c r="B23" s="19" t="s">
        <v>26</v>
      </c>
      <c r="C23" s="22" t="s">
        <v>27</v>
      </c>
      <c r="D23" s="19" t="s">
        <v>28</v>
      </c>
      <c r="E23" s="23">
        <v>45</v>
      </c>
      <c r="F23" s="22" t="s">
        <v>29</v>
      </c>
    </row>
    <row r="24" spans="2:6" x14ac:dyDescent="0.25">
      <c r="B24" s="19" t="s">
        <v>30</v>
      </c>
      <c r="C24" s="22" t="s">
        <v>31</v>
      </c>
      <c r="D24" s="19" t="s">
        <v>32</v>
      </c>
      <c r="E24" s="23">
        <v>38</v>
      </c>
      <c r="F24" s="22" t="s">
        <v>29</v>
      </c>
    </row>
    <row r="25" spans="2:6" x14ac:dyDescent="0.25">
      <c r="B25" s="19" t="s">
        <v>33</v>
      </c>
      <c r="C25" s="22" t="s">
        <v>34</v>
      </c>
      <c r="D25" s="19" t="s">
        <v>35</v>
      </c>
      <c r="E25" s="23">
        <v>38</v>
      </c>
      <c r="F25" s="22" t="s">
        <v>29</v>
      </c>
    </row>
    <row r="26" spans="2:6" x14ac:dyDescent="0.25">
      <c r="B26" s="19" t="s">
        <v>36</v>
      </c>
      <c r="C26" s="22" t="s">
        <v>37</v>
      </c>
      <c r="D26" s="19" t="s">
        <v>35</v>
      </c>
      <c r="E26" s="23">
        <v>36</v>
      </c>
      <c r="F26" s="22" t="s">
        <v>29</v>
      </c>
    </row>
    <row r="27" spans="2:6" x14ac:dyDescent="0.25">
      <c r="B27" s="19" t="s">
        <v>38</v>
      </c>
      <c r="C27" s="22" t="s">
        <v>39</v>
      </c>
      <c r="D27" s="19" t="s">
        <v>40</v>
      </c>
      <c r="E27" s="23">
        <v>22</v>
      </c>
      <c r="F27" s="22" t="s">
        <v>29</v>
      </c>
    </row>
    <row r="28" spans="2:6" x14ac:dyDescent="0.25">
      <c r="B28" s="19" t="s">
        <v>41</v>
      </c>
      <c r="C28" s="22" t="s">
        <v>42</v>
      </c>
      <c r="D28" s="19" t="s">
        <v>35</v>
      </c>
      <c r="E28" s="23">
        <v>37</v>
      </c>
      <c r="F28" s="22" t="s">
        <v>29</v>
      </c>
    </row>
    <row r="29" spans="2:6" x14ac:dyDescent="0.25">
      <c r="B29" s="24"/>
      <c r="C29" s="24"/>
      <c r="D29" s="24"/>
      <c r="E29" s="24"/>
      <c r="F29" s="24"/>
    </row>
    <row r="30" spans="2:6" x14ac:dyDescent="0.25">
      <c r="B30" s="24"/>
      <c r="C30" s="24"/>
      <c r="D30" s="24"/>
      <c r="E30" s="24"/>
      <c r="F30" s="24"/>
    </row>
    <row r="31" spans="2:6" x14ac:dyDescent="0.25">
      <c r="B31" s="24"/>
      <c r="C31" s="24"/>
      <c r="D31" s="24"/>
      <c r="E31" s="24"/>
      <c r="F31" s="24"/>
    </row>
    <row r="32" spans="2:6" x14ac:dyDescent="0.25">
      <c r="B32" s="24"/>
      <c r="C32" s="24"/>
      <c r="D32" s="24"/>
      <c r="E32" s="24"/>
      <c r="F32" s="24"/>
    </row>
    <row r="33" spans="2:7" x14ac:dyDescent="0.25">
      <c r="B33" s="24"/>
      <c r="C33" s="24"/>
      <c r="D33" s="24"/>
      <c r="E33" s="24"/>
      <c r="F33" s="24"/>
    </row>
    <row r="34" spans="2:7" x14ac:dyDescent="0.25">
      <c r="B34" s="24"/>
      <c r="C34" s="24"/>
      <c r="D34" s="24"/>
      <c r="E34" s="24"/>
      <c r="F34" s="24"/>
    </row>
    <row r="37" spans="2:7" ht="21.75" customHeight="1" x14ac:dyDescent="0.25">
      <c r="B37" s="11" t="s">
        <v>43</v>
      </c>
      <c r="C37" s="11"/>
      <c r="D37" s="11"/>
      <c r="E37" s="11"/>
      <c r="F37" s="11"/>
      <c r="G37" s="11"/>
    </row>
    <row r="38" spans="2:7" ht="25.5" customHeight="1" x14ac:dyDescent="0.25">
      <c r="B38" s="21" t="s">
        <v>44</v>
      </c>
      <c r="C38" s="21" t="s">
        <v>45</v>
      </c>
      <c r="D38" s="21" t="s">
        <v>46</v>
      </c>
      <c r="E38" s="21" t="s">
        <v>5</v>
      </c>
      <c r="F38" s="21" t="s">
        <v>47</v>
      </c>
      <c r="G38" s="21" t="s">
        <v>48</v>
      </c>
    </row>
    <row r="39" spans="2:7" ht="25.5" x14ac:dyDescent="0.25">
      <c r="B39" s="22" t="s">
        <v>49</v>
      </c>
      <c r="C39" s="19" t="s">
        <v>50</v>
      </c>
      <c r="D39" s="19" t="s">
        <v>51</v>
      </c>
      <c r="E39" s="19" t="s">
        <v>52</v>
      </c>
      <c r="F39" s="23">
        <v>65</v>
      </c>
      <c r="G39" s="22" t="s">
        <v>25</v>
      </c>
    </row>
    <row r="40" spans="2:7" ht="25.5" x14ac:dyDescent="0.25">
      <c r="B40" s="22" t="s">
        <v>53</v>
      </c>
      <c r="C40" s="19" t="s">
        <v>54</v>
      </c>
      <c r="D40" s="19" t="s">
        <v>55</v>
      </c>
      <c r="E40" s="19" t="s">
        <v>56</v>
      </c>
      <c r="F40" s="23">
        <v>72</v>
      </c>
      <c r="G40" s="22" t="s">
        <v>25</v>
      </c>
    </row>
    <row r="41" spans="2:7" ht="25.5" x14ac:dyDescent="0.25">
      <c r="B41" s="22" t="s">
        <v>57</v>
      </c>
      <c r="C41" s="19" t="s">
        <v>58</v>
      </c>
      <c r="D41" s="19" t="s">
        <v>59</v>
      </c>
      <c r="E41" s="19" t="s">
        <v>60</v>
      </c>
      <c r="F41" s="23">
        <v>68</v>
      </c>
      <c r="G41" s="22" t="s">
        <v>25</v>
      </c>
    </row>
    <row r="42" spans="2:7" ht="25.5" x14ac:dyDescent="0.25">
      <c r="B42" s="22" t="s">
        <v>61</v>
      </c>
      <c r="C42" s="19" t="s">
        <v>62</v>
      </c>
      <c r="D42" s="19" t="s">
        <v>63</v>
      </c>
      <c r="E42" s="19" t="s">
        <v>64</v>
      </c>
      <c r="F42" s="23">
        <v>65</v>
      </c>
      <c r="G42" s="22" t="s">
        <v>25</v>
      </c>
    </row>
    <row r="43" spans="2:7" ht="25.5" x14ac:dyDescent="0.25">
      <c r="B43" s="22" t="s">
        <v>65</v>
      </c>
      <c r="C43" s="19" t="s">
        <v>66</v>
      </c>
      <c r="D43" s="19" t="s">
        <v>67</v>
      </c>
      <c r="E43" s="19" t="s">
        <v>68</v>
      </c>
      <c r="F43" s="23">
        <v>65</v>
      </c>
      <c r="G43" s="22" t="s">
        <v>25</v>
      </c>
    </row>
    <row r="44" spans="2:7" ht="25.5" x14ac:dyDescent="0.25">
      <c r="B44" s="22" t="s">
        <v>69</v>
      </c>
      <c r="C44" s="19" t="s">
        <v>70</v>
      </c>
      <c r="D44" s="19" t="s">
        <v>71</v>
      </c>
      <c r="E44" s="19" t="s">
        <v>72</v>
      </c>
      <c r="F44" s="23">
        <v>58</v>
      </c>
      <c r="G44" s="22" t="s">
        <v>25</v>
      </c>
    </row>
    <row r="45" spans="2:7" ht="25.5" x14ac:dyDescent="0.25">
      <c r="B45" s="22" t="s">
        <v>73</v>
      </c>
      <c r="C45" s="19" t="s">
        <v>74</v>
      </c>
      <c r="D45" s="19" t="s">
        <v>75</v>
      </c>
      <c r="E45" s="19" t="s">
        <v>76</v>
      </c>
      <c r="F45" s="23">
        <v>70</v>
      </c>
      <c r="G45" s="22" t="s">
        <v>25</v>
      </c>
    </row>
    <row r="46" spans="2:7" ht="25.5" x14ac:dyDescent="0.25">
      <c r="B46" s="22" t="s">
        <v>77</v>
      </c>
      <c r="C46" s="19" t="s">
        <v>78</v>
      </c>
      <c r="D46" s="19" t="s">
        <v>79</v>
      </c>
      <c r="E46" s="19" t="s">
        <v>80</v>
      </c>
      <c r="F46" s="23">
        <v>65</v>
      </c>
      <c r="G46" s="22" t="s">
        <v>81</v>
      </c>
    </row>
    <row r="47" spans="2:7" ht="25.5" x14ac:dyDescent="0.25">
      <c r="B47" s="22" t="s">
        <v>82</v>
      </c>
      <c r="C47" s="19" t="s">
        <v>83</v>
      </c>
      <c r="D47" s="19" t="s">
        <v>4</v>
      </c>
      <c r="E47" s="19" t="s">
        <v>84</v>
      </c>
      <c r="F47" s="23">
        <v>0</v>
      </c>
      <c r="G47" s="22" t="s">
        <v>25</v>
      </c>
    </row>
    <row r="48" spans="2:7" x14ac:dyDescent="0.25">
      <c r="B48" s="24"/>
      <c r="C48" s="24"/>
      <c r="D48" s="24"/>
      <c r="E48" s="24"/>
      <c r="F48" s="24"/>
      <c r="G48" s="24"/>
    </row>
    <row r="49" spans="2:7" x14ac:dyDescent="0.25">
      <c r="B49" s="24"/>
      <c r="C49" s="24"/>
      <c r="D49" s="24"/>
      <c r="E49" s="24"/>
      <c r="F49" s="24"/>
      <c r="G49" s="24"/>
    </row>
    <row r="50" spans="2:7" x14ac:dyDescent="0.25">
      <c r="B50" s="24"/>
      <c r="C50" s="24"/>
      <c r="D50" s="24"/>
      <c r="E50" s="24"/>
      <c r="F50" s="24"/>
      <c r="G50" s="24"/>
    </row>
    <row r="51" spans="2:7" x14ac:dyDescent="0.25">
      <c r="B51" s="24"/>
      <c r="C51" s="24"/>
      <c r="D51" s="24"/>
      <c r="E51" s="24"/>
      <c r="F51" s="24"/>
      <c r="G51" s="24"/>
    </row>
    <row r="52" spans="2:7" x14ac:dyDescent="0.25">
      <c r="B52" s="24"/>
      <c r="C52" s="24"/>
      <c r="D52" s="24"/>
      <c r="E52" s="24"/>
      <c r="F52" s="24"/>
      <c r="G52" s="24"/>
    </row>
    <row r="53" spans="2:7" x14ac:dyDescent="0.25">
      <c r="B53" s="24"/>
      <c r="C53" s="24"/>
      <c r="D53" s="24"/>
      <c r="E53" s="24"/>
      <c r="F53" s="24"/>
      <c r="G53" s="24"/>
    </row>
    <row r="55" spans="2:7" ht="21.75" customHeight="1" x14ac:dyDescent="0.25">
      <c r="B55" s="17" t="s">
        <v>85</v>
      </c>
      <c r="D55" s="11" t="s">
        <v>86</v>
      </c>
      <c r="E55" s="11"/>
      <c r="F55" s="11" t="s">
        <v>87</v>
      </c>
      <c r="G55" s="11"/>
    </row>
    <row r="56" spans="2:7" ht="25.5" customHeight="1" x14ac:dyDescent="0.25">
      <c r="B56" s="21" t="s">
        <v>88</v>
      </c>
      <c r="D56" s="21" t="s">
        <v>48</v>
      </c>
      <c r="E56" s="21" t="s">
        <v>89</v>
      </c>
      <c r="F56" s="21" t="s">
        <v>90</v>
      </c>
      <c r="G56" s="21" t="s">
        <v>88</v>
      </c>
    </row>
    <row r="57" spans="2:7" x14ac:dyDescent="0.25">
      <c r="B57" s="19" t="s">
        <v>91</v>
      </c>
      <c r="D57" s="25" t="s">
        <v>92</v>
      </c>
      <c r="E57" s="19" t="s">
        <v>93</v>
      </c>
      <c r="F57" s="26">
        <v>46023</v>
      </c>
      <c r="G57" s="19" t="s">
        <v>94</v>
      </c>
    </row>
    <row r="58" spans="2:7" x14ac:dyDescent="0.25">
      <c r="B58" s="19" t="s">
        <v>95</v>
      </c>
      <c r="D58" s="25" t="s">
        <v>96</v>
      </c>
      <c r="E58" s="19" t="s">
        <v>97</v>
      </c>
      <c r="F58" s="26">
        <v>46115</v>
      </c>
      <c r="G58" s="19" t="s">
        <v>98</v>
      </c>
    </row>
    <row r="59" spans="2:7" x14ac:dyDescent="0.25">
      <c r="B59" s="19" t="s">
        <v>99</v>
      </c>
      <c r="D59" s="25" t="s">
        <v>100</v>
      </c>
      <c r="E59" s="19" t="s">
        <v>101</v>
      </c>
      <c r="F59" s="26">
        <v>46118</v>
      </c>
      <c r="G59" s="19" t="s">
        <v>102</v>
      </c>
    </row>
    <row r="60" spans="2:7" x14ac:dyDescent="0.25">
      <c r="B60" s="19" t="s">
        <v>103</v>
      </c>
      <c r="D60" s="25" t="s">
        <v>104</v>
      </c>
      <c r="E60" s="19" t="s">
        <v>105</v>
      </c>
      <c r="F60" s="26">
        <v>46143</v>
      </c>
      <c r="G60" s="19" t="s">
        <v>106</v>
      </c>
    </row>
    <row r="61" spans="2:7" ht="25.5" x14ac:dyDescent="0.25">
      <c r="B61" s="19" t="s">
        <v>107</v>
      </c>
      <c r="D61" s="25" t="s">
        <v>108</v>
      </c>
      <c r="E61" s="19" t="s">
        <v>109</v>
      </c>
      <c r="F61" s="26">
        <v>46156</v>
      </c>
      <c r="G61" s="19" t="s">
        <v>110</v>
      </c>
    </row>
    <row r="62" spans="2:7" ht="25.5" x14ac:dyDescent="0.25">
      <c r="B62" s="19" t="s">
        <v>111</v>
      </c>
      <c r="D62" s="25" t="s">
        <v>112</v>
      </c>
      <c r="E62" s="19" t="s">
        <v>113</v>
      </c>
      <c r="F62" s="26">
        <v>46167</v>
      </c>
      <c r="G62" s="19" t="s">
        <v>114</v>
      </c>
    </row>
    <row r="63" spans="2:7" ht="38.25" x14ac:dyDescent="0.25">
      <c r="B63" s="19" t="s">
        <v>115</v>
      </c>
      <c r="D63" s="25" t="s">
        <v>116</v>
      </c>
      <c r="E63" s="19" t="s">
        <v>117</v>
      </c>
      <c r="F63" s="26">
        <v>46298</v>
      </c>
      <c r="G63" s="19" t="s">
        <v>118</v>
      </c>
    </row>
    <row r="64" spans="2:7" ht="25.5" x14ac:dyDescent="0.25">
      <c r="B64" s="19" t="s">
        <v>119</v>
      </c>
      <c r="F64" s="26">
        <v>46381</v>
      </c>
      <c r="G64" s="19" t="s">
        <v>120</v>
      </c>
    </row>
    <row r="65" spans="2:7" ht="25.5" x14ac:dyDescent="0.25">
      <c r="B65" s="19" t="s">
        <v>121</v>
      </c>
      <c r="F65" s="26">
        <v>46382</v>
      </c>
      <c r="G65" s="19" t="s">
        <v>122</v>
      </c>
    </row>
    <row r="66" spans="2:7" x14ac:dyDescent="0.25">
      <c r="B66" s="19" t="s">
        <v>116</v>
      </c>
    </row>
    <row r="67" spans="2:7" x14ac:dyDescent="0.25">
      <c r="B67" s="19" t="s">
        <v>123</v>
      </c>
    </row>
    <row r="69" spans="2:7" x14ac:dyDescent="0.25">
      <c r="B69" s="27" t="s">
        <v>124</v>
      </c>
    </row>
    <row r="70" spans="2:7" ht="60" customHeight="1" x14ac:dyDescent="0.25">
      <c r="B70" s="6" t="s">
        <v>125</v>
      </c>
      <c r="C70" s="6"/>
      <c r="D70" s="6"/>
      <c r="E70" s="6"/>
      <c r="F70" s="6"/>
      <c r="G70" s="6"/>
    </row>
    <row r="71" spans="2:7" x14ac:dyDescent="0.25">
      <c r="B71" s="6"/>
      <c r="C71" s="6"/>
      <c r="D71" s="6"/>
      <c r="E71" s="6"/>
      <c r="F71" s="6"/>
      <c r="G71" s="6"/>
    </row>
    <row r="72" spans="2:7" x14ac:dyDescent="0.25">
      <c r="B72" s="6"/>
      <c r="C72" s="6"/>
      <c r="D72" s="6"/>
      <c r="E72" s="6"/>
      <c r="F72" s="6"/>
      <c r="G72" s="6"/>
    </row>
    <row r="73" spans="2:7" x14ac:dyDescent="0.25">
      <c r="B73" s="6"/>
      <c r="C73" s="6"/>
      <c r="D73" s="6"/>
      <c r="E73" s="6"/>
      <c r="F73" s="6"/>
      <c r="G73" s="6"/>
    </row>
  </sheetData>
  <mergeCells count="18">
    <mergeCell ref="D55:E55"/>
    <mergeCell ref="F55:G55"/>
    <mergeCell ref="B70:G73"/>
    <mergeCell ref="C16:D16"/>
    <mergeCell ref="C17:D17"/>
    <mergeCell ref="C18:D18"/>
    <mergeCell ref="B21:F21"/>
    <mergeCell ref="B37:G37"/>
    <mergeCell ref="C10:D10"/>
    <mergeCell ref="C11:D11"/>
    <mergeCell ref="B13:D13"/>
    <mergeCell ref="C14:D14"/>
    <mergeCell ref="C15:D15"/>
    <mergeCell ref="B5:D5"/>
    <mergeCell ref="C6:D6"/>
    <mergeCell ref="C7:D7"/>
    <mergeCell ref="C8:D8"/>
    <mergeCell ref="C9:D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7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3" sqref="B3:P3"/>
    </sheetView>
  </sheetViews>
  <sheetFormatPr baseColWidth="10" defaultColWidth="8.7109375" defaultRowHeight="15" x14ac:dyDescent="0.25"/>
  <cols>
    <col min="1" max="1" width="4" customWidth="1"/>
    <col min="2" max="2" width="11" customWidth="1"/>
    <col min="3" max="3" width="5" customWidth="1"/>
    <col min="4" max="4" width="17" customWidth="1"/>
    <col min="5" max="5" width="9.7109375" customWidth="1"/>
    <col min="6" max="6" width="13" customWidth="1"/>
    <col min="7" max="7" width="26" customWidth="1"/>
    <col min="8" max="8" width="16" customWidth="1"/>
    <col min="9" max="11" width="8" customWidth="1"/>
    <col min="12" max="12" width="9" customWidth="1"/>
    <col min="13" max="13" width="10" customWidth="1"/>
    <col min="14" max="14" width="11" customWidth="1"/>
    <col min="15" max="15" width="10" customWidth="1"/>
    <col min="16" max="16" width="28" customWidth="1"/>
  </cols>
  <sheetData>
    <row r="1" spans="1:16" ht="6" customHeight="1" x14ac:dyDescent="0.25"/>
    <row r="2" spans="1:16" ht="30" customHeight="1" x14ac:dyDescent="0.4">
      <c r="B2" s="68" t="s">
        <v>227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6" x14ac:dyDescent="0.25">
      <c r="B3" s="69" t="s">
        <v>126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x14ac:dyDescent="0.25">
      <c r="B4" s="29" t="s">
        <v>127</v>
      </c>
      <c r="C4" s="14" t="str">
        <f>Stammdaten!C6</f>
        <v>Hoffmann Handwerk GmbH</v>
      </c>
      <c r="D4" s="14"/>
      <c r="E4" s="14"/>
      <c r="F4" s="14"/>
      <c r="G4" s="30" t="s">
        <v>128</v>
      </c>
      <c r="H4" s="31">
        <f>Stammdaten!C11</f>
        <v>2026</v>
      </c>
      <c r="I4" s="13" t="s">
        <v>129</v>
      </c>
      <c r="J4" s="13"/>
      <c r="K4" s="13"/>
      <c r="L4" s="32">
        <f ca="1">TODAY()</f>
        <v>46182</v>
      </c>
    </row>
    <row r="5" spans="1:16" ht="18" customHeight="1" x14ac:dyDescent="0.25">
      <c r="B5" s="33" t="s">
        <v>130</v>
      </c>
      <c r="C5" s="34" t="s">
        <v>131</v>
      </c>
      <c r="E5" s="35" t="s">
        <v>100</v>
      </c>
      <c r="G5" s="36" t="s">
        <v>104</v>
      </c>
      <c r="I5" s="37" t="s">
        <v>108</v>
      </c>
      <c r="K5" s="38" t="s">
        <v>132</v>
      </c>
    </row>
    <row r="6" spans="1:16" ht="31.5" customHeight="1" x14ac:dyDescent="0.25">
      <c r="A6" s="39" t="s">
        <v>133</v>
      </c>
      <c r="B6" s="39" t="s">
        <v>90</v>
      </c>
      <c r="C6" s="39" t="s">
        <v>134</v>
      </c>
      <c r="D6" s="39" t="s">
        <v>135</v>
      </c>
      <c r="E6" s="39" t="s">
        <v>136</v>
      </c>
      <c r="F6" s="39" t="s">
        <v>137</v>
      </c>
      <c r="G6" s="39" t="s">
        <v>138</v>
      </c>
      <c r="H6" s="39" t="s">
        <v>139</v>
      </c>
      <c r="I6" s="39" t="s">
        <v>140</v>
      </c>
      <c r="J6" s="39" t="s">
        <v>141</v>
      </c>
      <c r="K6" s="39" t="s">
        <v>142</v>
      </c>
      <c r="L6" s="39" t="s">
        <v>143</v>
      </c>
      <c r="M6" s="39" t="s">
        <v>144</v>
      </c>
      <c r="N6" s="39" t="s">
        <v>145</v>
      </c>
      <c r="O6" s="39" t="s">
        <v>48</v>
      </c>
      <c r="P6" s="39" t="s">
        <v>146</v>
      </c>
    </row>
    <row r="7" spans="1:16" ht="19.5" customHeight="1" x14ac:dyDescent="0.25">
      <c r="A7" s="40" t="s">
        <v>147</v>
      </c>
      <c r="B7" s="40" t="s">
        <v>148</v>
      </c>
      <c r="C7" s="40" t="s">
        <v>149</v>
      </c>
      <c r="D7" s="40" t="s">
        <v>150</v>
      </c>
      <c r="E7" s="40" t="s">
        <v>151</v>
      </c>
      <c r="F7" s="40" t="s">
        <v>152</v>
      </c>
      <c r="G7" s="40" t="s">
        <v>153</v>
      </c>
      <c r="H7" s="40" t="s">
        <v>154</v>
      </c>
      <c r="I7" s="40" t="s">
        <v>155</v>
      </c>
      <c r="J7" s="40" t="s">
        <v>155</v>
      </c>
      <c r="K7" s="40" t="s">
        <v>156</v>
      </c>
      <c r="L7" s="40" t="s">
        <v>157</v>
      </c>
      <c r="M7" s="40" t="s">
        <v>151</v>
      </c>
      <c r="N7" s="40" t="s">
        <v>157</v>
      </c>
      <c r="O7" s="40" t="s">
        <v>158</v>
      </c>
      <c r="P7" s="40" t="s">
        <v>159</v>
      </c>
    </row>
    <row r="8" spans="1:16" ht="21.75" customHeight="1" x14ac:dyDescent="0.25">
      <c r="A8" s="41">
        <v>1</v>
      </c>
      <c r="B8" s="26">
        <v>46023</v>
      </c>
      <c r="C8" s="42" t="str">
        <f t="shared" ref="C8:C39" si="0">IF(B8="","",CHOOSE(WEEKDAY(B8,2),"Mo","Di","Mi","Do","Fr","Sa","So"))</f>
        <v>Do</v>
      </c>
      <c r="D8" s="19" t="s">
        <v>26</v>
      </c>
      <c r="E8" s="43" t="str">
        <f t="shared" ref="E8:E39" si="1">IFERROR(VLOOKUP(D8,Mitarbeiter_Tabelle,2,FALSE()),"")</f>
        <v>P-001</v>
      </c>
      <c r="F8" s="22" t="s">
        <v>82</v>
      </c>
      <c r="G8" s="44" t="str">
        <f>IFERROR(INDEX(Projekt_Tabelle,MATCH(F8,Stammdaten!$B$39:$B$53,0),2)&amp;" — "&amp;INDEX(Projekt_Tabelle,MATCH(F8,Stammdaten!$B$39:$B$53,0),3),"")</f>
        <v>Interne Arbeiten / Werkstatt — Hoffmann Handwerk GmbH</v>
      </c>
      <c r="H8" s="19" t="s">
        <v>123</v>
      </c>
      <c r="I8" s="45"/>
      <c r="J8" s="45"/>
      <c r="K8" s="46"/>
      <c r="L8" s="47">
        <f t="shared" ref="L8:L39" si="2">IF(OR(O8="Urlaub",O8="Krank",O8="Feiertag"),Soll_Tag,IF(OR(I8="",J8=""),0,MAX(0,(J8-I8)*24-IF(K8="",0,K8)/60)))</f>
        <v>8</v>
      </c>
      <c r="M8" s="48">
        <f>IFERROR(VLOOKUP(F8,Stammdaten!$B$39:$F$53,5,FALSE()),0)</f>
        <v>0</v>
      </c>
      <c r="N8" s="49">
        <f t="shared" ref="N8:N39" si="3">L8*M8</f>
        <v>0</v>
      </c>
      <c r="O8" s="25" t="s">
        <v>108</v>
      </c>
      <c r="P8" s="50" t="s">
        <v>94</v>
      </c>
    </row>
    <row r="9" spans="1:16" ht="21.75" customHeight="1" x14ac:dyDescent="0.25">
      <c r="A9" s="41">
        <v>2</v>
      </c>
      <c r="B9" s="26">
        <v>46024</v>
      </c>
      <c r="C9" s="42" t="str">
        <f t="shared" si="0"/>
        <v>Fr</v>
      </c>
      <c r="D9" s="19" t="s">
        <v>26</v>
      </c>
      <c r="E9" s="43" t="str">
        <f t="shared" si="1"/>
        <v>P-001</v>
      </c>
      <c r="F9" s="22" t="s">
        <v>49</v>
      </c>
      <c r="G9" s="44" t="str">
        <f>IFERROR(INDEX(Projekt_Tabelle,MATCH(F9,Stammdaten!$B$39:$B$53,0),2)&amp;" — "&amp;INDEX(Projekt_Tabelle,MATCH(F9,Stammdaten!$B$39:$B$53,0),3),"")</f>
        <v>Sanierung Wohnhaus Schulze — Familie Schulze</v>
      </c>
      <c r="H9" s="19" t="s">
        <v>119</v>
      </c>
      <c r="I9" s="45">
        <v>0.3125</v>
      </c>
      <c r="J9" s="45">
        <v>0.64583333333333304</v>
      </c>
      <c r="K9" s="46">
        <v>30</v>
      </c>
      <c r="L9" s="47">
        <f t="shared" si="2"/>
        <v>7.4999999999999929</v>
      </c>
      <c r="M9" s="48">
        <f>IFERROR(VLOOKUP(F9,Stammdaten!$B$39:$F$53,5,FALSE()),0)</f>
        <v>65</v>
      </c>
      <c r="N9" s="49">
        <f t="shared" si="3"/>
        <v>487.49999999999955</v>
      </c>
      <c r="O9" s="25" t="s">
        <v>92</v>
      </c>
      <c r="P9" s="50" t="s">
        <v>160</v>
      </c>
    </row>
    <row r="10" spans="1:16" ht="21.75" customHeight="1" x14ac:dyDescent="0.25">
      <c r="A10" s="41">
        <v>3</v>
      </c>
      <c r="B10" s="26">
        <v>46024</v>
      </c>
      <c r="C10" s="42" t="str">
        <f t="shared" si="0"/>
        <v>Fr</v>
      </c>
      <c r="D10" s="19" t="s">
        <v>30</v>
      </c>
      <c r="E10" s="43" t="str">
        <f t="shared" si="1"/>
        <v>P-002</v>
      </c>
      <c r="F10" s="22" t="s">
        <v>49</v>
      </c>
      <c r="G10" s="44" t="str">
        <f>IFERROR(INDEX(Projekt_Tabelle,MATCH(F10,Stammdaten!$B$39:$B$53,0),2)&amp;" — "&amp;INDEX(Projekt_Tabelle,MATCH(F10,Stammdaten!$B$39:$B$53,0),3),"")</f>
        <v>Sanierung Wohnhaus Schulze — Familie Schulze</v>
      </c>
      <c r="H10" s="19" t="s">
        <v>119</v>
      </c>
      <c r="I10" s="45">
        <v>0.3125</v>
      </c>
      <c r="J10" s="45">
        <v>0.64583333333333304</v>
      </c>
      <c r="K10" s="46">
        <v>30</v>
      </c>
      <c r="L10" s="47">
        <f t="shared" si="2"/>
        <v>7.4999999999999929</v>
      </c>
      <c r="M10" s="48">
        <f>IFERROR(VLOOKUP(F10,Stammdaten!$B$39:$F$53,5,FALSE()),0)</f>
        <v>65</v>
      </c>
      <c r="N10" s="49">
        <f t="shared" si="3"/>
        <v>487.49999999999955</v>
      </c>
      <c r="O10" s="25" t="s">
        <v>92</v>
      </c>
      <c r="P10" s="50" t="s">
        <v>161</v>
      </c>
    </row>
    <row r="11" spans="1:16" ht="21.75" customHeight="1" x14ac:dyDescent="0.25">
      <c r="A11" s="41">
        <v>4</v>
      </c>
      <c r="B11" s="26">
        <v>46027</v>
      </c>
      <c r="C11" s="42" t="str">
        <f t="shared" si="0"/>
        <v>Mo</v>
      </c>
      <c r="D11" s="19" t="s">
        <v>26</v>
      </c>
      <c r="E11" s="43" t="str">
        <f t="shared" si="1"/>
        <v>P-001</v>
      </c>
      <c r="F11" s="22" t="s">
        <v>49</v>
      </c>
      <c r="G11" s="44" t="str">
        <f>IFERROR(INDEX(Projekt_Tabelle,MATCH(F11,Stammdaten!$B$39:$B$53,0),2)&amp;" — "&amp;INDEX(Projekt_Tabelle,MATCH(F11,Stammdaten!$B$39:$B$53,0),3),"")</f>
        <v>Sanierung Wohnhaus Schulze — Familie Schulze</v>
      </c>
      <c r="H11" s="19" t="s">
        <v>91</v>
      </c>
      <c r="I11" s="45">
        <v>0.29166666666666702</v>
      </c>
      <c r="J11" s="45">
        <v>0.6875</v>
      </c>
      <c r="K11" s="46">
        <v>30</v>
      </c>
      <c r="L11" s="47">
        <f t="shared" si="2"/>
        <v>8.9999999999999911</v>
      </c>
      <c r="M11" s="48">
        <f>IFERROR(VLOOKUP(F11,Stammdaten!$B$39:$F$53,5,FALSE()),0)</f>
        <v>65</v>
      </c>
      <c r="N11" s="49">
        <f t="shared" si="3"/>
        <v>584.99999999999943</v>
      </c>
      <c r="O11" s="25" t="s">
        <v>92</v>
      </c>
      <c r="P11" s="50" t="s">
        <v>162</v>
      </c>
    </row>
    <row r="12" spans="1:16" ht="21.75" customHeight="1" x14ac:dyDescent="0.25">
      <c r="A12" s="41">
        <v>5</v>
      </c>
      <c r="B12" s="26">
        <v>46027</v>
      </c>
      <c r="C12" s="42" t="str">
        <f t="shared" si="0"/>
        <v>Mo</v>
      </c>
      <c r="D12" s="19" t="s">
        <v>30</v>
      </c>
      <c r="E12" s="43" t="str">
        <f t="shared" si="1"/>
        <v>P-002</v>
      </c>
      <c r="F12" s="22" t="s">
        <v>49</v>
      </c>
      <c r="G12" s="44" t="str">
        <f>IFERROR(INDEX(Projekt_Tabelle,MATCH(F12,Stammdaten!$B$39:$B$53,0),2)&amp;" — "&amp;INDEX(Projekt_Tabelle,MATCH(F12,Stammdaten!$B$39:$B$53,0),3),"")</f>
        <v>Sanierung Wohnhaus Schulze — Familie Schulze</v>
      </c>
      <c r="H12" s="19" t="s">
        <v>91</v>
      </c>
      <c r="I12" s="45">
        <v>0.29166666666666702</v>
      </c>
      <c r="J12" s="45">
        <v>0.6875</v>
      </c>
      <c r="K12" s="46">
        <v>30</v>
      </c>
      <c r="L12" s="47">
        <f t="shared" si="2"/>
        <v>8.9999999999999911</v>
      </c>
      <c r="M12" s="48">
        <f>IFERROR(VLOOKUP(F12,Stammdaten!$B$39:$F$53,5,FALSE()),0)</f>
        <v>65</v>
      </c>
      <c r="N12" s="49">
        <f t="shared" si="3"/>
        <v>584.99999999999943</v>
      </c>
      <c r="O12" s="25" t="s">
        <v>92</v>
      </c>
      <c r="P12" s="50" t="s">
        <v>162</v>
      </c>
    </row>
    <row r="13" spans="1:16" ht="21.75" customHeight="1" x14ac:dyDescent="0.25">
      <c r="A13" s="41">
        <v>6</v>
      </c>
      <c r="B13" s="26">
        <v>46027</v>
      </c>
      <c r="C13" s="42" t="str">
        <f t="shared" si="0"/>
        <v>Mo</v>
      </c>
      <c r="D13" s="19" t="s">
        <v>33</v>
      </c>
      <c r="E13" s="43" t="str">
        <f t="shared" si="1"/>
        <v>P-003</v>
      </c>
      <c r="F13" s="22" t="s">
        <v>53</v>
      </c>
      <c r="G13" s="44" t="str">
        <f>IFERROR(INDEX(Projekt_Tabelle,MATCH(F13,Stammdaten!$B$39:$B$53,0),2)&amp;" — "&amp;INDEX(Projekt_Tabelle,MATCH(F13,Stammdaten!$B$39:$B$53,0),3),"")</f>
        <v>Neubau Bürogebäude Krause — Krause Immobilien GmbH</v>
      </c>
      <c r="H13" s="19" t="s">
        <v>107</v>
      </c>
      <c r="I13" s="45">
        <v>0.29166666666666702</v>
      </c>
      <c r="J13" s="45">
        <v>0.33333333333333298</v>
      </c>
      <c r="K13" s="46"/>
      <c r="L13" s="47">
        <f t="shared" si="2"/>
        <v>0.99999999999998312</v>
      </c>
      <c r="M13" s="48">
        <f>IFERROR(VLOOKUP(F13,Stammdaten!$B$39:$F$53,5,FALSE()),0)</f>
        <v>72</v>
      </c>
      <c r="N13" s="49">
        <f t="shared" si="3"/>
        <v>71.999999999998778</v>
      </c>
      <c r="O13" s="25" t="s">
        <v>92</v>
      </c>
      <c r="P13" s="50" t="s">
        <v>163</v>
      </c>
    </row>
    <row r="14" spans="1:16" ht="21.75" customHeight="1" x14ac:dyDescent="0.25">
      <c r="A14" s="41">
        <v>7</v>
      </c>
      <c r="B14" s="26">
        <v>46027</v>
      </c>
      <c r="C14" s="42" t="str">
        <f t="shared" si="0"/>
        <v>Mo</v>
      </c>
      <c r="D14" s="19" t="s">
        <v>33</v>
      </c>
      <c r="E14" s="43" t="str">
        <f t="shared" si="1"/>
        <v>P-003</v>
      </c>
      <c r="F14" s="22" t="s">
        <v>53</v>
      </c>
      <c r="G14" s="44" t="str">
        <f>IFERROR(INDEX(Projekt_Tabelle,MATCH(F14,Stammdaten!$B$39:$B$53,0),2)&amp;" — "&amp;INDEX(Projekt_Tabelle,MATCH(F14,Stammdaten!$B$39:$B$53,0),3),"")</f>
        <v>Neubau Bürogebäude Krause — Krause Immobilien GmbH</v>
      </c>
      <c r="H14" s="19" t="s">
        <v>111</v>
      </c>
      <c r="I14" s="45">
        <v>0.33333333333333298</v>
      </c>
      <c r="J14" s="45">
        <v>0.5</v>
      </c>
      <c r="K14" s="46">
        <v>30</v>
      </c>
      <c r="L14" s="47">
        <f t="shared" si="2"/>
        <v>3.5000000000000089</v>
      </c>
      <c r="M14" s="48">
        <f>IFERROR(VLOOKUP(F14,Stammdaten!$B$39:$F$53,5,FALSE()),0)</f>
        <v>72</v>
      </c>
      <c r="N14" s="49">
        <f t="shared" si="3"/>
        <v>252.00000000000063</v>
      </c>
      <c r="O14" s="25" t="s">
        <v>92</v>
      </c>
      <c r="P14" s="50" t="s">
        <v>164</v>
      </c>
    </row>
    <row r="15" spans="1:16" ht="21.75" customHeight="1" x14ac:dyDescent="0.25">
      <c r="A15" s="41">
        <v>8</v>
      </c>
      <c r="B15" s="26">
        <v>46027</v>
      </c>
      <c r="C15" s="42" t="str">
        <f t="shared" si="0"/>
        <v>Mo</v>
      </c>
      <c r="D15" s="19" t="s">
        <v>36</v>
      </c>
      <c r="E15" s="43" t="str">
        <f t="shared" si="1"/>
        <v>P-004</v>
      </c>
      <c r="F15" s="22" t="s">
        <v>61</v>
      </c>
      <c r="G15" s="44" t="str">
        <f>IFERROR(INDEX(Projekt_Tabelle,MATCH(F15,Stammdaten!$B$39:$B$53,0),2)&amp;" — "&amp;INDEX(Projekt_Tabelle,MATCH(F15,Stammdaten!$B$39:$B$53,0),3),"")</f>
        <v>Renovierung Arztpraxis — Dr. med. Susanne Becker</v>
      </c>
      <c r="H15" s="19" t="s">
        <v>91</v>
      </c>
      <c r="I15" s="45">
        <v>0.33333333333333298</v>
      </c>
      <c r="J15" s="45">
        <v>0.70833333333333304</v>
      </c>
      <c r="K15" s="46">
        <v>45</v>
      </c>
      <c r="L15" s="47">
        <f t="shared" si="2"/>
        <v>8.2500000000000018</v>
      </c>
      <c r="M15" s="48">
        <f>IFERROR(VLOOKUP(F15,Stammdaten!$B$39:$F$53,5,FALSE()),0)</f>
        <v>65</v>
      </c>
      <c r="N15" s="49">
        <f t="shared" si="3"/>
        <v>536.25000000000011</v>
      </c>
      <c r="O15" s="25" t="s">
        <v>92</v>
      </c>
      <c r="P15" s="50" t="s">
        <v>165</v>
      </c>
    </row>
    <row r="16" spans="1:16" ht="21.75" customHeight="1" x14ac:dyDescent="0.25">
      <c r="A16" s="41">
        <v>9</v>
      </c>
      <c r="B16" s="26">
        <v>46027</v>
      </c>
      <c r="C16" s="42" t="str">
        <f t="shared" si="0"/>
        <v>Mo</v>
      </c>
      <c r="D16" s="19" t="s">
        <v>38</v>
      </c>
      <c r="E16" s="43" t="str">
        <f t="shared" si="1"/>
        <v>P-005</v>
      </c>
      <c r="F16" s="22" t="s">
        <v>49</v>
      </c>
      <c r="G16" s="44" t="str">
        <f>IFERROR(INDEX(Projekt_Tabelle,MATCH(F16,Stammdaten!$B$39:$B$53,0),2)&amp;" — "&amp;INDEX(Projekt_Tabelle,MATCH(F16,Stammdaten!$B$39:$B$53,0),3),"")</f>
        <v>Sanierung Wohnhaus Schulze — Familie Schulze</v>
      </c>
      <c r="H16" s="19" t="s">
        <v>119</v>
      </c>
      <c r="I16" s="45">
        <v>0.3125</v>
      </c>
      <c r="J16" s="45">
        <v>0.64583333333333304</v>
      </c>
      <c r="K16" s="46">
        <v>30</v>
      </c>
      <c r="L16" s="47">
        <f t="shared" si="2"/>
        <v>7.4999999999999929</v>
      </c>
      <c r="M16" s="48">
        <f>IFERROR(VLOOKUP(F16,Stammdaten!$B$39:$F$53,5,FALSE()),0)</f>
        <v>65</v>
      </c>
      <c r="N16" s="49">
        <f t="shared" si="3"/>
        <v>487.49999999999955</v>
      </c>
      <c r="O16" s="25" t="s">
        <v>92</v>
      </c>
      <c r="P16" s="50" t="s">
        <v>166</v>
      </c>
    </row>
    <row r="17" spans="1:16" ht="21.75" customHeight="1" x14ac:dyDescent="0.25">
      <c r="A17" s="41">
        <v>10</v>
      </c>
      <c r="B17" s="26">
        <v>46028</v>
      </c>
      <c r="C17" s="42" t="str">
        <f t="shared" si="0"/>
        <v>Di</v>
      </c>
      <c r="D17" s="19" t="s">
        <v>26</v>
      </c>
      <c r="E17" s="43" t="str">
        <f t="shared" si="1"/>
        <v>P-001</v>
      </c>
      <c r="F17" s="22" t="s">
        <v>49</v>
      </c>
      <c r="G17" s="44" t="str">
        <f>IFERROR(INDEX(Projekt_Tabelle,MATCH(F17,Stammdaten!$B$39:$B$53,0),2)&amp;" — "&amp;INDEX(Projekt_Tabelle,MATCH(F17,Stammdaten!$B$39:$B$53,0),3),"")</f>
        <v>Sanierung Wohnhaus Schulze — Familie Schulze</v>
      </c>
      <c r="H17" s="19" t="s">
        <v>91</v>
      </c>
      <c r="I17" s="45">
        <v>0.29166666666666702</v>
      </c>
      <c r="J17" s="45">
        <v>0.70833333333333304</v>
      </c>
      <c r="K17" s="46">
        <v>30</v>
      </c>
      <c r="L17" s="47">
        <f t="shared" si="2"/>
        <v>9.499999999999984</v>
      </c>
      <c r="M17" s="48">
        <f>IFERROR(VLOOKUP(F17,Stammdaten!$B$39:$F$53,5,FALSE()),0)</f>
        <v>65</v>
      </c>
      <c r="N17" s="49">
        <f t="shared" si="3"/>
        <v>617.49999999999898</v>
      </c>
      <c r="O17" s="25" t="s">
        <v>96</v>
      </c>
      <c r="P17" s="50" t="s">
        <v>167</v>
      </c>
    </row>
    <row r="18" spans="1:16" ht="21.75" customHeight="1" x14ac:dyDescent="0.25">
      <c r="A18" s="41">
        <v>11</v>
      </c>
      <c r="B18" s="26">
        <v>46028</v>
      </c>
      <c r="C18" s="42" t="str">
        <f t="shared" si="0"/>
        <v>Di</v>
      </c>
      <c r="D18" s="19" t="s">
        <v>30</v>
      </c>
      <c r="E18" s="43" t="str">
        <f t="shared" si="1"/>
        <v>P-002</v>
      </c>
      <c r="F18" s="22" t="s">
        <v>49</v>
      </c>
      <c r="G18" s="44" t="str">
        <f>IFERROR(INDEX(Projekt_Tabelle,MATCH(F18,Stammdaten!$B$39:$B$53,0),2)&amp;" — "&amp;INDEX(Projekt_Tabelle,MATCH(F18,Stammdaten!$B$39:$B$53,0),3),"")</f>
        <v>Sanierung Wohnhaus Schulze — Familie Schulze</v>
      </c>
      <c r="H18" s="19" t="s">
        <v>91</v>
      </c>
      <c r="I18" s="45">
        <v>0.29166666666666702</v>
      </c>
      <c r="J18" s="45">
        <v>0.66666666666666696</v>
      </c>
      <c r="K18" s="46">
        <v>30</v>
      </c>
      <c r="L18" s="47">
        <f t="shared" si="2"/>
        <v>8.4999999999999982</v>
      </c>
      <c r="M18" s="48">
        <f>IFERROR(VLOOKUP(F18,Stammdaten!$B$39:$F$53,5,FALSE()),0)</f>
        <v>65</v>
      </c>
      <c r="N18" s="49">
        <f t="shared" si="3"/>
        <v>552.49999999999989</v>
      </c>
      <c r="O18" s="25" t="s">
        <v>92</v>
      </c>
      <c r="P18" s="50" t="s">
        <v>168</v>
      </c>
    </row>
    <row r="19" spans="1:16" ht="21.75" customHeight="1" x14ac:dyDescent="0.25">
      <c r="A19" s="41">
        <v>12</v>
      </c>
      <c r="B19" s="26">
        <v>46028</v>
      </c>
      <c r="C19" s="42" t="str">
        <f t="shared" si="0"/>
        <v>Di</v>
      </c>
      <c r="D19" s="19" t="s">
        <v>33</v>
      </c>
      <c r="E19" s="43" t="str">
        <f t="shared" si="1"/>
        <v>P-003</v>
      </c>
      <c r="F19" s="22" t="s">
        <v>53</v>
      </c>
      <c r="G19" s="44" t="str">
        <f>IFERROR(INDEX(Projekt_Tabelle,MATCH(F19,Stammdaten!$B$39:$B$53,0),2)&amp;" — "&amp;INDEX(Projekt_Tabelle,MATCH(F19,Stammdaten!$B$39:$B$53,0),3),"")</f>
        <v>Neubau Bürogebäude Krause — Krause Immobilien GmbH</v>
      </c>
      <c r="H19" s="19" t="s">
        <v>91</v>
      </c>
      <c r="I19" s="45">
        <v>0.3125</v>
      </c>
      <c r="J19" s="45">
        <v>0.6875</v>
      </c>
      <c r="K19" s="46">
        <v>30</v>
      </c>
      <c r="L19" s="47">
        <f t="shared" si="2"/>
        <v>8.5</v>
      </c>
      <c r="M19" s="48">
        <f>IFERROR(VLOOKUP(F19,Stammdaten!$B$39:$F$53,5,FALSE()),0)</f>
        <v>72</v>
      </c>
      <c r="N19" s="49">
        <f t="shared" si="3"/>
        <v>612</v>
      </c>
      <c r="O19" s="25" t="s">
        <v>92</v>
      </c>
      <c r="P19" s="50" t="s">
        <v>169</v>
      </c>
    </row>
    <row r="20" spans="1:16" ht="21.75" customHeight="1" x14ac:dyDescent="0.25">
      <c r="A20" s="41">
        <v>13</v>
      </c>
      <c r="B20" s="26">
        <v>46028</v>
      </c>
      <c r="C20" s="42" t="str">
        <f t="shared" si="0"/>
        <v>Di</v>
      </c>
      <c r="D20" s="19" t="s">
        <v>36</v>
      </c>
      <c r="E20" s="43" t="str">
        <f t="shared" si="1"/>
        <v>P-004</v>
      </c>
      <c r="F20" s="22" t="s">
        <v>61</v>
      </c>
      <c r="G20" s="44" t="str">
        <f>IFERROR(INDEX(Projekt_Tabelle,MATCH(F20,Stammdaten!$B$39:$B$53,0),2)&amp;" — "&amp;INDEX(Projekt_Tabelle,MATCH(F20,Stammdaten!$B$39:$B$53,0),3),"")</f>
        <v>Renovierung Arztpraxis — Dr. med. Susanne Becker</v>
      </c>
      <c r="H20" s="19" t="s">
        <v>91</v>
      </c>
      <c r="I20" s="45">
        <v>0.3125</v>
      </c>
      <c r="J20" s="45">
        <v>0.6875</v>
      </c>
      <c r="K20" s="46">
        <v>45</v>
      </c>
      <c r="L20" s="47">
        <f t="shared" si="2"/>
        <v>8.25</v>
      </c>
      <c r="M20" s="48">
        <f>IFERROR(VLOOKUP(F20,Stammdaten!$B$39:$F$53,5,FALSE()),0)</f>
        <v>65</v>
      </c>
      <c r="N20" s="49">
        <f t="shared" si="3"/>
        <v>536.25</v>
      </c>
      <c r="O20" s="25" t="s">
        <v>92</v>
      </c>
      <c r="P20" s="50" t="s">
        <v>170</v>
      </c>
    </row>
    <row r="21" spans="1:16" ht="21.75" customHeight="1" x14ac:dyDescent="0.25">
      <c r="A21" s="41">
        <v>14</v>
      </c>
      <c r="B21" s="26">
        <v>46028</v>
      </c>
      <c r="C21" s="42" t="str">
        <f t="shared" si="0"/>
        <v>Di</v>
      </c>
      <c r="D21" s="19" t="s">
        <v>38</v>
      </c>
      <c r="E21" s="43" t="str">
        <f t="shared" si="1"/>
        <v>P-005</v>
      </c>
      <c r="F21" s="22" t="s">
        <v>82</v>
      </c>
      <c r="G21" s="44" t="str">
        <f>IFERROR(INDEX(Projekt_Tabelle,MATCH(F21,Stammdaten!$B$39:$B$53,0),2)&amp;" — "&amp;INDEX(Projekt_Tabelle,MATCH(F21,Stammdaten!$B$39:$B$53,0),3),"")</f>
        <v>Interne Arbeiten / Werkstatt — Hoffmann Handwerk GmbH</v>
      </c>
      <c r="H21" s="19" t="s">
        <v>116</v>
      </c>
      <c r="I21" s="45">
        <v>0.33333333333333298</v>
      </c>
      <c r="J21" s="45">
        <v>0.66666666666666696</v>
      </c>
      <c r="K21" s="46">
        <v>30</v>
      </c>
      <c r="L21" s="47">
        <f t="shared" si="2"/>
        <v>7.500000000000016</v>
      </c>
      <c r="M21" s="48">
        <f>IFERROR(VLOOKUP(F21,Stammdaten!$B$39:$F$53,5,FALSE()),0)</f>
        <v>0</v>
      </c>
      <c r="N21" s="49">
        <f t="shared" si="3"/>
        <v>0</v>
      </c>
      <c r="O21" s="25" t="s">
        <v>116</v>
      </c>
      <c r="P21" s="50" t="s">
        <v>171</v>
      </c>
    </row>
    <row r="22" spans="1:16" ht="21.75" customHeight="1" x14ac:dyDescent="0.25">
      <c r="A22" s="41">
        <v>15</v>
      </c>
      <c r="B22" s="26">
        <v>46029</v>
      </c>
      <c r="C22" s="42" t="str">
        <f t="shared" si="0"/>
        <v>Mi</v>
      </c>
      <c r="D22" s="19" t="s">
        <v>26</v>
      </c>
      <c r="E22" s="43" t="str">
        <f t="shared" si="1"/>
        <v>P-001</v>
      </c>
      <c r="F22" s="22" t="s">
        <v>49</v>
      </c>
      <c r="G22" s="44" t="str">
        <f>IFERROR(INDEX(Projekt_Tabelle,MATCH(F22,Stammdaten!$B$39:$B$53,0),2)&amp;" — "&amp;INDEX(Projekt_Tabelle,MATCH(F22,Stammdaten!$B$39:$B$53,0),3),"")</f>
        <v>Sanierung Wohnhaus Schulze — Familie Schulze</v>
      </c>
      <c r="H22" s="19" t="s">
        <v>91</v>
      </c>
      <c r="I22" s="45">
        <v>0.29166666666666702</v>
      </c>
      <c r="J22" s="45">
        <v>0.66666666666666696</v>
      </c>
      <c r="K22" s="46">
        <v>30</v>
      </c>
      <c r="L22" s="47">
        <f t="shared" si="2"/>
        <v>8.4999999999999982</v>
      </c>
      <c r="M22" s="48">
        <f>IFERROR(VLOOKUP(F22,Stammdaten!$B$39:$F$53,5,FALSE()),0)</f>
        <v>65</v>
      </c>
      <c r="N22" s="49">
        <f t="shared" si="3"/>
        <v>552.49999999999989</v>
      </c>
      <c r="O22" s="25" t="s">
        <v>92</v>
      </c>
      <c r="P22" s="50" t="s">
        <v>162</v>
      </c>
    </row>
    <row r="23" spans="1:16" ht="21.75" customHeight="1" x14ac:dyDescent="0.25">
      <c r="A23" s="41">
        <v>16</v>
      </c>
      <c r="B23" s="26">
        <v>46029</v>
      </c>
      <c r="C23" s="42" t="str">
        <f t="shared" si="0"/>
        <v>Mi</v>
      </c>
      <c r="D23" s="19" t="s">
        <v>30</v>
      </c>
      <c r="E23" s="43" t="str">
        <f t="shared" si="1"/>
        <v>P-002</v>
      </c>
      <c r="F23" s="22"/>
      <c r="G23" s="44" t="str">
        <f>IFERROR(INDEX(Projekt_Tabelle,MATCH(F23,Stammdaten!$B$39:$B$53,0),2)&amp;" — "&amp;INDEX(Projekt_Tabelle,MATCH(F23,Stammdaten!$B$39:$B$53,0),3),"")</f>
        <v/>
      </c>
      <c r="H23" s="19"/>
      <c r="I23" s="45"/>
      <c r="J23" s="45"/>
      <c r="K23" s="46"/>
      <c r="L23" s="47">
        <f t="shared" si="2"/>
        <v>8</v>
      </c>
      <c r="M23" s="48">
        <f>IFERROR(VLOOKUP(F23,Stammdaten!$B$39:$F$53,5,FALSE()),0)</f>
        <v>0</v>
      </c>
      <c r="N23" s="49">
        <f t="shared" si="3"/>
        <v>0</v>
      </c>
      <c r="O23" s="25" t="s">
        <v>104</v>
      </c>
      <c r="P23" s="50" t="s">
        <v>172</v>
      </c>
    </row>
    <row r="24" spans="1:16" ht="21.75" customHeight="1" x14ac:dyDescent="0.25">
      <c r="A24" s="41">
        <v>17</v>
      </c>
      <c r="B24" s="26">
        <v>46029</v>
      </c>
      <c r="C24" s="42" t="str">
        <f t="shared" si="0"/>
        <v>Mi</v>
      </c>
      <c r="D24" s="19" t="s">
        <v>33</v>
      </c>
      <c r="E24" s="43" t="str">
        <f t="shared" si="1"/>
        <v>P-003</v>
      </c>
      <c r="F24" s="22" t="s">
        <v>53</v>
      </c>
      <c r="G24" s="44" t="str">
        <f>IFERROR(INDEX(Projekt_Tabelle,MATCH(F24,Stammdaten!$B$39:$B$53,0),2)&amp;" — "&amp;INDEX(Projekt_Tabelle,MATCH(F24,Stammdaten!$B$39:$B$53,0),3),"")</f>
        <v>Neubau Bürogebäude Krause — Krause Immobilien GmbH</v>
      </c>
      <c r="H24" s="19" t="s">
        <v>91</v>
      </c>
      <c r="I24" s="45">
        <v>0.3125</v>
      </c>
      <c r="J24" s="45">
        <v>0.6875</v>
      </c>
      <c r="K24" s="46">
        <v>30</v>
      </c>
      <c r="L24" s="47">
        <f t="shared" si="2"/>
        <v>8.5</v>
      </c>
      <c r="M24" s="48">
        <f>IFERROR(VLOOKUP(F24,Stammdaten!$B$39:$F$53,5,FALSE()),0)</f>
        <v>72</v>
      </c>
      <c r="N24" s="49">
        <f t="shared" si="3"/>
        <v>612</v>
      </c>
      <c r="O24" s="25" t="s">
        <v>92</v>
      </c>
      <c r="P24" s="50" t="s">
        <v>169</v>
      </c>
    </row>
    <row r="25" spans="1:16" ht="21.75" customHeight="1" x14ac:dyDescent="0.25">
      <c r="A25" s="41">
        <v>18</v>
      </c>
      <c r="B25" s="26">
        <v>46029</v>
      </c>
      <c r="C25" s="42" t="str">
        <f t="shared" si="0"/>
        <v>Mi</v>
      </c>
      <c r="D25" s="19" t="s">
        <v>36</v>
      </c>
      <c r="E25" s="43" t="str">
        <f t="shared" si="1"/>
        <v>P-004</v>
      </c>
      <c r="F25" s="22" t="s">
        <v>61</v>
      </c>
      <c r="G25" s="44" t="str">
        <f>IFERROR(INDEX(Projekt_Tabelle,MATCH(F25,Stammdaten!$B$39:$B$53,0),2)&amp;" — "&amp;INDEX(Projekt_Tabelle,MATCH(F25,Stammdaten!$B$39:$B$53,0),3),"")</f>
        <v>Renovierung Arztpraxis — Dr. med. Susanne Becker</v>
      </c>
      <c r="H25" s="19" t="s">
        <v>115</v>
      </c>
      <c r="I25" s="45">
        <v>0.3125</v>
      </c>
      <c r="J25" s="45">
        <v>0.41666666666666702</v>
      </c>
      <c r="K25" s="46"/>
      <c r="L25" s="47">
        <f t="shared" si="2"/>
        <v>2.5000000000000084</v>
      </c>
      <c r="M25" s="48">
        <f>IFERROR(VLOOKUP(F25,Stammdaten!$B$39:$F$53,5,FALSE()),0)</f>
        <v>65</v>
      </c>
      <c r="N25" s="49">
        <f t="shared" si="3"/>
        <v>162.50000000000054</v>
      </c>
      <c r="O25" s="25" t="s">
        <v>92</v>
      </c>
      <c r="P25" s="50" t="s">
        <v>173</v>
      </c>
    </row>
    <row r="26" spans="1:16" ht="21.75" customHeight="1" x14ac:dyDescent="0.25">
      <c r="A26" s="41">
        <v>19</v>
      </c>
      <c r="B26" s="26">
        <v>46029</v>
      </c>
      <c r="C26" s="42" t="str">
        <f t="shared" si="0"/>
        <v>Mi</v>
      </c>
      <c r="D26" s="19" t="s">
        <v>36</v>
      </c>
      <c r="E26" s="43" t="str">
        <f t="shared" si="1"/>
        <v>P-004</v>
      </c>
      <c r="F26" s="22" t="s">
        <v>61</v>
      </c>
      <c r="G26" s="44" t="str">
        <f>IFERROR(INDEX(Projekt_Tabelle,MATCH(F26,Stammdaten!$B$39:$B$53,0),2)&amp;" — "&amp;INDEX(Projekt_Tabelle,MATCH(F26,Stammdaten!$B$39:$B$53,0),3),"")</f>
        <v>Renovierung Arztpraxis — Dr. med. Susanne Becker</v>
      </c>
      <c r="H26" s="19" t="s">
        <v>91</v>
      </c>
      <c r="I26" s="45">
        <v>0.41666666666666702</v>
      </c>
      <c r="J26" s="45">
        <v>0.6875</v>
      </c>
      <c r="K26" s="46">
        <v>30</v>
      </c>
      <c r="L26" s="47">
        <f t="shared" si="2"/>
        <v>5.9999999999999911</v>
      </c>
      <c r="M26" s="48">
        <f>IFERROR(VLOOKUP(F26,Stammdaten!$B$39:$F$53,5,FALSE()),0)</f>
        <v>65</v>
      </c>
      <c r="N26" s="49">
        <f t="shared" si="3"/>
        <v>389.99999999999943</v>
      </c>
      <c r="O26" s="25" t="s">
        <v>92</v>
      </c>
      <c r="P26" s="50" t="s">
        <v>165</v>
      </c>
    </row>
    <row r="27" spans="1:16" ht="21.75" customHeight="1" x14ac:dyDescent="0.25">
      <c r="A27" s="41">
        <v>20</v>
      </c>
      <c r="B27" s="26">
        <v>46029</v>
      </c>
      <c r="C27" s="42" t="str">
        <f t="shared" si="0"/>
        <v>Mi</v>
      </c>
      <c r="D27" s="19" t="s">
        <v>38</v>
      </c>
      <c r="E27" s="43" t="str">
        <f t="shared" si="1"/>
        <v>P-005</v>
      </c>
      <c r="F27" s="22" t="s">
        <v>49</v>
      </c>
      <c r="G27" s="44" t="str">
        <f>IFERROR(INDEX(Projekt_Tabelle,MATCH(F27,Stammdaten!$B$39:$B$53,0),2)&amp;" — "&amp;INDEX(Projekt_Tabelle,MATCH(F27,Stammdaten!$B$39:$B$53,0),3),"")</f>
        <v>Sanierung Wohnhaus Schulze — Familie Schulze</v>
      </c>
      <c r="H27" s="19" t="s">
        <v>121</v>
      </c>
      <c r="I27" s="45">
        <v>0.3125</v>
      </c>
      <c r="J27" s="45">
        <v>0.64583333333333304</v>
      </c>
      <c r="K27" s="46">
        <v>30</v>
      </c>
      <c r="L27" s="47">
        <f t="shared" si="2"/>
        <v>7.4999999999999929</v>
      </c>
      <c r="M27" s="48">
        <f>IFERROR(VLOOKUP(F27,Stammdaten!$B$39:$F$53,5,FALSE()),0)</f>
        <v>65</v>
      </c>
      <c r="N27" s="49">
        <f t="shared" si="3"/>
        <v>487.49999999999955</v>
      </c>
      <c r="O27" s="25" t="s">
        <v>92</v>
      </c>
      <c r="P27" s="50" t="s">
        <v>174</v>
      </c>
    </row>
    <row r="28" spans="1:16" ht="21.75" customHeight="1" x14ac:dyDescent="0.25">
      <c r="A28" s="41">
        <v>21</v>
      </c>
      <c r="B28" s="26">
        <v>46030</v>
      </c>
      <c r="C28" s="42" t="str">
        <f t="shared" si="0"/>
        <v>Do</v>
      </c>
      <c r="D28" s="19" t="s">
        <v>26</v>
      </c>
      <c r="E28" s="43" t="str">
        <f t="shared" si="1"/>
        <v>P-001</v>
      </c>
      <c r="F28" s="22" t="s">
        <v>73</v>
      </c>
      <c r="G28" s="44" t="str">
        <f>IFERROR(INDEX(Projekt_Tabelle,MATCH(F28,Stammdaten!$B$39:$B$53,0),2)&amp;" — "&amp;INDEX(Projekt_Tabelle,MATCH(F28,Stammdaten!$B$39:$B$53,0),3),"")</f>
        <v>Dachstuhl Neubau Bauer — Bauer GbR</v>
      </c>
      <c r="H28" s="19" t="s">
        <v>107</v>
      </c>
      <c r="I28" s="45">
        <v>0.29166666666666702</v>
      </c>
      <c r="J28" s="45">
        <v>0.35416666666666702</v>
      </c>
      <c r="K28" s="46"/>
      <c r="L28" s="47">
        <f t="shared" si="2"/>
        <v>1.5</v>
      </c>
      <c r="M28" s="48">
        <f>IFERROR(VLOOKUP(F28,Stammdaten!$B$39:$F$53,5,FALSE()),0)</f>
        <v>70</v>
      </c>
      <c r="N28" s="49">
        <f t="shared" si="3"/>
        <v>105</v>
      </c>
      <c r="O28" s="25" t="s">
        <v>92</v>
      </c>
      <c r="P28" s="50" t="s">
        <v>175</v>
      </c>
    </row>
    <row r="29" spans="1:16" ht="21.75" customHeight="1" x14ac:dyDescent="0.25">
      <c r="A29" s="41">
        <v>22</v>
      </c>
      <c r="B29" s="26">
        <v>46030</v>
      </c>
      <c r="C29" s="42" t="str">
        <f t="shared" si="0"/>
        <v>Do</v>
      </c>
      <c r="D29" s="19" t="s">
        <v>26</v>
      </c>
      <c r="E29" s="43" t="str">
        <f t="shared" si="1"/>
        <v>P-001</v>
      </c>
      <c r="F29" s="22" t="s">
        <v>73</v>
      </c>
      <c r="G29" s="44" t="str">
        <f>IFERROR(INDEX(Projekt_Tabelle,MATCH(F29,Stammdaten!$B$39:$B$53,0),2)&amp;" — "&amp;INDEX(Projekt_Tabelle,MATCH(F29,Stammdaten!$B$39:$B$53,0),3),"")</f>
        <v>Dachstuhl Neubau Bauer — Bauer GbR</v>
      </c>
      <c r="H29" s="19" t="s">
        <v>119</v>
      </c>
      <c r="I29" s="45">
        <v>0.35416666666666702</v>
      </c>
      <c r="J29" s="45">
        <v>0.66666666666666696</v>
      </c>
      <c r="K29" s="46">
        <v>30</v>
      </c>
      <c r="L29" s="47">
        <f t="shared" si="2"/>
        <v>6.9999999999999982</v>
      </c>
      <c r="M29" s="48">
        <f>IFERROR(VLOOKUP(F29,Stammdaten!$B$39:$F$53,5,FALSE()),0)</f>
        <v>70</v>
      </c>
      <c r="N29" s="49">
        <f t="shared" si="3"/>
        <v>489.99999999999989</v>
      </c>
      <c r="O29" s="25" t="s">
        <v>92</v>
      </c>
      <c r="P29" s="50" t="s">
        <v>176</v>
      </c>
    </row>
    <row r="30" spans="1:16" ht="21.75" customHeight="1" x14ac:dyDescent="0.25">
      <c r="A30" s="41">
        <v>23</v>
      </c>
      <c r="B30" s="26">
        <v>46030</v>
      </c>
      <c r="C30" s="42" t="str">
        <f t="shared" si="0"/>
        <v>Do</v>
      </c>
      <c r="D30" s="19" t="s">
        <v>30</v>
      </c>
      <c r="E30" s="43" t="str">
        <f t="shared" si="1"/>
        <v>P-002</v>
      </c>
      <c r="F30" s="22"/>
      <c r="G30" s="44" t="str">
        <f>IFERROR(INDEX(Projekt_Tabelle,MATCH(F30,Stammdaten!$B$39:$B$53,0),2)&amp;" — "&amp;INDEX(Projekt_Tabelle,MATCH(F30,Stammdaten!$B$39:$B$53,0),3),"")</f>
        <v/>
      </c>
      <c r="H30" s="19"/>
      <c r="I30" s="45"/>
      <c r="J30" s="45"/>
      <c r="K30" s="46"/>
      <c r="L30" s="47">
        <f t="shared" si="2"/>
        <v>8</v>
      </c>
      <c r="M30" s="48">
        <f>IFERROR(VLOOKUP(F30,Stammdaten!$B$39:$F$53,5,FALSE()),0)</f>
        <v>0</v>
      </c>
      <c r="N30" s="49">
        <f t="shared" si="3"/>
        <v>0</v>
      </c>
      <c r="O30" s="25" t="s">
        <v>104</v>
      </c>
      <c r="P30" s="50" t="s">
        <v>177</v>
      </c>
    </row>
    <row r="31" spans="1:16" ht="21.75" customHeight="1" x14ac:dyDescent="0.25">
      <c r="A31" s="41">
        <v>24</v>
      </c>
      <c r="B31" s="26">
        <v>46030</v>
      </c>
      <c r="C31" s="42" t="str">
        <f t="shared" si="0"/>
        <v>Do</v>
      </c>
      <c r="D31" s="19" t="s">
        <v>33</v>
      </c>
      <c r="E31" s="43" t="str">
        <f t="shared" si="1"/>
        <v>P-003</v>
      </c>
      <c r="F31" s="22" t="s">
        <v>69</v>
      </c>
      <c r="G31" s="44" t="str">
        <f>IFERROR(INDEX(Projekt_Tabelle,MATCH(F31,Stammdaten!$B$39:$B$53,0),2)&amp;" — "&amp;INDEX(Projekt_Tabelle,MATCH(F31,Stammdaten!$B$39:$B$53,0),3),"")</f>
        <v>Wartungsvertrag Hausverwaltung — Lehmann Hausverwaltung KG</v>
      </c>
      <c r="H31" s="19" t="s">
        <v>103</v>
      </c>
      <c r="I31" s="45">
        <v>0.3125</v>
      </c>
      <c r="J31" s="45">
        <v>0.64583333333333304</v>
      </c>
      <c r="K31" s="46">
        <v>30</v>
      </c>
      <c r="L31" s="47">
        <f t="shared" si="2"/>
        <v>7.4999999999999929</v>
      </c>
      <c r="M31" s="48">
        <f>IFERROR(VLOOKUP(F31,Stammdaten!$B$39:$F$53,5,FALSE()),0)</f>
        <v>58</v>
      </c>
      <c r="N31" s="49">
        <f t="shared" si="3"/>
        <v>434.9999999999996</v>
      </c>
      <c r="O31" s="25" t="s">
        <v>92</v>
      </c>
      <c r="P31" s="50" t="s">
        <v>178</v>
      </c>
    </row>
    <row r="32" spans="1:16" ht="21.75" customHeight="1" x14ac:dyDescent="0.25">
      <c r="A32" s="41">
        <v>25</v>
      </c>
      <c r="B32" s="26">
        <v>46030</v>
      </c>
      <c r="C32" s="42" t="str">
        <f t="shared" si="0"/>
        <v>Do</v>
      </c>
      <c r="D32" s="19" t="s">
        <v>36</v>
      </c>
      <c r="E32" s="43" t="str">
        <f t="shared" si="1"/>
        <v>P-004</v>
      </c>
      <c r="F32" s="22" t="s">
        <v>61</v>
      </c>
      <c r="G32" s="44" t="str">
        <f>IFERROR(INDEX(Projekt_Tabelle,MATCH(F32,Stammdaten!$B$39:$B$53,0),2)&amp;" — "&amp;INDEX(Projekt_Tabelle,MATCH(F32,Stammdaten!$B$39:$B$53,0),3),"")</f>
        <v>Renovierung Arztpraxis — Dr. med. Susanne Becker</v>
      </c>
      <c r="H32" s="19" t="s">
        <v>91</v>
      </c>
      <c r="I32" s="45">
        <v>0.3125</v>
      </c>
      <c r="J32" s="45">
        <v>0.6875</v>
      </c>
      <c r="K32" s="46">
        <v>30</v>
      </c>
      <c r="L32" s="47">
        <f t="shared" si="2"/>
        <v>8.5</v>
      </c>
      <c r="M32" s="48">
        <f>IFERROR(VLOOKUP(F32,Stammdaten!$B$39:$F$53,5,FALSE()),0)</f>
        <v>65</v>
      </c>
      <c r="N32" s="49">
        <f t="shared" si="3"/>
        <v>552.5</v>
      </c>
      <c r="O32" s="25" t="s">
        <v>92</v>
      </c>
      <c r="P32" s="50" t="s">
        <v>170</v>
      </c>
    </row>
    <row r="33" spans="1:16" ht="21.75" customHeight="1" x14ac:dyDescent="0.25">
      <c r="A33" s="41">
        <v>26</v>
      </c>
      <c r="B33" s="26">
        <v>46030</v>
      </c>
      <c r="C33" s="42" t="str">
        <f t="shared" si="0"/>
        <v>Do</v>
      </c>
      <c r="D33" s="19" t="s">
        <v>38</v>
      </c>
      <c r="E33" s="43" t="str">
        <f t="shared" si="1"/>
        <v>P-005</v>
      </c>
      <c r="F33" s="22" t="s">
        <v>49</v>
      </c>
      <c r="G33" s="44" t="str">
        <f>IFERROR(INDEX(Projekt_Tabelle,MATCH(F33,Stammdaten!$B$39:$B$53,0),2)&amp;" — "&amp;INDEX(Projekt_Tabelle,MATCH(F33,Stammdaten!$B$39:$B$53,0),3),"")</f>
        <v>Sanierung Wohnhaus Schulze — Familie Schulze</v>
      </c>
      <c r="H33" s="19" t="s">
        <v>119</v>
      </c>
      <c r="I33" s="45">
        <v>0.3125</v>
      </c>
      <c r="J33" s="45">
        <v>0.64583333333333304</v>
      </c>
      <c r="K33" s="46">
        <v>30</v>
      </c>
      <c r="L33" s="47">
        <f t="shared" si="2"/>
        <v>7.4999999999999929</v>
      </c>
      <c r="M33" s="48">
        <f>IFERROR(VLOOKUP(F33,Stammdaten!$B$39:$F$53,5,FALSE()),0)</f>
        <v>65</v>
      </c>
      <c r="N33" s="49">
        <f t="shared" si="3"/>
        <v>487.49999999999955</v>
      </c>
      <c r="O33" s="25" t="s">
        <v>92</v>
      </c>
      <c r="P33" s="50" t="s">
        <v>179</v>
      </c>
    </row>
    <row r="34" spans="1:16" ht="21.75" customHeight="1" x14ac:dyDescent="0.25">
      <c r="A34" s="41">
        <v>27</v>
      </c>
      <c r="B34" s="26">
        <v>46031</v>
      </c>
      <c r="C34" s="42" t="str">
        <f t="shared" si="0"/>
        <v>Fr</v>
      </c>
      <c r="D34" s="19" t="s">
        <v>26</v>
      </c>
      <c r="E34" s="43" t="str">
        <f t="shared" si="1"/>
        <v>P-001</v>
      </c>
      <c r="F34" s="22" t="s">
        <v>73</v>
      </c>
      <c r="G34" s="44" t="str">
        <f>IFERROR(INDEX(Projekt_Tabelle,MATCH(F34,Stammdaten!$B$39:$B$53,0),2)&amp;" — "&amp;INDEX(Projekt_Tabelle,MATCH(F34,Stammdaten!$B$39:$B$53,0),3),"")</f>
        <v>Dachstuhl Neubau Bauer — Bauer GbR</v>
      </c>
      <c r="H34" s="19" t="s">
        <v>91</v>
      </c>
      <c r="I34" s="45">
        <v>0.3125</v>
      </c>
      <c r="J34" s="45">
        <v>0.70833333333333304</v>
      </c>
      <c r="K34" s="46">
        <v>30</v>
      </c>
      <c r="L34" s="47">
        <f t="shared" si="2"/>
        <v>8.9999999999999929</v>
      </c>
      <c r="M34" s="48">
        <f>IFERROR(VLOOKUP(F34,Stammdaten!$B$39:$F$53,5,FALSE()),0)</f>
        <v>70</v>
      </c>
      <c r="N34" s="49">
        <f t="shared" si="3"/>
        <v>629.99999999999955</v>
      </c>
      <c r="O34" s="25" t="s">
        <v>96</v>
      </c>
      <c r="P34" s="50" t="s">
        <v>180</v>
      </c>
    </row>
    <row r="35" spans="1:16" ht="21.75" customHeight="1" x14ac:dyDescent="0.25">
      <c r="A35" s="41">
        <v>28</v>
      </c>
      <c r="B35" s="26">
        <v>46031</v>
      </c>
      <c r="C35" s="42" t="str">
        <f t="shared" si="0"/>
        <v>Fr</v>
      </c>
      <c r="D35" s="19" t="s">
        <v>30</v>
      </c>
      <c r="E35" s="43" t="str">
        <f t="shared" si="1"/>
        <v>P-002</v>
      </c>
      <c r="F35" s="22" t="s">
        <v>49</v>
      </c>
      <c r="G35" s="44" t="str">
        <f>IFERROR(INDEX(Projekt_Tabelle,MATCH(F35,Stammdaten!$B$39:$B$53,0),2)&amp;" — "&amp;INDEX(Projekt_Tabelle,MATCH(F35,Stammdaten!$B$39:$B$53,0),3),"")</f>
        <v>Sanierung Wohnhaus Schulze — Familie Schulze</v>
      </c>
      <c r="H35" s="19" t="s">
        <v>91</v>
      </c>
      <c r="I35" s="45">
        <v>0.29166666666666702</v>
      </c>
      <c r="J35" s="45">
        <v>0.64583333333333304</v>
      </c>
      <c r="K35" s="46">
        <v>30</v>
      </c>
      <c r="L35" s="47">
        <f t="shared" si="2"/>
        <v>7.999999999999984</v>
      </c>
      <c r="M35" s="48">
        <f>IFERROR(VLOOKUP(F35,Stammdaten!$B$39:$F$53,5,FALSE()),0)</f>
        <v>65</v>
      </c>
      <c r="N35" s="49">
        <f t="shared" si="3"/>
        <v>519.99999999999898</v>
      </c>
      <c r="O35" s="25" t="s">
        <v>92</v>
      </c>
      <c r="P35" s="50" t="s">
        <v>181</v>
      </c>
    </row>
    <row r="36" spans="1:16" ht="21.75" customHeight="1" x14ac:dyDescent="0.25">
      <c r="A36" s="41">
        <v>29</v>
      </c>
      <c r="B36" s="26">
        <v>46031</v>
      </c>
      <c r="C36" s="42" t="str">
        <f t="shared" si="0"/>
        <v>Fr</v>
      </c>
      <c r="D36" s="19" t="s">
        <v>33</v>
      </c>
      <c r="E36" s="43" t="str">
        <f t="shared" si="1"/>
        <v>P-003</v>
      </c>
      <c r="F36" s="22" t="s">
        <v>69</v>
      </c>
      <c r="G36" s="44" t="str">
        <f>IFERROR(INDEX(Projekt_Tabelle,MATCH(F36,Stammdaten!$B$39:$B$53,0),2)&amp;" — "&amp;INDEX(Projekt_Tabelle,MATCH(F36,Stammdaten!$B$39:$B$53,0),3),"")</f>
        <v>Wartungsvertrag Hausverwaltung — Lehmann Hausverwaltung KG</v>
      </c>
      <c r="H36" s="19" t="s">
        <v>103</v>
      </c>
      <c r="I36" s="45">
        <v>0.3125</v>
      </c>
      <c r="J36" s="45">
        <v>0.64583333333333304</v>
      </c>
      <c r="K36" s="46">
        <v>30</v>
      </c>
      <c r="L36" s="47">
        <f t="shared" si="2"/>
        <v>7.4999999999999929</v>
      </c>
      <c r="M36" s="48">
        <f>IFERROR(VLOOKUP(F36,Stammdaten!$B$39:$F$53,5,FALSE()),0)</f>
        <v>58</v>
      </c>
      <c r="N36" s="49">
        <f t="shared" si="3"/>
        <v>434.9999999999996</v>
      </c>
      <c r="O36" s="25" t="s">
        <v>92</v>
      </c>
      <c r="P36" s="50" t="s">
        <v>182</v>
      </c>
    </row>
    <row r="37" spans="1:16" ht="21.75" customHeight="1" x14ac:dyDescent="0.25">
      <c r="A37" s="41">
        <v>30</v>
      </c>
      <c r="B37" s="26">
        <v>46031</v>
      </c>
      <c r="C37" s="42" t="str">
        <f t="shared" si="0"/>
        <v>Fr</v>
      </c>
      <c r="D37" s="19" t="s">
        <v>36</v>
      </c>
      <c r="E37" s="43" t="str">
        <f t="shared" si="1"/>
        <v>P-004</v>
      </c>
      <c r="F37" s="22" t="s">
        <v>65</v>
      </c>
      <c r="G37" s="44" t="str">
        <f>IFERROR(INDEX(Projekt_Tabelle,MATCH(F37,Stammdaten!$B$39:$B$53,0),2)&amp;" — "&amp;INDEX(Projekt_Tabelle,MATCH(F37,Stammdaten!$B$39:$B$53,0),3),"")</f>
        <v>Umbau Café am Markt — Friedrich Gastro GmbH</v>
      </c>
      <c r="H37" s="19" t="s">
        <v>107</v>
      </c>
      <c r="I37" s="45">
        <v>0.3125</v>
      </c>
      <c r="J37" s="45">
        <v>0.35416666666666702</v>
      </c>
      <c r="K37" s="46"/>
      <c r="L37" s="47">
        <f t="shared" si="2"/>
        <v>1.0000000000000084</v>
      </c>
      <c r="M37" s="48">
        <f>IFERROR(VLOOKUP(F37,Stammdaten!$B$39:$F$53,5,FALSE()),0)</f>
        <v>65</v>
      </c>
      <c r="N37" s="49">
        <f t="shared" si="3"/>
        <v>65.000000000000554</v>
      </c>
      <c r="O37" s="25" t="s">
        <v>92</v>
      </c>
      <c r="P37" s="50" t="s">
        <v>163</v>
      </c>
    </row>
    <row r="38" spans="1:16" ht="21.75" customHeight="1" x14ac:dyDescent="0.25">
      <c r="A38" s="41">
        <v>31</v>
      </c>
      <c r="B38" s="26">
        <v>46031</v>
      </c>
      <c r="C38" s="42" t="str">
        <f t="shared" si="0"/>
        <v>Fr</v>
      </c>
      <c r="D38" s="19" t="s">
        <v>36</v>
      </c>
      <c r="E38" s="43" t="str">
        <f t="shared" si="1"/>
        <v>P-004</v>
      </c>
      <c r="F38" s="22" t="s">
        <v>65</v>
      </c>
      <c r="G38" s="44" t="str">
        <f>IFERROR(INDEX(Projekt_Tabelle,MATCH(F38,Stammdaten!$B$39:$B$53,0),2)&amp;" — "&amp;INDEX(Projekt_Tabelle,MATCH(F38,Stammdaten!$B$39:$B$53,0),3),"")</f>
        <v>Umbau Café am Markt — Friedrich Gastro GmbH</v>
      </c>
      <c r="H38" s="19" t="s">
        <v>99</v>
      </c>
      <c r="I38" s="45">
        <v>0.35416666666666702</v>
      </c>
      <c r="J38" s="45">
        <v>0.6875</v>
      </c>
      <c r="K38" s="46">
        <v>30</v>
      </c>
      <c r="L38" s="47">
        <f t="shared" si="2"/>
        <v>7.4999999999999911</v>
      </c>
      <c r="M38" s="48">
        <f>IFERROR(VLOOKUP(F38,Stammdaten!$B$39:$F$53,5,FALSE()),0)</f>
        <v>65</v>
      </c>
      <c r="N38" s="49">
        <f t="shared" si="3"/>
        <v>487.49999999999943</v>
      </c>
      <c r="O38" s="25" t="s">
        <v>92</v>
      </c>
      <c r="P38" s="50" t="s">
        <v>183</v>
      </c>
    </row>
    <row r="39" spans="1:16" ht="21.75" customHeight="1" x14ac:dyDescent="0.25">
      <c r="A39" s="41">
        <v>32</v>
      </c>
      <c r="B39" s="26">
        <v>46031</v>
      </c>
      <c r="C39" s="42" t="str">
        <f t="shared" si="0"/>
        <v>Fr</v>
      </c>
      <c r="D39" s="19" t="s">
        <v>38</v>
      </c>
      <c r="E39" s="43" t="str">
        <f t="shared" si="1"/>
        <v>P-005</v>
      </c>
      <c r="F39" s="22" t="s">
        <v>49</v>
      </c>
      <c r="G39" s="44" t="str">
        <f>IFERROR(INDEX(Projekt_Tabelle,MATCH(F39,Stammdaten!$B$39:$B$53,0),2)&amp;" — "&amp;INDEX(Projekt_Tabelle,MATCH(F39,Stammdaten!$B$39:$B$53,0),3),"")</f>
        <v>Sanierung Wohnhaus Schulze — Familie Schulze</v>
      </c>
      <c r="H39" s="19" t="s">
        <v>91</v>
      </c>
      <c r="I39" s="45">
        <v>0.3125</v>
      </c>
      <c r="J39" s="45">
        <v>0.64583333333333304</v>
      </c>
      <c r="K39" s="46">
        <v>30</v>
      </c>
      <c r="L39" s="47">
        <f t="shared" si="2"/>
        <v>7.4999999999999929</v>
      </c>
      <c r="M39" s="48">
        <f>IFERROR(VLOOKUP(F39,Stammdaten!$B$39:$F$53,5,FALSE()),0)</f>
        <v>65</v>
      </c>
      <c r="N39" s="49">
        <f t="shared" si="3"/>
        <v>487.49999999999955</v>
      </c>
      <c r="O39" s="25" t="s">
        <v>92</v>
      </c>
      <c r="P39" s="50" t="s">
        <v>184</v>
      </c>
    </row>
    <row r="40" spans="1:16" ht="21.75" customHeight="1" x14ac:dyDescent="0.25">
      <c r="A40" s="41">
        <v>33</v>
      </c>
      <c r="B40" s="26">
        <v>46034</v>
      </c>
      <c r="C40" s="42" t="str">
        <f t="shared" ref="C40:C71" si="4">IF(B40="","",CHOOSE(WEEKDAY(B40,2),"Mo","Di","Mi","Do","Fr","Sa","So"))</f>
        <v>Mo</v>
      </c>
      <c r="D40" s="19" t="s">
        <v>26</v>
      </c>
      <c r="E40" s="43" t="str">
        <f t="shared" ref="E40:E71" si="5">IFERROR(VLOOKUP(D40,Mitarbeiter_Tabelle,2,FALSE()),"")</f>
        <v>P-001</v>
      </c>
      <c r="F40" s="22" t="s">
        <v>73</v>
      </c>
      <c r="G40" s="44" t="str">
        <f>IFERROR(INDEX(Projekt_Tabelle,MATCH(F40,Stammdaten!$B$39:$B$53,0),2)&amp;" — "&amp;INDEX(Projekt_Tabelle,MATCH(F40,Stammdaten!$B$39:$B$53,0),3),"")</f>
        <v>Dachstuhl Neubau Bauer — Bauer GbR</v>
      </c>
      <c r="H40" s="19" t="s">
        <v>91</v>
      </c>
      <c r="I40" s="45">
        <v>0.29166666666666702</v>
      </c>
      <c r="J40" s="45">
        <v>0.6875</v>
      </c>
      <c r="K40" s="46">
        <v>30</v>
      </c>
      <c r="L40" s="47">
        <f t="shared" ref="L40:L71" si="6">IF(OR(O40="Urlaub",O40="Krank",O40="Feiertag"),Soll_Tag,IF(OR(I40="",J40=""),0,MAX(0,(J40-I40)*24-IF(K40="",0,K40)/60)))</f>
        <v>8.9999999999999911</v>
      </c>
      <c r="M40" s="48">
        <f>IFERROR(VLOOKUP(F40,Stammdaten!$B$39:$F$53,5,FALSE()),0)</f>
        <v>70</v>
      </c>
      <c r="N40" s="49">
        <f t="shared" ref="N40:N71" si="7">L40*M40</f>
        <v>629.99999999999943</v>
      </c>
      <c r="O40" s="25" t="s">
        <v>92</v>
      </c>
      <c r="P40" s="50" t="s">
        <v>185</v>
      </c>
    </row>
    <row r="41" spans="1:16" ht="21.75" customHeight="1" x14ac:dyDescent="0.25">
      <c r="A41" s="41">
        <v>34</v>
      </c>
      <c r="B41" s="26">
        <v>46034</v>
      </c>
      <c r="C41" s="42" t="str">
        <f t="shared" si="4"/>
        <v>Mo</v>
      </c>
      <c r="D41" s="19" t="s">
        <v>30</v>
      </c>
      <c r="E41" s="43" t="str">
        <f t="shared" si="5"/>
        <v>P-002</v>
      </c>
      <c r="F41" s="22" t="s">
        <v>57</v>
      </c>
      <c r="G41" s="44" t="str">
        <f>IFERROR(INDEX(Projekt_Tabelle,MATCH(F41,Stammdaten!$B$39:$B$53,0),2)&amp;" — "&amp;INDEX(Projekt_Tabelle,MATCH(F41,Stammdaten!$B$39:$B$53,0),3),"")</f>
        <v>Modernisierung Verwaltungstrakt — Stadtwerke Region Süd</v>
      </c>
      <c r="H41" s="19" t="s">
        <v>95</v>
      </c>
      <c r="I41" s="45">
        <v>0.3125</v>
      </c>
      <c r="J41" s="45">
        <v>0.66666666666666696</v>
      </c>
      <c r="K41" s="46">
        <v>30</v>
      </c>
      <c r="L41" s="47">
        <f t="shared" si="6"/>
        <v>8.0000000000000071</v>
      </c>
      <c r="M41" s="48">
        <f>IFERROR(VLOOKUP(F41,Stammdaten!$B$39:$F$53,5,FALSE()),0)</f>
        <v>68</v>
      </c>
      <c r="N41" s="49">
        <f t="shared" si="7"/>
        <v>544.00000000000045</v>
      </c>
      <c r="O41" s="25" t="s">
        <v>92</v>
      </c>
      <c r="P41" s="50" t="s">
        <v>186</v>
      </c>
    </row>
    <row r="42" spans="1:16" ht="21.75" customHeight="1" x14ac:dyDescent="0.25">
      <c r="A42" s="41">
        <v>35</v>
      </c>
      <c r="B42" s="26">
        <v>46034</v>
      </c>
      <c r="C42" s="42" t="str">
        <f t="shared" si="4"/>
        <v>Mo</v>
      </c>
      <c r="D42" s="19" t="s">
        <v>33</v>
      </c>
      <c r="E42" s="43" t="str">
        <f t="shared" si="5"/>
        <v>P-003</v>
      </c>
      <c r="F42" s="22" t="s">
        <v>57</v>
      </c>
      <c r="G42" s="44" t="str">
        <f>IFERROR(INDEX(Projekt_Tabelle,MATCH(F42,Stammdaten!$B$39:$B$53,0),2)&amp;" — "&amp;INDEX(Projekt_Tabelle,MATCH(F42,Stammdaten!$B$39:$B$53,0),3),"")</f>
        <v>Modernisierung Verwaltungstrakt — Stadtwerke Region Süd</v>
      </c>
      <c r="H42" s="19" t="s">
        <v>95</v>
      </c>
      <c r="I42" s="45">
        <v>0.3125</v>
      </c>
      <c r="J42" s="45">
        <v>0.66666666666666696</v>
      </c>
      <c r="K42" s="46">
        <v>30</v>
      </c>
      <c r="L42" s="47">
        <f t="shared" si="6"/>
        <v>8.0000000000000071</v>
      </c>
      <c r="M42" s="48">
        <f>IFERROR(VLOOKUP(F42,Stammdaten!$B$39:$F$53,5,FALSE()),0)</f>
        <v>68</v>
      </c>
      <c r="N42" s="49">
        <f t="shared" si="7"/>
        <v>544.00000000000045</v>
      </c>
      <c r="O42" s="25" t="s">
        <v>92</v>
      </c>
      <c r="P42" s="50" t="s">
        <v>187</v>
      </c>
    </row>
    <row r="43" spans="1:16" ht="21.75" customHeight="1" x14ac:dyDescent="0.25">
      <c r="A43" s="41">
        <v>36</v>
      </c>
      <c r="B43" s="26">
        <v>46034</v>
      </c>
      <c r="C43" s="42" t="str">
        <f t="shared" si="4"/>
        <v>Mo</v>
      </c>
      <c r="D43" s="19" t="s">
        <v>36</v>
      </c>
      <c r="E43" s="43" t="str">
        <f t="shared" si="5"/>
        <v>P-004</v>
      </c>
      <c r="F43" s="22" t="s">
        <v>65</v>
      </c>
      <c r="G43" s="44" t="str">
        <f>IFERROR(INDEX(Projekt_Tabelle,MATCH(F43,Stammdaten!$B$39:$B$53,0),2)&amp;" — "&amp;INDEX(Projekt_Tabelle,MATCH(F43,Stammdaten!$B$39:$B$53,0),3),"")</f>
        <v>Umbau Café am Markt — Friedrich Gastro GmbH</v>
      </c>
      <c r="H43" s="19" t="s">
        <v>99</v>
      </c>
      <c r="I43" s="45">
        <v>0.3125</v>
      </c>
      <c r="J43" s="45">
        <v>0.66666666666666696</v>
      </c>
      <c r="K43" s="46">
        <v>30</v>
      </c>
      <c r="L43" s="47">
        <f t="shared" si="6"/>
        <v>8.0000000000000071</v>
      </c>
      <c r="M43" s="48">
        <f>IFERROR(VLOOKUP(F43,Stammdaten!$B$39:$F$53,5,FALSE()),0)</f>
        <v>65</v>
      </c>
      <c r="N43" s="49">
        <f t="shared" si="7"/>
        <v>520.00000000000045</v>
      </c>
      <c r="O43" s="25" t="s">
        <v>92</v>
      </c>
      <c r="P43" s="50" t="s">
        <v>188</v>
      </c>
    </row>
    <row r="44" spans="1:16" ht="21.75" customHeight="1" x14ac:dyDescent="0.25">
      <c r="A44" s="41">
        <v>37</v>
      </c>
      <c r="B44" s="26">
        <v>46034</v>
      </c>
      <c r="C44" s="42" t="str">
        <f t="shared" si="4"/>
        <v>Mo</v>
      </c>
      <c r="D44" s="19" t="s">
        <v>38</v>
      </c>
      <c r="E44" s="43" t="str">
        <f t="shared" si="5"/>
        <v>P-005</v>
      </c>
      <c r="F44" s="22" t="s">
        <v>73</v>
      </c>
      <c r="G44" s="44" t="str">
        <f>IFERROR(INDEX(Projekt_Tabelle,MATCH(F44,Stammdaten!$B$39:$B$53,0),2)&amp;" — "&amp;INDEX(Projekt_Tabelle,MATCH(F44,Stammdaten!$B$39:$B$53,0),3),"")</f>
        <v>Dachstuhl Neubau Bauer — Bauer GbR</v>
      </c>
      <c r="H44" s="19" t="s">
        <v>119</v>
      </c>
      <c r="I44" s="45">
        <v>0.29166666666666702</v>
      </c>
      <c r="J44" s="45">
        <v>0.64583333333333304</v>
      </c>
      <c r="K44" s="46">
        <v>30</v>
      </c>
      <c r="L44" s="47">
        <f t="shared" si="6"/>
        <v>7.999999999999984</v>
      </c>
      <c r="M44" s="48">
        <f>IFERROR(VLOOKUP(F44,Stammdaten!$B$39:$F$53,5,FALSE()),0)</f>
        <v>70</v>
      </c>
      <c r="N44" s="49">
        <f t="shared" si="7"/>
        <v>559.99999999999886</v>
      </c>
      <c r="O44" s="25" t="s">
        <v>92</v>
      </c>
      <c r="P44" s="50" t="s">
        <v>166</v>
      </c>
    </row>
    <row r="45" spans="1:16" ht="21.75" customHeight="1" x14ac:dyDescent="0.25">
      <c r="A45" s="41">
        <v>38</v>
      </c>
      <c r="B45" s="26">
        <v>46035</v>
      </c>
      <c r="C45" s="42" t="str">
        <f t="shared" si="4"/>
        <v>Di</v>
      </c>
      <c r="D45" s="19" t="s">
        <v>26</v>
      </c>
      <c r="E45" s="43" t="str">
        <f t="shared" si="5"/>
        <v>P-001</v>
      </c>
      <c r="F45" s="22"/>
      <c r="G45" s="44" t="str">
        <f>IFERROR(INDEX(Projekt_Tabelle,MATCH(F45,Stammdaten!$B$39:$B$53,0),2)&amp;" — "&amp;INDEX(Projekt_Tabelle,MATCH(F45,Stammdaten!$B$39:$B$53,0),3),"")</f>
        <v/>
      </c>
      <c r="H45" s="19"/>
      <c r="I45" s="45"/>
      <c r="J45" s="45"/>
      <c r="K45" s="46"/>
      <c r="L45" s="47">
        <f t="shared" si="6"/>
        <v>8</v>
      </c>
      <c r="M45" s="48">
        <f>IFERROR(VLOOKUP(F45,Stammdaten!$B$39:$F$53,5,FALSE()),0)</f>
        <v>0</v>
      </c>
      <c r="N45" s="49">
        <f t="shared" si="7"/>
        <v>0</v>
      </c>
      <c r="O45" s="25" t="s">
        <v>100</v>
      </c>
      <c r="P45" s="50" t="s">
        <v>189</v>
      </c>
    </row>
    <row r="46" spans="1:16" ht="21.75" customHeight="1" x14ac:dyDescent="0.25">
      <c r="A46" s="41">
        <v>39</v>
      </c>
      <c r="B46" s="26">
        <v>46035</v>
      </c>
      <c r="C46" s="42" t="str">
        <f t="shared" si="4"/>
        <v>Di</v>
      </c>
      <c r="D46" s="19" t="s">
        <v>30</v>
      </c>
      <c r="E46" s="43" t="str">
        <f t="shared" si="5"/>
        <v>P-002</v>
      </c>
      <c r="F46" s="22" t="s">
        <v>57</v>
      </c>
      <c r="G46" s="44" t="str">
        <f>IFERROR(INDEX(Projekt_Tabelle,MATCH(F46,Stammdaten!$B$39:$B$53,0),2)&amp;" — "&amp;INDEX(Projekt_Tabelle,MATCH(F46,Stammdaten!$B$39:$B$53,0),3),"")</f>
        <v>Modernisierung Verwaltungstrakt — Stadtwerke Region Süd</v>
      </c>
      <c r="H46" s="19" t="s">
        <v>91</v>
      </c>
      <c r="I46" s="45">
        <v>0.3125</v>
      </c>
      <c r="J46" s="45">
        <v>0.66666666666666696</v>
      </c>
      <c r="K46" s="46">
        <v>30</v>
      </c>
      <c r="L46" s="47">
        <f t="shared" si="6"/>
        <v>8.0000000000000071</v>
      </c>
      <c r="M46" s="48">
        <f>IFERROR(VLOOKUP(F46,Stammdaten!$B$39:$F$53,5,FALSE()),0)</f>
        <v>68</v>
      </c>
      <c r="N46" s="49">
        <f t="shared" si="7"/>
        <v>544.00000000000045</v>
      </c>
      <c r="O46" s="25" t="s">
        <v>92</v>
      </c>
      <c r="P46" s="50" t="s">
        <v>169</v>
      </c>
    </row>
    <row r="47" spans="1:16" ht="21.75" customHeight="1" x14ac:dyDescent="0.25">
      <c r="A47" s="41">
        <v>40</v>
      </c>
      <c r="B47" s="26">
        <v>46035</v>
      </c>
      <c r="C47" s="42" t="str">
        <f t="shared" si="4"/>
        <v>Di</v>
      </c>
      <c r="D47" s="19" t="s">
        <v>33</v>
      </c>
      <c r="E47" s="43" t="str">
        <f t="shared" si="5"/>
        <v>P-003</v>
      </c>
      <c r="F47" s="22" t="s">
        <v>57</v>
      </c>
      <c r="G47" s="44" t="str">
        <f>IFERROR(INDEX(Projekt_Tabelle,MATCH(F47,Stammdaten!$B$39:$B$53,0),2)&amp;" — "&amp;INDEX(Projekt_Tabelle,MATCH(F47,Stammdaten!$B$39:$B$53,0),3),"")</f>
        <v>Modernisierung Verwaltungstrakt — Stadtwerke Region Süd</v>
      </c>
      <c r="H47" s="19" t="s">
        <v>91</v>
      </c>
      <c r="I47" s="45">
        <v>0.3125</v>
      </c>
      <c r="J47" s="45">
        <v>0.6875</v>
      </c>
      <c r="K47" s="46">
        <v>30</v>
      </c>
      <c r="L47" s="47">
        <f t="shared" si="6"/>
        <v>8.5</v>
      </c>
      <c r="M47" s="48">
        <f>IFERROR(VLOOKUP(F47,Stammdaten!$B$39:$F$53,5,FALSE()),0)</f>
        <v>68</v>
      </c>
      <c r="N47" s="49">
        <f t="shared" si="7"/>
        <v>578</v>
      </c>
      <c r="O47" s="25" t="s">
        <v>92</v>
      </c>
      <c r="P47" s="50" t="s">
        <v>162</v>
      </c>
    </row>
    <row r="48" spans="1:16" ht="21.75" customHeight="1" x14ac:dyDescent="0.25">
      <c r="A48" s="41">
        <v>41</v>
      </c>
      <c r="B48" s="26">
        <v>46035</v>
      </c>
      <c r="C48" s="42" t="str">
        <f t="shared" si="4"/>
        <v>Di</v>
      </c>
      <c r="D48" s="19" t="s">
        <v>36</v>
      </c>
      <c r="E48" s="43" t="str">
        <f t="shared" si="5"/>
        <v>P-004</v>
      </c>
      <c r="F48" s="22" t="s">
        <v>65</v>
      </c>
      <c r="G48" s="44" t="str">
        <f>IFERROR(INDEX(Projekt_Tabelle,MATCH(F48,Stammdaten!$B$39:$B$53,0),2)&amp;" — "&amp;INDEX(Projekt_Tabelle,MATCH(F48,Stammdaten!$B$39:$B$53,0),3),"")</f>
        <v>Umbau Café am Markt — Friedrich Gastro GmbH</v>
      </c>
      <c r="H48" s="19" t="s">
        <v>103</v>
      </c>
      <c r="I48" s="45">
        <v>0.3125</v>
      </c>
      <c r="J48" s="45">
        <v>0.64583333333333304</v>
      </c>
      <c r="K48" s="46">
        <v>30</v>
      </c>
      <c r="L48" s="47">
        <f t="shared" si="6"/>
        <v>7.4999999999999929</v>
      </c>
      <c r="M48" s="48">
        <f>IFERROR(VLOOKUP(F48,Stammdaten!$B$39:$F$53,5,FALSE()),0)</f>
        <v>65</v>
      </c>
      <c r="N48" s="49">
        <f t="shared" si="7"/>
        <v>487.49999999999955</v>
      </c>
      <c r="O48" s="25" t="s">
        <v>92</v>
      </c>
      <c r="P48" s="50" t="s">
        <v>190</v>
      </c>
    </row>
    <row r="49" spans="1:16" ht="21.75" customHeight="1" x14ac:dyDescent="0.25">
      <c r="A49" s="41">
        <v>42</v>
      </c>
      <c r="B49" s="26">
        <v>46035</v>
      </c>
      <c r="C49" s="42" t="str">
        <f t="shared" si="4"/>
        <v>Di</v>
      </c>
      <c r="D49" s="19" t="s">
        <v>38</v>
      </c>
      <c r="E49" s="43" t="str">
        <f t="shared" si="5"/>
        <v>P-005</v>
      </c>
      <c r="F49" s="22" t="s">
        <v>73</v>
      </c>
      <c r="G49" s="44" t="str">
        <f>IFERROR(INDEX(Projekt_Tabelle,MATCH(F49,Stammdaten!$B$39:$B$53,0),2)&amp;" — "&amp;INDEX(Projekt_Tabelle,MATCH(F49,Stammdaten!$B$39:$B$53,0),3),"")</f>
        <v>Dachstuhl Neubau Bauer — Bauer GbR</v>
      </c>
      <c r="H49" s="19" t="s">
        <v>91</v>
      </c>
      <c r="I49" s="45">
        <v>0.29166666666666702</v>
      </c>
      <c r="J49" s="45">
        <v>0.64583333333333304</v>
      </c>
      <c r="K49" s="46">
        <v>30</v>
      </c>
      <c r="L49" s="47">
        <f t="shared" si="6"/>
        <v>7.999999999999984</v>
      </c>
      <c r="M49" s="48">
        <f>IFERROR(VLOOKUP(F49,Stammdaten!$B$39:$F$53,5,FALSE()),0)</f>
        <v>70</v>
      </c>
      <c r="N49" s="49">
        <f t="shared" si="7"/>
        <v>559.99999999999886</v>
      </c>
      <c r="O49" s="25" t="s">
        <v>92</v>
      </c>
      <c r="P49" s="50" t="s">
        <v>191</v>
      </c>
    </row>
    <row r="50" spans="1:16" ht="21.75" customHeight="1" x14ac:dyDescent="0.25">
      <c r="A50" s="41">
        <v>43</v>
      </c>
      <c r="B50" s="26">
        <v>46036</v>
      </c>
      <c r="C50" s="42" t="str">
        <f t="shared" si="4"/>
        <v>Mi</v>
      </c>
      <c r="D50" s="19" t="s">
        <v>26</v>
      </c>
      <c r="E50" s="43" t="str">
        <f t="shared" si="5"/>
        <v>P-001</v>
      </c>
      <c r="F50" s="22"/>
      <c r="G50" s="44" t="str">
        <f>IFERROR(INDEX(Projekt_Tabelle,MATCH(F50,Stammdaten!$B$39:$B$53,0),2)&amp;" — "&amp;INDEX(Projekt_Tabelle,MATCH(F50,Stammdaten!$B$39:$B$53,0),3),"")</f>
        <v/>
      </c>
      <c r="H50" s="19"/>
      <c r="I50" s="45"/>
      <c r="J50" s="45"/>
      <c r="K50" s="46"/>
      <c r="L50" s="47">
        <f t="shared" si="6"/>
        <v>8</v>
      </c>
      <c r="M50" s="48">
        <f>IFERROR(VLOOKUP(F50,Stammdaten!$B$39:$F$53,5,FALSE()),0)</f>
        <v>0</v>
      </c>
      <c r="N50" s="49">
        <f t="shared" si="7"/>
        <v>0</v>
      </c>
      <c r="O50" s="25" t="s">
        <v>100</v>
      </c>
      <c r="P50" s="50" t="s">
        <v>100</v>
      </c>
    </row>
    <row r="51" spans="1:16" ht="21.75" customHeight="1" x14ac:dyDescent="0.25">
      <c r="A51" s="41">
        <v>44</v>
      </c>
      <c r="B51" s="26">
        <v>46036</v>
      </c>
      <c r="C51" s="42" t="str">
        <f t="shared" si="4"/>
        <v>Mi</v>
      </c>
      <c r="D51" s="19" t="s">
        <v>30</v>
      </c>
      <c r="E51" s="43" t="str">
        <f t="shared" si="5"/>
        <v>P-002</v>
      </c>
      <c r="F51" s="22" t="s">
        <v>57</v>
      </c>
      <c r="G51" s="44" t="str">
        <f>IFERROR(INDEX(Projekt_Tabelle,MATCH(F51,Stammdaten!$B$39:$B$53,0),2)&amp;" — "&amp;INDEX(Projekt_Tabelle,MATCH(F51,Stammdaten!$B$39:$B$53,0),3),"")</f>
        <v>Modernisierung Verwaltungstrakt — Stadtwerke Region Süd</v>
      </c>
      <c r="H51" s="19" t="s">
        <v>91</v>
      </c>
      <c r="I51" s="45">
        <v>0.3125</v>
      </c>
      <c r="J51" s="45">
        <v>0.66666666666666696</v>
      </c>
      <c r="K51" s="46">
        <v>30</v>
      </c>
      <c r="L51" s="47">
        <f t="shared" si="6"/>
        <v>8.0000000000000071</v>
      </c>
      <c r="M51" s="48">
        <f>IFERROR(VLOOKUP(F51,Stammdaten!$B$39:$F$53,5,FALSE()),0)</f>
        <v>68</v>
      </c>
      <c r="N51" s="49">
        <f t="shared" si="7"/>
        <v>544.00000000000045</v>
      </c>
      <c r="O51" s="25" t="s">
        <v>92</v>
      </c>
      <c r="P51" s="50" t="s">
        <v>168</v>
      </c>
    </row>
    <row r="52" spans="1:16" ht="21.75" customHeight="1" x14ac:dyDescent="0.25">
      <c r="A52" s="41">
        <v>45</v>
      </c>
      <c r="B52" s="26">
        <v>46036</v>
      </c>
      <c r="C52" s="42" t="str">
        <f t="shared" si="4"/>
        <v>Mi</v>
      </c>
      <c r="D52" s="19" t="s">
        <v>33</v>
      </c>
      <c r="E52" s="43" t="str">
        <f t="shared" si="5"/>
        <v>P-003</v>
      </c>
      <c r="F52" s="22" t="s">
        <v>53</v>
      </c>
      <c r="G52" s="44" t="str">
        <f>IFERROR(INDEX(Projekt_Tabelle,MATCH(F52,Stammdaten!$B$39:$B$53,0),2)&amp;" — "&amp;INDEX(Projekt_Tabelle,MATCH(F52,Stammdaten!$B$39:$B$53,0),3),"")</f>
        <v>Neubau Bürogebäude Krause — Krause Immobilien GmbH</v>
      </c>
      <c r="H52" s="19" t="s">
        <v>91</v>
      </c>
      <c r="I52" s="45">
        <v>0.3125</v>
      </c>
      <c r="J52" s="45">
        <v>0.70833333333333304</v>
      </c>
      <c r="K52" s="46">
        <v>30</v>
      </c>
      <c r="L52" s="47">
        <f t="shared" si="6"/>
        <v>8.9999999999999929</v>
      </c>
      <c r="M52" s="48">
        <f>IFERROR(VLOOKUP(F52,Stammdaten!$B$39:$F$53,5,FALSE()),0)</f>
        <v>72</v>
      </c>
      <c r="N52" s="49">
        <f t="shared" si="7"/>
        <v>647.99999999999955</v>
      </c>
      <c r="O52" s="25" t="s">
        <v>96</v>
      </c>
      <c r="P52" s="50" t="s">
        <v>192</v>
      </c>
    </row>
    <row r="53" spans="1:16" ht="21.75" customHeight="1" x14ac:dyDescent="0.25">
      <c r="A53" s="41">
        <v>46</v>
      </c>
      <c r="B53" s="26">
        <v>46036</v>
      </c>
      <c r="C53" s="42" t="str">
        <f t="shared" si="4"/>
        <v>Mi</v>
      </c>
      <c r="D53" s="19" t="s">
        <v>36</v>
      </c>
      <c r="E53" s="43" t="str">
        <f t="shared" si="5"/>
        <v>P-004</v>
      </c>
      <c r="F53" s="22" t="s">
        <v>69</v>
      </c>
      <c r="G53" s="44" t="str">
        <f>IFERROR(INDEX(Projekt_Tabelle,MATCH(F53,Stammdaten!$B$39:$B$53,0),2)&amp;" — "&amp;INDEX(Projekt_Tabelle,MATCH(F53,Stammdaten!$B$39:$B$53,0),3),"")</f>
        <v>Wartungsvertrag Hausverwaltung — Lehmann Hausverwaltung KG</v>
      </c>
      <c r="H53" s="19" t="s">
        <v>107</v>
      </c>
      <c r="I53" s="45">
        <v>0.3125</v>
      </c>
      <c r="J53" s="45">
        <v>0.35416666666666702</v>
      </c>
      <c r="K53" s="46"/>
      <c r="L53" s="47">
        <f t="shared" si="6"/>
        <v>1.0000000000000084</v>
      </c>
      <c r="M53" s="48">
        <f>IFERROR(VLOOKUP(F53,Stammdaten!$B$39:$F$53,5,FALSE()),0)</f>
        <v>58</v>
      </c>
      <c r="N53" s="49">
        <f t="shared" si="7"/>
        <v>58.00000000000049</v>
      </c>
      <c r="O53" s="25" t="s">
        <v>92</v>
      </c>
      <c r="P53" s="50" t="s">
        <v>193</v>
      </c>
    </row>
    <row r="54" spans="1:16" ht="21.75" customHeight="1" x14ac:dyDescent="0.25">
      <c r="A54" s="41">
        <v>47</v>
      </c>
      <c r="B54" s="26">
        <v>46036</v>
      </c>
      <c r="C54" s="42" t="str">
        <f t="shared" si="4"/>
        <v>Mi</v>
      </c>
      <c r="D54" s="19" t="s">
        <v>36</v>
      </c>
      <c r="E54" s="43" t="str">
        <f t="shared" si="5"/>
        <v>P-004</v>
      </c>
      <c r="F54" s="22" t="s">
        <v>69</v>
      </c>
      <c r="G54" s="44" t="str">
        <f>IFERROR(INDEX(Projekt_Tabelle,MATCH(F54,Stammdaten!$B$39:$B$53,0),2)&amp;" — "&amp;INDEX(Projekt_Tabelle,MATCH(F54,Stammdaten!$B$39:$B$53,0),3),"")</f>
        <v>Wartungsvertrag Hausverwaltung — Lehmann Hausverwaltung KG</v>
      </c>
      <c r="H54" s="19" t="s">
        <v>103</v>
      </c>
      <c r="I54" s="45">
        <v>0.35416666666666702</v>
      </c>
      <c r="J54" s="45">
        <v>0.6875</v>
      </c>
      <c r="K54" s="46">
        <v>30</v>
      </c>
      <c r="L54" s="47">
        <f t="shared" si="6"/>
        <v>7.4999999999999911</v>
      </c>
      <c r="M54" s="48">
        <f>IFERROR(VLOOKUP(F54,Stammdaten!$B$39:$F$53,5,FALSE()),0)</f>
        <v>58</v>
      </c>
      <c r="N54" s="49">
        <f t="shared" si="7"/>
        <v>434.99999999999949</v>
      </c>
      <c r="O54" s="25" t="s">
        <v>92</v>
      </c>
      <c r="P54" s="50" t="s">
        <v>178</v>
      </c>
    </row>
    <row r="55" spans="1:16" ht="21.75" customHeight="1" x14ac:dyDescent="0.25">
      <c r="A55" s="41">
        <v>48</v>
      </c>
      <c r="B55" s="26">
        <v>46036</v>
      </c>
      <c r="C55" s="42" t="str">
        <f t="shared" si="4"/>
        <v>Mi</v>
      </c>
      <c r="D55" s="19" t="s">
        <v>38</v>
      </c>
      <c r="E55" s="43" t="str">
        <f t="shared" si="5"/>
        <v>P-005</v>
      </c>
      <c r="F55" s="22" t="s">
        <v>82</v>
      </c>
      <c r="G55" s="44" t="str">
        <f>IFERROR(INDEX(Projekt_Tabelle,MATCH(F55,Stammdaten!$B$39:$B$53,0),2)&amp;" — "&amp;INDEX(Projekt_Tabelle,MATCH(F55,Stammdaten!$B$39:$B$53,0),3),"")</f>
        <v>Interne Arbeiten / Werkstatt — Hoffmann Handwerk GmbH</v>
      </c>
      <c r="H55" s="19" t="s">
        <v>116</v>
      </c>
      <c r="I55" s="45">
        <v>0.33333333333333298</v>
      </c>
      <c r="J55" s="45">
        <v>0.66666666666666696</v>
      </c>
      <c r="K55" s="46">
        <v>30</v>
      </c>
      <c r="L55" s="47">
        <f t="shared" si="6"/>
        <v>7.500000000000016</v>
      </c>
      <c r="M55" s="48">
        <f>IFERROR(VLOOKUP(F55,Stammdaten!$B$39:$F$53,5,FALSE()),0)</f>
        <v>0</v>
      </c>
      <c r="N55" s="49">
        <f t="shared" si="7"/>
        <v>0</v>
      </c>
      <c r="O55" s="25" t="s">
        <v>116</v>
      </c>
      <c r="P55" s="50" t="s">
        <v>194</v>
      </c>
    </row>
    <row r="56" spans="1:16" ht="21.75" customHeight="1" x14ac:dyDescent="0.25">
      <c r="A56" s="41">
        <v>49</v>
      </c>
      <c r="B56" s="26">
        <v>46037</v>
      </c>
      <c r="C56" s="42" t="str">
        <f t="shared" si="4"/>
        <v>Do</v>
      </c>
      <c r="D56" s="19" t="s">
        <v>26</v>
      </c>
      <c r="E56" s="43" t="str">
        <f t="shared" si="5"/>
        <v>P-001</v>
      </c>
      <c r="F56" s="22"/>
      <c r="G56" s="44" t="str">
        <f>IFERROR(INDEX(Projekt_Tabelle,MATCH(F56,Stammdaten!$B$39:$B$53,0),2)&amp;" — "&amp;INDEX(Projekt_Tabelle,MATCH(F56,Stammdaten!$B$39:$B$53,0),3),"")</f>
        <v/>
      </c>
      <c r="H56" s="19"/>
      <c r="I56" s="45"/>
      <c r="J56" s="45"/>
      <c r="K56" s="46"/>
      <c r="L56" s="47">
        <f t="shared" si="6"/>
        <v>8</v>
      </c>
      <c r="M56" s="48">
        <f>IFERROR(VLOOKUP(F56,Stammdaten!$B$39:$F$53,5,FALSE()),0)</f>
        <v>0</v>
      </c>
      <c r="N56" s="49">
        <f t="shared" si="7"/>
        <v>0</v>
      </c>
      <c r="O56" s="25" t="s">
        <v>100</v>
      </c>
      <c r="P56" s="50" t="s">
        <v>100</v>
      </c>
    </row>
    <row r="57" spans="1:16" ht="21.75" customHeight="1" x14ac:dyDescent="0.25">
      <c r="A57" s="41">
        <v>50</v>
      </c>
      <c r="B57" s="26">
        <v>46037</v>
      </c>
      <c r="C57" s="42" t="str">
        <f t="shared" si="4"/>
        <v>Do</v>
      </c>
      <c r="D57" s="19" t="s">
        <v>30</v>
      </c>
      <c r="E57" s="43" t="str">
        <f t="shared" si="5"/>
        <v>P-002</v>
      </c>
      <c r="F57" s="22" t="s">
        <v>57</v>
      </c>
      <c r="G57" s="44" t="str">
        <f>IFERROR(INDEX(Projekt_Tabelle,MATCH(F57,Stammdaten!$B$39:$B$53,0),2)&amp;" — "&amp;INDEX(Projekt_Tabelle,MATCH(F57,Stammdaten!$B$39:$B$53,0),3),"")</f>
        <v>Modernisierung Verwaltungstrakt — Stadtwerke Region Süd</v>
      </c>
      <c r="H57" s="19" t="s">
        <v>121</v>
      </c>
      <c r="I57" s="45">
        <v>0.3125</v>
      </c>
      <c r="J57" s="45">
        <v>0.64583333333333304</v>
      </c>
      <c r="K57" s="46">
        <v>30</v>
      </c>
      <c r="L57" s="47">
        <f t="shared" si="6"/>
        <v>7.4999999999999929</v>
      </c>
      <c r="M57" s="48">
        <f>IFERROR(VLOOKUP(F57,Stammdaten!$B$39:$F$53,5,FALSE()),0)</f>
        <v>68</v>
      </c>
      <c r="N57" s="49">
        <f t="shared" si="7"/>
        <v>509.99999999999955</v>
      </c>
      <c r="O57" s="25" t="s">
        <v>92</v>
      </c>
      <c r="P57" s="50" t="s">
        <v>174</v>
      </c>
    </row>
    <row r="58" spans="1:16" ht="21.75" customHeight="1" x14ac:dyDescent="0.25">
      <c r="A58" s="41">
        <v>51</v>
      </c>
      <c r="B58" s="26">
        <v>46037</v>
      </c>
      <c r="C58" s="42" t="str">
        <f t="shared" si="4"/>
        <v>Do</v>
      </c>
      <c r="D58" s="19" t="s">
        <v>33</v>
      </c>
      <c r="E58" s="43" t="str">
        <f t="shared" si="5"/>
        <v>P-003</v>
      </c>
      <c r="F58" s="22" t="s">
        <v>53</v>
      </c>
      <c r="G58" s="44" t="str">
        <f>IFERROR(INDEX(Projekt_Tabelle,MATCH(F58,Stammdaten!$B$39:$B$53,0),2)&amp;" — "&amp;INDEX(Projekt_Tabelle,MATCH(F58,Stammdaten!$B$39:$B$53,0),3),"")</f>
        <v>Neubau Bürogebäude Krause — Krause Immobilien GmbH</v>
      </c>
      <c r="H58" s="19" t="s">
        <v>91</v>
      </c>
      <c r="I58" s="45">
        <v>0.3125</v>
      </c>
      <c r="J58" s="45">
        <v>0.66666666666666696</v>
      </c>
      <c r="K58" s="46">
        <v>30</v>
      </c>
      <c r="L58" s="47">
        <f t="shared" si="6"/>
        <v>8.0000000000000071</v>
      </c>
      <c r="M58" s="48">
        <f>IFERROR(VLOOKUP(F58,Stammdaten!$B$39:$F$53,5,FALSE()),0)</f>
        <v>72</v>
      </c>
      <c r="N58" s="49">
        <f t="shared" si="7"/>
        <v>576.00000000000045</v>
      </c>
      <c r="O58" s="25" t="s">
        <v>92</v>
      </c>
      <c r="P58" s="50" t="s">
        <v>170</v>
      </c>
    </row>
    <row r="59" spans="1:16" ht="21.75" customHeight="1" x14ac:dyDescent="0.25">
      <c r="A59" s="41">
        <v>52</v>
      </c>
      <c r="B59" s="26">
        <v>46037</v>
      </c>
      <c r="C59" s="42" t="str">
        <f t="shared" si="4"/>
        <v>Do</v>
      </c>
      <c r="D59" s="19" t="s">
        <v>36</v>
      </c>
      <c r="E59" s="43" t="str">
        <f t="shared" si="5"/>
        <v>P-004</v>
      </c>
      <c r="F59" s="22" t="s">
        <v>65</v>
      </c>
      <c r="G59" s="44" t="str">
        <f>IFERROR(INDEX(Projekt_Tabelle,MATCH(F59,Stammdaten!$B$39:$B$53,0),2)&amp;" — "&amp;INDEX(Projekt_Tabelle,MATCH(F59,Stammdaten!$B$39:$B$53,0),3),"")</f>
        <v>Umbau Café am Markt — Friedrich Gastro GmbH</v>
      </c>
      <c r="H59" s="19" t="s">
        <v>99</v>
      </c>
      <c r="I59" s="45">
        <v>0.3125</v>
      </c>
      <c r="J59" s="45">
        <v>0.66666666666666696</v>
      </c>
      <c r="K59" s="46">
        <v>30</v>
      </c>
      <c r="L59" s="47">
        <f t="shared" si="6"/>
        <v>8.0000000000000071</v>
      </c>
      <c r="M59" s="48">
        <f>IFERROR(VLOOKUP(F59,Stammdaten!$B$39:$F$53,5,FALSE()),0)</f>
        <v>65</v>
      </c>
      <c r="N59" s="49">
        <f t="shared" si="7"/>
        <v>520.00000000000045</v>
      </c>
      <c r="O59" s="25" t="s">
        <v>92</v>
      </c>
      <c r="P59" s="50" t="s">
        <v>195</v>
      </c>
    </row>
    <row r="60" spans="1:16" ht="21.75" customHeight="1" x14ac:dyDescent="0.25">
      <c r="A60" s="41">
        <v>53</v>
      </c>
      <c r="B60" s="26">
        <v>46037</v>
      </c>
      <c r="C60" s="42" t="str">
        <f t="shared" si="4"/>
        <v>Do</v>
      </c>
      <c r="D60" s="19" t="s">
        <v>38</v>
      </c>
      <c r="E60" s="43" t="str">
        <f t="shared" si="5"/>
        <v>P-005</v>
      </c>
      <c r="F60" s="22" t="s">
        <v>82</v>
      </c>
      <c r="G60" s="44" t="str">
        <f>IFERROR(INDEX(Projekt_Tabelle,MATCH(F60,Stammdaten!$B$39:$B$53,0),2)&amp;" — "&amp;INDEX(Projekt_Tabelle,MATCH(F60,Stammdaten!$B$39:$B$53,0),3),"")</f>
        <v>Interne Arbeiten / Werkstatt — Hoffmann Handwerk GmbH</v>
      </c>
      <c r="H60" s="19" t="s">
        <v>123</v>
      </c>
      <c r="I60" s="45">
        <v>0.33333333333333298</v>
      </c>
      <c r="J60" s="45">
        <v>0.66666666666666696</v>
      </c>
      <c r="K60" s="46">
        <v>30</v>
      </c>
      <c r="L60" s="47">
        <f t="shared" si="6"/>
        <v>7.500000000000016</v>
      </c>
      <c r="M60" s="48">
        <f>IFERROR(VLOOKUP(F60,Stammdaten!$B$39:$F$53,5,FALSE()),0)</f>
        <v>0</v>
      </c>
      <c r="N60" s="49">
        <f t="shared" si="7"/>
        <v>0</v>
      </c>
      <c r="O60" s="25" t="s">
        <v>92</v>
      </c>
      <c r="P60" s="50" t="s">
        <v>196</v>
      </c>
    </row>
    <row r="61" spans="1:16" ht="21.75" customHeight="1" x14ac:dyDescent="0.25">
      <c r="A61" s="41">
        <v>54</v>
      </c>
      <c r="B61" s="26">
        <v>46038</v>
      </c>
      <c r="C61" s="42" t="str">
        <f t="shared" si="4"/>
        <v>Fr</v>
      </c>
      <c r="D61" s="19" t="s">
        <v>26</v>
      </c>
      <c r="E61" s="43" t="str">
        <f t="shared" si="5"/>
        <v>P-001</v>
      </c>
      <c r="F61" s="22"/>
      <c r="G61" s="44" t="str">
        <f>IFERROR(INDEX(Projekt_Tabelle,MATCH(F61,Stammdaten!$B$39:$B$53,0),2)&amp;" — "&amp;INDEX(Projekt_Tabelle,MATCH(F61,Stammdaten!$B$39:$B$53,0),3),"")</f>
        <v/>
      </c>
      <c r="H61" s="19"/>
      <c r="I61" s="45"/>
      <c r="J61" s="45"/>
      <c r="K61" s="46"/>
      <c r="L61" s="47">
        <f t="shared" si="6"/>
        <v>8</v>
      </c>
      <c r="M61" s="48">
        <f>IFERROR(VLOOKUP(F61,Stammdaten!$B$39:$F$53,5,FALSE()),0)</f>
        <v>0</v>
      </c>
      <c r="N61" s="49">
        <f t="shared" si="7"/>
        <v>0</v>
      </c>
      <c r="O61" s="25" t="s">
        <v>100</v>
      </c>
      <c r="P61" s="50" t="s">
        <v>100</v>
      </c>
    </row>
    <row r="62" spans="1:16" ht="21.75" customHeight="1" x14ac:dyDescent="0.25">
      <c r="A62" s="41">
        <v>55</v>
      </c>
      <c r="B62" s="26">
        <v>46038</v>
      </c>
      <c r="C62" s="42" t="str">
        <f t="shared" si="4"/>
        <v>Fr</v>
      </c>
      <c r="D62" s="19" t="s">
        <v>30</v>
      </c>
      <c r="E62" s="43" t="str">
        <f t="shared" si="5"/>
        <v>P-002</v>
      </c>
      <c r="F62" s="22" t="s">
        <v>49</v>
      </c>
      <c r="G62" s="44" t="str">
        <f>IFERROR(INDEX(Projekt_Tabelle,MATCH(F62,Stammdaten!$B$39:$B$53,0),2)&amp;" — "&amp;INDEX(Projekt_Tabelle,MATCH(F62,Stammdaten!$B$39:$B$53,0),3),"")</f>
        <v>Sanierung Wohnhaus Schulze — Familie Schulze</v>
      </c>
      <c r="H62" s="19" t="s">
        <v>121</v>
      </c>
      <c r="I62" s="45">
        <v>0.3125</v>
      </c>
      <c r="J62" s="45">
        <v>0.5625</v>
      </c>
      <c r="K62" s="46">
        <v>30</v>
      </c>
      <c r="L62" s="47">
        <f t="shared" si="6"/>
        <v>5.5</v>
      </c>
      <c r="M62" s="48">
        <f>IFERROR(VLOOKUP(F62,Stammdaten!$B$39:$F$53,5,FALSE()),0)</f>
        <v>65</v>
      </c>
      <c r="N62" s="49">
        <f t="shared" si="7"/>
        <v>357.5</v>
      </c>
      <c r="O62" s="25" t="s">
        <v>92</v>
      </c>
      <c r="P62" s="50" t="s">
        <v>197</v>
      </c>
    </row>
    <row r="63" spans="1:16" ht="21.75" customHeight="1" x14ac:dyDescent="0.25">
      <c r="A63" s="41">
        <v>56</v>
      </c>
      <c r="B63" s="26">
        <v>46038</v>
      </c>
      <c r="C63" s="42" t="str">
        <f t="shared" si="4"/>
        <v>Fr</v>
      </c>
      <c r="D63" s="19" t="s">
        <v>33</v>
      </c>
      <c r="E63" s="43" t="str">
        <f t="shared" si="5"/>
        <v>P-003</v>
      </c>
      <c r="F63" s="22" t="s">
        <v>53</v>
      </c>
      <c r="G63" s="44" t="str">
        <f>IFERROR(INDEX(Projekt_Tabelle,MATCH(F63,Stammdaten!$B$39:$B$53,0),2)&amp;" — "&amp;INDEX(Projekt_Tabelle,MATCH(F63,Stammdaten!$B$39:$B$53,0),3),"")</f>
        <v>Neubau Bürogebäude Krause — Krause Immobilien GmbH</v>
      </c>
      <c r="H63" s="19" t="s">
        <v>111</v>
      </c>
      <c r="I63" s="45">
        <v>0.33333333333333298</v>
      </c>
      <c r="J63" s="45">
        <v>0.64583333333333304</v>
      </c>
      <c r="K63" s="46">
        <v>30</v>
      </c>
      <c r="L63" s="47">
        <f t="shared" si="6"/>
        <v>7.0000000000000018</v>
      </c>
      <c r="M63" s="48">
        <f>IFERROR(VLOOKUP(F63,Stammdaten!$B$39:$F$53,5,FALSE()),0)</f>
        <v>72</v>
      </c>
      <c r="N63" s="49">
        <f t="shared" si="7"/>
        <v>504.00000000000011</v>
      </c>
      <c r="O63" s="25" t="s">
        <v>92</v>
      </c>
      <c r="P63" s="50" t="s">
        <v>198</v>
      </c>
    </row>
    <row r="64" spans="1:16" ht="21.75" customHeight="1" x14ac:dyDescent="0.25">
      <c r="A64" s="41">
        <v>57</v>
      </c>
      <c r="B64" s="26">
        <v>46038</v>
      </c>
      <c r="C64" s="42" t="str">
        <f t="shared" si="4"/>
        <v>Fr</v>
      </c>
      <c r="D64" s="19" t="s">
        <v>36</v>
      </c>
      <c r="E64" s="43" t="str">
        <f t="shared" si="5"/>
        <v>P-004</v>
      </c>
      <c r="F64" s="22" t="s">
        <v>65</v>
      </c>
      <c r="G64" s="44" t="str">
        <f>IFERROR(INDEX(Projekt_Tabelle,MATCH(F64,Stammdaten!$B$39:$B$53,0),2)&amp;" — "&amp;INDEX(Projekt_Tabelle,MATCH(F64,Stammdaten!$B$39:$B$53,0),3),"")</f>
        <v>Umbau Café am Markt — Friedrich Gastro GmbH</v>
      </c>
      <c r="H64" s="19" t="s">
        <v>103</v>
      </c>
      <c r="I64" s="45">
        <v>0.3125</v>
      </c>
      <c r="J64" s="45">
        <v>0.625</v>
      </c>
      <c r="K64" s="46">
        <v>30</v>
      </c>
      <c r="L64" s="47">
        <f t="shared" si="6"/>
        <v>7</v>
      </c>
      <c r="M64" s="48">
        <f>IFERROR(VLOOKUP(F64,Stammdaten!$B$39:$F$53,5,FALSE()),0)</f>
        <v>65</v>
      </c>
      <c r="N64" s="49">
        <f t="shared" si="7"/>
        <v>455</v>
      </c>
      <c r="O64" s="25" t="s">
        <v>92</v>
      </c>
      <c r="P64" s="50" t="s">
        <v>182</v>
      </c>
    </row>
    <row r="65" spans="1:16" ht="21.75" customHeight="1" x14ac:dyDescent="0.25">
      <c r="A65" s="41">
        <v>58</v>
      </c>
      <c r="B65" s="26">
        <v>46038</v>
      </c>
      <c r="C65" s="42" t="str">
        <f t="shared" si="4"/>
        <v>Fr</v>
      </c>
      <c r="D65" s="19" t="s">
        <v>38</v>
      </c>
      <c r="E65" s="43" t="str">
        <f t="shared" si="5"/>
        <v>P-005</v>
      </c>
      <c r="F65" s="22" t="s">
        <v>82</v>
      </c>
      <c r="G65" s="44" t="str">
        <f>IFERROR(INDEX(Projekt_Tabelle,MATCH(F65,Stammdaten!$B$39:$B$53,0),2)&amp;" — "&amp;INDEX(Projekt_Tabelle,MATCH(F65,Stammdaten!$B$39:$B$53,0),3),"")</f>
        <v>Interne Arbeiten / Werkstatt — Hoffmann Handwerk GmbH</v>
      </c>
      <c r="H65" s="19" t="s">
        <v>121</v>
      </c>
      <c r="I65" s="45">
        <v>0.33333333333333298</v>
      </c>
      <c r="J65" s="45">
        <v>0.66666666666666696</v>
      </c>
      <c r="K65" s="46">
        <v>30</v>
      </c>
      <c r="L65" s="47">
        <f t="shared" si="6"/>
        <v>7.500000000000016</v>
      </c>
      <c r="M65" s="48">
        <f>IFERROR(VLOOKUP(F65,Stammdaten!$B$39:$F$53,5,FALSE()),0)</f>
        <v>0</v>
      </c>
      <c r="N65" s="49">
        <f t="shared" si="7"/>
        <v>0</v>
      </c>
      <c r="O65" s="25" t="s">
        <v>92</v>
      </c>
      <c r="P65" s="50" t="s">
        <v>199</v>
      </c>
    </row>
    <row r="66" spans="1:16" ht="21.75" customHeight="1" x14ac:dyDescent="0.25">
      <c r="A66" s="41">
        <v>59</v>
      </c>
      <c r="B66" s="26">
        <v>46041</v>
      </c>
      <c r="C66" s="42" t="str">
        <f t="shared" si="4"/>
        <v>Mo</v>
      </c>
      <c r="D66" s="19" t="s">
        <v>26</v>
      </c>
      <c r="E66" s="43" t="str">
        <f t="shared" si="5"/>
        <v>P-001</v>
      </c>
      <c r="F66" s="22" t="s">
        <v>73</v>
      </c>
      <c r="G66" s="44" t="str">
        <f>IFERROR(INDEX(Projekt_Tabelle,MATCH(F66,Stammdaten!$B$39:$B$53,0),2)&amp;" — "&amp;INDEX(Projekt_Tabelle,MATCH(F66,Stammdaten!$B$39:$B$53,0),3),"")</f>
        <v>Dachstuhl Neubau Bauer — Bauer GbR</v>
      </c>
      <c r="H66" s="19" t="s">
        <v>91</v>
      </c>
      <c r="I66" s="45">
        <v>0.29166666666666702</v>
      </c>
      <c r="J66" s="45">
        <v>0.6875</v>
      </c>
      <c r="K66" s="46">
        <v>30</v>
      </c>
      <c r="L66" s="47">
        <f t="shared" si="6"/>
        <v>8.9999999999999911</v>
      </c>
      <c r="M66" s="48">
        <f>IFERROR(VLOOKUP(F66,Stammdaten!$B$39:$F$53,5,FALSE()),0)</f>
        <v>70</v>
      </c>
      <c r="N66" s="49">
        <f t="shared" si="7"/>
        <v>629.99999999999943</v>
      </c>
      <c r="O66" s="25" t="s">
        <v>92</v>
      </c>
      <c r="P66" s="50" t="s">
        <v>185</v>
      </c>
    </row>
    <row r="67" spans="1:16" ht="21.75" customHeight="1" x14ac:dyDescent="0.25">
      <c r="A67" s="41">
        <v>60</v>
      </c>
      <c r="B67" s="26">
        <v>46041</v>
      </c>
      <c r="C67" s="42" t="str">
        <f t="shared" si="4"/>
        <v>Mo</v>
      </c>
      <c r="D67" s="19" t="s">
        <v>30</v>
      </c>
      <c r="E67" s="43" t="str">
        <f t="shared" si="5"/>
        <v>P-002</v>
      </c>
      <c r="F67" s="22" t="s">
        <v>49</v>
      </c>
      <c r="G67" s="44" t="str">
        <f>IFERROR(INDEX(Projekt_Tabelle,MATCH(F67,Stammdaten!$B$39:$B$53,0),2)&amp;" — "&amp;INDEX(Projekt_Tabelle,MATCH(F67,Stammdaten!$B$39:$B$53,0),3),"")</f>
        <v>Sanierung Wohnhaus Schulze — Familie Schulze</v>
      </c>
      <c r="H67" s="19" t="s">
        <v>91</v>
      </c>
      <c r="I67" s="45">
        <v>0.29166666666666702</v>
      </c>
      <c r="J67" s="45">
        <v>0.66666666666666696</v>
      </c>
      <c r="K67" s="46">
        <v>30</v>
      </c>
      <c r="L67" s="47">
        <f t="shared" si="6"/>
        <v>8.4999999999999982</v>
      </c>
      <c r="M67" s="48">
        <f>IFERROR(VLOOKUP(F67,Stammdaten!$B$39:$F$53,5,FALSE()),0)</f>
        <v>65</v>
      </c>
      <c r="N67" s="49">
        <f t="shared" si="7"/>
        <v>552.49999999999989</v>
      </c>
      <c r="O67" s="25" t="s">
        <v>92</v>
      </c>
      <c r="P67" s="50" t="s">
        <v>162</v>
      </c>
    </row>
    <row r="68" spans="1:16" ht="21.75" customHeight="1" x14ac:dyDescent="0.25">
      <c r="A68" s="41">
        <v>61</v>
      </c>
      <c r="B68" s="26">
        <v>46041</v>
      </c>
      <c r="C68" s="42" t="str">
        <f t="shared" si="4"/>
        <v>Mo</v>
      </c>
      <c r="D68" s="19" t="s">
        <v>33</v>
      </c>
      <c r="E68" s="43" t="str">
        <f t="shared" si="5"/>
        <v>P-003</v>
      </c>
      <c r="F68" s="22" t="s">
        <v>53</v>
      </c>
      <c r="G68" s="44" t="str">
        <f>IFERROR(INDEX(Projekt_Tabelle,MATCH(F68,Stammdaten!$B$39:$B$53,0),2)&amp;" — "&amp;INDEX(Projekt_Tabelle,MATCH(F68,Stammdaten!$B$39:$B$53,0),3),"")</f>
        <v>Neubau Bürogebäude Krause — Krause Immobilien GmbH</v>
      </c>
      <c r="H68" s="19" t="s">
        <v>91</v>
      </c>
      <c r="I68" s="45">
        <v>0.3125</v>
      </c>
      <c r="J68" s="45">
        <v>0.6875</v>
      </c>
      <c r="K68" s="46">
        <v>30</v>
      </c>
      <c r="L68" s="47">
        <f t="shared" si="6"/>
        <v>8.5</v>
      </c>
      <c r="M68" s="48">
        <f>IFERROR(VLOOKUP(F68,Stammdaten!$B$39:$F$53,5,FALSE()),0)</f>
        <v>72</v>
      </c>
      <c r="N68" s="49">
        <f t="shared" si="7"/>
        <v>612</v>
      </c>
      <c r="O68" s="25" t="s">
        <v>92</v>
      </c>
      <c r="P68" s="50" t="s">
        <v>168</v>
      </c>
    </row>
    <row r="69" spans="1:16" ht="21.75" customHeight="1" x14ac:dyDescent="0.25">
      <c r="A69" s="41">
        <v>62</v>
      </c>
      <c r="B69" s="26">
        <v>46041</v>
      </c>
      <c r="C69" s="42" t="str">
        <f t="shared" si="4"/>
        <v>Mo</v>
      </c>
      <c r="D69" s="19" t="s">
        <v>36</v>
      </c>
      <c r="E69" s="43" t="str">
        <f t="shared" si="5"/>
        <v>P-004</v>
      </c>
      <c r="F69" s="22" t="s">
        <v>61</v>
      </c>
      <c r="G69" s="44" t="str">
        <f>IFERROR(INDEX(Projekt_Tabelle,MATCH(F69,Stammdaten!$B$39:$B$53,0),2)&amp;" — "&amp;INDEX(Projekt_Tabelle,MATCH(F69,Stammdaten!$B$39:$B$53,0),3),"")</f>
        <v>Renovierung Arztpraxis — Dr. med. Susanne Becker</v>
      </c>
      <c r="H69" s="19" t="s">
        <v>91</v>
      </c>
      <c r="I69" s="45">
        <v>0.3125</v>
      </c>
      <c r="J69" s="45">
        <v>0.6875</v>
      </c>
      <c r="K69" s="46">
        <v>30</v>
      </c>
      <c r="L69" s="47">
        <f t="shared" si="6"/>
        <v>8.5</v>
      </c>
      <c r="M69" s="48">
        <f>IFERROR(VLOOKUP(F69,Stammdaten!$B$39:$F$53,5,FALSE()),0)</f>
        <v>65</v>
      </c>
      <c r="N69" s="49">
        <f t="shared" si="7"/>
        <v>552.5</v>
      </c>
      <c r="O69" s="25" t="s">
        <v>92</v>
      </c>
      <c r="P69" s="50" t="s">
        <v>165</v>
      </c>
    </row>
    <row r="70" spans="1:16" ht="21.75" customHeight="1" x14ac:dyDescent="0.25">
      <c r="A70" s="41">
        <v>63</v>
      </c>
      <c r="B70" s="26">
        <v>46041</v>
      </c>
      <c r="C70" s="42" t="str">
        <f t="shared" si="4"/>
        <v>Mo</v>
      </c>
      <c r="D70" s="19" t="s">
        <v>41</v>
      </c>
      <c r="E70" s="43" t="str">
        <f t="shared" si="5"/>
        <v>P-006</v>
      </c>
      <c r="F70" s="22" t="s">
        <v>73</v>
      </c>
      <c r="G70" s="44" t="str">
        <f>IFERROR(INDEX(Projekt_Tabelle,MATCH(F70,Stammdaten!$B$39:$B$53,0),2)&amp;" — "&amp;INDEX(Projekt_Tabelle,MATCH(F70,Stammdaten!$B$39:$B$53,0),3),"")</f>
        <v>Dachstuhl Neubau Bauer — Bauer GbR</v>
      </c>
      <c r="H70" s="19" t="s">
        <v>91</v>
      </c>
      <c r="I70" s="45">
        <v>0.29166666666666702</v>
      </c>
      <c r="J70" s="45">
        <v>0.6875</v>
      </c>
      <c r="K70" s="46">
        <v>30</v>
      </c>
      <c r="L70" s="47">
        <f t="shared" si="6"/>
        <v>8.9999999999999911</v>
      </c>
      <c r="M70" s="48">
        <f>IFERROR(VLOOKUP(F70,Stammdaten!$B$39:$F$53,5,FALSE()),0)</f>
        <v>70</v>
      </c>
      <c r="N70" s="49">
        <f t="shared" si="7"/>
        <v>629.99999999999943</v>
      </c>
      <c r="O70" s="25" t="s">
        <v>92</v>
      </c>
      <c r="P70" s="50" t="s">
        <v>185</v>
      </c>
    </row>
    <row r="71" spans="1:16" ht="21.75" customHeight="1" x14ac:dyDescent="0.25">
      <c r="A71" s="41">
        <v>64</v>
      </c>
      <c r="B71" s="26">
        <v>46042</v>
      </c>
      <c r="C71" s="42" t="str">
        <f t="shared" si="4"/>
        <v>Di</v>
      </c>
      <c r="D71" s="19" t="s">
        <v>26</v>
      </c>
      <c r="E71" s="43" t="str">
        <f t="shared" si="5"/>
        <v>P-001</v>
      </c>
      <c r="F71" s="22" t="s">
        <v>73</v>
      </c>
      <c r="G71" s="44" t="str">
        <f>IFERROR(INDEX(Projekt_Tabelle,MATCH(F71,Stammdaten!$B$39:$B$53,0),2)&amp;" — "&amp;INDEX(Projekt_Tabelle,MATCH(F71,Stammdaten!$B$39:$B$53,0),3),"")</f>
        <v>Dachstuhl Neubau Bauer — Bauer GbR</v>
      </c>
      <c r="H71" s="19" t="s">
        <v>91</v>
      </c>
      <c r="I71" s="45">
        <v>0.29166666666666702</v>
      </c>
      <c r="J71" s="45">
        <v>0.72916666666666696</v>
      </c>
      <c r="K71" s="46">
        <v>30</v>
      </c>
      <c r="L71" s="47">
        <f t="shared" si="6"/>
        <v>9.9999999999999982</v>
      </c>
      <c r="M71" s="48">
        <f>IFERROR(VLOOKUP(F71,Stammdaten!$B$39:$F$53,5,FALSE()),0)</f>
        <v>70</v>
      </c>
      <c r="N71" s="49">
        <f t="shared" si="7"/>
        <v>699.99999999999989</v>
      </c>
      <c r="O71" s="25" t="s">
        <v>96</v>
      </c>
      <c r="P71" s="50" t="s">
        <v>200</v>
      </c>
    </row>
    <row r="72" spans="1:16" ht="21.75" customHeight="1" x14ac:dyDescent="0.25">
      <c r="A72" s="41">
        <v>65</v>
      </c>
      <c r="B72" s="26">
        <v>46042</v>
      </c>
      <c r="C72" s="42" t="str">
        <f t="shared" ref="C72:C103" si="8">IF(B72="","",CHOOSE(WEEKDAY(B72,2),"Mo","Di","Mi","Do","Fr","Sa","So"))</f>
        <v>Di</v>
      </c>
      <c r="D72" s="19" t="s">
        <v>30</v>
      </c>
      <c r="E72" s="43" t="str">
        <f t="shared" ref="E72:E103" si="9">IFERROR(VLOOKUP(D72,Mitarbeiter_Tabelle,2,FALSE()),"")</f>
        <v>P-002</v>
      </c>
      <c r="F72" s="22" t="s">
        <v>49</v>
      </c>
      <c r="G72" s="44" t="str">
        <f>IFERROR(INDEX(Projekt_Tabelle,MATCH(F72,Stammdaten!$B$39:$B$53,0),2)&amp;" — "&amp;INDEX(Projekt_Tabelle,MATCH(F72,Stammdaten!$B$39:$B$53,0),3),"")</f>
        <v>Sanierung Wohnhaus Schulze — Familie Schulze</v>
      </c>
      <c r="H72" s="19" t="s">
        <v>91</v>
      </c>
      <c r="I72" s="45">
        <v>0.29166666666666702</v>
      </c>
      <c r="J72" s="45">
        <v>0.66666666666666696</v>
      </c>
      <c r="K72" s="46">
        <v>30</v>
      </c>
      <c r="L72" s="47">
        <f t="shared" ref="L72:L103" si="10">IF(OR(O72="Urlaub",O72="Krank",O72="Feiertag"),Soll_Tag,IF(OR(I72="",J72=""),0,MAX(0,(J72-I72)*24-IF(K72="",0,K72)/60)))</f>
        <v>8.4999999999999982</v>
      </c>
      <c r="M72" s="48">
        <f>IFERROR(VLOOKUP(F72,Stammdaten!$B$39:$F$53,5,FALSE()),0)</f>
        <v>65</v>
      </c>
      <c r="N72" s="49">
        <f t="shared" ref="N72:N103" si="11">L72*M72</f>
        <v>552.49999999999989</v>
      </c>
      <c r="O72" s="25" t="s">
        <v>92</v>
      </c>
      <c r="P72" s="50" t="s">
        <v>168</v>
      </c>
    </row>
    <row r="73" spans="1:16" ht="21.75" customHeight="1" x14ac:dyDescent="0.25">
      <c r="A73" s="41">
        <v>66</v>
      </c>
      <c r="B73" s="26">
        <v>46042</v>
      </c>
      <c r="C73" s="42" t="str">
        <f t="shared" si="8"/>
        <v>Di</v>
      </c>
      <c r="D73" s="19" t="s">
        <v>33</v>
      </c>
      <c r="E73" s="43" t="str">
        <f t="shared" si="9"/>
        <v>P-003</v>
      </c>
      <c r="F73" s="22" t="s">
        <v>53</v>
      </c>
      <c r="G73" s="44" t="str">
        <f>IFERROR(INDEX(Projekt_Tabelle,MATCH(F73,Stammdaten!$B$39:$B$53,0),2)&amp;" — "&amp;INDEX(Projekt_Tabelle,MATCH(F73,Stammdaten!$B$39:$B$53,0),3),"")</f>
        <v>Neubau Bürogebäude Krause — Krause Immobilien GmbH</v>
      </c>
      <c r="H73" s="19" t="s">
        <v>121</v>
      </c>
      <c r="I73" s="45">
        <v>0.3125</v>
      </c>
      <c r="J73" s="45">
        <v>0.625</v>
      </c>
      <c r="K73" s="46">
        <v>30</v>
      </c>
      <c r="L73" s="47">
        <f t="shared" si="10"/>
        <v>7</v>
      </c>
      <c r="M73" s="48">
        <f>IFERROR(VLOOKUP(F73,Stammdaten!$B$39:$F$53,5,FALSE()),0)</f>
        <v>72</v>
      </c>
      <c r="N73" s="49">
        <f t="shared" si="11"/>
        <v>504</v>
      </c>
      <c r="O73" s="25" t="s">
        <v>92</v>
      </c>
      <c r="P73" s="50" t="s">
        <v>174</v>
      </c>
    </row>
    <row r="74" spans="1:16" ht="21.75" customHeight="1" x14ac:dyDescent="0.25">
      <c r="A74" s="41">
        <v>67</v>
      </c>
      <c r="B74" s="26">
        <v>46042</v>
      </c>
      <c r="C74" s="42" t="str">
        <f t="shared" si="8"/>
        <v>Di</v>
      </c>
      <c r="D74" s="19" t="s">
        <v>36</v>
      </c>
      <c r="E74" s="43" t="str">
        <f t="shared" si="9"/>
        <v>P-004</v>
      </c>
      <c r="F74" s="22" t="s">
        <v>61</v>
      </c>
      <c r="G74" s="44" t="str">
        <f>IFERROR(INDEX(Projekt_Tabelle,MATCH(F74,Stammdaten!$B$39:$B$53,0),2)&amp;" — "&amp;INDEX(Projekt_Tabelle,MATCH(F74,Stammdaten!$B$39:$B$53,0),3),"")</f>
        <v>Renovierung Arztpraxis — Dr. med. Susanne Becker</v>
      </c>
      <c r="H74" s="19" t="s">
        <v>91</v>
      </c>
      <c r="I74" s="45">
        <v>0.3125</v>
      </c>
      <c r="J74" s="45">
        <v>0.6875</v>
      </c>
      <c r="K74" s="46">
        <v>30</v>
      </c>
      <c r="L74" s="47">
        <f t="shared" si="10"/>
        <v>8.5</v>
      </c>
      <c r="M74" s="48">
        <f>IFERROR(VLOOKUP(F74,Stammdaten!$B$39:$F$53,5,FALSE()),0)</f>
        <v>65</v>
      </c>
      <c r="N74" s="49">
        <f t="shared" si="11"/>
        <v>552.5</v>
      </c>
      <c r="O74" s="25" t="s">
        <v>92</v>
      </c>
      <c r="P74" s="50" t="s">
        <v>169</v>
      </c>
    </row>
    <row r="75" spans="1:16" ht="21.75" customHeight="1" x14ac:dyDescent="0.25">
      <c r="A75" s="41">
        <v>68</v>
      </c>
      <c r="B75" s="26">
        <v>46042</v>
      </c>
      <c r="C75" s="42" t="str">
        <f t="shared" si="8"/>
        <v>Di</v>
      </c>
      <c r="D75" s="19" t="s">
        <v>41</v>
      </c>
      <c r="E75" s="43" t="str">
        <f t="shared" si="9"/>
        <v>P-006</v>
      </c>
      <c r="F75" s="22" t="s">
        <v>73</v>
      </c>
      <c r="G75" s="44" t="str">
        <f>IFERROR(INDEX(Projekt_Tabelle,MATCH(F75,Stammdaten!$B$39:$B$53,0),2)&amp;" — "&amp;INDEX(Projekt_Tabelle,MATCH(F75,Stammdaten!$B$39:$B$53,0),3),"")</f>
        <v>Dachstuhl Neubau Bauer — Bauer GbR</v>
      </c>
      <c r="H75" s="19" t="s">
        <v>91</v>
      </c>
      <c r="I75" s="45">
        <v>0.29166666666666702</v>
      </c>
      <c r="J75" s="45">
        <v>0.6875</v>
      </c>
      <c r="K75" s="46">
        <v>30</v>
      </c>
      <c r="L75" s="47">
        <f t="shared" si="10"/>
        <v>8.9999999999999911</v>
      </c>
      <c r="M75" s="48">
        <f>IFERROR(VLOOKUP(F75,Stammdaten!$B$39:$F$53,5,FALSE()),0)</f>
        <v>70</v>
      </c>
      <c r="N75" s="49">
        <f t="shared" si="11"/>
        <v>629.99999999999943</v>
      </c>
      <c r="O75" s="25" t="s">
        <v>92</v>
      </c>
      <c r="P75" s="50" t="s">
        <v>185</v>
      </c>
    </row>
    <row r="76" spans="1:16" ht="21.75" customHeight="1" x14ac:dyDescent="0.25">
      <c r="A76" s="41" t="str">
        <f>IF(B76="","",MAX($A$8:A75)+1)</f>
        <v/>
      </c>
      <c r="B76" s="51"/>
      <c r="C76" s="42" t="str">
        <f t="shared" si="8"/>
        <v/>
      </c>
      <c r="D76" s="52"/>
      <c r="E76" s="43" t="str">
        <f t="shared" si="9"/>
        <v/>
      </c>
      <c r="F76" s="52"/>
      <c r="G76" s="44" t="str">
        <f>IFERROR(INDEX(Projekt_Tabelle,MATCH(F76,Stammdaten!$B$39:$B$53,0),2)&amp;" — "&amp;INDEX(Projekt_Tabelle,MATCH(F76,Stammdaten!$B$39:$B$53,0),3),"")</f>
        <v/>
      </c>
      <c r="H76" s="52"/>
      <c r="I76" s="53"/>
      <c r="J76" s="53"/>
      <c r="K76" s="54"/>
      <c r="L76" s="47" t="str">
        <f t="shared" ref="L76:L107" si="12">IF(D76="","",IF(OR(O76="Urlaub",O76="Krank",O76="Feiertag"),Soll_Tag,IF(OR(I76="",J76=""),0,MAX(0,(J76-I76)*24-IF(K76="",0,K76)/60))))</f>
        <v/>
      </c>
      <c r="M76" s="48" t="str">
        <f>IFERROR(VLOOKUP(F76,Stammdaten!$B$39:$F$53,5,FALSE()),"")</f>
        <v/>
      </c>
      <c r="N76" s="49" t="str">
        <f t="shared" ref="N76:N107" si="13">IF(OR(L76="",M76=""),"",L76*M76)</f>
        <v/>
      </c>
      <c r="O76" s="52"/>
      <c r="P76" s="52"/>
    </row>
    <row r="77" spans="1:16" ht="21.75" customHeight="1" x14ac:dyDescent="0.25">
      <c r="A77" s="41" t="str">
        <f>IF(B77="","",MAX($A$8:A76)+1)</f>
        <v/>
      </c>
      <c r="B77" s="51"/>
      <c r="C77" s="42" t="str">
        <f t="shared" si="8"/>
        <v/>
      </c>
      <c r="D77" s="52"/>
      <c r="E77" s="43" t="str">
        <f t="shared" si="9"/>
        <v/>
      </c>
      <c r="F77" s="52"/>
      <c r="G77" s="44" t="str">
        <f>IFERROR(INDEX(Projekt_Tabelle,MATCH(F77,Stammdaten!$B$39:$B$53,0),2)&amp;" — "&amp;INDEX(Projekt_Tabelle,MATCH(F77,Stammdaten!$B$39:$B$53,0),3),"")</f>
        <v/>
      </c>
      <c r="H77" s="52"/>
      <c r="I77" s="53"/>
      <c r="J77" s="53"/>
      <c r="K77" s="54"/>
      <c r="L77" s="47" t="str">
        <f t="shared" si="12"/>
        <v/>
      </c>
      <c r="M77" s="48" t="str">
        <f>IFERROR(VLOOKUP(F77,Stammdaten!$B$39:$F$53,5,FALSE()),"")</f>
        <v/>
      </c>
      <c r="N77" s="49" t="str">
        <f t="shared" si="13"/>
        <v/>
      </c>
      <c r="O77" s="52"/>
      <c r="P77" s="52"/>
    </row>
    <row r="78" spans="1:16" ht="21.75" customHeight="1" x14ac:dyDescent="0.25">
      <c r="A78" s="41" t="str">
        <f>IF(B78="","",MAX($A$8:A77)+1)</f>
        <v/>
      </c>
      <c r="B78" s="51"/>
      <c r="C78" s="42" t="str">
        <f t="shared" si="8"/>
        <v/>
      </c>
      <c r="D78" s="52"/>
      <c r="E78" s="43" t="str">
        <f t="shared" si="9"/>
        <v/>
      </c>
      <c r="F78" s="52"/>
      <c r="G78" s="44" t="str">
        <f>IFERROR(INDEX(Projekt_Tabelle,MATCH(F78,Stammdaten!$B$39:$B$53,0),2)&amp;" — "&amp;INDEX(Projekt_Tabelle,MATCH(F78,Stammdaten!$B$39:$B$53,0),3),"")</f>
        <v/>
      </c>
      <c r="H78" s="52"/>
      <c r="I78" s="53"/>
      <c r="J78" s="53"/>
      <c r="K78" s="54"/>
      <c r="L78" s="47" t="str">
        <f t="shared" si="12"/>
        <v/>
      </c>
      <c r="M78" s="48" t="str">
        <f>IFERROR(VLOOKUP(F78,Stammdaten!$B$39:$F$53,5,FALSE()),"")</f>
        <v/>
      </c>
      <c r="N78" s="49" t="str">
        <f t="shared" si="13"/>
        <v/>
      </c>
      <c r="O78" s="52"/>
      <c r="P78" s="52"/>
    </row>
    <row r="79" spans="1:16" ht="21.75" customHeight="1" x14ac:dyDescent="0.25">
      <c r="A79" s="41" t="str">
        <f>IF(B79="","",MAX($A$8:A78)+1)</f>
        <v/>
      </c>
      <c r="B79" s="51"/>
      <c r="C79" s="42" t="str">
        <f t="shared" si="8"/>
        <v/>
      </c>
      <c r="D79" s="52"/>
      <c r="E79" s="43" t="str">
        <f t="shared" si="9"/>
        <v/>
      </c>
      <c r="F79" s="52"/>
      <c r="G79" s="44" t="str">
        <f>IFERROR(INDEX(Projekt_Tabelle,MATCH(F79,Stammdaten!$B$39:$B$53,0),2)&amp;" — "&amp;INDEX(Projekt_Tabelle,MATCH(F79,Stammdaten!$B$39:$B$53,0),3),"")</f>
        <v/>
      </c>
      <c r="H79" s="52"/>
      <c r="I79" s="53"/>
      <c r="J79" s="53"/>
      <c r="K79" s="54"/>
      <c r="L79" s="47" t="str">
        <f t="shared" si="12"/>
        <v/>
      </c>
      <c r="M79" s="48" t="str">
        <f>IFERROR(VLOOKUP(F79,Stammdaten!$B$39:$F$53,5,FALSE()),"")</f>
        <v/>
      </c>
      <c r="N79" s="49" t="str">
        <f t="shared" si="13"/>
        <v/>
      </c>
      <c r="O79" s="52"/>
      <c r="P79" s="52"/>
    </row>
    <row r="80" spans="1:16" ht="21.75" customHeight="1" x14ac:dyDescent="0.25">
      <c r="A80" s="41" t="str">
        <f>IF(B80="","",MAX($A$8:A79)+1)</f>
        <v/>
      </c>
      <c r="B80" s="51"/>
      <c r="C80" s="42" t="str">
        <f t="shared" si="8"/>
        <v/>
      </c>
      <c r="D80" s="52"/>
      <c r="E80" s="43" t="str">
        <f t="shared" si="9"/>
        <v/>
      </c>
      <c r="F80" s="52"/>
      <c r="G80" s="44" t="str">
        <f>IFERROR(INDEX(Projekt_Tabelle,MATCH(F80,Stammdaten!$B$39:$B$53,0),2)&amp;" — "&amp;INDEX(Projekt_Tabelle,MATCH(F80,Stammdaten!$B$39:$B$53,0),3),"")</f>
        <v/>
      </c>
      <c r="H80" s="52"/>
      <c r="I80" s="53"/>
      <c r="J80" s="53"/>
      <c r="K80" s="54"/>
      <c r="L80" s="47" t="str">
        <f t="shared" si="12"/>
        <v/>
      </c>
      <c r="M80" s="48" t="str">
        <f>IFERROR(VLOOKUP(F80,Stammdaten!$B$39:$F$53,5,FALSE()),"")</f>
        <v/>
      </c>
      <c r="N80" s="49" t="str">
        <f t="shared" si="13"/>
        <v/>
      </c>
      <c r="O80" s="52"/>
      <c r="P80" s="52"/>
    </row>
    <row r="81" spans="1:16" ht="21.75" customHeight="1" x14ac:dyDescent="0.25">
      <c r="A81" s="41" t="str">
        <f>IF(B81="","",MAX($A$8:A80)+1)</f>
        <v/>
      </c>
      <c r="B81" s="51"/>
      <c r="C81" s="42" t="str">
        <f t="shared" si="8"/>
        <v/>
      </c>
      <c r="D81" s="52"/>
      <c r="E81" s="43" t="str">
        <f t="shared" si="9"/>
        <v/>
      </c>
      <c r="F81" s="52"/>
      <c r="G81" s="44" t="str">
        <f>IFERROR(INDEX(Projekt_Tabelle,MATCH(F81,Stammdaten!$B$39:$B$53,0),2)&amp;" — "&amp;INDEX(Projekt_Tabelle,MATCH(F81,Stammdaten!$B$39:$B$53,0),3),"")</f>
        <v/>
      </c>
      <c r="H81" s="52"/>
      <c r="I81" s="53"/>
      <c r="J81" s="53"/>
      <c r="K81" s="54"/>
      <c r="L81" s="47" t="str">
        <f t="shared" si="12"/>
        <v/>
      </c>
      <c r="M81" s="48" t="str">
        <f>IFERROR(VLOOKUP(F81,Stammdaten!$B$39:$F$53,5,FALSE()),"")</f>
        <v/>
      </c>
      <c r="N81" s="49" t="str">
        <f t="shared" si="13"/>
        <v/>
      </c>
      <c r="O81" s="52"/>
      <c r="P81" s="52"/>
    </row>
    <row r="82" spans="1:16" ht="21.75" customHeight="1" x14ac:dyDescent="0.25">
      <c r="A82" s="41" t="str">
        <f>IF(B82="","",MAX($A$8:A81)+1)</f>
        <v/>
      </c>
      <c r="B82" s="51"/>
      <c r="C82" s="42" t="str">
        <f t="shared" si="8"/>
        <v/>
      </c>
      <c r="D82" s="52"/>
      <c r="E82" s="43" t="str">
        <f t="shared" si="9"/>
        <v/>
      </c>
      <c r="F82" s="52"/>
      <c r="G82" s="44" t="str">
        <f>IFERROR(INDEX(Projekt_Tabelle,MATCH(F82,Stammdaten!$B$39:$B$53,0),2)&amp;" — "&amp;INDEX(Projekt_Tabelle,MATCH(F82,Stammdaten!$B$39:$B$53,0),3),"")</f>
        <v/>
      </c>
      <c r="H82" s="52"/>
      <c r="I82" s="53"/>
      <c r="J82" s="53"/>
      <c r="K82" s="54"/>
      <c r="L82" s="47" t="str">
        <f t="shared" si="12"/>
        <v/>
      </c>
      <c r="M82" s="48" t="str">
        <f>IFERROR(VLOOKUP(F82,Stammdaten!$B$39:$F$53,5,FALSE()),"")</f>
        <v/>
      </c>
      <c r="N82" s="49" t="str">
        <f t="shared" si="13"/>
        <v/>
      </c>
      <c r="O82" s="52"/>
      <c r="P82" s="52"/>
    </row>
    <row r="83" spans="1:16" ht="21.75" customHeight="1" x14ac:dyDescent="0.25">
      <c r="A83" s="41" t="str">
        <f>IF(B83="","",MAX($A$8:A82)+1)</f>
        <v/>
      </c>
      <c r="B83" s="51"/>
      <c r="C83" s="42" t="str">
        <f t="shared" si="8"/>
        <v/>
      </c>
      <c r="D83" s="52"/>
      <c r="E83" s="43" t="str">
        <f t="shared" si="9"/>
        <v/>
      </c>
      <c r="F83" s="52"/>
      <c r="G83" s="44" t="str">
        <f>IFERROR(INDEX(Projekt_Tabelle,MATCH(F83,Stammdaten!$B$39:$B$53,0),2)&amp;" — "&amp;INDEX(Projekt_Tabelle,MATCH(F83,Stammdaten!$B$39:$B$53,0),3),"")</f>
        <v/>
      </c>
      <c r="H83" s="52"/>
      <c r="I83" s="53"/>
      <c r="J83" s="53"/>
      <c r="K83" s="54"/>
      <c r="L83" s="47" t="str">
        <f t="shared" si="12"/>
        <v/>
      </c>
      <c r="M83" s="48" t="str">
        <f>IFERROR(VLOOKUP(F83,Stammdaten!$B$39:$F$53,5,FALSE()),"")</f>
        <v/>
      </c>
      <c r="N83" s="49" t="str">
        <f t="shared" si="13"/>
        <v/>
      </c>
      <c r="O83" s="52"/>
      <c r="P83" s="52"/>
    </row>
    <row r="84" spans="1:16" ht="21.75" customHeight="1" x14ac:dyDescent="0.25">
      <c r="A84" s="41" t="str">
        <f>IF(B84="","",MAX($A$8:A83)+1)</f>
        <v/>
      </c>
      <c r="B84" s="51"/>
      <c r="C84" s="42" t="str">
        <f t="shared" si="8"/>
        <v/>
      </c>
      <c r="D84" s="52"/>
      <c r="E84" s="43" t="str">
        <f t="shared" si="9"/>
        <v/>
      </c>
      <c r="F84" s="52"/>
      <c r="G84" s="44" t="str">
        <f>IFERROR(INDEX(Projekt_Tabelle,MATCH(F84,Stammdaten!$B$39:$B$53,0),2)&amp;" — "&amp;INDEX(Projekt_Tabelle,MATCH(F84,Stammdaten!$B$39:$B$53,0),3),"")</f>
        <v/>
      </c>
      <c r="H84" s="52"/>
      <c r="I84" s="53"/>
      <c r="J84" s="53"/>
      <c r="K84" s="54"/>
      <c r="L84" s="47" t="str">
        <f t="shared" si="12"/>
        <v/>
      </c>
      <c r="M84" s="48" t="str">
        <f>IFERROR(VLOOKUP(F84,Stammdaten!$B$39:$F$53,5,FALSE()),"")</f>
        <v/>
      </c>
      <c r="N84" s="49" t="str">
        <f t="shared" si="13"/>
        <v/>
      </c>
      <c r="O84" s="52"/>
      <c r="P84" s="52"/>
    </row>
    <row r="85" spans="1:16" ht="21.75" customHeight="1" x14ac:dyDescent="0.25">
      <c r="A85" s="41" t="str">
        <f>IF(B85="","",MAX($A$8:A84)+1)</f>
        <v/>
      </c>
      <c r="B85" s="51"/>
      <c r="C85" s="42" t="str">
        <f t="shared" si="8"/>
        <v/>
      </c>
      <c r="D85" s="52"/>
      <c r="E85" s="43" t="str">
        <f t="shared" si="9"/>
        <v/>
      </c>
      <c r="F85" s="52"/>
      <c r="G85" s="44" t="str">
        <f>IFERROR(INDEX(Projekt_Tabelle,MATCH(F85,Stammdaten!$B$39:$B$53,0),2)&amp;" — "&amp;INDEX(Projekt_Tabelle,MATCH(F85,Stammdaten!$B$39:$B$53,0),3),"")</f>
        <v/>
      </c>
      <c r="H85" s="52"/>
      <c r="I85" s="53"/>
      <c r="J85" s="53"/>
      <c r="K85" s="54"/>
      <c r="L85" s="47" t="str">
        <f t="shared" si="12"/>
        <v/>
      </c>
      <c r="M85" s="48" t="str">
        <f>IFERROR(VLOOKUP(F85,Stammdaten!$B$39:$F$53,5,FALSE()),"")</f>
        <v/>
      </c>
      <c r="N85" s="49" t="str">
        <f t="shared" si="13"/>
        <v/>
      </c>
      <c r="O85" s="52"/>
      <c r="P85" s="52"/>
    </row>
    <row r="86" spans="1:16" ht="21.75" customHeight="1" x14ac:dyDescent="0.25">
      <c r="A86" s="41" t="str">
        <f>IF(B86="","",MAX($A$8:A85)+1)</f>
        <v/>
      </c>
      <c r="B86" s="51"/>
      <c r="C86" s="42" t="str">
        <f t="shared" si="8"/>
        <v/>
      </c>
      <c r="D86" s="52"/>
      <c r="E86" s="43" t="str">
        <f t="shared" si="9"/>
        <v/>
      </c>
      <c r="F86" s="52"/>
      <c r="G86" s="44" t="str">
        <f>IFERROR(INDEX(Projekt_Tabelle,MATCH(F86,Stammdaten!$B$39:$B$53,0),2)&amp;" — "&amp;INDEX(Projekt_Tabelle,MATCH(F86,Stammdaten!$B$39:$B$53,0),3),"")</f>
        <v/>
      </c>
      <c r="H86" s="52"/>
      <c r="I86" s="53"/>
      <c r="J86" s="53"/>
      <c r="K86" s="54"/>
      <c r="L86" s="47" t="str">
        <f t="shared" si="12"/>
        <v/>
      </c>
      <c r="M86" s="48" t="str">
        <f>IFERROR(VLOOKUP(F86,Stammdaten!$B$39:$F$53,5,FALSE()),"")</f>
        <v/>
      </c>
      <c r="N86" s="49" t="str">
        <f t="shared" si="13"/>
        <v/>
      </c>
      <c r="O86" s="52"/>
      <c r="P86" s="52"/>
    </row>
    <row r="87" spans="1:16" ht="21.75" customHeight="1" x14ac:dyDescent="0.25">
      <c r="A87" s="41" t="str">
        <f>IF(B87="","",MAX($A$8:A86)+1)</f>
        <v/>
      </c>
      <c r="B87" s="51"/>
      <c r="C87" s="42" t="str">
        <f t="shared" si="8"/>
        <v/>
      </c>
      <c r="D87" s="52"/>
      <c r="E87" s="43" t="str">
        <f t="shared" si="9"/>
        <v/>
      </c>
      <c r="F87" s="52"/>
      <c r="G87" s="44" t="str">
        <f>IFERROR(INDEX(Projekt_Tabelle,MATCH(F87,Stammdaten!$B$39:$B$53,0),2)&amp;" — "&amp;INDEX(Projekt_Tabelle,MATCH(F87,Stammdaten!$B$39:$B$53,0),3),"")</f>
        <v/>
      </c>
      <c r="H87" s="52"/>
      <c r="I87" s="53"/>
      <c r="J87" s="53"/>
      <c r="K87" s="54"/>
      <c r="L87" s="47" t="str">
        <f t="shared" si="12"/>
        <v/>
      </c>
      <c r="M87" s="48" t="str">
        <f>IFERROR(VLOOKUP(F87,Stammdaten!$B$39:$F$53,5,FALSE()),"")</f>
        <v/>
      </c>
      <c r="N87" s="49" t="str">
        <f t="shared" si="13"/>
        <v/>
      </c>
      <c r="O87" s="52"/>
      <c r="P87" s="52"/>
    </row>
    <row r="88" spans="1:16" ht="21.75" customHeight="1" x14ac:dyDescent="0.25">
      <c r="A88" s="41" t="str">
        <f>IF(B88="","",MAX($A$8:A87)+1)</f>
        <v/>
      </c>
      <c r="B88" s="51"/>
      <c r="C88" s="42" t="str">
        <f t="shared" si="8"/>
        <v/>
      </c>
      <c r="D88" s="52"/>
      <c r="E88" s="43" t="str">
        <f t="shared" si="9"/>
        <v/>
      </c>
      <c r="F88" s="52"/>
      <c r="G88" s="44" t="str">
        <f>IFERROR(INDEX(Projekt_Tabelle,MATCH(F88,Stammdaten!$B$39:$B$53,0),2)&amp;" — "&amp;INDEX(Projekt_Tabelle,MATCH(F88,Stammdaten!$B$39:$B$53,0),3),"")</f>
        <v/>
      </c>
      <c r="H88" s="52"/>
      <c r="I88" s="53"/>
      <c r="J88" s="53"/>
      <c r="K88" s="54"/>
      <c r="L88" s="47" t="str">
        <f t="shared" si="12"/>
        <v/>
      </c>
      <c r="M88" s="48" t="str">
        <f>IFERROR(VLOOKUP(F88,Stammdaten!$B$39:$F$53,5,FALSE()),"")</f>
        <v/>
      </c>
      <c r="N88" s="49" t="str">
        <f t="shared" si="13"/>
        <v/>
      </c>
      <c r="O88" s="52"/>
      <c r="P88" s="52"/>
    </row>
    <row r="89" spans="1:16" ht="21.75" customHeight="1" x14ac:dyDescent="0.25">
      <c r="A89" s="41" t="str">
        <f>IF(B89="","",MAX($A$8:A88)+1)</f>
        <v/>
      </c>
      <c r="B89" s="51"/>
      <c r="C89" s="42" t="str">
        <f t="shared" si="8"/>
        <v/>
      </c>
      <c r="D89" s="52"/>
      <c r="E89" s="43" t="str">
        <f t="shared" si="9"/>
        <v/>
      </c>
      <c r="F89" s="52"/>
      <c r="G89" s="44" t="str">
        <f>IFERROR(INDEX(Projekt_Tabelle,MATCH(F89,Stammdaten!$B$39:$B$53,0),2)&amp;" — "&amp;INDEX(Projekt_Tabelle,MATCH(F89,Stammdaten!$B$39:$B$53,0),3),"")</f>
        <v/>
      </c>
      <c r="H89" s="52"/>
      <c r="I89" s="53"/>
      <c r="J89" s="53"/>
      <c r="K89" s="54"/>
      <c r="L89" s="47" t="str">
        <f t="shared" si="12"/>
        <v/>
      </c>
      <c r="M89" s="48" t="str">
        <f>IFERROR(VLOOKUP(F89,Stammdaten!$B$39:$F$53,5,FALSE()),"")</f>
        <v/>
      </c>
      <c r="N89" s="49" t="str">
        <f t="shared" si="13"/>
        <v/>
      </c>
      <c r="O89" s="52"/>
      <c r="P89" s="52"/>
    </row>
    <row r="90" spans="1:16" ht="21.75" customHeight="1" x14ac:dyDescent="0.25">
      <c r="A90" s="41" t="str">
        <f>IF(B90="","",MAX($A$8:A89)+1)</f>
        <v/>
      </c>
      <c r="B90" s="51"/>
      <c r="C90" s="42" t="str">
        <f t="shared" si="8"/>
        <v/>
      </c>
      <c r="D90" s="52"/>
      <c r="E90" s="43" t="str">
        <f t="shared" si="9"/>
        <v/>
      </c>
      <c r="F90" s="52"/>
      <c r="G90" s="44" t="str">
        <f>IFERROR(INDEX(Projekt_Tabelle,MATCH(F90,Stammdaten!$B$39:$B$53,0),2)&amp;" — "&amp;INDEX(Projekt_Tabelle,MATCH(F90,Stammdaten!$B$39:$B$53,0),3),"")</f>
        <v/>
      </c>
      <c r="H90" s="52"/>
      <c r="I90" s="53"/>
      <c r="J90" s="53"/>
      <c r="K90" s="54"/>
      <c r="L90" s="47" t="str">
        <f t="shared" si="12"/>
        <v/>
      </c>
      <c r="M90" s="48" t="str">
        <f>IFERROR(VLOOKUP(F90,Stammdaten!$B$39:$F$53,5,FALSE()),"")</f>
        <v/>
      </c>
      <c r="N90" s="49" t="str">
        <f t="shared" si="13"/>
        <v/>
      </c>
      <c r="O90" s="52"/>
      <c r="P90" s="52"/>
    </row>
    <row r="91" spans="1:16" ht="21.75" customHeight="1" x14ac:dyDescent="0.25">
      <c r="A91" s="41" t="str">
        <f>IF(B91="","",MAX($A$8:A90)+1)</f>
        <v/>
      </c>
      <c r="B91" s="51"/>
      <c r="C91" s="42" t="str">
        <f t="shared" si="8"/>
        <v/>
      </c>
      <c r="D91" s="52"/>
      <c r="E91" s="43" t="str">
        <f t="shared" si="9"/>
        <v/>
      </c>
      <c r="F91" s="52"/>
      <c r="G91" s="44" t="str">
        <f>IFERROR(INDEX(Projekt_Tabelle,MATCH(F91,Stammdaten!$B$39:$B$53,0),2)&amp;" — "&amp;INDEX(Projekt_Tabelle,MATCH(F91,Stammdaten!$B$39:$B$53,0),3),"")</f>
        <v/>
      </c>
      <c r="H91" s="52"/>
      <c r="I91" s="53"/>
      <c r="J91" s="53"/>
      <c r="K91" s="54"/>
      <c r="L91" s="47" t="str">
        <f t="shared" si="12"/>
        <v/>
      </c>
      <c r="M91" s="48" t="str">
        <f>IFERROR(VLOOKUP(F91,Stammdaten!$B$39:$F$53,5,FALSE()),"")</f>
        <v/>
      </c>
      <c r="N91" s="49" t="str">
        <f t="shared" si="13"/>
        <v/>
      </c>
      <c r="O91" s="52"/>
      <c r="P91" s="52"/>
    </row>
    <row r="92" spans="1:16" ht="21.75" customHeight="1" x14ac:dyDescent="0.25">
      <c r="A92" s="41" t="str">
        <f>IF(B92="","",MAX($A$8:A91)+1)</f>
        <v/>
      </c>
      <c r="B92" s="51"/>
      <c r="C92" s="42" t="str">
        <f t="shared" si="8"/>
        <v/>
      </c>
      <c r="D92" s="52"/>
      <c r="E92" s="43" t="str">
        <f t="shared" si="9"/>
        <v/>
      </c>
      <c r="F92" s="52"/>
      <c r="G92" s="44" t="str">
        <f>IFERROR(INDEX(Projekt_Tabelle,MATCH(F92,Stammdaten!$B$39:$B$53,0),2)&amp;" — "&amp;INDEX(Projekt_Tabelle,MATCH(F92,Stammdaten!$B$39:$B$53,0),3),"")</f>
        <v/>
      </c>
      <c r="H92" s="52"/>
      <c r="I92" s="53"/>
      <c r="J92" s="53"/>
      <c r="K92" s="54"/>
      <c r="L92" s="47" t="str">
        <f t="shared" si="12"/>
        <v/>
      </c>
      <c r="M92" s="48" t="str">
        <f>IFERROR(VLOOKUP(F92,Stammdaten!$B$39:$F$53,5,FALSE()),"")</f>
        <v/>
      </c>
      <c r="N92" s="49" t="str">
        <f t="shared" si="13"/>
        <v/>
      </c>
      <c r="O92" s="52"/>
      <c r="P92" s="52"/>
    </row>
    <row r="93" spans="1:16" ht="21.75" customHeight="1" x14ac:dyDescent="0.25">
      <c r="A93" s="41" t="str">
        <f>IF(B93="","",MAX($A$8:A92)+1)</f>
        <v/>
      </c>
      <c r="B93" s="51"/>
      <c r="C93" s="42" t="str">
        <f t="shared" si="8"/>
        <v/>
      </c>
      <c r="D93" s="52"/>
      <c r="E93" s="43" t="str">
        <f t="shared" si="9"/>
        <v/>
      </c>
      <c r="F93" s="52"/>
      <c r="G93" s="44" t="str">
        <f>IFERROR(INDEX(Projekt_Tabelle,MATCH(F93,Stammdaten!$B$39:$B$53,0),2)&amp;" — "&amp;INDEX(Projekt_Tabelle,MATCH(F93,Stammdaten!$B$39:$B$53,0),3),"")</f>
        <v/>
      </c>
      <c r="H93" s="52"/>
      <c r="I93" s="53"/>
      <c r="J93" s="53"/>
      <c r="K93" s="54"/>
      <c r="L93" s="47" t="str">
        <f t="shared" si="12"/>
        <v/>
      </c>
      <c r="M93" s="48" t="str">
        <f>IFERROR(VLOOKUP(F93,Stammdaten!$B$39:$F$53,5,FALSE()),"")</f>
        <v/>
      </c>
      <c r="N93" s="49" t="str">
        <f t="shared" si="13"/>
        <v/>
      </c>
      <c r="O93" s="52"/>
      <c r="P93" s="52"/>
    </row>
    <row r="94" spans="1:16" ht="21.75" customHeight="1" x14ac:dyDescent="0.25">
      <c r="A94" s="41" t="str">
        <f>IF(B94="","",MAX($A$8:A93)+1)</f>
        <v/>
      </c>
      <c r="B94" s="51"/>
      <c r="C94" s="42" t="str">
        <f t="shared" si="8"/>
        <v/>
      </c>
      <c r="D94" s="52"/>
      <c r="E94" s="43" t="str">
        <f t="shared" si="9"/>
        <v/>
      </c>
      <c r="F94" s="52"/>
      <c r="G94" s="44" t="str">
        <f>IFERROR(INDEX(Projekt_Tabelle,MATCH(F94,Stammdaten!$B$39:$B$53,0),2)&amp;" — "&amp;INDEX(Projekt_Tabelle,MATCH(F94,Stammdaten!$B$39:$B$53,0),3),"")</f>
        <v/>
      </c>
      <c r="H94" s="52"/>
      <c r="I94" s="53"/>
      <c r="J94" s="53"/>
      <c r="K94" s="54"/>
      <c r="L94" s="47" t="str">
        <f t="shared" si="12"/>
        <v/>
      </c>
      <c r="M94" s="48" t="str">
        <f>IFERROR(VLOOKUP(F94,Stammdaten!$B$39:$F$53,5,FALSE()),"")</f>
        <v/>
      </c>
      <c r="N94" s="49" t="str">
        <f t="shared" si="13"/>
        <v/>
      </c>
      <c r="O94" s="52"/>
      <c r="P94" s="52"/>
    </row>
    <row r="95" spans="1:16" ht="21.75" customHeight="1" x14ac:dyDescent="0.25">
      <c r="A95" s="41" t="str">
        <f>IF(B95="","",MAX($A$8:A94)+1)</f>
        <v/>
      </c>
      <c r="B95" s="51"/>
      <c r="C95" s="42" t="str">
        <f t="shared" si="8"/>
        <v/>
      </c>
      <c r="D95" s="52"/>
      <c r="E95" s="43" t="str">
        <f t="shared" si="9"/>
        <v/>
      </c>
      <c r="F95" s="52"/>
      <c r="G95" s="44" t="str">
        <f>IFERROR(INDEX(Projekt_Tabelle,MATCH(F95,Stammdaten!$B$39:$B$53,0),2)&amp;" — "&amp;INDEX(Projekt_Tabelle,MATCH(F95,Stammdaten!$B$39:$B$53,0),3),"")</f>
        <v/>
      </c>
      <c r="H95" s="52"/>
      <c r="I95" s="53"/>
      <c r="J95" s="53"/>
      <c r="K95" s="54"/>
      <c r="L95" s="47" t="str">
        <f t="shared" si="12"/>
        <v/>
      </c>
      <c r="M95" s="48" t="str">
        <f>IFERROR(VLOOKUP(F95,Stammdaten!$B$39:$F$53,5,FALSE()),"")</f>
        <v/>
      </c>
      <c r="N95" s="49" t="str">
        <f t="shared" si="13"/>
        <v/>
      </c>
      <c r="O95" s="52"/>
      <c r="P95" s="52"/>
    </row>
    <row r="96" spans="1:16" ht="21.75" customHeight="1" x14ac:dyDescent="0.25">
      <c r="A96" s="41" t="str">
        <f>IF(B96="","",MAX($A$8:A95)+1)</f>
        <v/>
      </c>
      <c r="B96" s="51"/>
      <c r="C96" s="42" t="str">
        <f t="shared" si="8"/>
        <v/>
      </c>
      <c r="D96" s="52"/>
      <c r="E96" s="43" t="str">
        <f t="shared" si="9"/>
        <v/>
      </c>
      <c r="F96" s="52"/>
      <c r="G96" s="44" t="str">
        <f>IFERROR(INDEX(Projekt_Tabelle,MATCH(F96,Stammdaten!$B$39:$B$53,0),2)&amp;" — "&amp;INDEX(Projekt_Tabelle,MATCH(F96,Stammdaten!$B$39:$B$53,0),3),"")</f>
        <v/>
      </c>
      <c r="H96" s="52"/>
      <c r="I96" s="53"/>
      <c r="J96" s="53"/>
      <c r="K96" s="54"/>
      <c r="L96" s="47" t="str">
        <f t="shared" si="12"/>
        <v/>
      </c>
      <c r="M96" s="48" t="str">
        <f>IFERROR(VLOOKUP(F96,Stammdaten!$B$39:$F$53,5,FALSE()),"")</f>
        <v/>
      </c>
      <c r="N96" s="49" t="str">
        <f t="shared" si="13"/>
        <v/>
      </c>
      <c r="O96" s="52"/>
      <c r="P96" s="52"/>
    </row>
    <row r="97" spans="1:16" ht="21.75" customHeight="1" x14ac:dyDescent="0.25">
      <c r="A97" s="41" t="str">
        <f>IF(B97="","",MAX($A$8:A96)+1)</f>
        <v/>
      </c>
      <c r="B97" s="51"/>
      <c r="C97" s="42" t="str">
        <f t="shared" si="8"/>
        <v/>
      </c>
      <c r="D97" s="52"/>
      <c r="E97" s="43" t="str">
        <f t="shared" si="9"/>
        <v/>
      </c>
      <c r="F97" s="52"/>
      <c r="G97" s="44" t="str">
        <f>IFERROR(INDEX(Projekt_Tabelle,MATCH(F97,Stammdaten!$B$39:$B$53,0),2)&amp;" — "&amp;INDEX(Projekt_Tabelle,MATCH(F97,Stammdaten!$B$39:$B$53,0),3),"")</f>
        <v/>
      </c>
      <c r="H97" s="52"/>
      <c r="I97" s="53"/>
      <c r="J97" s="53"/>
      <c r="K97" s="54"/>
      <c r="L97" s="47" t="str">
        <f t="shared" si="12"/>
        <v/>
      </c>
      <c r="M97" s="48" t="str">
        <f>IFERROR(VLOOKUP(F97,Stammdaten!$B$39:$F$53,5,FALSE()),"")</f>
        <v/>
      </c>
      <c r="N97" s="49" t="str">
        <f t="shared" si="13"/>
        <v/>
      </c>
      <c r="O97" s="52"/>
      <c r="P97" s="52"/>
    </row>
    <row r="98" spans="1:16" ht="21.75" customHeight="1" x14ac:dyDescent="0.25">
      <c r="A98" s="41" t="str">
        <f>IF(B98="","",MAX($A$8:A97)+1)</f>
        <v/>
      </c>
      <c r="B98" s="51"/>
      <c r="C98" s="42" t="str">
        <f t="shared" si="8"/>
        <v/>
      </c>
      <c r="D98" s="52"/>
      <c r="E98" s="43" t="str">
        <f t="shared" si="9"/>
        <v/>
      </c>
      <c r="F98" s="52"/>
      <c r="G98" s="44" t="str">
        <f>IFERROR(INDEX(Projekt_Tabelle,MATCH(F98,Stammdaten!$B$39:$B$53,0),2)&amp;" — "&amp;INDEX(Projekt_Tabelle,MATCH(F98,Stammdaten!$B$39:$B$53,0),3),"")</f>
        <v/>
      </c>
      <c r="H98" s="52"/>
      <c r="I98" s="53"/>
      <c r="J98" s="53"/>
      <c r="K98" s="54"/>
      <c r="L98" s="47" t="str">
        <f t="shared" si="12"/>
        <v/>
      </c>
      <c r="M98" s="48" t="str">
        <f>IFERROR(VLOOKUP(F98,Stammdaten!$B$39:$F$53,5,FALSE()),"")</f>
        <v/>
      </c>
      <c r="N98" s="49" t="str">
        <f t="shared" si="13"/>
        <v/>
      </c>
      <c r="O98" s="52"/>
      <c r="P98" s="52"/>
    </row>
    <row r="99" spans="1:16" ht="21.75" customHeight="1" x14ac:dyDescent="0.25">
      <c r="A99" s="41" t="str">
        <f>IF(B99="","",MAX($A$8:A98)+1)</f>
        <v/>
      </c>
      <c r="B99" s="51"/>
      <c r="C99" s="42" t="str">
        <f t="shared" si="8"/>
        <v/>
      </c>
      <c r="D99" s="52"/>
      <c r="E99" s="43" t="str">
        <f t="shared" si="9"/>
        <v/>
      </c>
      <c r="F99" s="52"/>
      <c r="G99" s="44" t="str">
        <f>IFERROR(INDEX(Projekt_Tabelle,MATCH(F99,Stammdaten!$B$39:$B$53,0),2)&amp;" — "&amp;INDEX(Projekt_Tabelle,MATCH(F99,Stammdaten!$B$39:$B$53,0),3),"")</f>
        <v/>
      </c>
      <c r="H99" s="52"/>
      <c r="I99" s="53"/>
      <c r="J99" s="53"/>
      <c r="K99" s="54"/>
      <c r="L99" s="47" t="str">
        <f t="shared" si="12"/>
        <v/>
      </c>
      <c r="M99" s="48" t="str">
        <f>IFERROR(VLOOKUP(F99,Stammdaten!$B$39:$F$53,5,FALSE()),"")</f>
        <v/>
      </c>
      <c r="N99" s="49" t="str">
        <f t="shared" si="13"/>
        <v/>
      </c>
      <c r="O99" s="52"/>
      <c r="P99" s="52"/>
    </row>
    <row r="100" spans="1:16" ht="21.75" customHeight="1" x14ac:dyDescent="0.25">
      <c r="A100" s="41" t="str">
        <f>IF(B100="","",MAX($A$8:A99)+1)</f>
        <v/>
      </c>
      <c r="B100" s="51"/>
      <c r="C100" s="42" t="str">
        <f t="shared" si="8"/>
        <v/>
      </c>
      <c r="D100" s="52"/>
      <c r="E100" s="43" t="str">
        <f t="shared" si="9"/>
        <v/>
      </c>
      <c r="F100" s="52"/>
      <c r="G100" s="44" t="str">
        <f>IFERROR(INDEX(Projekt_Tabelle,MATCH(F100,Stammdaten!$B$39:$B$53,0),2)&amp;" — "&amp;INDEX(Projekt_Tabelle,MATCH(F100,Stammdaten!$B$39:$B$53,0),3),"")</f>
        <v/>
      </c>
      <c r="H100" s="52"/>
      <c r="I100" s="53"/>
      <c r="J100" s="53"/>
      <c r="K100" s="54"/>
      <c r="L100" s="47" t="str">
        <f t="shared" si="12"/>
        <v/>
      </c>
      <c r="M100" s="48" t="str">
        <f>IFERROR(VLOOKUP(F100,Stammdaten!$B$39:$F$53,5,FALSE()),"")</f>
        <v/>
      </c>
      <c r="N100" s="49" t="str">
        <f t="shared" si="13"/>
        <v/>
      </c>
      <c r="O100" s="52"/>
      <c r="P100" s="52"/>
    </row>
    <row r="101" spans="1:16" ht="21.75" customHeight="1" x14ac:dyDescent="0.25">
      <c r="A101" s="41" t="str">
        <f>IF(B101="","",MAX($A$8:A100)+1)</f>
        <v/>
      </c>
      <c r="B101" s="51"/>
      <c r="C101" s="42" t="str">
        <f t="shared" si="8"/>
        <v/>
      </c>
      <c r="D101" s="52"/>
      <c r="E101" s="43" t="str">
        <f t="shared" si="9"/>
        <v/>
      </c>
      <c r="F101" s="52"/>
      <c r="G101" s="44" t="str">
        <f>IFERROR(INDEX(Projekt_Tabelle,MATCH(F101,Stammdaten!$B$39:$B$53,0),2)&amp;" — "&amp;INDEX(Projekt_Tabelle,MATCH(F101,Stammdaten!$B$39:$B$53,0),3),"")</f>
        <v/>
      </c>
      <c r="H101" s="52"/>
      <c r="I101" s="53"/>
      <c r="J101" s="53"/>
      <c r="K101" s="54"/>
      <c r="L101" s="47" t="str">
        <f t="shared" si="12"/>
        <v/>
      </c>
      <c r="M101" s="48" t="str">
        <f>IFERROR(VLOOKUP(F101,Stammdaten!$B$39:$F$53,5,FALSE()),"")</f>
        <v/>
      </c>
      <c r="N101" s="49" t="str">
        <f t="shared" si="13"/>
        <v/>
      </c>
      <c r="O101" s="52"/>
      <c r="P101" s="52"/>
    </row>
    <row r="102" spans="1:16" ht="21.75" customHeight="1" x14ac:dyDescent="0.25">
      <c r="A102" s="41" t="str">
        <f>IF(B102="","",MAX($A$8:A101)+1)</f>
        <v/>
      </c>
      <c r="B102" s="51"/>
      <c r="C102" s="42" t="str">
        <f t="shared" si="8"/>
        <v/>
      </c>
      <c r="D102" s="52"/>
      <c r="E102" s="43" t="str">
        <f t="shared" si="9"/>
        <v/>
      </c>
      <c r="F102" s="52"/>
      <c r="G102" s="44" t="str">
        <f>IFERROR(INDEX(Projekt_Tabelle,MATCH(F102,Stammdaten!$B$39:$B$53,0),2)&amp;" — "&amp;INDEX(Projekt_Tabelle,MATCH(F102,Stammdaten!$B$39:$B$53,0),3),"")</f>
        <v/>
      </c>
      <c r="H102" s="52"/>
      <c r="I102" s="53"/>
      <c r="J102" s="53"/>
      <c r="K102" s="54"/>
      <c r="L102" s="47" t="str">
        <f t="shared" si="12"/>
        <v/>
      </c>
      <c r="M102" s="48" t="str">
        <f>IFERROR(VLOOKUP(F102,Stammdaten!$B$39:$F$53,5,FALSE()),"")</f>
        <v/>
      </c>
      <c r="N102" s="49" t="str">
        <f t="shared" si="13"/>
        <v/>
      </c>
      <c r="O102" s="52"/>
      <c r="P102" s="52"/>
    </row>
    <row r="103" spans="1:16" ht="21.75" customHeight="1" x14ac:dyDescent="0.25">
      <c r="A103" s="41" t="str">
        <f>IF(B103="","",MAX($A$8:A102)+1)</f>
        <v/>
      </c>
      <c r="B103" s="51"/>
      <c r="C103" s="42" t="str">
        <f t="shared" si="8"/>
        <v/>
      </c>
      <c r="D103" s="52"/>
      <c r="E103" s="43" t="str">
        <f t="shared" si="9"/>
        <v/>
      </c>
      <c r="F103" s="52"/>
      <c r="G103" s="44" t="str">
        <f>IFERROR(INDEX(Projekt_Tabelle,MATCH(F103,Stammdaten!$B$39:$B$53,0),2)&amp;" — "&amp;INDEX(Projekt_Tabelle,MATCH(F103,Stammdaten!$B$39:$B$53,0),3),"")</f>
        <v/>
      </c>
      <c r="H103" s="52"/>
      <c r="I103" s="53"/>
      <c r="J103" s="53"/>
      <c r="K103" s="54"/>
      <c r="L103" s="47" t="str">
        <f t="shared" si="12"/>
        <v/>
      </c>
      <c r="M103" s="48" t="str">
        <f>IFERROR(VLOOKUP(F103,Stammdaten!$B$39:$F$53,5,FALSE()),"")</f>
        <v/>
      </c>
      <c r="N103" s="49" t="str">
        <f t="shared" si="13"/>
        <v/>
      </c>
      <c r="O103" s="52"/>
      <c r="P103" s="52"/>
    </row>
    <row r="104" spans="1:16" ht="21.75" customHeight="1" x14ac:dyDescent="0.25">
      <c r="A104" s="41" t="str">
        <f>IF(B104="","",MAX($A$8:A103)+1)</f>
        <v/>
      </c>
      <c r="B104" s="51"/>
      <c r="C104" s="42" t="str">
        <f t="shared" ref="C104:C135" si="14">IF(B104="","",CHOOSE(WEEKDAY(B104,2),"Mo","Di","Mi","Do","Fr","Sa","So"))</f>
        <v/>
      </c>
      <c r="D104" s="52"/>
      <c r="E104" s="43" t="str">
        <f t="shared" ref="E104:E135" si="15">IFERROR(VLOOKUP(D104,Mitarbeiter_Tabelle,2,FALSE()),"")</f>
        <v/>
      </c>
      <c r="F104" s="52"/>
      <c r="G104" s="44" t="str">
        <f>IFERROR(INDEX(Projekt_Tabelle,MATCH(F104,Stammdaten!$B$39:$B$53,0),2)&amp;" — "&amp;INDEX(Projekt_Tabelle,MATCH(F104,Stammdaten!$B$39:$B$53,0),3),"")</f>
        <v/>
      </c>
      <c r="H104" s="52"/>
      <c r="I104" s="53"/>
      <c r="J104" s="53"/>
      <c r="K104" s="54"/>
      <c r="L104" s="47" t="str">
        <f t="shared" si="12"/>
        <v/>
      </c>
      <c r="M104" s="48" t="str">
        <f>IFERROR(VLOOKUP(F104,Stammdaten!$B$39:$F$53,5,FALSE()),"")</f>
        <v/>
      </c>
      <c r="N104" s="49" t="str">
        <f t="shared" si="13"/>
        <v/>
      </c>
      <c r="O104" s="52"/>
      <c r="P104" s="52"/>
    </row>
    <row r="105" spans="1:16" ht="21.75" customHeight="1" x14ac:dyDescent="0.25">
      <c r="A105" s="41" t="str">
        <f>IF(B105="","",MAX($A$8:A104)+1)</f>
        <v/>
      </c>
      <c r="B105" s="51"/>
      <c r="C105" s="42" t="str">
        <f t="shared" si="14"/>
        <v/>
      </c>
      <c r="D105" s="52"/>
      <c r="E105" s="43" t="str">
        <f t="shared" si="15"/>
        <v/>
      </c>
      <c r="F105" s="52"/>
      <c r="G105" s="44" t="str">
        <f>IFERROR(INDEX(Projekt_Tabelle,MATCH(F105,Stammdaten!$B$39:$B$53,0),2)&amp;" — "&amp;INDEX(Projekt_Tabelle,MATCH(F105,Stammdaten!$B$39:$B$53,0),3),"")</f>
        <v/>
      </c>
      <c r="H105" s="52"/>
      <c r="I105" s="53"/>
      <c r="J105" s="53"/>
      <c r="K105" s="54"/>
      <c r="L105" s="47" t="str">
        <f t="shared" si="12"/>
        <v/>
      </c>
      <c r="M105" s="48" t="str">
        <f>IFERROR(VLOOKUP(F105,Stammdaten!$B$39:$F$53,5,FALSE()),"")</f>
        <v/>
      </c>
      <c r="N105" s="49" t="str">
        <f t="shared" si="13"/>
        <v/>
      </c>
      <c r="O105" s="52"/>
      <c r="P105" s="52"/>
    </row>
    <row r="106" spans="1:16" ht="21.75" customHeight="1" x14ac:dyDescent="0.25">
      <c r="A106" s="41" t="str">
        <f>IF(B106="","",MAX($A$8:A105)+1)</f>
        <v/>
      </c>
      <c r="B106" s="51"/>
      <c r="C106" s="42" t="str">
        <f t="shared" si="14"/>
        <v/>
      </c>
      <c r="D106" s="52"/>
      <c r="E106" s="43" t="str">
        <f t="shared" si="15"/>
        <v/>
      </c>
      <c r="F106" s="52"/>
      <c r="G106" s="44" t="str">
        <f>IFERROR(INDEX(Projekt_Tabelle,MATCH(F106,Stammdaten!$B$39:$B$53,0),2)&amp;" — "&amp;INDEX(Projekt_Tabelle,MATCH(F106,Stammdaten!$B$39:$B$53,0),3),"")</f>
        <v/>
      </c>
      <c r="H106" s="52"/>
      <c r="I106" s="53"/>
      <c r="J106" s="53"/>
      <c r="K106" s="54"/>
      <c r="L106" s="47" t="str">
        <f t="shared" si="12"/>
        <v/>
      </c>
      <c r="M106" s="48" t="str">
        <f>IFERROR(VLOOKUP(F106,Stammdaten!$B$39:$F$53,5,FALSE()),"")</f>
        <v/>
      </c>
      <c r="N106" s="49" t="str">
        <f t="shared" si="13"/>
        <v/>
      </c>
      <c r="O106" s="52"/>
      <c r="P106" s="52"/>
    </row>
    <row r="107" spans="1:16" ht="21.75" customHeight="1" x14ac:dyDescent="0.25">
      <c r="A107" s="41" t="str">
        <f>IF(B107="","",MAX($A$8:A106)+1)</f>
        <v/>
      </c>
      <c r="B107" s="51"/>
      <c r="C107" s="42" t="str">
        <f t="shared" si="14"/>
        <v/>
      </c>
      <c r="D107" s="52"/>
      <c r="E107" s="43" t="str">
        <f t="shared" si="15"/>
        <v/>
      </c>
      <c r="F107" s="52"/>
      <c r="G107" s="44" t="str">
        <f>IFERROR(INDEX(Projekt_Tabelle,MATCH(F107,Stammdaten!$B$39:$B$53,0),2)&amp;" — "&amp;INDEX(Projekt_Tabelle,MATCH(F107,Stammdaten!$B$39:$B$53,0),3),"")</f>
        <v/>
      </c>
      <c r="H107" s="52"/>
      <c r="I107" s="53"/>
      <c r="J107" s="53"/>
      <c r="K107" s="54"/>
      <c r="L107" s="47" t="str">
        <f t="shared" si="12"/>
        <v/>
      </c>
      <c r="M107" s="48" t="str">
        <f>IFERROR(VLOOKUP(F107,Stammdaten!$B$39:$F$53,5,FALSE()),"")</f>
        <v/>
      </c>
      <c r="N107" s="49" t="str">
        <f t="shared" si="13"/>
        <v/>
      </c>
      <c r="O107" s="52"/>
      <c r="P107" s="52"/>
    </row>
    <row r="108" spans="1:16" ht="21.75" customHeight="1" x14ac:dyDescent="0.25">
      <c r="A108" s="41" t="str">
        <f>IF(B108="","",MAX($A$8:A107)+1)</f>
        <v/>
      </c>
      <c r="B108" s="51"/>
      <c r="C108" s="42" t="str">
        <f t="shared" si="14"/>
        <v/>
      </c>
      <c r="D108" s="52"/>
      <c r="E108" s="43" t="str">
        <f t="shared" si="15"/>
        <v/>
      </c>
      <c r="F108" s="52"/>
      <c r="G108" s="44" t="str">
        <f>IFERROR(INDEX(Projekt_Tabelle,MATCH(F108,Stammdaten!$B$39:$B$53,0),2)&amp;" — "&amp;INDEX(Projekt_Tabelle,MATCH(F108,Stammdaten!$B$39:$B$53,0),3),"")</f>
        <v/>
      </c>
      <c r="H108" s="52"/>
      <c r="I108" s="53"/>
      <c r="J108" s="53"/>
      <c r="K108" s="54"/>
      <c r="L108" s="47" t="str">
        <f t="shared" ref="L108:L139" si="16">IF(D108="","",IF(OR(O108="Urlaub",O108="Krank",O108="Feiertag"),Soll_Tag,IF(OR(I108="",J108=""),0,MAX(0,(J108-I108)*24-IF(K108="",0,K108)/60))))</f>
        <v/>
      </c>
      <c r="M108" s="48" t="str">
        <f>IFERROR(VLOOKUP(F108,Stammdaten!$B$39:$F$53,5,FALSE()),"")</f>
        <v/>
      </c>
      <c r="N108" s="49" t="str">
        <f t="shared" ref="N108:N139" si="17">IF(OR(L108="",M108=""),"",L108*M108)</f>
        <v/>
      </c>
      <c r="O108" s="52"/>
      <c r="P108" s="52"/>
    </row>
    <row r="109" spans="1:16" ht="21.75" customHeight="1" x14ac:dyDescent="0.25">
      <c r="A109" s="41" t="str">
        <f>IF(B109="","",MAX($A$8:A108)+1)</f>
        <v/>
      </c>
      <c r="B109" s="51"/>
      <c r="C109" s="42" t="str">
        <f t="shared" si="14"/>
        <v/>
      </c>
      <c r="D109" s="52"/>
      <c r="E109" s="43" t="str">
        <f t="shared" si="15"/>
        <v/>
      </c>
      <c r="F109" s="52"/>
      <c r="G109" s="44" t="str">
        <f>IFERROR(INDEX(Projekt_Tabelle,MATCH(F109,Stammdaten!$B$39:$B$53,0),2)&amp;" — "&amp;INDEX(Projekt_Tabelle,MATCH(F109,Stammdaten!$B$39:$B$53,0),3),"")</f>
        <v/>
      </c>
      <c r="H109" s="52"/>
      <c r="I109" s="53"/>
      <c r="J109" s="53"/>
      <c r="K109" s="54"/>
      <c r="L109" s="47" t="str">
        <f t="shared" si="16"/>
        <v/>
      </c>
      <c r="M109" s="48" t="str">
        <f>IFERROR(VLOOKUP(F109,Stammdaten!$B$39:$F$53,5,FALSE()),"")</f>
        <v/>
      </c>
      <c r="N109" s="49" t="str">
        <f t="shared" si="17"/>
        <v/>
      </c>
      <c r="O109" s="52"/>
      <c r="P109" s="52"/>
    </row>
    <row r="110" spans="1:16" ht="21.75" customHeight="1" x14ac:dyDescent="0.25">
      <c r="A110" s="41" t="str">
        <f>IF(B110="","",MAX($A$8:A109)+1)</f>
        <v/>
      </c>
      <c r="B110" s="51"/>
      <c r="C110" s="42" t="str">
        <f t="shared" si="14"/>
        <v/>
      </c>
      <c r="D110" s="52"/>
      <c r="E110" s="43" t="str">
        <f t="shared" si="15"/>
        <v/>
      </c>
      <c r="F110" s="52"/>
      <c r="G110" s="44" t="str">
        <f>IFERROR(INDEX(Projekt_Tabelle,MATCH(F110,Stammdaten!$B$39:$B$53,0),2)&amp;" — "&amp;INDEX(Projekt_Tabelle,MATCH(F110,Stammdaten!$B$39:$B$53,0),3),"")</f>
        <v/>
      </c>
      <c r="H110" s="52"/>
      <c r="I110" s="53"/>
      <c r="J110" s="53"/>
      <c r="K110" s="54"/>
      <c r="L110" s="47" t="str">
        <f t="shared" si="16"/>
        <v/>
      </c>
      <c r="M110" s="48" t="str">
        <f>IFERROR(VLOOKUP(F110,Stammdaten!$B$39:$F$53,5,FALSE()),"")</f>
        <v/>
      </c>
      <c r="N110" s="49" t="str">
        <f t="shared" si="17"/>
        <v/>
      </c>
      <c r="O110" s="52"/>
      <c r="P110" s="52"/>
    </row>
    <row r="111" spans="1:16" ht="21.75" customHeight="1" x14ac:dyDescent="0.25">
      <c r="A111" s="41" t="str">
        <f>IF(B111="","",MAX($A$8:A110)+1)</f>
        <v/>
      </c>
      <c r="B111" s="51"/>
      <c r="C111" s="42" t="str">
        <f t="shared" si="14"/>
        <v/>
      </c>
      <c r="D111" s="52"/>
      <c r="E111" s="43" t="str">
        <f t="shared" si="15"/>
        <v/>
      </c>
      <c r="F111" s="52"/>
      <c r="G111" s="44" t="str">
        <f>IFERROR(INDEX(Projekt_Tabelle,MATCH(F111,Stammdaten!$B$39:$B$53,0),2)&amp;" — "&amp;INDEX(Projekt_Tabelle,MATCH(F111,Stammdaten!$B$39:$B$53,0),3),"")</f>
        <v/>
      </c>
      <c r="H111" s="52"/>
      <c r="I111" s="53"/>
      <c r="J111" s="53"/>
      <c r="K111" s="54"/>
      <c r="L111" s="47" t="str">
        <f t="shared" si="16"/>
        <v/>
      </c>
      <c r="M111" s="48" t="str">
        <f>IFERROR(VLOOKUP(F111,Stammdaten!$B$39:$F$53,5,FALSE()),"")</f>
        <v/>
      </c>
      <c r="N111" s="49" t="str">
        <f t="shared" si="17"/>
        <v/>
      </c>
      <c r="O111" s="52"/>
      <c r="P111" s="52"/>
    </row>
    <row r="112" spans="1:16" ht="21.75" customHeight="1" x14ac:dyDescent="0.25">
      <c r="A112" s="41" t="str">
        <f>IF(B112="","",MAX($A$8:A111)+1)</f>
        <v/>
      </c>
      <c r="B112" s="51"/>
      <c r="C112" s="42" t="str">
        <f t="shared" si="14"/>
        <v/>
      </c>
      <c r="D112" s="52"/>
      <c r="E112" s="43" t="str">
        <f t="shared" si="15"/>
        <v/>
      </c>
      <c r="F112" s="52"/>
      <c r="G112" s="44" t="str">
        <f>IFERROR(INDEX(Projekt_Tabelle,MATCH(F112,Stammdaten!$B$39:$B$53,0),2)&amp;" — "&amp;INDEX(Projekt_Tabelle,MATCH(F112,Stammdaten!$B$39:$B$53,0),3),"")</f>
        <v/>
      </c>
      <c r="H112" s="52"/>
      <c r="I112" s="53"/>
      <c r="J112" s="53"/>
      <c r="K112" s="54"/>
      <c r="L112" s="47" t="str">
        <f t="shared" si="16"/>
        <v/>
      </c>
      <c r="M112" s="48" t="str">
        <f>IFERROR(VLOOKUP(F112,Stammdaten!$B$39:$F$53,5,FALSE()),"")</f>
        <v/>
      </c>
      <c r="N112" s="49" t="str">
        <f t="shared" si="17"/>
        <v/>
      </c>
      <c r="O112" s="52"/>
      <c r="P112" s="52"/>
    </row>
    <row r="113" spans="1:16" ht="21.75" customHeight="1" x14ac:dyDescent="0.25">
      <c r="A113" s="41" t="str">
        <f>IF(B113="","",MAX($A$8:A112)+1)</f>
        <v/>
      </c>
      <c r="B113" s="51"/>
      <c r="C113" s="42" t="str">
        <f t="shared" si="14"/>
        <v/>
      </c>
      <c r="D113" s="52"/>
      <c r="E113" s="43" t="str">
        <f t="shared" si="15"/>
        <v/>
      </c>
      <c r="F113" s="52"/>
      <c r="G113" s="44" t="str">
        <f>IFERROR(INDEX(Projekt_Tabelle,MATCH(F113,Stammdaten!$B$39:$B$53,0),2)&amp;" — "&amp;INDEX(Projekt_Tabelle,MATCH(F113,Stammdaten!$B$39:$B$53,0),3),"")</f>
        <v/>
      </c>
      <c r="H113" s="52"/>
      <c r="I113" s="53"/>
      <c r="J113" s="53"/>
      <c r="K113" s="54"/>
      <c r="L113" s="47" t="str">
        <f t="shared" si="16"/>
        <v/>
      </c>
      <c r="M113" s="48" t="str">
        <f>IFERROR(VLOOKUP(F113,Stammdaten!$B$39:$F$53,5,FALSE()),"")</f>
        <v/>
      </c>
      <c r="N113" s="49" t="str">
        <f t="shared" si="17"/>
        <v/>
      </c>
      <c r="O113" s="52"/>
      <c r="P113" s="52"/>
    </row>
    <row r="114" spans="1:16" ht="21.75" customHeight="1" x14ac:dyDescent="0.25">
      <c r="A114" s="41" t="str">
        <f>IF(B114="","",MAX($A$8:A113)+1)</f>
        <v/>
      </c>
      <c r="B114" s="51"/>
      <c r="C114" s="42" t="str">
        <f t="shared" si="14"/>
        <v/>
      </c>
      <c r="D114" s="52"/>
      <c r="E114" s="43" t="str">
        <f t="shared" si="15"/>
        <v/>
      </c>
      <c r="F114" s="52"/>
      <c r="G114" s="44" t="str">
        <f>IFERROR(INDEX(Projekt_Tabelle,MATCH(F114,Stammdaten!$B$39:$B$53,0),2)&amp;" — "&amp;INDEX(Projekt_Tabelle,MATCH(F114,Stammdaten!$B$39:$B$53,0),3),"")</f>
        <v/>
      </c>
      <c r="H114" s="52"/>
      <c r="I114" s="53"/>
      <c r="J114" s="53"/>
      <c r="K114" s="54"/>
      <c r="L114" s="47" t="str">
        <f t="shared" si="16"/>
        <v/>
      </c>
      <c r="M114" s="48" t="str">
        <f>IFERROR(VLOOKUP(F114,Stammdaten!$B$39:$F$53,5,FALSE()),"")</f>
        <v/>
      </c>
      <c r="N114" s="49" t="str">
        <f t="shared" si="17"/>
        <v/>
      </c>
      <c r="O114" s="52"/>
      <c r="P114" s="52"/>
    </row>
    <row r="115" spans="1:16" ht="21.75" customHeight="1" x14ac:dyDescent="0.25">
      <c r="A115" s="41" t="str">
        <f>IF(B115="","",MAX($A$8:A114)+1)</f>
        <v/>
      </c>
      <c r="B115" s="51"/>
      <c r="C115" s="42" t="str">
        <f t="shared" si="14"/>
        <v/>
      </c>
      <c r="D115" s="52"/>
      <c r="E115" s="43" t="str">
        <f t="shared" si="15"/>
        <v/>
      </c>
      <c r="F115" s="52"/>
      <c r="G115" s="44" t="str">
        <f>IFERROR(INDEX(Projekt_Tabelle,MATCH(F115,Stammdaten!$B$39:$B$53,0),2)&amp;" — "&amp;INDEX(Projekt_Tabelle,MATCH(F115,Stammdaten!$B$39:$B$53,0),3),"")</f>
        <v/>
      </c>
      <c r="H115" s="52"/>
      <c r="I115" s="53"/>
      <c r="J115" s="53"/>
      <c r="K115" s="54"/>
      <c r="L115" s="47" t="str">
        <f t="shared" si="16"/>
        <v/>
      </c>
      <c r="M115" s="48" t="str">
        <f>IFERROR(VLOOKUP(F115,Stammdaten!$B$39:$F$53,5,FALSE()),"")</f>
        <v/>
      </c>
      <c r="N115" s="49" t="str">
        <f t="shared" si="17"/>
        <v/>
      </c>
      <c r="O115" s="52"/>
      <c r="P115" s="52"/>
    </row>
    <row r="116" spans="1:16" ht="21.75" customHeight="1" x14ac:dyDescent="0.25">
      <c r="A116" s="41" t="str">
        <f>IF(B116="","",MAX($A$8:A115)+1)</f>
        <v/>
      </c>
      <c r="B116" s="51"/>
      <c r="C116" s="42" t="str">
        <f t="shared" si="14"/>
        <v/>
      </c>
      <c r="D116" s="52"/>
      <c r="E116" s="43" t="str">
        <f t="shared" si="15"/>
        <v/>
      </c>
      <c r="F116" s="52"/>
      <c r="G116" s="44" t="str">
        <f>IFERROR(INDEX(Projekt_Tabelle,MATCH(F116,Stammdaten!$B$39:$B$53,0),2)&amp;" — "&amp;INDEX(Projekt_Tabelle,MATCH(F116,Stammdaten!$B$39:$B$53,0),3),"")</f>
        <v/>
      </c>
      <c r="H116" s="52"/>
      <c r="I116" s="53"/>
      <c r="J116" s="53"/>
      <c r="K116" s="54"/>
      <c r="L116" s="47" t="str">
        <f t="shared" si="16"/>
        <v/>
      </c>
      <c r="M116" s="48" t="str">
        <f>IFERROR(VLOOKUP(F116,Stammdaten!$B$39:$F$53,5,FALSE()),"")</f>
        <v/>
      </c>
      <c r="N116" s="49" t="str">
        <f t="shared" si="17"/>
        <v/>
      </c>
      <c r="O116" s="52"/>
      <c r="P116" s="52"/>
    </row>
    <row r="117" spans="1:16" ht="21.75" customHeight="1" x14ac:dyDescent="0.25">
      <c r="A117" s="41" t="str">
        <f>IF(B117="","",MAX($A$8:A116)+1)</f>
        <v/>
      </c>
      <c r="B117" s="51"/>
      <c r="C117" s="42" t="str">
        <f t="shared" si="14"/>
        <v/>
      </c>
      <c r="D117" s="52"/>
      <c r="E117" s="43" t="str">
        <f t="shared" si="15"/>
        <v/>
      </c>
      <c r="F117" s="52"/>
      <c r="G117" s="44" t="str">
        <f>IFERROR(INDEX(Projekt_Tabelle,MATCH(F117,Stammdaten!$B$39:$B$53,0),2)&amp;" — "&amp;INDEX(Projekt_Tabelle,MATCH(F117,Stammdaten!$B$39:$B$53,0),3),"")</f>
        <v/>
      </c>
      <c r="H117" s="52"/>
      <c r="I117" s="53"/>
      <c r="J117" s="53"/>
      <c r="K117" s="54"/>
      <c r="L117" s="47" t="str">
        <f t="shared" si="16"/>
        <v/>
      </c>
      <c r="M117" s="48" t="str">
        <f>IFERROR(VLOOKUP(F117,Stammdaten!$B$39:$F$53,5,FALSE()),"")</f>
        <v/>
      </c>
      <c r="N117" s="49" t="str">
        <f t="shared" si="17"/>
        <v/>
      </c>
      <c r="O117" s="52"/>
      <c r="P117" s="52"/>
    </row>
    <row r="118" spans="1:16" ht="21.75" customHeight="1" x14ac:dyDescent="0.25">
      <c r="A118" s="41" t="str">
        <f>IF(B118="","",MAX($A$8:A117)+1)</f>
        <v/>
      </c>
      <c r="B118" s="51"/>
      <c r="C118" s="42" t="str">
        <f t="shared" si="14"/>
        <v/>
      </c>
      <c r="D118" s="52"/>
      <c r="E118" s="43" t="str">
        <f t="shared" si="15"/>
        <v/>
      </c>
      <c r="F118" s="52"/>
      <c r="G118" s="44" t="str">
        <f>IFERROR(INDEX(Projekt_Tabelle,MATCH(F118,Stammdaten!$B$39:$B$53,0),2)&amp;" — "&amp;INDEX(Projekt_Tabelle,MATCH(F118,Stammdaten!$B$39:$B$53,0),3),"")</f>
        <v/>
      </c>
      <c r="H118" s="52"/>
      <c r="I118" s="53"/>
      <c r="J118" s="53"/>
      <c r="K118" s="54"/>
      <c r="L118" s="47" t="str">
        <f t="shared" si="16"/>
        <v/>
      </c>
      <c r="M118" s="48" t="str">
        <f>IFERROR(VLOOKUP(F118,Stammdaten!$B$39:$F$53,5,FALSE()),"")</f>
        <v/>
      </c>
      <c r="N118" s="49" t="str">
        <f t="shared" si="17"/>
        <v/>
      </c>
      <c r="O118" s="52"/>
      <c r="P118" s="52"/>
    </row>
    <row r="119" spans="1:16" ht="21.75" customHeight="1" x14ac:dyDescent="0.25">
      <c r="A119" s="41" t="str">
        <f>IF(B119="","",MAX($A$8:A118)+1)</f>
        <v/>
      </c>
      <c r="B119" s="51"/>
      <c r="C119" s="42" t="str">
        <f t="shared" si="14"/>
        <v/>
      </c>
      <c r="D119" s="52"/>
      <c r="E119" s="43" t="str">
        <f t="shared" si="15"/>
        <v/>
      </c>
      <c r="F119" s="52"/>
      <c r="G119" s="44" t="str">
        <f>IFERROR(INDEX(Projekt_Tabelle,MATCH(F119,Stammdaten!$B$39:$B$53,0),2)&amp;" — "&amp;INDEX(Projekt_Tabelle,MATCH(F119,Stammdaten!$B$39:$B$53,0),3),"")</f>
        <v/>
      </c>
      <c r="H119" s="52"/>
      <c r="I119" s="53"/>
      <c r="J119" s="53"/>
      <c r="K119" s="54"/>
      <c r="L119" s="47" t="str">
        <f t="shared" si="16"/>
        <v/>
      </c>
      <c r="M119" s="48" t="str">
        <f>IFERROR(VLOOKUP(F119,Stammdaten!$B$39:$F$53,5,FALSE()),"")</f>
        <v/>
      </c>
      <c r="N119" s="49" t="str">
        <f t="shared" si="17"/>
        <v/>
      </c>
      <c r="O119" s="52"/>
      <c r="P119" s="52"/>
    </row>
    <row r="120" spans="1:16" ht="21.75" customHeight="1" x14ac:dyDescent="0.25">
      <c r="A120" s="41" t="str">
        <f>IF(B120="","",MAX($A$8:A119)+1)</f>
        <v/>
      </c>
      <c r="B120" s="51"/>
      <c r="C120" s="42" t="str">
        <f t="shared" si="14"/>
        <v/>
      </c>
      <c r="D120" s="52"/>
      <c r="E120" s="43" t="str">
        <f t="shared" si="15"/>
        <v/>
      </c>
      <c r="F120" s="52"/>
      <c r="G120" s="44" t="str">
        <f>IFERROR(INDEX(Projekt_Tabelle,MATCH(F120,Stammdaten!$B$39:$B$53,0),2)&amp;" — "&amp;INDEX(Projekt_Tabelle,MATCH(F120,Stammdaten!$B$39:$B$53,0),3),"")</f>
        <v/>
      </c>
      <c r="H120" s="52"/>
      <c r="I120" s="53"/>
      <c r="J120" s="53"/>
      <c r="K120" s="54"/>
      <c r="L120" s="47" t="str">
        <f t="shared" si="16"/>
        <v/>
      </c>
      <c r="M120" s="48" t="str">
        <f>IFERROR(VLOOKUP(F120,Stammdaten!$B$39:$F$53,5,FALSE()),"")</f>
        <v/>
      </c>
      <c r="N120" s="49" t="str">
        <f t="shared" si="17"/>
        <v/>
      </c>
      <c r="O120" s="52"/>
      <c r="P120" s="52"/>
    </row>
    <row r="121" spans="1:16" ht="21.75" customHeight="1" x14ac:dyDescent="0.25">
      <c r="A121" s="41" t="str">
        <f>IF(B121="","",MAX($A$8:A120)+1)</f>
        <v/>
      </c>
      <c r="B121" s="51"/>
      <c r="C121" s="42" t="str">
        <f t="shared" si="14"/>
        <v/>
      </c>
      <c r="D121" s="52"/>
      <c r="E121" s="43" t="str">
        <f t="shared" si="15"/>
        <v/>
      </c>
      <c r="F121" s="52"/>
      <c r="G121" s="44" t="str">
        <f>IFERROR(INDEX(Projekt_Tabelle,MATCH(F121,Stammdaten!$B$39:$B$53,0),2)&amp;" — "&amp;INDEX(Projekt_Tabelle,MATCH(F121,Stammdaten!$B$39:$B$53,0),3),"")</f>
        <v/>
      </c>
      <c r="H121" s="52"/>
      <c r="I121" s="53"/>
      <c r="J121" s="53"/>
      <c r="K121" s="54"/>
      <c r="L121" s="47" t="str">
        <f t="shared" si="16"/>
        <v/>
      </c>
      <c r="M121" s="48" t="str">
        <f>IFERROR(VLOOKUP(F121,Stammdaten!$B$39:$F$53,5,FALSE()),"")</f>
        <v/>
      </c>
      <c r="N121" s="49" t="str">
        <f t="shared" si="17"/>
        <v/>
      </c>
      <c r="O121" s="52"/>
      <c r="P121" s="52"/>
    </row>
    <row r="122" spans="1:16" ht="21.75" customHeight="1" x14ac:dyDescent="0.25">
      <c r="A122" s="41" t="str">
        <f>IF(B122="","",MAX($A$8:A121)+1)</f>
        <v/>
      </c>
      <c r="B122" s="51"/>
      <c r="C122" s="42" t="str">
        <f t="shared" si="14"/>
        <v/>
      </c>
      <c r="D122" s="52"/>
      <c r="E122" s="43" t="str">
        <f t="shared" si="15"/>
        <v/>
      </c>
      <c r="F122" s="52"/>
      <c r="G122" s="44" t="str">
        <f>IFERROR(INDEX(Projekt_Tabelle,MATCH(F122,Stammdaten!$B$39:$B$53,0),2)&amp;" — "&amp;INDEX(Projekt_Tabelle,MATCH(F122,Stammdaten!$B$39:$B$53,0),3),"")</f>
        <v/>
      </c>
      <c r="H122" s="52"/>
      <c r="I122" s="53"/>
      <c r="J122" s="53"/>
      <c r="K122" s="54"/>
      <c r="L122" s="47" t="str">
        <f t="shared" si="16"/>
        <v/>
      </c>
      <c r="M122" s="48" t="str">
        <f>IFERROR(VLOOKUP(F122,Stammdaten!$B$39:$F$53,5,FALSE()),"")</f>
        <v/>
      </c>
      <c r="N122" s="49" t="str">
        <f t="shared" si="17"/>
        <v/>
      </c>
      <c r="O122" s="52"/>
      <c r="P122" s="52"/>
    </row>
    <row r="123" spans="1:16" ht="21.75" customHeight="1" x14ac:dyDescent="0.25">
      <c r="A123" s="41" t="str">
        <f>IF(B123="","",MAX($A$8:A122)+1)</f>
        <v/>
      </c>
      <c r="B123" s="51"/>
      <c r="C123" s="42" t="str">
        <f t="shared" si="14"/>
        <v/>
      </c>
      <c r="D123" s="52"/>
      <c r="E123" s="43" t="str">
        <f t="shared" si="15"/>
        <v/>
      </c>
      <c r="F123" s="52"/>
      <c r="G123" s="44" t="str">
        <f>IFERROR(INDEX(Projekt_Tabelle,MATCH(F123,Stammdaten!$B$39:$B$53,0),2)&amp;" — "&amp;INDEX(Projekt_Tabelle,MATCH(F123,Stammdaten!$B$39:$B$53,0),3),"")</f>
        <v/>
      </c>
      <c r="H123" s="52"/>
      <c r="I123" s="53"/>
      <c r="J123" s="53"/>
      <c r="K123" s="54"/>
      <c r="L123" s="47" t="str">
        <f t="shared" si="16"/>
        <v/>
      </c>
      <c r="M123" s="48" t="str">
        <f>IFERROR(VLOOKUP(F123,Stammdaten!$B$39:$F$53,5,FALSE()),"")</f>
        <v/>
      </c>
      <c r="N123" s="49" t="str">
        <f t="shared" si="17"/>
        <v/>
      </c>
      <c r="O123" s="52"/>
      <c r="P123" s="52"/>
    </row>
    <row r="124" spans="1:16" ht="21.75" customHeight="1" x14ac:dyDescent="0.25">
      <c r="A124" s="41" t="str">
        <f>IF(B124="","",MAX($A$8:A123)+1)</f>
        <v/>
      </c>
      <c r="B124" s="51"/>
      <c r="C124" s="42" t="str">
        <f t="shared" si="14"/>
        <v/>
      </c>
      <c r="D124" s="52"/>
      <c r="E124" s="43" t="str">
        <f t="shared" si="15"/>
        <v/>
      </c>
      <c r="F124" s="52"/>
      <c r="G124" s="44" t="str">
        <f>IFERROR(INDEX(Projekt_Tabelle,MATCH(F124,Stammdaten!$B$39:$B$53,0),2)&amp;" — "&amp;INDEX(Projekt_Tabelle,MATCH(F124,Stammdaten!$B$39:$B$53,0),3),"")</f>
        <v/>
      </c>
      <c r="H124" s="52"/>
      <c r="I124" s="53"/>
      <c r="J124" s="53"/>
      <c r="K124" s="54"/>
      <c r="L124" s="47" t="str">
        <f t="shared" si="16"/>
        <v/>
      </c>
      <c r="M124" s="48" t="str">
        <f>IFERROR(VLOOKUP(F124,Stammdaten!$B$39:$F$53,5,FALSE()),"")</f>
        <v/>
      </c>
      <c r="N124" s="49" t="str">
        <f t="shared" si="17"/>
        <v/>
      </c>
      <c r="O124" s="52"/>
      <c r="P124" s="52"/>
    </row>
    <row r="125" spans="1:16" ht="21.75" customHeight="1" x14ac:dyDescent="0.25">
      <c r="A125" s="41" t="str">
        <f>IF(B125="","",MAX($A$8:A124)+1)</f>
        <v/>
      </c>
      <c r="B125" s="51"/>
      <c r="C125" s="42" t="str">
        <f t="shared" si="14"/>
        <v/>
      </c>
      <c r="D125" s="52"/>
      <c r="E125" s="43" t="str">
        <f t="shared" si="15"/>
        <v/>
      </c>
      <c r="F125" s="52"/>
      <c r="G125" s="44" t="str">
        <f>IFERROR(INDEX(Projekt_Tabelle,MATCH(F125,Stammdaten!$B$39:$B$53,0),2)&amp;" — "&amp;INDEX(Projekt_Tabelle,MATCH(F125,Stammdaten!$B$39:$B$53,0),3),"")</f>
        <v/>
      </c>
      <c r="H125" s="52"/>
      <c r="I125" s="53"/>
      <c r="J125" s="53"/>
      <c r="K125" s="54"/>
      <c r="L125" s="47" t="str">
        <f t="shared" si="16"/>
        <v/>
      </c>
      <c r="M125" s="48" t="str">
        <f>IFERROR(VLOOKUP(F125,Stammdaten!$B$39:$F$53,5,FALSE()),"")</f>
        <v/>
      </c>
      <c r="N125" s="49" t="str">
        <f t="shared" si="17"/>
        <v/>
      </c>
      <c r="O125" s="52"/>
      <c r="P125" s="52"/>
    </row>
    <row r="127" spans="1:16" ht="24" customHeight="1" x14ac:dyDescent="0.25">
      <c r="A127" s="12" t="s">
        <v>201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55">
        <f>SUM(L8:L125)</f>
        <v>507.49999999999994</v>
      </c>
      <c r="M127" s="56"/>
      <c r="N127" s="57">
        <f>SUM(N8:N125)</f>
        <v>28201.499999999993</v>
      </c>
      <c r="O127" s="56"/>
      <c r="P127" s="56"/>
    </row>
  </sheetData>
  <mergeCells count="5">
    <mergeCell ref="C4:F4"/>
    <mergeCell ref="I4:K4"/>
    <mergeCell ref="A127:K127"/>
    <mergeCell ref="B2:P2"/>
    <mergeCell ref="B3:P3"/>
  </mergeCells>
  <conditionalFormatting sqref="A8:P125">
    <cfRule type="expression" dxfId="3" priority="2">
      <formula>OR($C8="Sa",$C8="So")</formula>
    </cfRule>
    <cfRule type="expression" dxfId="2" priority="3">
      <formula>$O8="Urlaub"</formula>
    </cfRule>
    <cfRule type="expression" dxfId="1" priority="4">
      <formula>$O8="Krank"</formula>
    </cfRule>
    <cfRule type="expression" dxfId="0" priority="5">
      <formula>$O8="Feiertag"</formula>
    </cfRule>
  </conditionalFormatting>
  <dataValidations count="3">
    <dataValidation type="list" allowBlank="1" errorTitle="Ungültige Auswahl" error="Bitte einen Mitarbeiter aus der Liste auswählen." sqref="D8:D125" xr:uid="{00000000-0002-0000-0100-000000000000}">
      <formula1>Mitarbeiter_Namen</formula1>
      <formula2>0</formula2>
    </dataValidation>
    <dataValidation type="list" allowBlank="1" sqref="H8:H125" xr:uid="{00000000-0002-0000-0100-000002000000}">
      <formula1>Taetigkeit_Liste</formula1>
      <formula2>0</formula2>
    </dataValidation>
    <dataValidation type="list" allowBlank="1" sqref="O8:O125" xr:uid="{00000000-0002-0000-0100-000003000000}">
      <formula1>Status_Liste</formula1>
      <formula2>0</formula2>
    </dataValidation>
  </dataValidations>
  <printOptions horizontalCentered="1"/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Auswahl" error="Bitte eine Projekt-Nummer aus den Stammdaten auswählen." xr:uid="{00000000-0002-0000-0100-000001000000}">
          <x14:formula1>
            <xm:f>Stammdaten!$B$39:$B$53</xm:f>
          </x14:formula1>
          <x14:formula2>
            <xm:f>0</xm:f>
          </x14:formula2>
          <xm:sqref>F8:F125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5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2" customWidth="1"/>
    <col min="3" max="6" width="14" customWidth="1"/>
    <col min="7" max="7" width="16" customWidth="1"/>
    <col min="8" max="8" width="4" customWidth="1"/>
  </cols>
  <sheetData>
    <row r="2" spans="2:7" ht="30" customHeight="1" x14ac:dyDescent="0.4">
      <c r="B2" s="15" t="s">
        <v>202</v>
      </c>
    </row>
    <row r="3" spans="2:7" x14ac:dyDescent="0.25">
      <c r="B3" s="28" t="s">
        <v>203</v>
      </c>
    </row>
    <row r="5" spans="2:7" ht="21.75" customHeight="1" x14ac:dyDescent="0.25">
      <c r="B5" s="11" t="s">
        <v>204</v>
      </c>
      <c r="C5" s="11"/>
      <c r="D5" s="11"/>
      <c r="E5" s="11"/>
      <c r="F5" s="11"/>
      <c r="G5" s="11"/>
    </row>
    <row r="6" spans="2:7" ht="21.75" customHeight="1" x14ac:dyDescent="0.25">
      <c r="B6" s="5" t="s">
        <v>205</v>
      </c>
      <c r="C6" s="5"/>
      <c r="D6" s="5"/>
      <c r="E6" s="5"/>
      <c r="F6" s="4">
        <f>COUNTA(Stundenerfassung!D8:D125)</f>
        <v>68</v>
      </c>
      <c r="G6" s="4"/>
    </row>
    <row r="7" spans="2:7" ht="21.75" customHeight="1" x14ac:dyDescent="0.25">
      <c r="B7" s="5" t="s">
        <v>206</v>
      </c>
      <c r="C7" s="5"/>
      <c r="D7" s="5"/>
      <c r="E7" s="5"/>
      <c r="F7" s="3">
        <f>SUMIFS(Stundenerfassung!L8:L125,Stundenerfassung!O8:O125,"Arbeit")+SUMIFS(Stundenerfassung!L8:L125,Stundenerfassung!O8:O125,"Überstd.")+SUMIFS(Stundenerfassung!L8:L125,Stundenerfassung!O8:O125,"Schulung")</f>
        <v>451.49999999999994</v>
      </c>
      <c r="G7" s="3"/>
    </row>
    <row r="8" spans="2:7" ht="21.75" customHeight="1" x14ac:dyDescent="0.25">
      <c r="B8" s="5" t="s">
        <v>207</v>
      </c>
      <c r="C8" s="5"/>
      <c r="D8" s="5"/>
      <c r="E8" s="5"/>
      <c r="F8" s="3">
        <f>SUMIFS(Stundenerfassung!L8:L125,Stundenerfassung!O8:O125,"Überstd.")</f>
        <v>37.499999999999972</v>
      </c>
      <c r="G8" s="3"/>
    </row>
    <row r="9" spans="2:7" ht="21.75" customHeight="1" x14ac:dyDescent="0.25">
      <c r="B9" s="5" t="s">
        <v>208</v>
      </c>
      <c r="C9" s="5"/>
      <c r="D9" s="5"/>
      <c r="E9" s="5"/>
      <c r="F9" s="2">
        <f>SUMIFS(Stundenerfassung!N8:N125,Stundenerfassung!O8:O125,"Arbeit")+SUMIFS(Stundenerfassung!N8:N125,Stundenerfassung!O8:O125,"Überstd.")</f>
        <v>28201.499999999993</v>
      </c>
      <c r="G9" s="2"/>
    </row>
    <row r="10" spans="2:7" ht="21.75" customHeight="1" x14ac:dyDescent="0.25">
      <c r="B10" s="5" t="s">
        <v>209</v>
      </c>
      <c r="C10" s="5"/>
      <c r="D10" s="5"/>
      <c r="E10" s="5"/>
      <c r="F10" s="4">
        <f>COUNTIF(Stundenerfassung!O8:O125,"Urlaub")</f>
        <v>4</v>
      </c>
      <c r="G10" s="4"/>
    </row>
    <row r="11" spans="2:7" ht="21.75" customHeight="1" x14ac:dyDescent="0.25">
      <c r="B11" s="5" t="s">
        <v>210</v>
      </c>
      <c r="C11" s="5"/>
      <c r="D11" s="5"/>
      <c r="E11" s="5"/>
      <c r="F11" s="4">
        <f>COUNTIF(Stundenerfassung!O8:O125,"Krank")</f>
        <v>2</v>
      </c>
      <c r="G11" s="4"/>
    </row>
    <row r="14" spans="2:7" ht="21.75" customHeight="1" x14ac:dyDescent="0.25">
      <c r="B14" s="11" t="s">
        <v>211</v>
      </c>
      <c r="C14" s="11"/>
      <c r="D14" s="11"/>
      <c r="E14" s="11"/>
      <c r="F14" s="11"/>
      <c r="G14" s="11"/>
    </row>
    <row r="15" spans="2:7" ht="25.5" customHeight="1" x14ac:dyDescent="0.25">
      <c r="B15" s="21" t="s">
        <v>135</v>
      </c>
      <c r="C15" s="21" t="s">
        <v>212</v>
      </c>
      <c r="D15" s="21" t="s">
        <v>213</v>
      </c>
      <c r="E15" s="21" t="s">
        <v>214</v>
      </c>
      <c r="F15" s="21" t="s">
        <v>215</v>
      </c>
      <c r="G15" s="21" t="s">
        <v>216</v>
      </c>
    </row>
    <row r="16" spans="2:7" x14ac:dyDescent="0.25">
      <c r="B16" s="58" t="s">
        <v>26</v>
      </c>
      <c r="C16" s="59">
        <f>SUMIFS(Stundenerfassung!L8:L125,Stundenerfassung!D8:D125,B16,Stundenerfassung!O8:O125,"Arbeit")</f>
        <v>51.499999999999972</v>
      </c>
      <c r="D16" s="60">
        <f>SUMIFS(Stundenerfassung!L8:L125,Stundenerfassung!D8:D125,B16,Stundenerfassung!O8:O125,"Überstd.")</f>
        <v>28.499999999999979</v>
      </c>
      <c r="E16" s="46">
        <f>COUNTIFS(Stundenerfassung!D8:D125,B16,Stundenerfassung!O8:O125,"Urlaub")</f>
        <v>4</v>
      </c>
      <c r="F16" s="46">
        <f>COUNTIFS(Stundenerfassung!D8:D125,B16,Stundenerfassung!O8:O125,"Krank")</f>
        <v>0</v>
      </c>
      <c r="G16" s="20">
        <f>SUMIFS(Stundenerfassung!N8:N125,Stundenerfassung!D8:D125,B16,Stundenerfassung!O8:O125,"Arbeit")+SUMIFS(Stundenerfassung!N8:N125,Stundenerfassung!D8:D125,B16,Stundenerfassung!O8:O125,"Überstd.")</f>
        <v>5427.4999999999964</v>
      </c>
    </row>
    <row r="17" spans="2:7" x14ac:dyDescent="0.25">
      <c r="B17" s="58" t="s">
        <v>30</v>
      </c>
      <c r="C17" s="59">
        <f>SUMIFS(Stundenerfassung!L8:L125,Stundenerfassung!D8:D125,B17,Stundenerfassung!O8:O125,"Arbeit")</f>
        <v>86.999999999999986</v>
      </c>
      <c r="D17" s="60">
        <f>SUMIFS(Stundenerfassung!L8:L125,Stundenerfassung!D8:D125,B17,Stundenerfassung!O8:O125,"Überstd.")</f>
        <v>0</v>
      </c>
      <c r="E17" s="46">
        <f>COUNTIFS(Stundenerfassung!D8:D125,B17,Stundenerfassung!O8:O125,"Urlaub")</f>
        <v>0</v>
      </c>
      <c r="F17" s="46">
        <f>COUNTIFS(Stundenerfassung!D8:D125,B17,Stundenerfassung!O8:O125,"Krank")</f>
        <v>2</v>
      </c>
      <c r="G17" s="20">
        <f>SUMIFS(Stundenerfassung!N8:N125,Stundenerfassung!D8:D125,B17,Stundenerfassung!O8:O125,"Arbeit")+SUMIFS(Stundenerfassung!N8:N125,Stundenerfassung!D8:D125,B17,Stundenerfassung!O8:O125,"Überstd.")</f>
        <v>5749.4999999999991</v>
      </c>
    </row>
    <row r="18" spans="2:7" x14ac:dyDescent="0.25">
      <c r="B18" s="58" t="s">
        <v>33</v>
      </c>
      <c r="C18" s="59">
        <f>SUMIFS(Stundenerfassung!L8:L125,Stundenerfassung!D8:D125,B18,Stundenerfassung!O8:O125,"Arbeit")</f>
        <v>83.5</v>
      </c>
      <c r="D18" s="60">
        <f>SUMIFS(Stundenerfassung!L8:L125,Stundenerfassung!D8:D125,B18,Stundenerfassung!O8:O125,"Überstd.")</f>
        <v>8.9999999999999929</v>
      </c>
      <c r="E18" s="46">
        <f>COUNTIFS(Stundenerfassung!D8:D125,B18,Stundenerfassung!O8:O125,"Urlaub")</f>
        <v>0</v>
      </c>
      <c r="F18" s="46">
        <f>COUNTIFS(Stundenerfassung!D8:D125,B18,Stundenerfassung!O8:O125,"Krank")</f>
        <v>0</v>
      </c>
      <c r="G18" s="20">
        <f>SUMIFS(Stundenerfassung!N8:N125,Stundenerfassung!D8:D125,B18,Stundenerfassung!O8:O125,"Arbeit")+SUMIFS(Stundenerfassung!N8:N125,Stundenerfassung!D8:D125,B18,Stundenerfassung!O8:O125,"Überstd.")</f>
        <v>6384</v>
      </c>
    </row>
    <row r="19" spans="2:7" x14ac:dyDescent="0.25">
      <c r="B19" s="58" t="s">
        <v>36</v>
      </c>
      <c r="C19" s="59">
        <f>SUMIFS(Stundenerfassung!L8:L125,Stundenerfassung!D8:D125,B19,Stundenerfassung!O8:O125,"Arbeit")</f>
        <v>98</v>
      </c>
      <c r="D19" s="60">
        <f>SUMIFS(Stundenerfassung!L8:L125,Stundenerfassung!D8:D125,B19,Stundenerfassung!O8:O125,"Überstd.")</f>
        <v>0</v>
      </c>
      <c r="E19" s="46">
        <f>COUNTIFS(Stundenerfassung!D8:D125,B19,Stundenerfassung!O8:O125,"Urlaub")</f>
        <v>0</v>
      </c>
      <c r="F19" s="46">
        <f>COUNTIFS(Stundenerfassung!D8:D125,B19,Stundenerfassung!O8:O125,"Krank")</f>
        <v>0</v>
      </c>
      <c r="G19" s="20">
        <f>SUMIFS(Stundenerfassung!N8:N125,Stundenerfassung!D8:D125,B19,Stundenerfassung!O8:O125,"Arbeit")+SUMIFS(Stundenerfassung!N8:N125,Stundenerfassung!D8:D125,B19,Stundenerfassung!O8:O125,"Überstd.")</f>
        <v>6310.5</v>
      </c>
    </row>
    <row r="20" spans="2:7" x14ac:dyDescent="0.25">
      <c r="B20" s="58" t="s">
        <v>38</v>
      </c>
      <c r="C20" s="59">
        <f>SUMIFS(Stundenerfassung!L8:L125,Stundenerfassung!D8:D125,B20,Stundenerfassung!O8:O125,"Arbeit")</f>
        <v>60.999999999999972</v>
      </c>
      <c r="D20" s="60">
        <f>SUMIFS(Stundenerfassung!L8:L125,Stundenerfassung!D8:D125,B20,Stundenerfassung!O8:O125,"Überstd.")</f>
        <v>0</v>
      </c>
      <c r="E20" s="46">
        <f>COUNTIFS(Stundenerfassung!D8:D125,B20,Stundenerfassung!O8:O125,"Urlaub")</f>
        <v>0</v>
      </c>
      <c r="F20" s="46">
        <f>COUNTIFS(Stundenerfassung!D8:D125,B20,Stundenerfassung!O8:O125,"Krank")</f>
        <v>0</v>
      </c>
      <c r="G20" s="20">
        <f>SUMIFS(Stundenerfassung!N8:N125,Stundenerfassung!D8:D125,B20,Stundenerfassung!O8:O125,"Arbeit")+SUMIFS(Stundenerfassung!N8:N125,Stundenerfassung!D8:D125,B20,Stundenerfassung!O8:O125,"Überstd.")</f>
        <v>3069.9999999999964</v>
      </c>
    </row>
    <row r="21" spans="2:7" x14ac:dyDescent="0.25">
      <c r="B21" s="58" t="s">
        <v>41</v>
      </c>
      <c r="C21" s="59">
        <f>SUMIFS(Stundenerfassung!L8:L125,Stundenerfassung!D8:D125,B21,Stundenerfassung!O8:O125,"Arbeit")</f>
        <v>17.999999999999982</v>
      </c>
      <c r="D21" s="60">
        <f>SUMIFS(Stundenerfassung!L8:L125,Stundenerfassung!D8:D125,B21,Stundenerfassung!O8:O125,"Überstd.")</f>
        <v>0</v>
      </c>
      <c r="E21" s="46">
        <f>COUNTIFS(Stundenerfassung!D8:D125,B21,Stundenerfassung!O8:O125,"Urlaub")</f>
        <v>0</v>
      </c>
      <c r="F21" s="46">
        <f>COUNTIFS(Stundenerfassung!D8:D125,B21,Stundenerfassung!O8:O125,"Krank")</f>
        <v>0</v>
      </c>
      <c r="G21" s="20">
        <f>SUMIFS(Stundenerfassung!N8:N125,Stundenerfassung!D8:D125,B21,Stundenerfassung!O8:O125,"Arbeit")+SUMIFS(Stundenerfassung!N8:N125,Stundenerfassung!D8:D125,B21,Stundenerfassung!O8:O125,"Überstd.")</f>
        <v>1259.9999999999989</v>
      </c>
    </row>
    <row r="22" spans="2:7" x14ac:dyDescent="0.25">
      <c r="B22" s="61" t="s">
        <v>217</v>
      </c>
      <c r="C22" s="62">
        <f>SUM(C16:C21)</f>
        <v>398.99999999999989</v>
      </c>
      <c r="D22" s="62">
        <f>SUM(D16:D21)</f>
        <v>37.499999999999972</v>
      </c>
      <c r="E22" s="63">
        <f>SUM(E16:E21)</f>
        <v>4</v>
      </c>
      <c r="F22" s="63">
        <f>SUM(F16:F21)</f>
        <v>2</v>
      </c>
      <c r="G22" s="64">
        <f>SUM(G16:G21)</f>
        <v>28201.499999999993</v>
      </c>
    </row>
    <row r="25" spans="2:7" ht="21.75" customHeight="1" x14ac:dyDescent="0.25">
      <c r="B25" s="11" t="s">
        <v>218</v>
      </c>
      <c r="C25" s="11"/>
      <c r="D25" s="11"/>
      <c r="E25" s="11"/>
      <c r="F25" s="11"/>
      <c r="G25" s="11"/>
    </row>
    <row r="26" spans="2:7" ht="25.5" customHeight="1" x14ac:dyDescent="0.25">
      <c r="B26" s="21" t="s">
        <v>44</v>
      </c>
      <c r="C26" s="21" t="s">
        <v>45</v>
      </c>
      <c r="D26" s="21" t="s">
        <v>143</v>
      </c>
      <c r="E26" s="21" t="s">
        <v>219</v>
      </c>
      <c r="F26" s="21" t="s">
        <v>216</v>
      </c>
      <c r="G26" s="21" t="s">
        <v>48</v>
      </c>
    </row>
    <row r="27" spans="2:7" x14ac:dyDescent="0.25">
      <c r="B27" s="25" t="s">
        <v>49</v>
      </c>
      <c r="C27" s="10" t="str">
        <f>IFERROR(VLOOKUP(B27,Stammdaten!$B$39:$G$53,2,FALSE()),"")</f>
        <v>Sanierung Wohnhaus Schulze</v>
      </c>
      <c r="D27" s="10"/>
      <c r="E27" s="59">
        <f>SUMIFS(Stundenerfassung!L8:L125,Stundenerfassung!F8:F125,B27)</f>
        <v>119.99999999999991</v>
      </c>
      <c r="F27" s="65">
        <f t="shared" ref="F27:F35" si="0">IFERROR(E27/SUM($E$27:$E$35),0)</f>
        <v>0.26115342763873761</v>
      </c>
      <c r="G27" s="20">
        <f>SUMIFS(Stundenerfassung!N8:N125,Stundenerfassung!F8:F125,B27)</f>
        <v>7799.9999999999945</v>
      </c>
    </row>
    <row r="28" spans="2:7" x14ac:dyDescent="0.25">
      <c r="B28" s="25" t="s">
        <v>53</v>
      </c>
      <c r="C28" s="10" t="str">
        <f>IFERROR(VLOOKUP(B28,Stammdaten!$B$39:$G$53,2,FALSE()),"")</f>
        <v>Neubau Bürogebäude Krause</v>
      </c>
      <c r="D28" s="10"/>
      <c r="E28" s="59">
        <f>SUMIFS(Stundenerfassung!L8:L125,Stundenerfassung!F8:F125,B28)</f>
        <v>60.999999999999993</v>
      </c>
      <c r="F28" s="65">
        <f t="shared" si="0"/>
        <v>0.13275299238302501</v>
      </c>
      <c r="G28" s="20">
        <f>SUMIFS(Stundenerfassung!N8:N125,Stundenerfassung!F8:F125,B28)</f>
        <v>4392</v>
      </c>
    </row>
    <row r="29" spans="2:7" x14ac:dyDescent="0.25">
      <c r="B29" s="25" t="s">
        <v>57</v>
      </c>
      <c r="C29" s="10" t="str">
        <f>IFERROR(VLOOKUP(B29,Stammdaten!$B$39:$G$53,2,FALSE()),"")</f>
        <v>Modernisierung Verwaltungstrakt</v>
      </c>
      <c r="D29" s="10"/>
      <c r="E29" s="59">
        <f>SUMIFS(Stundenerfassung!L8:L125,Stundenerfassung!F8:F125,B29)</f>
        <v>48.000000000000021</v>
      </c>
      <c r="F29" s="65">
        <f t="shared" si="0"/>
        <v>0.10446137105549516</v>
      </c>
      <c r="G29" s="20">
        <f>SUMIFS(Stundenerfassung!N8:N125,Stundenerfassung!F8:F125,B29)</f>
        <v>3264.0000000000014</v>
      </c>
    </row>
    <row r="30" spans="2:7" x14ac:dyDescent="0.25">
      <c r="B30" s="25" t="s">
        <v>61</v>
      </c>
      <c r="C30" s="10" t="str">
        <f>IFERROR(VLOOKUP(B30,Stammdaten!$B$39:$G$53,2,FALSE()),"")</f>
        <v>Renovierung Arztpraxis</v>
      </c>
      <c r="D30" s="10"/>
      <c r="E30" s="59">
        <f>SUMIFS(Stundenerfassung!L8:L125,Stundenerfassung!F8:F125,B30)</f>
        <v>50.5</v>
      </c>
      <c r="F30" s="65">
        <f t="shared" si="0"/>
        <v>0.10990206746463549</v>
      </c>
      <c r="G30" s="20">
        <f>SUMIFS(Stundenerfassung!N8:N125,Stundenerfassung!F8:F125,B30)</f>
        <v>3282.5</v>
      </c>
    </row>
    <row r="31" spans="2:7" x14ac:dyDescent="0.25">
      <c r="B31" s="25" t="s">
        <v>65</v>
      </c>
      <c r="C31" s="10" t="str">
        <f>IFERROR(VLOOKUP(B31,Stammdaten!$B$39:$G$53,2,FALSE()),"")</f>
        <v>Umbau Café am Markt</v>
      </c>
      <c r="D31" s="10"/>
      <c r="E31" s="59">
        <f>SUMIFS(Stundenerfassung!L8:L125,Stundenerfassung!F8:F125,B31)</f>
        <v>39.000000000000007</v>
      </c>
      <c r="F31" s="65">
        <f t="shared" si="0"/>
        <v>8.4874863982589796E-2</v>
      </c>
      <c r="G31" s="20">
        <f>SUMIFS(Stundenerfassung!N8:N125,Stundenerfassung!F8:F125,B31)</f>
        <v>2535.0000000000005</v>
      </c>
    </row>
    <row r="32" spans="2:7" x14ac:dyDescent="0.25">
      <c r="B32" s="25" t="s">
        <v>69</v>
      </c>
      <c r="C32" s="10" t="str">
        <f>IFERROR(VLOOKUP(B32,Stammdaten!$B$39:$G$53,2,FALSE()),"")</f>
        <v>Wartungsvertrag Hausverwaltung</v>
      </c>
      <c r="D32" s="10"/>
      <c r="E32" s="59">
        <f>SUMIFS(Stundenerfassung!L8:L125,Stundenerfassung!F8:F125,B32)</f>
        <v>23.499999999999986</v>
      </c>
      <c r="F32" s="65">
        <f t="shared" si="0"/>
        <v>5.1142546245919455E-2</v>
      </c>
      <c r="G32" s="20">
        <f>SUMIFS(Stundenerfassung!N8:N125,Stundenerfassung!F8:F125,B32)</f>
        <v>1362.9999999999991</v>
      </c>
    </row>
    <row r="33" spans="2:7" x14ac:dyDescent="0.25">
      <c r="B33" s="25" t="s">
        <v>73</v>
      </c>
      <c r="C33" s="10" t="str">
        <f>IFERROR(VLOOKUP(B33,Stammdaten!$B$39:$G$53,2,FALSE()),"")</f>
        <v>Dachstuhl Neubau Bauer</v>
      </c>
      <c r="D33" s="10"/>
      <c r="E33" s="59">
        <f>SUMIFS(Stundenerfassung!L8:L125,Stundenerfassung!F8:F125,B33)</f>
        <v>79.499999999999929</v>
      </c>
      <c r="F33" s="65">
        <f t="shared" si="0"/>
        <v>0.17301414581066363</v>
      </c>
      <c r="G33" s="20">
        <f>SUMIFS(Stundenerfassung!N8:N125,Stundenerfassung!F8:F125,B33)</f>
        <v>5564.9999999999955</v>
      </c>
    </row>
    <row r="34" spans="2:7" x14ac:dyDescent="0.25">
      <c r="B34" s="25" t="s">
        <v>77</v>
      </c>
      <c r="C34" s="10" t="str">
        <f>IFERROR(VLOOKUP(B34,Stammdaten!$B$39:$G$53,2,FALSE()),"")</f>
        <v>Innenausbau Therapiepraxis</v>
      </c>
      <c r="D34" s="10"/>
      <c r="E34" s="59">
        <f>SUMIFS(Stundenerfassung!L8:L125,Stundenerfassung!F8:F125,B34)</f>
        <v>0</v>
      </c>
      <c r="F34" s="65">
        <f t="shared" si="0"/>
        <v>0</v>
      </c>
      <c r="G34" s="20">
        <f>SUMIFS(Stundenerfassung!N8:N125,Stundenerfassung!F8:F125,B34)</f>
        <v>0</v>
      </c>
    </row>
    <row r="35" spans="2:7" x14ac:dyDescent="0.25">
      <c r="B35" s="25" t="s">
        <v>82</v>
      </c>
      <c r="C35" s="10" t="str">
        <f>IFERROR(VLOOKUP(B35,Stammdaten!$B$39:$G$53,2,FALSE()),"")</f>
        <v>Interne Arbeiten / Werkstatt</v>
      </c>
      <c r="D35" s="10"/>
      <c r="E35" s="59">
        <f>SUMIFS(Stundenerfassung!L8:L125,Stundenerfassung!F8:F125,B35)</f>
        <v>38.000000000000064</v>
      </c>
      <c r="F35" s="65">
        <f t="shared" si="0"/>
        <v>8.2698585418933768E-2</v>
      </c>
      <c r="G35" s="20">
        <f>SUMIFS(Stundenerfassung!N8:N125,Stundenerfassung!F8:F125,B35)</f>
        <v>0</v>
      </c>
    </row>
    <row r="36" spans="2:7" x14ac:dyDescent="0.25">
      <c r="B36" s="61" t="s">
        <v>217</v>
      </c>
      <c r="C36" s="1"/>
      <c r="D36" s="1"/>
      <c r="E36" s="62">
        <f>SUM(E27:E35)</f>
        <v>459.49999999999994</v>
      </c>
      <c r="F36" s="66">
        <v>1</v>
      </c>
      <c r="G36" s="64">
        <f>SUM(G27:G35)</f>
        <v>28201.499999999993</v>
      </c>
    </row>
    <row r="39" spans="2:7" ht="21.75" customHeight="1" x14ac:dyDescent="0.25">
      <c r="B39" s="11" t="s">
        <v>220</v>
      </c>
      <c r="C39" s="11"/>
      <c r="D39" s="11"/>
      <c r="E39" s="11"/>
      <c r="F39" s="11"/>
      <c r="G39" s="11"/>
    </row>
    <row r="40" spans="2:7" ht="25.5" customHeight="1" x14ac:dyDescent="0.25">
      <c r="B40" s="21" t="s">
        <v>48</v>
      </c>
      <c r="C40" s="21" t="s">
        <v>221</v>
      </c>
      <c r="D40" s="21" t="s">
        <v>222</v>
      </c>
      <c r="E40" s="21" t="s">
        <v>223</v>
      </c>
      <c r="F40" s="21" t="s">
        <v>89</v>
      </c>
    </row>
    <row r="41" spans="2:7" ht="15" customHeight="1" x14ac:dyDescent="0.25">
      <c r="B41" s="25" t="s">
        <v>92</v>
      </c>
      <c r="C41" s="46">
        <f>COUNTIF(Stundenerfassung!O8:O125,B41)</f>
        <v>55</v>
      </c>
      <c r="D41" s="59">
        <f>SUMIFS(Stundenerfassung!L8:L125,Stundenerfassung!O8:O125,B41)</f>
        <v>398.99999999999989</v>
      </c>
      <c r="E41" s="65">
        <f t="shared" ref="E41:E47" si="1">IFERROR(D41/SUM($D$41:$D$47),0)</f>
        <v>0.78620689655172404</v>
      </c>
      <c r="F41" s="67" t="s">
        <v>93</v>
      </c>
      <c r="G41" s="67"/>
    </row>
    <row r="42" spans="2:7" ht="15" customHeight="1" x14ac:dyDescent="0.25">
      <c r="B42" s="25" t="s">
        <v>96</v>
      </c>
      <c r="C42" s="46">
        <f>COUNTIF(Stundenerfassung!O8:O125,B42)</f>
        <v>4</v>
      </c>
      <c r="D42" s="59">
        <f>SUMIFS(Stundenerfassung!L8:L125,Stundenerfassung!O8:O125,B42)</f>
        <v>37.499999999999972</v>
      </c>
      <c r="E42" s="65">
        <f t="shared" si="1"/>
        <v>7.3891625615763498E-2</v>
      </c>
      <c r="F42" s="67" t="s">
        <v>97</v>
      </c>
      <c r="G42" s="67"/>
    </row>
    <row r="43" spans="2:7" ht="15" customHeight="1" x14ac:dyDescent="0.25">
      <c r="B43" s="25" t="s">
        <v>100</v>
      </c>
      <c r="C43" s="46">
        <f>COUNTIF(Stundenerfassung!O8:O125,B43)</f>
        <v>4</v>
      </c>
      <c r="D43" s="59">
        <f>SUMIFS(Stundenerfassung!L8:L125,Stundenerfassung!O8:O125,B43)</f>
        <v>32</v>
      </c>
      <c r="E43" s="65">
        <f t="shared" si="1"/>
        <v>6.3054187192118236E-2</v>
      </c>
      <c r="F43" s="67" t="s">
        <v>101</v>
      </c>
      <c r="G43" s="67"/>
    </row>
    <row r="44" spans="2:7" ht="15" customHeight="1" x14ac:dyDescent="0.25">
      <c r="B44" s="25" t="s">
        <v>104</v>
      </c>
      <c r="C44" s="46">
        <f>COUNTIF(Stundenerfassung!O8:O125,B44)</f>
        <v>2</v>
      </c>
      <c r="D44" s="59">
        <f>SUMIFS(Stundenerfassung!L8:L125,Stundenerfassung!O8:O125,B44)</f>
        <v>16</v>
      </c>
      <c r="E44" s="65">
        <f t="shared" si="1"/>
        <v>3.1527093596059118E-2</v>
      </c>
      <c r="F44" s="67" t="s">
        <v>105</v>
      </c>
      <c r="G44" s="67"/>
    </row>
    <row r="45" spans="2:7" ht="15" customHeight="1" x14ac:dyDescent="0.25">
      <c r="B45" s="25" t="s">
        <v>108</v>
      </c>
      <c r="C45" s="46">
        <f>COUNTIF(Stundenerfassung!O8:O125,B45)</f>
        <v>1</v>
      </c>
      <c r="D45" s="59">
        <f>SUMIFS(Stundenerfassung!L8:L125,Stundenerfassung!O8:O125,B45)</f>
        <v>8</v>
      </c>
      <c r="E45" s="65">
        <f t="shared" si="1"/>
        <v>1.5763546798029559E-2</v>
      </c>
      <c r="F45" s="67" t="s">
        <v>109</v>
      </c>
      <c r="G45" s="67"/>
    </row>
    <row r="46" spans="2:7" ht="15" customHeight="1" x14ac:dyDescent="0.25">
      <c r="B46" s="25" t="s">
        <v>112</v>
      </c>
      <c r="C46" s="46">
        <f>COUNTIF(Stundenerfassung!O8:O125,B46)</f>
        <v>0</v>
      </c>
      <c r="D46" s="59">
        <f>SUMIFS(Stundenerfassung!L8:L125,Stundenerfassung!O8:O125,B46)</f>
        <v>0</v>
      </c>
      <c r="E46" s="65">
        <f t="shared" si="1"/>
        <v>0</v>
      </c>
      <c r="F46" s="67" t="s">
        <v>224</v>
      </c>
      <c r="G46" s="67"/>
    </row>
    <row r="47" spans="2:7" ht="15" customHeight="1" x14ac:dyDescent="0.25">
      <c r="B47" s="25" t="s">
        <v>116</v>
      </c>
      <c r="C47" s="46">
        <f>COUNTIF(Stundenerfassung!O8:O125,B47)</f>
        <v>2</v>
      </c>
      <c r="D47" s="59">
        <f>SUMIFS(Stundenerfassung!L8:L125,Stundenerfassung!O8:O125,B47)</f>
        <v>15.000000000000032</v>
      </c>
      <c r="E47" s="65">
        <f t="shared" si="1"/>
        <v>2.9556650246305487E-2</v>
      </c>
      <c r="F47" s="67" t="s">
        <v>117</v>
      </c>
      <c r="G47" s="67"/>
    </row>
    <row r="50" spans="2:7" x14ac:dyDescent="0.25">
      <c r="B50" s="27" t="s">
        <v>225</v>
      </c>
    </row>
    <row r="51" spans="2:7" ht="15" customHeight="1" x14ac:dyDescent="0.25">
      <c r="B51" s="6" t="s">
        <v>226</v>
      </c>
      <c r="C51" s="6"/>
      <c r="D51" s="6"/>
      <c r="E51" s="6"/>
      <c r="F51" s="6"/>
      <c r="G51" s="6"/>
    </row>
    <row r="52" spans="2:7" x14ac:dyDescent="0.25">
      <c r="B52" s="6"/>
      <c r="C52" s="6"/>
      <c r="D52" s="6"/>
      <c r="E52" s="6"/>
      <c r="F52" s="6"/>
      <c r="G52" s="6"/>
    </row>
    <row r="53" spans="2:7" x14ac:dyDescent="0.25">
      <c r="B53" s="6"/>
      <c r="C53" s="6"/>
      <c r="D53" s="6"/>
      <c r="E53" s="6"/>
      <c r="F53" s="6"/>
      <c r="G53" s="6"/>
    </row>
  </sheetData>
  <mergeCells count="34">
    <mergeCell ref="F46:G46"/>
    <mergeCell ref="F47:G47"/>
    <mergeCell ref="B51:G53"/>
    <mergeCell ref="F41:G41"/>
    <mergeCell ref="F42:G42"/>
    <mergeCell ref="F43:G43"/>
    <mergeCell ref="F44:G44"/>
    <mergeCell ref="F45:G45"/>
    <mergeCell ref="C33:D33"/>
    <mergeCell ref="C34:D34"/>
    <mergeCell ref="C35:D35"/>
    <mergeCell ref="C36:D36"/>
    <mergeCell ref="B39:G39"/>
    <mergeCell ref="C28:D28"/>
    <mergeCell ref="C29:D29"/>
    <mergeCell ref="C30:D30"/>
    <mergeCell ref="C31:D31"/>
    <mergeCell ref="C32:D32"/>
    <mergeCell ref="B11:E11"/>
    <mergeCell ref="F11:G11"/>
    <mergeCell ref="B14:G14"/>
    <mergeCell ref="B25:G25"/>
    <mergeCell ref="C27:D27"/>
    <mergeCell ref="B8:E8"/>
    <mergeCell ref="F8:G8"/>
    <mergeCell ref="B9:E9"/>
    <mergeCell ref="F9:G9"/>
    <mergeCell ref="B10:E10"/>
    <mergeCell ref="F10:G10"/>
    <mergeCell ref="B5:G5"/>
    <mergeCell ref="B6:E6"/>
    <mergeCell ref="F6:G6"/>
    <mergeCell ref="B7:E7"/>
    <mergeCell ref="F7:G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Stammdaten</vt:lpstr>
      <vt:lpstr>Stundenerfassung</vt:lpstr>
      <vt:lpstr>Auswertung</vt:lpstr>
      <vt:lpstr>Stundenerfassung!Drucktitel</vt:lpstr>
      <vt:lpstr>Feiertage_Datum</vt:lpstr>
      <vt:lpstr>Mitarbeiter_Namen</vt:lpstr>
      <vt:lpstr>Mitarbeiter_Tabelle</vt:lpstr>
      <vt:lpstr>Pause_Standard</vt:lpstr>
      <vt:lpstr>Projekt_Namen</vt:lpstr>
      <vt:lpstr>Projekt_Tabelle</vt:lpstr>
      <vt:lpstr>Soll_Tag</vt:lpstr>
      <vt:lpstr>Status_Liste</vt:lpstr>
      <vt:lpstr>Taetigkeit_Liste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2026-06-09T06:31:45Z</dcterms:created>
  <dcterms:modified xsi:type="dcterms:W3CDTF">2026-06-09T06:57:41Z</dcterms:modified>
  <dc:language>en-US</dc:language>
</cp:coreProperties>
</file>