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C4715EA9-25BA-4651-B0FB-C7789D14AB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1" r:id="rId1"/>
    <sheet name="Zeiterfassung" sheetId="2" r:id="rId2"/>
    <sheet name="Mitarbeiter" sheetId="3" r:id="rId3"/>
    <sheet name="Einstellung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3" l="1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J10" i="3"/>
  <c r="J9" i="3"/>
  <c r="J8" i="3"/>
  <c r="J7" i="3"/>
  <c r="J6" i="3"/>
  <c r="AE160" i="2"/>
  <c r="AD160" i="2"/>
  <c r="AC160" i="2"/>
  <c r="Y160" i="2"/>
  <c r="Z160" i="2" s="1"/>
  <c r="W160" i="2"/>
  <c r="R160" i="2"/>
  <c r="Q160" i="2"/>
  <c r="P160" i="2"/>
  <c r="O160" i="2"/>
  <c r="N160" i="2"/>
  <c r="L160" i="2"/>
  <c r="M160" i="2" s="1"/>
  <c r="K160" i="2"/>
  <c r="E160" i="2"/>
  <c r="C160" i="2"/>
  <c r="AE159" i="2"/>
  <c r="AD159" i="2"/>
  <c r="AC159" i="2"/>
  <c r="Y159" i="2"/>
  <c r="Z159" i="2" s="1"/>
  <c r="X159" i="2"/>
  <c r="W159" i="2"/>
  <c r="R159" i="2"/>
  <c r="Q159" i="2"/>
  <c r="P159" i="2"/>
  <c r="O159" i="2"/>
  <c r="N159" i="2"/>
  <c r="L159" i="2"/>
  <c r="M159" i="2" s="1"/>
  <c r="E159" i="2"/>
  <c r="C159" i="2"/>
  <c r="AE158" i="2"/>
  <c r="AD158" i="2"/>
  <c r="AC158" i="2"/>
  <c r="Y158" i="2"/>
  <c r="Z158" i="2" s="1"/>
  <c r="W158" i="2"/>
  <c r="T158" i="2"/>
  <c r="R158" i="2"/>
  <c r="Q158" i="2"/>
  <c r="P158" i="2"/>
  <c r="O158" i="2"/>
  <c r="N158" i="2"/>
  <c r="L158" i="2"/>
  <c r="M158" i="2" s="1"/>
  <c r="E158" i="2"/>
  <c r="C158" i="2"/>
  <c r="AE157" i="2"/>
  <c r="Y157" i="2" s="1"/>
  <c r="Z157" i="2" s="1"/>
  <c r="AD157" i="2"/>
  <c r="AC157" i="2"/>
  <c r="X157" i="2"/>
  <c r="W157" i="2"/>
  <c r="S157" i="2"/>
  <c r="R157" i="2"/>
  <c r="Q157" i="2"/>
  <c r="P157" i="2"/>
  <c r="O157" i="2"/>
  <c r="N157" i="2"/>
  <c r="L157" i="2"/>
  <c r="M157" i="2" s="1"/>
  <c r="K157" i="2"/>
  <c r="E157" i="2"/>
  <c r="C157" i="2"/>
  <c r="AE156" i="2"/>
  <c r="AD156" i="2"/>
  <c r="AC156" i="2"/>
  <c r="Y156" i="2"/>
  <c r="Z156" i="2" s="1"/>
  <c r="W156" i="2"/>
  <c r="R156" i="2"/>
  <c r="Q156" i="2"/>
  <c r="P156" i="2"/>
  <c r="O156" i="2"/>
  <c r="N156" i="2"/>
  <c r="M156" i="2"/>
  <c r="L156" i="2"/>
  <c r="K156" i="2" s="1"/>
  <c r="E156" i="2"/>
  <c r="C156" i="2"/>
  <c r="AE155" i="2"/>
  <c r="Y155" i="2" s="1"/>
  <c r="Z155" i="2" s="1"/>
  <c r="AD155" i="2"/>
  <c r="AC155" i="2"/>
  <c r="W155" i="2"/>
  <c r="R155" i="2"/>
  <c r="Q155" i="2"/>
  <c r="P155" i="2"/>
  <c r="O155" i="2"/>
  <c r="N155" i="2"/>
  <c r="L155" i="2"/>
  <c r="M155" i="2" s="1"/>
  <c r="K155" i="2"/>
  <c r="E155" i="2"/>
  <c r="C155" i="2"/>
  <c r="AE154" i="2"/>
  <c r="Y154" i="2" s="1"/>
  <c r="Z154" i="2" s="1"/>
  <c r="AD154" i="2"/>
  <c r="AC154" i="2"/>
  <c r="W154" i="2"/>
  <c r="R154" i="2"/>
  <c r="Q154" i="2"/>
  <c r="P154" i="2"/>
  <c r="O154" i="2"/>
  <c r="N154" i="2"/>
  <c r="L154" i="2"/>
  <c r="K154" i="2" s="1"/>
  <c r="E154" i="2"/>
  <c r="C154" i="2"/>
  <c r="AE153" i="2"/>
  <c r="AD153" i="2"/>
  <c r="AC153" i="2"/>
  <c r="Y153" i="2"/>
  <c r="Z153" i="2" s="1"/>
  <c r="X153" i="2"/>
  <c r="W153" i="2"/>
  <c r="T153" i="2"/>
  <c r="S153" i="2"/>
  <c r="R153" i="2"/>
  <c r="Q153" i="2"/>
  <c r="P153" i="2"/>
  <c r="O153" i="2"/>
  <c r="N153" i="2"/>
  <c r="M153" i="2"/>
  <c r="V153" i="2" s="1"/>
  <c r="L153" i="2"/>
  <c r="K153" i="2"/>
  <c r="E153" i="2"/>
  <c r="C153" i="2"/>
  <c r="AE152" i="2"/>
  <c r="Y152" i="2" s="1"/>
  <c r="Z152" i="2" s="1"/>
  <c r="AD152" i="2"/>
  <c r="AC152" i="2"/>
  <c r="X152" i="2"/>
  <c r="W152" i="2"/>
  <c r="T152" i="2"/>
  <c r="S152" i="2"/>
  <c r="R152" i="2"/>
  <c r="Q152" i="2"/>
  <c r="P152" i="2"/>
  <c r="O152" i="2"/>
  <c r="N152" i="2"/>
  <c r="L152" i="2"/>
  <c r="M152" i="2" s="1"/>
  <c r="V152" i="2" s="1"/>
  <c r="K152" i="2"/>
  <c r="E152" i="2"/>
  <c r="C152" i="2"/>
  <c r="AE151" i="2"/>
  <c r="AD151" i="2"/>
  <c r="AC151" i="2"/>
  <c r="Y151" i="2"/>
  <c r="Z151" i="2" s="1"/>
  <c r="W151" i="2"/>
  <c r="R151" i="2"/>
  <c r="Q151" i="2"/>
  <c r="P151" i="2"/>
  <c r="O151" i="2"/>
  <c r="N151" i="2"/>
  <c r="L151" i="2"/>
  <c r="E151" i="2"/>
  <c r="C151" i="2"/>
  <c r="AE150" i="2"/>
  <c r="Y150" i="2" s="1"/>
  <c r="Z150" i="2" s="1"/>
  <c r="AD150" i="2"/>
  <c r="AC150" i="2"/>
  <c r="W150" i="2"/>
  <c r="R150" i="2"/>
  <c r="Q150" i="2"/>
  <c r="P150" i="2"/>
  <c r="O150" i="2"/>
  <c r="N150" i="2"/>
  <c r="L150" i="2"/>
  <c r="M150" i="2" s="1"/>
  <c r="E150" i="2"/>
  <c r="C150" i="2"/>
  <c r="AE149" i="2"/>
  <c r="AD149" i="2"/>
  <c r="AC149" i="2"/>
  <c r="Y149" i="2"/>
  <c r="Z149" i="2" s="1"/>
  <c r="W149" i="2"/>
  <c r="R149" i="2"/>
  <c r="Q149" i="2"/>
  <c r="P149" i="2"/>
  <c r="O149" i="2"/>
  <c r="N149" i="2"/>
  <c r="L149" i="2"/>
  <c r="M149" i="2" s="1"/>
  <c r="K149" i="2"/>
  <c r="E149" i="2"/>
  <c r="C149" i="2"/>
  <c r="AE148" i="2"/>
  <c r="Y148" i="2" s="1"/>
  <c r="Z148" i="2" s="1"/>
  <c r="AD148" i="2"/>
  <c r="AC148" i="2"/>
  <c r="W148" i="2"/>
  <c r="R148" i="2"/>
  <c r="Q148" i="2"/>
  <c r="P148" i="2"/>
  <c r="O148" i="2"/>
  <c r="N148" i="2"/>
  <c r="L148" i="2"/>
  <c r="M148" i="2" s="1"/>
  <c r="K148" i="2"/>
  <c r="E148" i="2"/>
  <c r="C148" i="2"/>
  <c r="AE147" i="2"/>
  <c r="Y147" i="2" s="1"/>
  <c r="Z147" i="2" s="1"/>
  <c r="AD147" i="2"/>
  <c r="AC147" i="2"/>
  <c r="X147" i="2"/>
  <c r="W147" i="2"/>
  <c r="S147" i="2"/>
  <c r="R147" i="2"/>
  <c r="Q147" i="2"/>
  <c r="P147" i="2"/>
  <c r="O147" i="2"/>
  <c r="N147" i="2"/>
  <c r="L147" i="2"/>
  <c r="M147" i="2" s="1"/>
  <c r="E147" i="2"/>
  <c r="C147" i="2"/>
  <c r="AE146" i="2"/>
  <c r="AD146" i="2"/>
  <c r="AC146" i="2"/>
  <c r="Y146" i="2"/>
  <c r="Z146" i="2" s="1"/>
  <c r="X146" i="2"/>
  <c r="W146" i="2"/>
  <c r="T146" i="2"/>
  <c r="S146" i="2"/>
  <c r="R146" i="2"/>
  <c r="Q146" i="2"/>
  <c r="P146" i="2"/>
  <c r="O146" i="2"/>
  <c r="N146" i="2"/>
  <c r="M146" i="2"/>
  <c r="V146" i="2" s="1"/>
  <c r="L146" i="2"/>
  <c r="K146" i="2" s="1"/>
  <c r="E146" i="2"/>
  <c r="C146" i="2"/>
  <c r="AE145" i="2"/>
  <c r="AD145" i="2"/>
  <c r="AC145" i="2"/>
  <c r="Y145" i="2"/>
  <c r="Z145" i="2" s="1"/>
  <c r="W145" i="2"/>
  <c r="R145" i="2"/>
  <c r="Q145" i="2"/>
  <c r="P145" i="2"/>
  <c r="O145" i="2"/>
  <c r="N145" i="2"/>
  <c r="L145" i="2"/>
  <c r="M145" i="2" s="1"/>
  <c r="K145" i="2"/>
  <c r="E145" i="2"/>
  <c r="C145" i="2"/>
  <c r="AE144" i="2"/>
  <c r="Y144" i="2" s="1"/>
  <c r="Z144" i="2" s="1"/>
  <c r="AD144" i="2"/>
  <c r="AC144" i="2"/>
  <c r="W144" i="2"/>
  <c r="R144" i="2"/>
  <c r="Q144" i="2"/>
  <c r="P144" i="2"/>
  <c r="O144" i="2"/>
  <c r="N144" i="2"/>
  <c r="L144" i="2"/>
  <c r="K144" i="2" s="1"/>
  <c r="E144" i="2"/>
  <c r="C144" i="2"/>
  <c r="AE143" i="2"/>
  <c r="AD143" i="2"/>
  <c r="AC143" i="2"/>
  <c r="Y143" i="2"/>
  <c r="Z143" i="2" s="1"/>
  <c r="W143" i="2"/>
  <c r="R143" i="2"/>
  <c r="Q143" i="2"/>
  <c r="P143" i="2"/>
  <c r="O143" i="2"/>
  <c r="N143" i="2"/>
  <c r="M143" i="2"/>
  <c r="V143" i="2" s="1"/>
  <c r="L143" i="2"/>
  <c r="K143" i="2"/>
  <c r="E143" i="2"/>
  <c r="C143" i="2"/>
  <c r="AE142" i="2"/>
  <c r="Y142" i="2" s="1"/>
  <c r="Z142" i="2" s="1"/>
  <c r="AD142" i="2"/>
  <c r="AC142" i="2"/>
  <c r="X142" i="2"/>
  <c r="W142" i="2"/>
  <c r="T142" i="2"/>
  <c r="S142" i="2"/>
  <c r="R142" i="2"/>
  <c r="Q142" i="2"/>
  <c r="P142" i="2"/>
  <c r="O142" i="2"/>
  <c r="N142" i="2"/>
  <c r="L142" i="2"/>
  <c r="M142" i="2" s="1"/>
  <c r="V142" i="2" s="1"/>
  <c r="K142" i="2"/>
  <c r="E142" i="2"/>
  <c r="C142" i="2"/>
  <c r="AE141" i="2"/>
  <c r="AD141" i="2"/>
  <c r="AC141" i="2"/>
  <c r="Y141" i="2"/>
  <c r="Z141" i="2" s="1"/>
  <c r="W141" i="2"/>
  <c r="T141" i="2"/>
  <c r="S141" i="2"/>
  <c r="R141" i="2"/>
  <c r="Q141" i="2"/>
  <c r="P141" i="2"/>
  <c r="O141" i="2"/>
  <c r="N141" i="2"/>
  <c r="M141" i="2"/>
  <c r="L141" i="2"/>
  <c r="K141" i="2" s="1"/>
  <c r="E141" i="2"/>
  <c r="C141" i="2"/>
  <c r="AE140" i="2"/>
  <c r="Y140" i="2" s="1"/>
  <c r="Z140" i="2" s="1"/>
  <c r="AD140" i="2"/>
  <c r="AC140" i="2"/>
  <c r="W140" i="2"/>
  <c r="R140" i="2"/>
  <c r="Q140" i="2"/>
  <c r="P140" i="2"/>
  <c r="O140" i="2"/>
  <c r="N140" i="2"/>
  <c r="L140" i="2"/>
  <c r="M140" i="2" s="1"/>
  <c r="K140" i="2"/>
  <c r="E140" i="2"/>
  <c r="C140" i="2"/>
  <c r="AE139" i="2"/>
  <c r="Y139" i="2" s="1"/>
  <c r="Z139" i="2" s="1"/>
  <c r="AD139" i="2"/>
  <c r="AC139" i="2"/>
  <c r="W139" i="2"/>
  <c r="R139" i="2"/>
  <c r="Q139" i="2"/>
  <c r="P139" i="2"/>
  <c r="O139" i="2"/>
  <c r="N139" i="2"/>
  <c r="M139" i="2"/>
  <c r="L139" i="2"/>
  <c r="K139" i="2"/>
  <c r="E139" i="2"/>
  <c r="C139" i="2"/>
  <c r="AE138" i="2"/>
  <c r="Y138" i="2" s="1"/>
  <c r="Z138" i="2" s="1"/>
  <c r="AD138" i="2"/>
  <c r="AC138" i="2"/>
  <c r="W138" i="2"/>
  <c r="R138" i="2"/>
  <c r="Q138" i="2"/>
  <c r="P138" i="2"/>
  <c r="O138" i="2"/>
  <c r="N138" i="2"/>
  <c r="L138" i="2"/>
  <c r="M138" i="2" s="1"/>
  <c r="E138" i="2"/>
  <c r="C138" i="2"/>
  <c r="AE137" i="2"/>
  <c r="Y137" i="2" s="1"/>
  <c r="Z137" i="2" s="1"/>
  <c r="AD137" i="2"/>
  <c r="AC137" i="2"/>
  <c r="X137" i="2"/>
  <c r="W137" i="2"/>
  <c r="S137" i="2"/>
  <c r="R137" i="2"/>
  <c r="Q137" i="2"/>
  <c r="P137" i="2"/>
  <c r="O137" i="2"/>
  <c r="N137" i="2"/>
  <c r="L137" i="2"/>
  <c r="M137" i="2" s="1"/>
  <c r="K137" i="2"/>
  <c r="E137" i="2"/>
  <c r="C137" i="2"/>
  <c r="AE136" i="2"/>
  <c r="AD136" i="2"/>
  <c r="AC136" i="2"/>
  <c r="Y136" i="2"/>
  <c r="Z136" i="2" s="1"/>
  <c r="X136" i="2"/>
  <c r="W136" i="2"/>
  <c r="T136" i="2"/>
  <c r="S136" i="2"/>
  <c r="R136" i="2"/>
  <c r="Q136" i="2"/>
  <c r="P136" i="2"/>
  <c r="O136" i="2"/>
  <c r="N136" i="2"/>
  <c r="M136" i="2"/>
  <c r="V136" i="2" s="1"/>
  <c r="L136" i="2"/>
  <c r="K136" i="2" s="1"/>
  <c r="E136" i="2"/>
  <c r="C136" i="2"/>
  <c r="AE135" i="2"/>
  <c r="AD135" i="2"/>
  <c r="AC135" i="2"/>
  <c r="Y135" i="2"/>
  <c r="Z135" i="2" s="1"/>
  <c r="W135" i="2"/>
  <c r="R135" i="2"/>
  <c r="Q135" i="2"/>
  <c r="P135" i="2"/>
  <c r="O135" i="2"/>
  <c r="N135" i="2"/>
  <c r="L135" i="2"/>
  <c r="M135" i="2" s="1"/>
  <c r="K135" i="2"/>
  <c r="E135" i="2"/>
  <c r="C135" i="2"/>
  <c r="AE134" i="2"/>
  <c r="Y134" i="2" s="1"/>
  <c r="Z134" i="2" s="1"/>
  <c r="AD134" i="2"/>
  <c r="AC134" i="2"/>
  <c r="W134" i="2"/>
  <c r="R134" i="2"/>
  <c r="Q134" i="2"/>
  <c r="P134" i="2"/>
  <c r="O134" i="2"/>
  <c r="N134" i="2"/>
  <c r="L134" i="2"/>
  <c r="K134" i="2" s="1"/>
  <c r="E134" i="2"/>
  <c r="C134" i="2"/>
  <c r="AE133" i="2"/>
  <c r="AD133" i="2"/>
  <c r="AC133" i="2"/>
  <c r="Y133" i="2"/>
  <c r="Z133" i="2" s="1"/>
  <c r="W133" i="2"/>
  <c r="R133" i="2"/>
  <c r="Q133" i="2"/>
  <c r="P133" i="2"/>
  <c r="O133" i="2"/>
  <c r="N133" i="2"/>
  <c r="M133" i="2"/>
  <c r="V133" i="2" s="1"/>
  <c r="L133" i="2"/>
  <c r="K133" i="2"/>
  <c r="E133" i="2"/>
  <c r="C133" i="2"/>
  <c r="AE132" i="2"/>
  <c r="Y132" i="2" s="1"/>
  <c r="Z132" i="2" s="1"/>
  <c r="AD132" i="2"/>
  <c r="AC132" i="2"/>
  <c r="W132" i="2"/>
  <c r="T132" i="2"/>
  <c r="R132" i="2"/>
  <c r="Q132" i="2"/>
  <c r="P132" i="2"/>
  <c r="O132" i="2"/>
  <c r="N132" i="2"/>
  <c r="L132" i="2"/>
  <c r="M132" i="2" s="1"/>
  <c r="V132" i="2" s="1"/>
  <c r="K132" i="2"/>
  <c r="E132" i="2"/>
  <c r="C132" i="2"/>
  <c r="AE131" i="2"/>
  <c r="AD131" i="2"/>
  <c r="AC131" i="2"/>
  <c r="Y131" i="2"/>
  <c r="Z131" i="2" s="1"/>
  <c r="W131" i="2"/>
  <c r="R131" i="2"/>
  <c r="Q131" i="2"/>
  <c r="P131" i="2"/>
  <c r="O131" i="2"/>
  <c r="N131" i="2"/>
  <c r="L131" i="2"/>
  <c r="K131" i="2" s="1"/>
  <c r="E131" i="2"/>
  <c r="C131" i="2"/>
  <c r="AE130" i="2"/>
  <c r="Y130" i="2" s="1"/>
  <c r="Z130" i="2" s="1"/>
  <c r="AD130" i="2"/>
  <c r="AC130" i="2"/>
  <c r="W130" i="2"/>
  <c r="R130" i="2"/>
  <c r="Q130" i="2"/>
  <c r="P130" i="2"/>
  <c r="O130" i="2"/>
  <c r="N130" i="2"/>
  <c r="L130" i="2"/>
  <c r="K130" i="2" s="1"/>
  <c r="E130" i="2"/>
  <c r="C130" i="2"/>
  <c r="AE129" i="2"/>
  <c r="AD129" i="2"/>
  <c r="AC129" i="2"/>
  <c r="Y129" i="2"/>
  <c r="Z129" i="2" s="1"/>
  <c r="W129" i="2"/>
  <c r="R129" i="2"/>
  <c r="Q129" i="2"/>
  <c r="P129" i="2"/>
  <c r="O129" i="2"/>
  <c r="N129" i="2"/>
  <c r="M129" i="2"/>
  <c r="L129" i="2"/>
  <c r="K129" i="2" s="1"/>
  <c r="E129" i="2"/>
  <c r="C129" i="2"/>
  <c r="AE128" i="2"/>
  <c r="Y128" i="2" s="1"/>
  <c r="Z128" i="2" s="1"/>
  <c r="AD128" i="2"/>
  <c r="AC128" i="2"/>
  <c r="W128" i="2"/>
  <c r="R128" i="2"/>
  <c r="Q128" i="2"/>
  <c r="P128" i="2"/>
  <c r="O128" i="2"/>
  <c r="N128" i="2"/>
  <c r="L128" i="2"/>
  <c r="M128" i="2" s="1"/>
  <c r="K128" i="2"/>
  <c r="E128" i="2"/>
  <c r="C128" i="2"/>
  <c r="AE127" i="2"/>
  <c r="Y127" i="2" s="1"/>
  <c r="Z127" i="2" s="1"/>
  <c r="AD127" i="2"/>
  <c r="AC127" i="2"/>
  <c r="X127" i="2"/>
  <c r="W127" i="2"/>
  <c r="S127" i="2"/>
  <c r="R127" i="2"/>
  <c r="Q127" i="2"/>
  <c r="P127" i="2"/>
  <c r="O127" i="2"/>
  <c r="N127" i="2"/>
  <c r="L127" i="2"/>
  <c r="M127" i="2" s="1"/>
  <c r="K127" i="2"/>
  <c r="E127" i="2"/>
  <c r="C127" i="2"/>
  <c r="AE126" i="2"/>
  <c r="AD126" i="2"/>
  <c r="AC126" i="2"/>
  <c r="Y126" i="2"/>
  <c r="Z126" i="2" s="1"/>
  <c r="X126" i="2"/>
  <c r="W126" i="2"/>
  <c r="T126" i="2"/>
  <c r="S126" i="2"/>
  <c r="R126" i="2"/>
  <c r="Q126" i="2"/>
  <c r="P126" i="2"/>
  <c r="O126" i="2"/>
  <c r="N126" i="2"/>
  <c r="M126" i="2"/>
  <c r="V126" i="2" s="1"/>
  <c r="L126" i="2"/>
  <c r="K126" i="2" s="1"/>
  <c r="E126" i="2"/>
  <c r="C126" i="2"/>
  <c r="AE125" i="2"/>
  <c r="AD125" i="2"/>
  <c r="AC125" i="2"/>
  <c r="Y125" i="2"/>
  <c r="Z125" i="2" s="1"/>
  <c r="X125" i="2"/>
  <c r="W125" i="2"/>
  <c r="T125" i="2"/>
  <c r="R125" i="2"/>
  <c r="Q125" i="2"/>
  <c r="P125" i="2"/>
  <c r="O125" i="2"/>
  <c r="N125" i="2"/>
  <c r="L125" i="2"/>
  <c r="M125" i="2" s="1"/>
  <c r="K125" i="2"/>
  <c r="E125" i="2"/>
  <c r="C125" i="2"/>
  <c r="AE124" i="2"/>
  <c r="AD124" i="2"/>
  <c r="AC124" i="2"/>
  <c r="Y124" i="2"/>
  <c r="Z124" i="2" s="1"/>
  <c r="W124" i="2"/>
  <c r="R124" i="2"/>
  <c r="Q124" i="2"/>
  <c r="P124" i="2"/>
  <c r="O124" i="2"/>
  <c r="N124" i="2"/>
  <c r="L124" i="2"/>
  <c r="K124" i="2" s="1"/>
  <c r="E124" i="2"/>
  <c r="C124" i="2"/>
  <c r="AE123" i="2"/>
  <c r="AD123" i="2"/>
  <c r="AC123" i="2"/>
  <c r="Y123" i="2"/>
  <c r="Z123" i="2" s="1"/>
  <c r="W123" i="2"/>
  <c r="R123" i="2"/>
  <c r="Q123" i="2"/>
  <c r="P123" i="2"/>
  <c r="O123" i="2"/>
  <c r="N123" i="2"/>
  <c r="M123" i="2"/>
  <c r="L123" i="2"/>
  <c r="K123" i="2"/>
  <c r="E123" i="2"/>
  <c r="C123" i="2"/>
  <c r="AE122" i="2"/>
  <c r="Y122" i="2" s="1"/>
  <c r="Z122" i="2" s="1"/>
  <c r="AD122" i="2"/>
  <c r="AC122" i="2"/>
  <c r="X122" i="2"/>
  <c r="W122" i="2"/>
  <c r="R122" i="2"/>
  <c r="Q122" i="2"/>
  <c r="P122" i="2"/>
  <c r="O122" i="2"/>
  <c r="N122" i="2"/>
  <c r="L122" i="2"/>
  <c r="M122" i="2" s="1"/>
  <c r="V122" i="2" s="1"/>
  <c r="K122" i="2"/>
  <c r="E122" i="2"/>
  <c r="C122" i="2"/>
  <c r="AE121" i="2"/>
  <c r="AD121" i="2"/>
  <c r="AC121" i="2"/>
  <c r="Y121" i="2"/>
  <c r="Z121" i="2" s="1"/>
  <c r="W121" i="2"/>
  <c r="R121" i="2"/>
  <c r="Q121" i="2"/>
  <c r="P121" i="2"/>
  <c r="O121" i="2"/>
  <c r="N121" i="2"/>
  <c r="L121" i="2"/>
  <c r="K121" i="2" s="1"/>
  <c r="E121" i="2"/>
  <c r="C121" i="2"/>
  <c r="AE120" i="2"/>
  <c r="Y120" i="2" s="1"/>
  <c r="Z120" i="2" s="1"/>
  <c r="AD120" i="2"/>
  <c r="AC120" i="2"/>
  <c r="W120" i="2"/>
  <c r="R120" i="2"/>
  <c r="Q120" i="2"/>
  <c r="P120" i="2"/>
  <c r="O120" i="2"/>
  <c r="N120" i="2"/>
  <c r="L120" i="2"/>
  <c r="M120" i="2" s="1"/>
  <c r="K120" i="2"/>
  <c r="E120" i="2"/>
  <c r="C120" i="2"/>
  <c r="AE119" i="2"/>
  <c r="AD119" i="2"/>
  <c r="AC119" i="2"/>
  <c r="Y119" i="2"/>
  <c r="Z119" i="2" s="1"/>
  <c r="W119" i="2"/>
  <c r="R119" i="2"/>
  <c r="Q119" i="2"/>
  <c r="P119" i="2"/>
  <c r="O119" i="2"/>
  <c r="N119" i="2"/>
  <c r="L119" i="2"/>
  <c r="M119" i="2" s="1"/>
  <c r="K119" i="2"/>
  <c r="E119" i="2"/>
  <c r="C119" i="2"/>
  <c r="AE118" i="2"/>
  <c r="Y118" i="2" s="1"/>
  <c r="Z118" i="2" s="1"/>
  <c r="AD118" i="2"/>
  <c r="AC118" i="2"/>
  <c r="W118" i="2"/>
  <c r="R118" i="2"/>
  <c r="Q118" i="2"/>
  <c r="P118" i="2"/>
  <c r="O118" i="2"/>
  <c r="N118" i="2"/>
  <c r="L118" i="2"/>
  <c r="K118" i="2" s="1"/>
  <c r="E118" i="2"/>
  <c r="C118" i="2"/>
  <c r="AE117" i="2"/>
  <c r="Y117" i="2" s="1"/>
  <c r="Z117" i="2" s="1"/>
  <c r="AD117" i="2"/>
  <c r="AC117" i="2"/>
  <c r="W117" i="2"/>
  <c r="R117" i="2"/>
  <c r="Q117" i="2"/>
  <c r="P117" i="2"/>
  <c r="O117" i="2"/>
  <c r="N117" i="2"/>
  <c r="L117" i="2"/>
  <c r="M117" i="2" s="1"/>
  <c r="X117" i="2" s="1"/>
  <c r="K117" i="2"/>
  <c r="E117" i="2"/>
  <c r="C117" i="2"/>
  <c r="AE116" i="2"/>
  <c r="Y116" i="2" s="1"/>
  <c r="Z116" i="2" s="1"/>
  <c r="AD116" i="2"/>
  <c r="AC116" i="2"/>
  <c r="X116" i="2"/>
  <c r="W116" i="2"/>
  <c r="T116" i="2"/>
  <c r="R116" i="2"/>
  <c r="Q116" i="2"/>
  <c r="P116" i="2"/>
  <c r="O116" i="2"/>
  <c r="N116" i="2"/>
  <c r="M116" i="2"/>
  <c r="V116" i="2" s="1"/>
  <c r="L116" i="2"/>
  <c r="K116" i="2" s="1"/>
  <c r="E116" i="2"/>
  <c r="C116" i="2"/>
  <c r="AE115" i="2"/>
  <c r="AD115" i="2"/>
  <c r="AC115" i="2"/>
  <c r="Y115" i="2"/>
  <c r="Z115" i="2" s="1"/>
  <c r="X115" i="2"/>
  <c r="W115" i="2"/>
  <c r="T115" i="2"/>
  <c r="R115" i="2"/>
  <c r="Q115" i="2"/>
  <c r="P115" i="2"/>
  <c r="O115" i="2"/>
  <c r="N115" i="2"/>
  <c r="L115" i="2"/>
  <c r="M115" i="2" s="1"/>
  <c r="K115" i="2"/>
  <c r="E115" i="2"/>
  <c r="C115" i="2"/>
  <c r="AE114" i="2"/>
  <c r="AD114" i="2"/>
  <c r="AC114" i="2"/>
  <c r="Y114" i="2"/>
  <c r="Z114" i="2" s="1"/>
  <c r="W114" i="2"/>
  <c r="S114" i="2"/>
  <c r="R114" i="2"/>
  <c r="Q114" i="2"/>
  <c r="P114" i="2"/>
  <c r="O114" i="2"/>
  <c r="N114" i="2"/>
  <c r="M114" i="2"/>
  <c r="L114" i="2"/>
  <c r="K114" i="2" s="1"/>
  <c r="E114" i="2"/>
  <c r="C114" i="2"/>
  <c r="AE113" i="2"/>
  <c r="AD113" i="2"/>
  <c r="AC113" i="2"/>
  <c r="Y113" i="2"/>
  <c r="Z113" i="2" s="1"/>
  <c r="W113" i="2"/>
  <c r="R113" i="2"/>
  <c r="Q113" i="2"/>
  <c r="P113" i="2"/>
  <c r="O113" i="2"/>
  <c r="N113" i="2"/>
  <c r="M113" i="2"/>
  <c r="L113" i="2"/>
  <c r="K113" i="2"/>
  <c r="E113" i="2"/>
  <c r="C113" i="2"/>
  <c r="AE112" i="2"/>
  <c r="Y112" i="2" s="1"/>
  <c r="Z112" i="2" s="1"/>
  <c r="AD112" i="2"/>
  <c r="AC112" i="2"/>
  <c r="W112" i="2"/>
  <c r="R112" i="2"/>
  <c r="Q112" i="2"/>
  <c r="P112" i="2"/>
  <c r="O112" i="2"/>
  <c r="N112" i="2"/>
  <c r="L112" i="2"/>
  <c r="M112" i="2" s="1"/>
  <c r="E112" i="2"/>
  <c r="C112" i="2"/>
  <c r="AE111" i="2"/>
  <c r="Y111" i="2" s="1"/>
  <c r="Z111" i="2" s="1"/>
  <c r="AD111" i="2"/>
  <c r="AC111" i="2"/>
  <c r="W111" i="2"/>
  <c r="R111" i="2"/>
  <c r="Q111" i="2"/>
  <c r="P111" i="2"/>
  <c r="O111" i="2"/>
  <c r="N111" i="2"/>
  <c r="L111" i="2"/>
  <c r="K111" i="2" s="1"/>
  <c r="E111" i="2"/>
  <c r="C111" i="2"/>
  <c r="AE110" i="2"/>
  <c r="Y110" i="2" s="1"/>
  <c r="Z110" i="2" s="1"/>
  <c r="AD110" i="2"/>
  <c r="AC110" i="2"/>
  <c r="W110" i="2"/>
  <c r="T110" i="2"/>
  <c r="R110" i="2"/>
  <c r="Q110" i="2"/>
  <c r="P110" i="2"/>
  <c r="O110" i="2"/>
  <c r="N110" i="2"/>
  <c r="M110" i="2"/>
  <c r="L110" i="2"/>
  <c r="K110" i="2"/>
  <c r="E110" i="2"/>
  <c r="C110" i="2"/>
  <c r="AE109" i="2"/>
  <c r="AD109" i="2"/>
  <c r="AC109" i="2"/>
  <c r="Y109" i="2"/>
  <c r="Z109" i="2" s="1"/>
  <c r="W109" i="2"/>
  <c r="R109" i="2"/>
  <c r="Q109" i="2"/>
  <c r="P109" i="2"/>
  <c r="O109" i="2"/>
  <c r="N109" i="2"/>
  <c r="L109" i="2"/>
  <c r="M109" i="2" s="1"/>
  <c r="K109" i="2"/>
  <c r="E109" i="2"/>
  <c r="C109" i="2"/>
  <c r="AE108" i="2"/>
  <c r="AD108" i="2"/>
  <c r="AC108" i="2"/>
  <c r="Y108" i="2"/>
  <c r="Z108" i="2" s="1"/>
  <c r="W108" i="2"/>
  <c r="R108" i="2"/>
  <c r="Q108" i="2"/>
  <c r="P108" i="2"/>
  <c r="O108" i="2"/>
  <c r="N108" i="2"/>
  <c r="L108" i="2"/>
  <c r="M108" i="2" s="1"/>
  <c r="K108" i="2"/>
  <c r="E108" i="2"/>
  <c r="C108" i="2"/>
  <c r="AE107" i="2"/>
  <c r="Y107" i="2" s="1"/>
  <c r="Z107" i="2" s="1"/>
  <c r="AD107" i="2"/>
  <c r="AC107" i="2"/>
  <c r="W107" i="2"/>
  <c r="R107" i="2"/>
  <c r="Q107" i="2"/>
  <c r="P107" i="2"/>
  <c r="O107" i="2"/>
  <c r="N107" i="2"/>
  <c r="L107" i="2"/>
  <c r="M107" i="2" s="1"/>
  <c r="K107" i="2"/>
  <c r="E107" i="2"/>
  <c r="C107" i="2"/>
  <c r="AE106" i="2"/>
  <c r="AD106" i="2"/>
  <c r="AC106" i="2"/>
  <c r="Y106" i="2"/>
  <c r="Z106" i="2" s="1"/>
  <c r="W106" i="2"/>
  <c r="R106" i="2"/>
  <c r="Q106" i="2"/>
  <c r="P106" i="2"/>
  <c r="O106" i="2"/>
  <c r="N106" i="2"/>
  <c r="L106" i="2"/>
  <c r="K106" i="2" s="1"/>
  <c r="E106" i="2"/>
  <c r="C106" i="2"/>
  <c r="AE105" i="2"/>
  <c r="Y105" i="2" s="1"/>
  <c r="Z105" i="2" s="1"/>
  <c r="AD105" i="2"/>
  <c r="AC105" i="2"/>
  <c r="X105" i="2"/>
  <c r="W105" i="2"/>
  <c r="T105" i="2"/>
  <c r="R105" i="2"/>
  <c r="Q105" i="2"/>
  <c r="P105" i="2"/>
  <c r="O105" i="2"/>
  <c r="N105" i="2"/>
  <c r="L105" i="2"/>
  <c r="M105" i="2" s="1"/>
  <c r="K105" i="2"/>
  <c r="E105" i="2"/>
  <c r="C105" i="2"/>
  <c r="AE104" i="2"/>
  <c r="AD104" i="2"/>
  <c r="AC104" i="2"/>
  <c r="Y104" i="2"/>
  <c r="Z104" i="2" s="1"/>
  <c r="X104" i="2"/>
  <c r="W104" i="2"/>
  <c r="T104" i="2"/>
  <c r="S104" i="2"/>
  <c r="R104" i="2"/>
  <c r="Q104" i="2"/>
  <c r="P104" i="2"/>
  <c r="O104" i="2"/>
  <c r="N104" i="2"/>
  <c r="M104" i="2"/>
  <c r="V104" i="2" s="1"/>
  <c r="L104" i="2"/>
  <c r="K104" i="2" s="1"/>
  <c r="E104" i="2"/>
  <c r="C104" i="2"/>
  <c r="AE103" i="2"/>
  <c r="AD103" i="2"/>
  <c r="AC103" i="2"/>
  <c r="Y103" i="2"/>
  <c r="Z103" i="2" s="1"/>
  <c r="W103" i="2"/>
  <c r="S103" i="2"/>
  <c r="R103" i="2"/>
  <c r="Q103" i="2"/>
  <c r="P103" i="2"/>
  <c r="O103" i="2"/>
  <c r="N103" i="2"/>
  <c r="M103" i="2"/>
  <c r="L103" i="2"/>
  <c r="K103" i="2"/>
  <c r="E103" i="2"/>
  <c r="C103" i="2"/>
  <c r="AE102" i="2"/>
  <c r="Y102" i="2" s="1"/>
  <c r="Z102" i="2" s="1"/>
  <c r="AD102" i="2"/>
  <c r="AC102" i="2"/>
  <c r="W102" i="2"/>
  <c r="R102" i="2"/>
  <c r="Q102" i="2"/>
  <c r="P102" i="2"/>
  <c r="O102" i="2"/>
  <c r="N102" i="2"/>
  <c r="L102" i="2"/>
  <c r="M102" i="2" s="1"/>
  <c r="K102" i="2"/>
  <c r="E102" i="2"/>
  <c r="C102" i="2"/>
  <c r="AE101" i="2"/>
  <c r="Y101" i="2" s="1"/>
  <c r="Z101" i="2" s="1"/>
  <c r="AD101" i="2"/>
  <c r="AC101" i="2"/>
  <c r="W101" i="2"/>
  <c r="R101" i="2"/>
  <c r="Q101" i="2"/>
  <c r="P101" i="2"/>
  <c r="O101" i="2"/>
  <c r="N101" i="2"/>
  <c r="M101" i="2"/>
  <c r="L101" i="2"/>
  <c r="K101" i="2" s="1"/>
  <c r="E101" i="2"/>
  <c r="C101" i="2"/>
  <c r="AE100" i="2"/>
  <c r="Y100" i="2" s="1"/>
  <c r="Z100" i="2" s="1"/>
  <c r="AD100" i="2"/>
  <c r="AC100" i="2"/>
  <c r="W100" i="2"/>
  <c r="R100" i="2"/>
  <c r="Q100" i="2"/>
  <c r="P100" i="2"/>
  <c r="O100" i="2"/>
  <c r="N100" i="2"/>
  <c r="L100" i="2"/>
  <c r="M100" i="2" s="1"/>
  <c r="K100" i="2"/>
  <c r="E100" i="2"/>
  <c r="C100" i="2"/>
  <c r="AE99" i="2"/>
  <c r="AD99" i="2"/>
  <c r="AC99" i="2"/>
  <c r="Y99" i="2"/>
  <c r="Z99" i="2" s="1"/>
  <c r="W99" i="2"/>
  <c r="R99" i="2"/>
  <c r="Q99" i="2"/>
  <c r="P99" i="2"/>
  <c r="O99" i="2"/>
  <c r="N99" i="2"/>
  <c r="L99" i="2"/>
  <c r="M99" i="2" s="1"/>
  <c r="K99" i="2"/>
  <c r="E99" i="2"/>
  <c r="C99" i="2"/>
  <c r="AE98" i="2"/>
  <c r="AD98" i="2"/>
  <c r="AC98" i="2"/>
  <c r="Y98" i="2"/>
  <c r="Z98" i="2" s="1"/>
  <c r="W98" i="2"/>
  <c r="R98" i="2"/>
  <c r="Q98" i="2"/>
  <c r="P98" i="2"/>
  <c r="O98" i="2"/>
  <c r="N98" i="2"/>
  <c r="L98" i="2"/>
  <c r="M98" i="2" s="1"/>
  <c r="T98" i="2" s="1"/>
  <c r="K98" i="2"/>
  <c r="E98" i="2"/>
  <c r="C98" i="2"/>
  <c r="AE97" i="2"/>
  <c r="Y97" i="2" s="1"/>
  <c r="Z97" i="2" s="1"/>
  <c r="AD97" i="2"/>
  <c r="AC97" i="2"/>
  <c r="W97" i="2"/>
  <c r="R97" i="2"/>
  <c r="Q97" i="2"/>
  <c r="P97" i="2"/>
  <c r="O97" i="2"/>
  <c r="N97" i="2"/>
  <c r="L97" i="2"/>
  <c r="M97" i="2" s="1"/>
  <c r="K97" i="2"/>
  <c r="E97" i="2"/>
  <c r="C97" i="2"/>
  <c r="AE96" i="2"/>
  <c r="Y96" i="2" s="1"/>
  <c r="Z96" i="2" s="1"/>
  <c r="AD96" i="2"/>
  <c r="AC96" i="2"/>
  <c r="W96" i="2"/>
  <c r="R96" i="2"/>
  <c r="Q96" i="2"/>
  <c r="P96" i="2"/>
  <c r="O96" i="2"/>
  <c r="N96" i="2"/>
  <c r="L96" i="2"/>
  <c r="K96" i="2" s="1"/>
  <c r="E96" i="2"/>
  <c r="C96" i="2"/>
  <c r="AE95" i="2"/>
  <c r="Y95" i="2" s="1"/>
  <c r="Z95" i="2" s="1"/>
  <c r="AD95" i="2"/>
  <c r="AC95" i="2"/>
  <c r="W95" i="2"/>
  <c r="R95" i="2"/>
  <c r="Q95" i="2"/>
  <c r="P95" i="2"/>
  <c r="O95" i="2"/>
  <c r="N95" i="2"/>
  <c r="L95" i="2"/>
  <c r="M95" i="2" s="1"/>
  <c r="X95" i="2" s="1"/>
  <c r="K95" i="2"/>
  <c r="E95" i="2"/>
  <c r="C95" i="2"/>
  <c r="AE94" i="2"/>
  <c r="Y94" i="2" s="1"/>
  <c r="Z94" i="2" s="1"/>
  <c r="AD94" i="2"/>
  <c r="AC94" i="2"/>
  <c r="X94" i="2"/>
  <c r="W94" i="2"/>
  <c r="T94" i="2"/>
  <c r="R94" i="2"/>
  <c r="Q94" i="2"/>
  <c r="P94" i="2"/>
  <c r="O94" i="2"/>
  <c r="N94" i="2"/>
  <c r="M94" i="2"/>
  <c r="V94" i="2" s="1"/>
  <c r="L94" i="2"/>
  <c r="K94" i="2" s="1"/>
  <c r="E94" i="2"/>
  <c r="C94" i="2"/>
  <c r="AE93" i="2"/>
  <c r="AD93" i="2"/>
  <c r="AC93" i="2"/>
  <c r="Y93" i="2"/>
  <c r="Z93" i="2" s="1"/>
  <c r="X93" i="2"/>
  <c r="W93" i="2"/>
  <c r="T93" i="2"/>
  <c r="S93" i="2"/>
  <c r="R93" i="2"/>
  <c r="Q93" i="2"/>
  <c r="P93" i="2"/>
  <c r="O93" i="2"/>
  <c r="N93" i="2"/>
  <c r="M93" i="2"/>
  <c r="V93" i="2" s="1"/>
  <c r="L93" i="2"/>
  <c r="K93" i="2"/>
  <c r="E93" i="2"/>
  <c r="C93" i="2"/>
  <c r="AE92" i="2"/>
  <c r="Y92" i="2" s="1"/>
  <c r="Z92" i="2" s="1"/>
  <c r="AD92" i="2"/>
  <c r="AC92" i="2"/>
  <c r="X92" i="2"/>
  <c r="W92" i="2"/>
  <c r="T92" i="2"/>
  <c r="S92" i="2"/>
  <c r="R92" i="2"/>
  <c r="Q92" i="2"/>
  <c r="P92" i="2"/>
  <c r="O92" i="2"/>
  <c r="N92" i="2"/>
  <c r="L92" i="2"/>
  <c r="M92" i="2" s="1"/>
  <c r="V92" i="2" s="1"/>
  <c r="K92" i="2"/>
  <c r="E92" i="2"/>
  <c r="C92" i="2"/>
  <c r="AE91" i="2"/>
  <c r="AD91" i="2"/>
  <c r="AC91" i="2"/>
  <c r="Y91" i="2"/>
  <c r="Z91" i="2" s="1"/>
  <c r="W91" i="2"/>
  <c r="R91" i="2"/>
  <c r="Q91" i="2"/>
  <c r="P91" i="2"/>
  <c r="O91" i="2"/>
  <c r="N91" i="2"/>
  <c r="L91" i="2"/>
  <c r="K91" i="2" s="1"/>
  <c r="E91" i="2"/>
  <c r="C91" i="2"/>
  <c r="AE90" i="2"/>
  <c r="Y90" i="2" s="1"/>
  <c r="Z90" i="2" s="1"/>
  <c r="AD90" i="2"/>
  <c r="AC90" i="2"/>
  <c r="W90" i="2"/>
  <c r="R90" i="2"/>
  <c r="Q90" i="2"/>
  <c r="P90" i="2"/>
  <c r="O90" i="2"/>
  <c r="N90" i="2"/>
  <c r="L90" i="2"/>
  <c r="M90" i="2" s="1"/>
  <c r="K90" i="2"/>
  <c r="E90" i="2"/>
  <c r="C90" i="2"/>
  <c r="AE89" i="2"/>
  <c r="AD89" i="2"/>
  <c r="AC89" i="2"/>
  <c r="Y89" i="2"/>
  <c r="Z89" i="2" s="1"/>
  <c r="W89" i="2"/>
  <c r="S89" i="2"/>
  <c r="R89" i="2"/>
  <c r="Q89" i="2"/>
  <c r="P89" i="2"/>
  <c r="O89" i="2"/>
  <c r="N89" i="2"/>
  <c r="L89" i="2"/>
  <c r="M89" i="2" s="1"/>
  <c r="K89" i="2"/>
  <c r="E89" i="2"/>
  <c r="C89" i="2"/>
  <c r="AE88" i="2"/>
  <c r="Y88" i="2" s="1"/>
  <c r="Z88" i="2" s="1"/>
  <c r="AD88" i="2"/>
  <c r="AC88" i="2"/>
  <c r="W88" i="2"/>
  <c r="T88" i="2"/>
  <c r="R88" i="2"/>
  <c r="Q88" i="2"/>
  <c r="P88" i="2"/>
  <c r="O88" i="2"/>
  <c r="N88" i="2"/>
  <c r="L88" i="2"/>
  <c r="M88" i="2" s="1"/>
  <c r="K88" i="2"/>
  <c r="E88" i="2"/>
  <c r="C88" i="2"/>
  <c r="AE87" i="2"/>
  <c r="Y87" i="2" s="1"/>
  <c r="Z87" i="2" s="1"/>
  <c r="AD87" i="2"/>
  <c r="AC87" i="2"/>
  <c r="X87" i="2"/>
  <c r="W87" i="2"/>
  <c r="S87" i="2"/>
  <c r="R87" i="2"/>
  <c r="Q87" i="2"/>
  <c r="P87" i="2"/>
  <c r="O87" i="2"/>
  <c r="N87" i="2"/>
  <c r="L87" i="2"/>
  <c r="M87" i="2" s="1"/>
  <c r="K87" i="2"/>
  <c r="E87" i="2"/>
  <c r="C87" i="2"/>
  <c r="AE86" i="2"/>
  <c r="AD86" i="2"/>
  <c r="AC86" i="2"/>
  <c r="Y86" i="2"/>
  <c r="Z86" i="2" s="1"/>
  <c r="W86" i="2"/>
  <c r="R86" i="2"/>
  <c r="Q86" i="2"/>
  <c r="P86" i="2"/>
  <c r="O86" i="2"/>
  <c r="N86" i="2"/>
  <c r="M86" i="2"/>
  <c r="L86" i="2"/>
  <c r="K86" i="2" s="1"/>
  <c r="E86" i="2"/>
  <c r="C86" i="2"/>
  <c r="AE85" i="2"/>
  <c r="Y85" i="2" s="1"/>
  <c r="Z85" i="2" s="1"/>
  <c r="AD85" i="2"/>
  <c r="AC85" i="2"/>
  <c r="W85" i="2"/>
  <c r="R85" i="2"/>
  <c r="Q85" i="2"/>
  <c r="P85" i="2"/>
  <c r="O85" i="2"/>
  <c r="N85" i="2"/>
  <c r="L85" i="2"/>
  <c r="M85" i="2" s="1"/>
  <c r="K85" i="2"/>
  <c r="E85" i="2"/>
  <c r="C85" i="2"/>
  <c r="AE84" i="2"/>
  <c r="Y84" i="2" s="1"/>
  <c r="Z84" i="2" s="1"/>
  <c r="AD84" i="2"/>
  <c r="AC84" i="2"/>
  <c r="W84" i="2"/>
  <c r="R84" i="2"/>
  <c r="Q84" i="2"/>
  <c r="P84" i="2"/>
  <c r="O84" i="2"/>
  <c r="N84" i="2"/>
  <c r="M84" i="2"/>
  <c r="V84" i="2" s="1"/>
  <c r="L84" i="2"/>
  <c r="K84" i="2" s="1"/>
  <c r="E84" i="2"/>
  <c r="C84" i="2"/>
  <c r="AE83" i="2"/>
  <c r="Y83" i="2" s="1"/>
  <c r="Z83" i="2" s="1"/>
  <c r="AD83" i="2"/>
  <c r="AC83" i="2"/>
  <c r="X83" i="2"/>
  <c r="W83" i="2"/>
  <c r="T83" i="2"/>
  <c r="S83" i="2"/>
  <c r="R83" i="2"/>
  <c r="Q83" i="2"/>
  <c r="P83" i="2"/>
  <c r="O83" i="2"/>
  <c r="N83" i="2"/>
  <c r="M83" i="2"/>
  <c r="V83" i="2" s="1"/>
  <c r="L83" i="2"/>
  <c r="K83" i="2"/>
  <c r="E83" i="2"/>
  <c r="C83" i="2"/>
  <c r="AE82" i="2"/>
  <c r="Y82" i="2" s="1"/>
  <c r="Z82" i="2" s="1"/>
  <c r="AD82" i="2"/>
  <c r="AC82" i="2"/>
  <c r="X82" i="2"/>
  <c r="W82" i="2"/>
  <c r="T82" i="2"/>
  <c r="S82" i="2"/>
  <c r="R82" i="2"/>
  <c r="Q82" i="2"/>
  <c r="P82" i="2"/>
  <c r="O82" i="2"/>
  <c r="N82" i="2"/>
  <c r="L82" i="2"/>
  <c r="M82" i="2" s="1"/>
  <c r="V82" i="2" s="1"/>
  <c r="K82" i="2"/>
  <c r="E82" i="2"/>
  <c r="C82" i="2"/>
  <c r="AE81" i="2"/>
  <c r="AD81" i="2"/>
  <c r="AC81" i="2"/>
  <c r="Y81" i="2"/>
  <c r="Z81" i="2" s="1"/>
  <c r="W81" i="2"/>
  <c r="R81" i="2"/>
  <c r="Q81" i="2"/>
  <c r="P81" i="2"/>
  <c r="O81" i="2"/>
  <c r="N81" i="2"/>
  <c r="L81" i="2"/>
  <c r="E81" i="2"/>
  <c r="C81" i="2"/>
  <c r="AE80" i="2"/>
  <c r="Y80" i="2" s="1"/>
  <c r="Z80" i="2" s="1"/>
  <c r="AD80" i="2"/>
  <c r="AC80" i="2"/>
  <c r="W80" i="2"/>
  <c r="R80" i="2"/>
  <c r="Q80" i="2"/>
  <c r="P80" i="2"/>
  <c r="O80" i="2"/>
  <c r="N80" i="2"/>
  <c r="L80" i="2"/>
  <c r="M80" i="2" s="1"/>
  <c r="K80" i="2"/>
  <c r="E80" i="2"/>
  <c r="C80" i="2"/>
  <c r="AE79" i="2"/>
  <c r="Y79" i="2" s="1"/>
  <c r="Z79" i="2" s="1"/>
  <c r="AD79" i="2"/>
  <c r="AC79" i="2"/>
  <c r="W79" i="2"/>
  <c r="R79" i="2"/>
  <c r="Q79" i="2"/>
  <c r="P79" i="2"/>
  <c r="O79" i="2"/>
  <c r="N79" i="2"/>
  <c r="L79" i="2"/>
  <c r="M79" i="2" s="1"/>
  <c r="K79" i="2"/>
  <c r="E79" i="2"/>
  <c r="C79" i="2"/>
  <c r="AE78" i="2"/>
  <c r="Y78" i="2" s="1"/>
  <c r="Z78" i="2" s="1"/>
  <c r="AD78" i="2"/>
  <c r="AC78" i="2"/>
  <c r="W78" i="2"/>
  <c r="T78" i="2"/>
  <c r="R78" i="2"/>
  <c r="Q78" i="2"/>
  <c r="P78" i="2"/>
  <c r="O78" i="2"/>
  <c r="N78" i="2"/>
  <c r="L78" i="2"/>
  <c r="M78" i="2" s="1"/>
  <c r="K78" i="2"/>
  <c r="E78" i="2"/>
  <c r="C78" i="2"/>
  <c r="AE77" i="2"/>
  <c r="Y77" i="2" s="1"/>
  <c r="Z77" i="2" s="1"/>
  <c r="AD77" i="2"/>
  <c r="AC77" i="2"/>
  <c r="X77" i="2"/>
  <c r="W77" i="2"/>
  <c r="S77" i="2"/>
  <c r="R77" i="2"/>
  <c r="Q77" i="2"/>
  <c r="P77" i="2"/>
  <c r="O77" i="2"/>
  <c r="N77" i="2"/>
  <c r="L77" i="2"/>
  <c r="M77" i="2" s="1"/>
  <c r="K77" i="2"/>
  <c r="E77" i="2"/>
  <c r="C77" i="2"/>
  <c r="AE76" i="2"/>
  <c r="AD76" i="2"/>
  <c r="AC76" i="2"/>
  <c r="Y76" i="2"/>
  <c r="Z76" i="2" s="1"/>
  <c r="W76" i="2"/>
  <c r="R76" i="2"/>
  <c r="Q76" i="2"/>
  <c r="P76" i="2"/>
  <c r="O76" i="2"/>
  <c r="N76" i="2"/>
  <c r="L76" i="2"/>
  <c r="E76" i="2"/>
  <c r="C76" i="2"/>
  <c r="AE75" i="2"/>
  <c r="AD75" i="2"/>
  <c r="AC75" i="2"/>
  <c r="Y75" i="2"/>
  <c r="Z75" i="2" s="1"/>
  <c r="W75" i="2"/>
  <c r="S75" i="2"/>
  <c r="R75" i="2"/>
  <c r="Q75" i="2"/>
  <c r="P75" i="2"/>
  <c r="O75" i="2"/>
  <c r="N75" i="2"/>
  <c r="M75" i="2"/>
  <c r="L75" i="2"/>
  <c r="K75" i="2" s="1"/>
  <c r="E75" i="2"/>
  <c r="C75" i="2"/>
  <c r="AE74" i="2"/>
  <c r="AD74" i="2"/>
  <c r="AC74" i="2"/>
  <c r="Z74" i="2"/>
  <c r="Y74" i="2"/>
  <c r="W74" i="2"/>
  <c r="R74" i="2"/>
  <c r="Q74" i="2"/>
  <c r="P74" i="2"/>
  <c r="O74" i="2"/>
  <c r="N74" i="2"/>
  <c r="L74" i="2"/>
  <c r="K74" i="2" s="1"/>
  <c r="E74" i="2"/>
  <c r="C74" i="2"/>
  <c r="AE73" i="2"/>
  <c r="Y73" i="2" s="1"/>
  <c r="Z73" i="2" s="1"/>
  <c r="AD73" i="2"/>
  <c r="AC73" i="2"/>
  <c r="W73" i="2"/>
  <c r="R73" i="2"/>
  <c r="Q73" i="2"/>
  <c r="P73" i="2"/>
  <c r="O73" i="2"/>
  <c r="N73" i="2"/>
  <c r="M73" i="2"/>
  <c r="L73" i="2"/>
  <c r="K73" i="2" s="1"/>
  <c r="E73" i="2"/>
  <c r="C73" i="2"/>
  <c r="AE72" i="2"/>
  <c r="Y72" i="2" s="1"/>
  <c r="Z72" i="2" s="1"/>
  <c r="AD72" i="2"/>
  <c r="AC72" i="2"/>
  <c r="W72" i="2"/>
  <c r="R72" i="2"/>
  <c r="Q72" i="2"/>
  <c r="P72" i="2"/>
  <c r="O72" i="2"/>
  <c r="N72" i="2"/>
  <c r="L72" i="2"/>
  <c r="K72" i="2" s="1"/>
  <c r="E72" i="2"/>
  <c r="C72" i="2"/>
  <c r="AE71" i="2"/>
  <c r="Y71" i="2" s="1"/>
  <c r="Z71" i="2" s="1"/>
  <c r="AD71" i="2"/>
  <c r="AC71" i="2"/>
  <c r="W71" i="2"/>
  <c r="R71" i="2"/>
  <c r="Q71" i="2"/>
  <c r="P71" i="2"/>
  <c r="O71" i="2"/>
  <c r="N71" i="2"/>
  <c r="L71" i="2"/>
  <c r="K71" i="2" s="1"/>
  <c r="E71" i="2"/>
  <c r="C71" i="2"/>
  <c r="AE70" i="2"/>
  <c r="AD70" i="2"/>
  <c r="AC70" i="2"/>
  <c r="Y70" i="2"/>
  <c r="Z70" i="2" s="1"/>
  <c r="W70" i="2"/>
  <c r="R70" i="2"/>
  <c r="Q70" i="2"/>
  <c r="P70" i="2"/>
  <c r="O70" i="2"/>
  <c r="N70" i="2"/>
  <c r="L70" i="2"/>
  <c r="K70" i="2" s="1"/>
  <c r="E70" i="2"/>
  <c r="C70" i="2"/>
  <c r="AE69" i="2"/>
  <c r="AD69" i="2"/>
  <c r="AC69" i="2"/>
  <c r="Y69" i="2"/>
  <c r="Z69" i="2" s="1"/>
  <c r="X69" i="2"/>
  <c r="W69" i="2"/>
  <c r="T69" i="2"/>
  <c r="S69" i="2"/>
  <c r="R69" i="2"/>
  <c r="Q69" i="2"/>
  <c r="P69" i="2"/>
  <c r="O69" i="2"/>
  <c r="N69" i="2"/>
  <c r="M69" i="2"/>
  <c r="V69" i="2" s="1"/>
  <c r="L69" i="2"/>
  <c r="K69" i="2" s="1"/>
  <c r="E69" i="2"/>
  <c r="C69" i="2"/>
  <c r="AE68" i="2"/>
  <c r="AD68" i="2"/>
  <c r="AC68" i="2"/>
  <c r="Y68" i="2"/>
  <c r="Z68" i="2" s="1"/>
  <c r="W68" i="2"/>
  <c r="R68" i="2"/>
  <c r="Q68" i="2"/>
  <c r="P68" i="2"/>
  <c r="O68" i="2"/>
  <c r="N68" i="2"/>
  <c r="L68" i="2"/>
  <c r="K68" i="2" s="1"/>
  <c r="E68" i="2"/>
  <c r="C68" i="2"/>
  <c r="AE67" i="2"/>
  <c r="AD67" i="2"/>
  <c r="AC67" i="2"/>
  <c r="Y67" i="2"/>
  <c r="Z67" i="2" s="1"/>
  <c r="X67" i="2"/>
  <c r="W67" i="2"/>
  <c r="T67" i="2"/>
  <c r="S67" i="2"/>
  <c r="R67" i="2"/>
  <c r="Q67" i="2"/>
  <c r="P67" i="2"/>
  <c r="O67" i="2"/>
  <c r="N67" i="2"/>
  <c r="M67" i="2"/>
  <c r="V67" i="2" s="1"/>
  <c r="L67" i="2"/>
  <c r="K67" i="2" s="1"/>
  <c r="E67" i="2"/>
  <c r="C67" i="2"/>
  <c r="AE66" i="2"/>
  <c r="Y66" i="2" s="1"/>
  <c r="Z66" i="2" s="1"/>
  <c r="AD66" i="2"/>
  <c r="AC66" i="2"/>
  <c r="W66" i="2"/>
  <c r="R66" i="2"/>
  <c r="Q66" i="2"/>
  <c r="P66" i="2"/>
  <c r="O66" i="2"/>
  <c r="N66" i="2"/>
  <c r="L66" i="2"/>
  <c r="E66" i="2"/>
  <c r="C66" i="2"/>
  <c r="AE65" i="2"/>
  <c r="AD65" i="2"/>
  <c r="AC65" i="2"/>
  <c r="Y65" i="2"/>
  <c r="Z65" i="2" s="1"/>
  <c r="W65" i="2"/>
  <c r="S65" i="2"/>
  <c r="R65" i="2"/>
  <c r="Q65" i="2"/>
  <c r="P65" i="2"/>
  <c r="O65" i="2"/>
  <c r="N65" i="2"/>
  <c r="M65" i="2"/>
  <c r="L65" i="2"/>
  <c r="K65" i="2" s="1"/>
  <c r="E65" i="2"/>
  <c r="C65" i="2"/>
  <c r="AE64" i="2"/>
  <c r="AD64" i="2"/>
  <c r="AC64" i="2"/>
  <c r="Z64" i="2"/>
  <c r="Y64" i="2"/>
  <c r="W64" i="2"/>
  <c r="R64" i="2"/>
  <c r="Q64" i="2"/>
  <c r="P64" i="2"/>
  <c r="O64" i="2"/>
  <c r="N64" i="2"/>
  <c r="L64" i="2"/>
  <c r="K64" i="2" s="1"/>
  <c r="E64" i="2"/>
  <c r="C64" i="2"/>
  <c r="AE63" i="2"/>
  <c r="Y63" i="2" s="1"/>
  <c r="Z63" i="2" s="1"/>
  <c r="AD63" i="2"/>
  <c r="AC63" i="2"/>
  <c r="W63" i="2"/>
  <c r="R63" i="2"/>
  <c r="Q63" i="2"/>
  <c r="P63" i="2"/>
  <c r="O63" i="2"/>
  <c r="N63" i="2"/>
  <c r="M63" i="2"/>
  <c r="L63" i="2"/>
  <c r="K63" i="2" s="1"/>
  <c r="E63" i="2"/>
  <c r="C63" i="2"/>
  <c r="AE62" i="2"/>
  <c r="Y62" i="2" s="1"/>
  <c r="AD62" i="2"/>
  <c r="AC62" i="2"/>
  <c r="Z62" i="2"/>
  <c r="W62" i="2"/>
  <c r="R62" i="2"/>
  <c r="Q62" i="2"/>
  <c r="P62" i="2"/>
  <c r="O62" i="2"/>
  <c r="N62" i="2"/>
  <c r="L62" i="2"/>
  <c r="K62" i="2" s="1"/>
  <c r="E62" i="2"/>
  <c r="C62" i="2"/>
  <c r="AE61" i="2"/>
  <c r="Y61" i="2" s="1"/>
  <c r="Z61" i="2" s="1"/>
  <c r="AD61" i="2"/>
  <c r="AC61" i="2"/>
  <c r="W61" i="2"/>
  <c r="R61" i="2"/>
  <c r="Q61" i="2"/>
  <c r="P61" i="2"/>
  <c r="O61" i="2"/>
  <c r="N61" i="2"/>
  <c r="L61" i="2"/>
  <c r="K61" i="2" s="1"/>
  <c r="E61" i="2"/>
  <c r="C61" i="2"/>
  <c r="AE60" i="2"/>
  <c r="Y60" i="2" s="1"/>
  <c r="Z60" i="2" s="1"/>
  <c r="AD60" i="2"/>
  <c r="AC60" i="2"/>
  <c r="W60" i="2"/>
  <c r="R60" i="2"/>
  <c r="Q60" i="2"/>
  <c r="P60" i="2"/>
  <c r="O60" i="2"/>
  <c r="N60" i="2"/>
  <c r="L60" i="2"/>
  <c r="E60" i="2"/>
  <c r="C60" i="2"/>
  <c r="AE59" i="2"/>
  <c r="Y59" i="2" s="1"/>
  <c r="Z59" i="2" s="1"/>
  <c r="AD59" i="2"/>
  <c r="AC59" i="2"/>
  <c r="X59" i="2"/>
  <c r="W59" i="2"/>
  <c r="T59" i="2"/>
  <c r="S59" i="2"/>
  <c r="R59" i="2"/>
  <c r="Q59" i="2"/>
  <c r="P59" i="2"/>
  <c r="O59" i="2"/>
  <c r="N59" i="2"/>
  <c r="M59" i="2"/>
  <c r="V59" i="2" s="1"/>
  <c r="L59" i="2"/>
  <c r="K59" i="2" s="1"/>
  <c r="E59" i="2"/>
  <c r="C59" i="2"/>
  <c r="AE58" i="2"/>
  <c r="AD58" i="2"/>
  <c r="AC58" i="2"/>
  <c r="Y58" i="2"/>
  <c r="Z58" i="2" s="1"/>
  <c r="W58" i="2"/>
  <c r="R58" i="2"/>
  <c r="Q58" i="2"/>
  <c r="P58" i="2"/>
  <c r="O58" i="2"/>
  <c r="N58" i="2"/>
  <c r="L58" i="2"/>
  <c r="K58" i="2" s="1"/>
  <c r="E58" i="2"/>
  <c r="C58" i="2"/>
  <c r="AE57" i="2"/>
  <c r="AD57" i="2"/>
  <c r="AC57" i="2"/>
  <c r="Y57" i="2"/>
  <c r="Z57" i="2" s="1"/>
  <c r="X57" i="2"/>
  <c r="W57" i="2"/>
  <c r="T57" i="2"/>
  <c r="S57" i="2"/>
  <c r="R57" i="2"/>
  <c r="Q57" i="2"/>
  <c r="P57" i="2"/>
  <c r="O57" i="2"/>
  <c r="N57" i="2"/>
  <c r="M57" i="2"/>
  <c r="V57" i="2" s="1"/>
  <c r="L57" i="2"/>
  <c r="K57" i="2" s="1"/>
  <c r="E57" i="2"/>
  <c r="C57" i="2"/>
  <c r="AE56" i="2"/>
  <c r="Y56" i="2" s="1"/>
  <c r="Z56" i="2" s="1"/>
  <c r="AD56" i="2"/>
  <c r="AC56" i="2"/>
  <c r="W56" i="2"/>
  <c r="R56" i="2"/>
  <c r="Q56" i="2"/>
  <c r="P56" i="2"/>
  <c r="O56" i="2"/>
  <c r="N56" i="2"/>
  <c r="L56" i="2"/>
  <c r="E56" i="2"/>
  <c r="C56" i="2"/>
  <c r="AE55" i="2"/>
  <c r="AD55" i="2"/>
  <c r="AC55" i="2"/>
  <c r="Y55" i="2"/>
  <c r="Z55" i="2" s="1"/>
  <c r="W55" i="2"/>
  <c r="R55" i="2"/>
  <c r="Q55" i="2"/>
  <c r="P55" i="2"/>
  <c r="O55" i="2"/>
  <c r="N55" i="2"/>
  <c r="M55" i="2"/>
  <c r="L55" i="2"/>
  <c r="K55" i="2" s="1"/>
  <c r="E55" i="2"/>
  <c r="C55" i="2"/>
  <c r="AE54" i="2"/>
  <c r="AD54" i="2"/>
  <c r="AC54" i="2"/>
  <c r="Z54" i="2"/>
  <c r="Y54" i="2"/>
  <c r="W54" i="2"/>
  <c r="R54" i="2"/>
  <c r="Q54" i="2"/>
  <c r="P54" i="2"/>
  <c r="O54" i="2"/>
  <c r="N54" i="2"/>
  <c r="L54" i="2"/>
  <c r="K54" i="2" s="1"/>
  <c r="E54" i="2"/>
  <c r="C54" i="2"/>
  <c r="AE53" i="2"/>
  <c r="Y53" i="2" s="1"/>
  <c r="Z53" i="2" s="1"/>
  <c r="AD53" i="2"/>
  <c r="AC53" i="2"/>
  <c r="W53" i="2"/>
  <c r="R53" i="2"/>
  <c r="Q53" i="2"/>
  <c r="P53" i="2"/>
  <c r="O53" i="2"/>
  <c r="N53" i="2"/>
  <c r="L53" i="2"/>
  <c r="K53" i="2" s="1"/>
  <c r="E53" i="2"/>
  <c r="C53" i="2"/>
  <c r="AE52" i="2"/>
  <c r="Y52" i="2" s="1"/>
  <c r="Z52" i="2" s="1"/>
  <c r="AD52" i="2"/>
  <c r="AC52" i="2"/>
  <c r="W52" i="2"/>
  <c r="R52" i="2"/>
  <c r="Q52" i="2"/>
  <c r="P52" i="2"/>
  <c r="O52" i="2"/>
  <c r="N52" i="2"/>
  <c r="L52" i="2"/>
  <c r="K52" i="2" s="1"/>
  <c r="E52" i="2"/>
  <c r="C52" i="2"/>
  <c r="AE51" i="2"/>
  <c r="Y51" i="2" s="1"/>
  <c r="Z51" i="2" s="1"/>
  <c r="AD51" i="2"/>
  <c r="AC51" i="2"/>
  <c r="W51" i="2"/>
  <c r="R51" i="2"/>
  <c r="Q51" i="2"/>
  <c r="P51" i="2"/>
  <c r="O51" i="2"/>
  <c r="N51" i="2"/>
  <c r="L51" i="2"/>
  <c r="K51" i="2" s="1"/>
  <c r="E51" i="2"/>
  <c r="C51" i="2"/>
  <c r="AE50" i="2"/>
  <c r="AD50" i="2"/>
  <c r="AC50" i="2"/>
  <c r="Y50" i="2"/>
  <c r="Z50" i="2" s="1"/>
  <c r="W50" i="2"/>
  <c r="R50" i="2"/>
  <c r="Q50" i="2"/>
  <c r="P50" i="2"/>
  <c r="O50" i="2"/>
  <c r="N50" i="2"/>
  <c r="L50" i="2"/>
  <c r="E50" i="2"/>
  <c r="C50" i="2"/>
  <c r="AE49" i="2"/>
  <c r="AD49" i="2"/>
  <c r="AC49" i="2"/>
  <c r="Y49" i="2"/>
  <c r="Z49" i="2" s="1"/>
  <c r="X49" i="2"/>
  <c r="W49" i="2"/>
  <c r="T49" i="2"/>
  <c r="S49" i="2"/>
  <c r="R49" i="2"/>
  <c r="Q49" i="2"/>
  <c r="P49" i="2"/>
  <c r="O49" i="2"/>
  <c r="N49" i="2"/>
  <c r="M49" i="2"/>
  <c r="V49" i="2" s="1"/>
  <c r="L49" i="2"/>
  <c r="K49" i="2" s="1"/>
  <c r="E49" i="2"/>
  <c r="C49" i="2"/>
  <c r="AE48" i="2"/>
  <c r="AD48" i="2"/>
  <c r="AC48" i="2"/>
  <c r="Y48" i="2"/>
  <c r="Z48" i="2" s="1"/>
  <c r="W48" i="2"/>
  <c r="R48" i="2"/>
  <c r="Q48" i="2"/>
  <c r="P48" i="2"/>
  <c r="O48" i="2"/>
  <c r="N48" i="2"/>
  <c r="L48" i="2"/>
  <c r="K48" i="2" s="1"/>
  <c r="E48" i="2"/>
  <c r="C48" i="2"/>
  <c r="AE47" i="2"/>
  <c r="AD47" i="2"/>
  <c r="AC47" i="2"/>
  <c r="Y47" i="2"/>
  <c r="Z47" i="2" s="1"/>
  <c r="W47" i="2"/>
  <c r="R47" i="2"/>
  <c r="Q47" i="2"/>
  <c r="P47" i="2"/>
  <c r="O47" i="2"/>
  <c r="N47" i="2"/>
  <c r="L47" i="2"/>
  <c r="K47" i="2" s="1"/>
  <c r="E47" i="2"/>
  <c r="C47" i="2"/>
  <c r="AE46" i="2"/>
  <c r="Y46" i="2" s="1"/>
  <c r="Z46" i="2" s="1"/>
  <c r="AD46" i="2"/>
  <c r="AC46" i="2"/>
  <c r="W46" i="2"/>
  <c r="R46" i="2"/>
  <c r="Q46" i="2"/>
  <c r="P46" i="2"/>
  <c r="O46" i="2"/>
  <c r="N46" i="2"/>
  <c r="L46" i="2"/>
  <c r="E46" i="2"/>
  <c r="C46" i="2"/>
  <c r="AE45" i="2"/>
  <c r="AD45" i="2"/>
  <c r="AC45" i="2"/>
  <c r="Y45" i="2"/>
  <c r="Z45" i="2" s="1"/>
  <c r="X45" i="2"/>
  <c r="W45" i="2"/>
  <c r="S45" i="2"/>
  <c r="R45" i="2"/>
  <c r="Q45" i="2"/>
  <c r="P45" i="2"/>
  <c r="O45" i="2"/>
  <c r="N45" i="2"/>
  <c r="M45" i="2"/>
  <c r="L45" i="2"/>
  <c r="K45" i="2" s="1"/>
  <c r="E45" i="2"/>
  <c r="C45" i="2"/>
  <c r="AE44" i="2"/>
  <c r="AD44" i="2"/>
  <c r="AC44" i="2"/>
  <c r="Z44" i="2"/>
  <c r="Y44" i="2"/>
  <c r="W44" i="2"/>
  <c r="R44" i="2"/>
  <c r="Q44" i="2"/>
  <c r="P44" i="2"/>
  <c r="O44" i="2"/>
  <c r="N44" i="2"/>
  <c r="L44" i="2"/>
  <c r="K44" i="2" s="1"/>
  <c r="E44" i="2"/>
  <c r="C44" i="2"/>
  <c r="AE43" i="2"/>
  <c r="Y43" i="2" s="1"/>
  <c r="Z43" i="2" s="1"/>
  <c r="AD43" i="2"/>
  <c r="AC43" i="2"/>
  <c r="W43" i="2"/>
  <c r="R43" i="2"/>
  <c r="Q43" i="2"/>
  <c r="P43" i="2"/>
  <c r="O43" i="2"/>
  <c r="N43" i="2"/>
  <c r="L43" i="2"/>
  <c r="K43" i="2" s="1"/>
  <c r="E43" i="2"/>
  <c r="C43" i="2"/>
  <c r="AE42" i="2"/>
  <c r="Y42" i="2" s="1"/>
  <c r="Z42" i="2" s="1"/>
  <c r="AD42" i="2"/>
  <c r="AC42" i="2"/>
  <c r="W42" i="2"/>
  <c r="R42" i="2"/>
  <c r="Q42" i="2"/>
  <c r="P42" i="2"/>
  <c r="O42" i="2"/>
  <c r="N42" i="2"/>
  <c r="L42" i="2"/>
  <c r="K42" i="2" s="1"/>
  <c r="E42" i="2"/>
  <c r="C42" i="2"/>
  <c r="AE41" i="2"/>
  <c r="Y41" i="2" s="1"/>
  <c r="Z41" i="2" s="1"/>
  <c r="AD41" i="2"/>
  <c r="AC41" i="2"/>
  <c r="W41" i="2"/>
  <c r="R41" i="2"/>
  <c r="Q41" i="2"/>
  <c r="P41" i="2"/>
  <c r="O41" i="2"/>
  <c r="N41" i="2"/>
  <c r="L41" i="2"/>
  <c r="K41" i="2" s="1"/>
  <c r="E41" i="2"/>
  <c r="C41" i="2"/>
  <c r="AE40" i="2"/>
  <c r="AD40" i="2"/>
  <c r="AC40" i="2"/>
  <c r="Y40" i="2"/>
  <c r="Z40" i="2" s="1"/>
  <c r="R40" i="2"/>
  <c r="Q40" i="2"/>
  <c r="L40" i="2"/>
  <c r="E40" i="2"/>
  <c r="C40" i="2"/>
  <c r="AE39" i="2"/>
  <c r="Y39" i="2" s="1"/>
  <c r="Z39" i="2" s="1"/>
  <c r="AD39" i="2"/>
  <c r="AC39" i="2"/>
  <c r="X39" i="2"/>
  <c r="W39" i="2"/>
  <c r="R39" i="2"/>
  <c r="S39" i="2" s="1"/>
  <c r="Q39" i="2"/>
  <c r="M39" i="2"/>
  <c r="L39" i="2"/>
  <c r="K39" i="2" s="1"/>
  <c r="E39" i="2"/>
  <c r="C39" i="2"/>
  <c r="AE38" i="2"/>
  <c r="AD38" i="2"/>
  <c r="O38" i="2" s="1"/>
  <c r="AC38" i="2"/>
  <c r="Y38" i="2"/>
  <c r="Z38" i="2" s="1"/>
  <c r="W38" i="2"/>
  <c r="R38" i="2"/>
  <c r="Q38" i="2"/>
  <c r="P38" i="2"/>
  <c r="L38" i="2"/>
  <c r="K38" i="2" s="1"/>
  <c r="E38" i="2"/>
  <c r="C38" i="2"/>
  <c r="AE37" i="2"/>
  <c r="Y37" i="2" s="1"/>
  <c r="Z37" i="2" s="1"/>
  <c r="AD37" i="2"/>
  <c r="AC37" i="2"/>
  <c r="X37" i="2"/>
  <c r="W37" i="2"/>
  <c r="R37" i="2"/>
  <c r="S37" i="2" s="1"/>
  <c r="Q37" i="2"/>
  <c r="N37" i="2"/>
  <c r="M37" i="2"/>
  <c r="L37" i="2"/>
  <c r="K37" i="2" s="1"/>
  <c r="E37" i="2"/>
  <c r="C37" i="2"/>
  <c r="AE36" i="2"/>
  <c r="Y36" i="2" s="1"/>
  <c r="Z36" i="2" s="1"/>
  <c r="AD36" i="2"/>
  <c r="AC36" i="2"/>
  <c r="N36" i="2" s="1"/>
  <c r="R36" i="2"/>
  <c r="Q36" i="2"/>
  <c r="P36" i="2"/>
  <c r="O36" i="2"/>
  <c r="L36" i="2"/>
  <c r="E36" i="2"/>
  <c r="C36" i="2"/>
  <c r="AE35" i="2"/>
  <c r="Y35" i="2" s="1"/>
  <c r="Z35" i="2" s="1"/>
  <c r="AD35" i="2"/>
  <c r="AC35" i="2"/>
  <c r="X35" i="2"/>
  <c r="R35" i="2"/>
  <c r="S35" i="2" s="1"/>
  <c r="Q35" i="2"/>
  <c r="P35" i="2"/>
  <c r="O35" i="2"/>
  <c r="N35" i="2"/>
  <c r="M35" i="2"/>
  <c r="L35" i="2"/>
  <c r="K35" i="2" s="1"/>
  <c r="W35" i="2" s="1"/>
  <c r="E35" i="2"/>
  <c r="C35" i="2"/>
  <c r="AE34" i="2"/>
  <c r="Y34" i="2" s="1"/>
  <c r="Z34" i="2" s="1"/>
  <c r="AD34" i="2"/>
  <c r="AC34" i="2"/>
  <c r="R34" i="2"/>
  <c r="Q34" i="2"/>
  <c r="P34" i="2"/>
  <c r="T34" i="2" s="1"/>
  <c r="O34" i="2"/>
  <c r="N34" i="2"/>
  <c r="M34" i="2"/>
  <c r="L34" i="2"/>
  <c r="K34" i="2" s="1"/>
  <c r="W34" i="2" s="1"/>
  <c r="E34" i="2"/>
  <c r="C34" i="2"/>
  <c r="AE33" i="2"/>
  <c r="Y33" i="2" s="1"/>
  <c r="Z33" i="2" s="1"/>
  <c r="AD33" i="2"/>
  <c r="P33" i="2" s="1"/>
  <c r="AC33" i="2"/>
  <c r="R33" i="2"/>
  <c r="Q33" i="2"/>
  <c r="N33" i="2"/>
  <c r="L33" i="2"/>
  <c r="K33" i="2" s="1"/>
  <c r="W33" i="2" s="1"/>
  <c r="E33" i="2"/>
  <c r="C33" i="2"/>
  <c r="AE32" i="2"/>
  <c r="Y32" i="2" s="1"/>
  <c r="Z32" i="2" s="1"/>
  <c r="AD32" i="2"/>
  <c r="O32" i="2" s="1"/>
  <c r="AC32" i="2"/>
  <c r="R32" i="2"/>
  <c r="Q32" i="2"/>
  <c r="P32" i="2"/>
  <c r="N32" i="2"/>
  <c r="M32" i="2"/>
  <c r="L32" i="2"/>
  <c r="K32" i="2" s="1"/>
  <c r="W32" i="2" s="1"/>
  <c r="E32" i="2"/>
  <c r="C32" i="2"/>
  <c r="AE31" i="2"/>
  <c r="Y31" i="2" s="1"/>
  <c r="Z31" i="2" s="1"/>
  <c r="AD31" i="2"/>
  <c r="AC31" i="2"/>
  <c r="R31" i="2"/>
  <c r="Q31" i="2"/>
  <c r="N31" i="2"/>
  <c r="L31" i="2"/>
  <c r="K31" i="2" s="1"/>
  <c r="W31" i="2" s="1"/>
  <c r="E31" i="2"/>
  <c r="C31" i="2"/>
  <c r="AE30" i="2"/>
  <c r="Y30" i="2" s="1"/>
  <c r="Z30" i="2" s="1"/>
  <c r="AD30" i="2"/>
  <c r="AC30" i="2"/>
  <c r="R30" i="2"/>
  <c r="Q30" i="2"/>
  <c r="L30" i="2"/>
  <c r="E30" i="2"/>
  <c r="C30" i="2"/>
  <c r="AE29" i="2"/>
  <c r="AD29" i="2"/>
  <c r="AC29" i="2"/>
  <c r="Y29" i="2"/>
  <c r="Z29" i="2" s="1"/>
  <c r="X29" i="2"/>
  <c r="W29" i="2"/>
  <c r="R29" i="2"/>
  <c r="S29" i="2" s="1"/>
  <c r="Q29" i="2"/>
  <c r="M29" i="2"/>
  <c r="L29" i="2"/>
  <c r="K29" i="2" s="1"/>
  <c r="E29" i="2"/>
  <c r="C29" i="2"/>
  <c r="AE28" i="2"/>
  <c r="Y28" i="2" s="1"/>
  <c r="Z28" i="2" s="1"/>
  <c r="AD28" i="2"/>
  <c r="O28" i="2" s="1"/>
  <c r="AC28" i="2"/>
  <c r="W28" i="2"/>
  <c r="R28" i="2"/>
  <c r="Q28" i="2"/>
  <c r="P28" i="2"/>
  <c r="L28" i="2"/>
  <c r="K28" i="2" s="1"/>
  <c r="E28" i="2"/>
  <c r="C28" i="2"/>
  <c r="AE27" i="2"/>
  <c r="AD27" i="2"/>
  <c r="AC27" i="2"/>
  <c r="Y27" i="2"/>
  <c r="Z27" i="2" s="1"/>
  <c r="X27" i="2"/>
  <c r="W27" i="2"/>
  <c r="S27" i="2"/>
  <c r="R27" i="2"/>
  <c r="Q27" i="2"/>
  <c r="M27" i="2"/>
  <c r="L27" i="2"/>
  <c r="K27" i="2" s="1"/>
  <c r="E27" i="2"/>
  <c r="C27" i="2"/>
  <c r="AE26" i="2"/>
  <c r="Y26" i="2" s="1"/>
  <c r="Z26" i="2" s="1"/>
  <c r="AD26" i="2"/>
  <c r="AC26" i="2"/>
  <c r="N26" i="2" s="1"/>
  <c r="R26" i="2"/>
  <c r="Q26" i="2"/>
  <c r="P26" i="2"/>
  <c r="O26" i="2"/>
  <c r="L26" i="2"/>
  <c r="E26" i="2"/>
  <c r="C26" i="2"/>
  <c r="AE25" i="2"/>
  <c r="AD25" i="2"/>
  <c r="AC25" i="2"/>
  <c r="Y25" i="2"/>
  <c r="Z25" i="2" s="1"/>
  <c r="R25" i="2"/>
  <c r="Q25" i="2"/>
  <c r="P25" i="2"/>
  <c r="O25" i="2"/>
  <c r="N25" i="2"/>
  <c r="M25" i="2"/>
  <c r="X25" i="2" s="1"/>
  <c r="L25" i="2"/>
  <c r="K25" i="2" s="1"/>
  <c r="W25" i="2" s="1"/>
  <c r="E25" i="2"/>
  <c r="C25" i="2"/>
  <c r="AE24" i="2"/>
  <c r="AD24" i="2"/>
  <c r="AC24" i="2"/>
  <c r="Y24" i="2"/>
  <c r="Z24" i="2" s="1"/>
  <c r="R24" i="2"/>
  <c r="Q24" i="2"/>
  <c r="P24" i="2"/>
  <c r="O24" i="2"/>
  <c r="N24" i="2"/>
  <c r="L24" i="2"/>
  <c r="K24" i="2" s="1"/>
  <c r="W24" i="2" s="1"/>
  <c r="E24" i="2"/>
  <c r="C24" i="2"/>
  <c r="AE23" i="2"/>
  <c r="Y23" i="2" s="1"/>
  <c r="Z23" i="2" s="1"/>
  <c r="AD23" i="2"/>
  <c r="P23" i="2" s="1"/>
  <c r="AC23" i="2"/>
  <c r="R23" i="2"/>
  <c r="Q23" i="2"/>
  <c r="L23" i="2"/>
  <c r="K23" i="2" s="1"/>
  <c r="W23" i="2" s="1"/>
  <c r="E23" i="2"/>
  <c r="C23" i="2"/>
  <c r="AE22" i="2"/>
  <c r="Y22" i="2" s="1"/>
  <c r="Z22" i="2" s="1"/>
  <c r="AD22" i="2"/>
  <c r="AC22" i="2"/>
  <c r="R22" i="2"/>
  <c r="Q22" i="2"/>
  <c r="P22" i="2"/>
  <c r="O22" i="2"/>
  <c r="N22" i="2"/>
  <c r="L22" i="2"/>
  <c r="K22" i="2" s="1"/>
  <c r="W22" i="2" s="1"/>
  <c r="E22" i="2"/>
  <c r="C22" i="2"/>
  <c r="AE21" i="2"/>
  <c r="Y21" i="2" s="1"/>
  <c r="Z21" i="2" s="1"/>
  <c r="AD21" i="2"/>
  <c r="P21" i="2" s="1"/>
  <c r="AC21" i="2"/>
  <c r="R21" i="2"/>
  <c r="Q21" i="2"/>
  <c r="O21" i="2"/>
  <c r="N21" i="2"/>
  <c r="M21" i="2"/>
  <c r="L21" i="2"/>
  <c r="K21" i="2" s="1"/>
  <c r="W21" i="2" s="1"/>
  <c r="E21" i="2"/>
  <c r="C21" i="2"/>
  <c r="AE20" i="2"/>
  <c r="AD20" i="2"/>
  <c r="P20" i="2" s="1"/>
  <c r="AC20" i="2"/>
  <c r="Y20" i="2"/>
  <c r="Z20" i="2" s="1"/>
  <c r="R20" i="2"/>
  <c r="Q20" i="2"/>
  <c r="L20" i="2"/>
  <c r="K20" i="2" s="1"/>
  <c r="W20" i="2" s="1"/>
  <c r="E20" i="2"/>
  <c r="C20" i="2"/>
  <c r="AE19" i="2"/>
  <c r="Y19" i="2" s="1"/>
  <c r="Z19" i="2" s="1"/>
  <c r="AD19" i="2"/>
  <c r="AC19" i="2"/>
  <c r="O19" i="2" s="1"/>
  <c r="R19" i="2"/>
  <c r="Q19" i="2"/>
  <c r="L19" i="2"/>
  <c r="E19" i="2"/>
  <c r="C19" i="2"/>
  <c r="AE18" i="2"/>
  <c r="Y18" i="2" s="1"/>
  <c r="AD18" i="2"/>
  <c r="N18" i="2" s="1"/>
  <c r="AC18" i="2"/>
  <c r="Z18" i="2"/>
  <c r="W18" i="2"/>
  <c r="R18" i="2"/>
  <c r="Q18" i="2"/>
  <c r="L18" i="2"/>
  <c r="K18" i="2" s="1"/>
  <c r="E18" i="2"/>
  <c r="C18" i="2"/>
  <c r="AE17" i="2"/>
  <c r="Y17" i="2" s="1"/>
  <c r="Z17" i="2" s="1"/>
  <c r="AD17" i="2"/>
  <c r="AC17" i="2"/>
  <c r="W17" i="2"/>
  <c r="R17" i="2"/>
  <c r="Q17" i="2"/>
  <c r="M17" i="2"/>
  <c r="L17" i="2"/>
  <c r="K17" i="2" s="1"/>
  <c r="E17" i="2"/>
  <c r="C17" i="2"/>
  <c r="AE16" i="2"/>
  <c r="Y16" i="2" s="1"/>
  <c r="Z16" i="2" s="1"/>
  <c r="AD16" i="2"/>
  <c r="AC16" i="2"/>
  <c r="R16" i="2"/>
  <c r="Q16" i="2"/>
  <c r="L16" i="2"/>
  <c r="E16" i="2"/>
  <c r="C16" i="2"/>
  <c r="AE15" i="2"/>
  <c r="Y15" i="2" s="1"/>
  <c r="Z15" i="2" s="1"/>
  <c r="AD15" i="2"/>
  <c r="AC15" i="2"/>
  <c r="W15" i="2"/>
  <c r="R15" i="2"/>
  <c r="Q15" i="2"/>
  <c r="L15" i="2"/>
  <c r="K15" i="2" s="1"/>
  <c r="E15" i="2"/>
  <c r="C15" i="2"/>
  <c r="AE14" i="2"/>
  <c r="AD14" i="2"/>
  <c r="AC14" i="2"/>
  <c r="Y14" i="2"/>
  <c r="Z14" i="2" s="1"/>
  <c r="X14" i="2"/>
  <c r="W14" i="2"/>
  <c r="R14" i="2"/>
  <c r="S14" i="2" s="1"/>
  <c r="Q14" i="2"/>
  <c r="M14" i="2"/>
  <c r="L14" i="2"/>
  <c r="K14" i="2" s="1"/>
  <c r="E14" i="2"/>
  <c r="C14" i="2"/>
  <c r="AE13" i="2"/>
  <c r="Y13" i="2" s="1"/>
  <c r="Z13" i="2" s="1"/>
  <c r="AD13" i="2"/>
  <c r="P13" i="2" s="1"/>
  <c r="AC13" i="2"/>
  <c r="W13" i="2"/>
  <c r="R13" i="2"/>
  <c r="Q13" i="2"/>
  <c r="L13" i="2"/>
  <c r="K13" i="2" s="1"/>
  <c r="E13" i="2"/>
  <c r="C13" i="2"/>
  <c r="AE12" i="2"/>
  <c r="AD12" i="2"/>
  <c r="N12" i="2" s="1"/>
  <c r="AC12" i="2"/>
  <c r="Y12" i="2"/>
  <c r="Z12" i="2" s="1"/>
  <c r="W12" i="2"/>
  <c r="R12" i="2"/>
  <c r="Q12" i="2"/>
  <c r="P12" i="2"/>
  <c r="O12" i="2"/>
  <c r="L12" i="2"/>
  <c r="K12" i="2" s="1"/>
  <c r="E12" i="2"/>
  <c r="C12" i="2"/>
  <c r="AE11" i="2"/>
  <c r="Y11" i="2" s="1"/>
  <c r="Z11" i="2" s="1"/>
  <c r="AD11" i="2"/>
  <c r="AC11" i="2"/>
  <c r="W11" i="2"/>
  <c r="R11" i="2"/>
  <c r="Q11" i="2"/>
  <c r="O11" i="2"/>
  <c r="L11" i="2"/>
  <c r="K11" i="2" s="1"/>
  <c r="E11" i="2"/>
  <c r="C11" i="2"/>
  <c r="AE10" i="2"/>
  <c r="AD10" i="2"/>
  <c r="P10" i="2" s="1"/>
  <c r="AC10" i="2"/>
  <c r="Y10" i="2"/>
  <c r="Z10" i="2" s="1"/>
  <c r="X10" i="2"/>
  <c r="W10" i="2"/>
  <c r="R10" i="2"/>
  <c r="S10" i="2" s="1"/>
  <c r="Q10" i="2"/>
  <c r="N10" i="2"/>
  <c r="M10" i="2"/>
  <c r="L10" i="2"/>
  <c r="K10" i="2" s="1"/>
  <c r="E10" i="2"/>
  <c r="C10" i="2"/>
  <c r="AE9" i="2"/>
  <c r="Y9" i="2" s="1"/>
  <c r="Z9" i="2" s="1"/>
  <c r="AD9" i="2"/>
  <c r="AC9" i="2"/>
  <c r="W9" i="2"/>
  <c r="R9" i="2"/>
  <c r="Q9" i="2"/>
  <c r="P9" i="2"/>
  <c r="O9" i="2"/>
  <c r="N9" i="2"/>
  <c r="M9" i="2"/>
  <c r="X9" i="2" s="1"/>
  <c r="L9" i="2"/>
  <c r="K9" i="2" s="1"/>
  <c r="E9" i="2"/>
  <c r="C9" i="2"/>
  <c r="AE8" i="2"/>
  <c r="AD8" i="2"/>
  <c r="AC8" i="2"/>
  <c r="Y8" i="2"/>
  <c r="Z8" i="2" s="1"/>
  <c r="R8" i="2"/>
  <c r="Q8" i="2"/>
  <c r="P8" i="2"/>
  <c r="O8" i="2"/>
  <c r="N8" i="2"/>
  <c r="L8" i="2"/>
  <c r="E8" i="2"/>
  <c r="C8" i="2"/>
  <c r="AE7" i="2"/>
  <c r="AD7" i="2"/>
  <c r="AC7" i="2"/>
  <c r="Y7" i="2"/>
  <c r="Z7" i="2" s="1"/>
  <c r="R7" i="2"/>
  <c r="Q7" i="2"/>
  <c r="P7" i="2"/>
  <c r="O7" i="2"/>
  <c r="N7" i="2"/>
  <c r="L7" i="2"/>
  <c r="K7" i="2" s="1"/>
  <c r="W7" i="2" s="1"/>
  <c r="E7" i="2"/>
  <c r="C7" i="2"/>
  <c r="AE6" i="2"/>
  <c r="AD6" i="2"/>
  <c r="AC6" i="2"/>
  <c r="Z6" i="2"/>
  <c r="Y6" i="2"/>
  <c r="W6" i="2"/>
  <c r="R6" i="2"/>
  <c r="Q6" i="2"/>
  <c r="P6" i="2"/>
  <c r="O6" i="2"/>
  <c r="N6" i="2"/>
  <c r="M6" i="2"/>
  <c r="L6" i="2"/>
  <c r="K6" i="2" s="1"/>
  <c r="E6" i="2"/>
  <c r="C6" i="2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A24" i="1"/>
  <c r="C24" i="1" s="1"/>
  <c r="J23" i="1"/>
  <c r="I23" i="1"/>
  <c r="H23" i="1"/>
  <c r="A23" i="1"/>
  <c r="D23" i="1" s="1"/>
  <c r="A22" i="1"/>
  <c r="C22" i="1" s="1"/>
  <c r="A21" i="1"/>
  <c r="A20" i="1"/>
  <c r="A19" i="1"/>
  <c r="A18" i="1"/>
  <c r="A17" i="1"/>
  <c r="A16" i="1"/>
  <c r="A15" i="1"/>
  <c r="B6" i="1"/>
  <c r="V108" i="2" l="1"/>
  <c r="X108" i="2"/>
  <c r="S108" i="2"/>
  <c r="T108" i="2"/>
  <c r="V140" i="2"/>
  <c r="X140" i="2"/>
  <c r="T140" i="2"/>
  <c r="S140" i="2"/>
  <c r="V150" i="2"/>
  <c r="X150" i="2"/>
  <c r="T150" i="2"/>
  <c r="S150" i="2"/>
  <c r="V160" i="2"/>
  <c r="X160" i="2"/>
  <c r="T160" i="2"/>
  <c r="S160" i="2"/>
  <c r="V80" i="2"/>
  <c r="X80" i="2"/>
  <c r="S80" i="2"/>
  <c r="T80" i="2"/>
  <c r="V119" i="2"/>
  <c r="T119" i="2"/>
  <c r="X119" i="2"/>
  <c r="S119" i="2"/>
  <c r="V17" i="2"/>
  <c r="C20" i="1"/>
  <c r="X6" i="2"/>
  <c r="T6" i="2"/>
  <c r="V6" i="2" s="1"/>
  <c r="M64" i="2"/>
  <c r="V65" i="2"/>
  <c r="X65" i="2"/>
  <c r="T65" i="2"/>
  <c r="V114" i="2"/>
  <c r="X114" i="2"/>
  <c r="T114" i="2"/>
  <c r="V129" i="2"/>
  <c r="T129" i="2"/>
  <c r="X129" i="2"/>
  <c r="S129" i="2"/>
  <c r="V158" i="2"/>
  <c r="X158" i="2"/>
  <c r="S158" i="2"/>
  <c r="M118" i="2"/>
  <c r="X34" i="2"/>
  <c r="S34" i="2"/>
  <c r="V34" i="2" s="1"/>
  <c r="V85" i="2"/>
  <c r="S85" i="2"/>
  <c r="X85" i="2"/>
  <c r="T85" i="2"/>
  <c r="M20" i="2"/>
  <c r="P16" i="2"/>
  <c r="O16" i="2"/>
  <c r="N16" i="2"/>
  <c r="P30" i="2"/>
  <c r="O30" i="2"/>
  <c r="N30" i="2"/>
  <c r="P39" i="2"/>
  <c r="O39" i="2"/>
  <c r="N39" i="2"/>
  <c r="T39" i="2" s="1"/>
  <c r="V39" i="2" s="1"/>
  <c r="K56" i="2"/>
  <c r="M56" i="2"/>
  <c r="V88" i="2"/>
  <c r="X88" i="2"/>
  <c r="S88" i="2"/>
  <c r="M96" i="2"/>
  <c r="K150" i="2"/>
  <c r="V99" i="2"/>
  <c r="T99" i="2"/>
  <c r="V139" i="2"/>
  <c r="T139" i="2"/>
  <c r="X139" i="2"/>
  <c r="S139" i="2"/>
  <c r="C21" i="1"/>
  <c r="B21" i="1"/>
  <c r="M43" i="2"/>
  <c r="V102" i="2"/>
  <c r="T102" i="2"/>
  <c r="X102" i="2"/>
  <c r="S102" i="2"/>
  <c r="K40" i="2"/>
  <c r="W40" i="2" s="1"/>
  <c r="M40" i="2"/>
  <c r="K76" i="2"/>
  <c r="M76" i="2"/>
  <c r="V55" i="2"/>
  <c r="T55" i="2"/>
  <c r="M33" i="2"/>
  <c r="K46" i="2"/>
  <c r="M46" i="2"/>
  <c r="K60" i="2"/>
  <c r="M60" i="2"/>
  <c r="M72" i="2"/>
  <c r="V109" i="2"/>
  <c r="T109" i="2"/>
  <c r="X109" i="2"/>
  <c r="V120" i="2"/>
  <c r="X120" i="2"/>
  <c r="T120" i="2"/>
  <c r="S120" i="2"/>
  <c r="V138" i="2"/>
  <c r="X138" i="2"/>
  <c r="S138" i="2"/>
  <c r="T138" i="2"/>
  <c r="V149" i="2"/>
  <c r="T149" i="2"/>
  <c r="X149" i="2"/>
  <c r="S149" i="2"/>
  <c r="H21" i="1"/>
  <c r="P15" i="2"/>
  <c r="O15" i="2"/>
  <c r="N15" i="2"/>
  <c r="K19" i="2"/>
  <c r="W19" i="2" s="1"/>
  <c r="M19" i="2"/>
  <c r="S25" i="2"/>
  <c r="V25" i="2" s="1"/>
  <c r="V123" i="2"/>
  <c r="X123" i="2"/>
  <c r="T123" i="2"/>
  <c r="S123" i="2"/>
  <c r="V145" i="2"/>
  <c r="S145" i="2"/>
  <c r="X145" i="2"/>
  <c r="T145" i="2"/>
  <c r="I21" i="1"/>
  <c r="P29" i="2"/>
  <c r="O29" i="2"/>
  <c r="N29" i="2"/>
  <c r="T29" i="2" s="1"/>
  <c r="V29" i="2" s="1"/>
  <c r="O33" i="2"/>
  <c r="E30" i="1"/>
  <c r="M42" i="2"/>
  <c r="M54" i="2"/>
  <c r="V75" i="2"/>
  <c r="T75" i="2"/>
  <c r="V79" i="2"/>
  <c r="T79" i="2"/>
  <c r="X79" i="2"/>
  <c r="S79" i="2"/>
  <c r="X99" i="2"/>
  <c r="K112" i="2"/>
  <c r="M134" i="2"/>
  <c r="M124" i="2"/>
  <c r="M91" i="2"/>
  <c r="V113" i="2"/>
  <c r="T113" i="2"/>
  <c r="X113" i="2"/>
  <c r="S113" i="2"/>
  <c r="V128" i="2"/>
  <c r="X128" i="2"/>
  <c r="S128" i="2"/>
  <c r="T128" i="2"/>
  <c r="K9" i="3"/>
  <c r="F21" i="1"/>
  <c r="S99" i="2"/>
  <c r="J21" i="1"/>
  <c r="N11" i="2"/>
  <c r="P11" i="2"/>
  <c r="X21" i="2"/>
  <c r="T21" i="2"/>
  <c r="S21" i="2"/>
  <c r="V21" i="2" s="1"/>
  <c r="O31" i="2"/>
  <c r="P31" i="2"/>
  <c r="V63" i="2"/>
  <c r="X63" i="2"/>
  <c r="T63" i="2"/>
  <c r="S63" i="2"/>
  <c r="V90" i="2"/>
  <c r="X90" i="2"/>
  <c r="S90" i="2"/>
  <c r="T90" i="2"/>
  <c r="V101" i="2"/>
  <c r="X101" i="2"/>
  <c r="T101" i="2"/>
  <c r="S101" i="2"/>
  <c r="V112" i="2"/>
  <c r="X112" i="2"/>
  <c r="T112" i="2"/>
  <c r="S112" i="2"/>
  <c r="V156" i="2"/>
  <c r="X156" i="2"/>
  <c r="T156" i="2"/>
  <c r="S156" i="2"/>
  <c r="V45" i="2"/>
  <c r="T45" i="2"/>
  <c r="K66" i="2"/>
  <c r="M66" i="2"/>
  <c r="M130" i="2"/>
  <c r="V159" i="2"/>
  <c r="T159" i="2"/>
  <c r="S159" i="2"/>
  <c r="T25" i="2"/>
  <c r="D21" i="1"/>
  <c r="E21" i="1"/>
  <c r="M24" i="2"/>
  <c r="S9" i="2"/>
  <c r="V9" i="2" s="1"/>
  <c r="P17" i="2"/>
  <c r="O17" i="2"/>
  <c r="N17" i="2"/>
  <c r="K30" i="2"/>
  <c r="W30" i="2" s="1"/>
  <c r="M30" i="2"/>
  <c r="T35" i="2"/>
  <c r="V35" i="2" s="1"/>
  <c r="K50" i="2"/>
  <c r="M50" i="2"/>
  <c r="X55" i="2"/>
  <c r="V97" i="2"/>
  <c r="T97" i="2"/>
  <c r="X97" i="2"/>
  <c r="S97" i="2"/>
  <c r="S109" i="2"/>
  <c r="V115" i="2"/>
  <c r="S115" i="2"/>
  <c r="V148" i="2"/>
  <c r="X148" i="2"/>
  <c r="S148" i="2"/>
  <c r="T148" i="2"/>
  <c r="P27" i="2"/>
  <c r="O27" i="2"/>
  <c r="M52" i="2"/>
  <c r="V135" i="2"/>
  <c r="S135" i="2"/>
  <c r="X135" i="2"/>
  <c r="T135" i="2"/>
  <c r="G21" i="1"/>
  <c r="S6" i="2"/>
  <c r="K36" i="2"/>
  <c r="W36" i="2" s="1"/>
  <c r="M36" i="2"/>
  <c r="K8" i="2"/>
  <c r="W8" i="2" s="1"/>
  <c r="M8" i="2"/>
  <c r="T9" i="2"/>
  <c r="P19" i="2"/>
  <c r="N19" i="2"/>
  <c r="M23" i="2"/>
  <c r="M74" i="2"/>
  <c r="K151" i="2"/>
  <c r="M151" i="2"/>
  <c r="O18" i="2"/>
  <c r="P18" i="2"/>
  <c r="V98" i="2"/>
  <c r="X98" i="2"/>
  <c r="S98" i="2"/>
  <c r="C23" i="1"/>
  <c r="B23" i="1"/>
  <c r="E23" i="1"/>
  <c r="N14" i="2"/>
  <c r="P14" i="2"/>
  <c r="O14" i="2"/>
  <c r="T14" i="2" s="1"/>
  <c r="V14" i="2" s="1"/>
  <c r="N23" i="2"/>
  <c r="X32" i="2"/>
  <c r="T32" i="2"/>
  <c r="S32" i="2"/>
  <c r="V32" i="2" s="1"/>
  <c r="V78" i="2"/>
  <c r="X78" i="2"/>
  <c r="S78" i="2"/>
  <c r="K81" i="2"/>
  <c r="M81" i="2"/>
  <c r="V89" i="2"/>
  <c r="T89" i="2"/>
  <c r="X89" i="2"/>
  <c r="M144" i="2"/>
  <c r="V73" i="2"/>
  <c r="X73" i="2"/>
  <c r="T73" i="2"/>
  <c r="S73" i="2"/>
  <c r="E18" i="1"/>
  <c r="D18" i="1"/>
  <c r="V86" i="2"/>
  <c r="T86" i="2"/>
  <c r="X86" i="2"/>
  <c r="S86" i="2"/>
  <c r="K16" i="2"/>
  <c r="W16" i="2" s="1"/>
  <c r="M16" i="2"/>
  <c r="N27" i="2"/>
  <c r="F23" i="1"/>
  <c r="O23" i="2"/>
  <c r="K26" i="2"/>
  <c r="W26" i="2" s="1"/>
  <c r="M26" i="2"/>
  <c r="M44" i="2"/>
  <c r="M53" i="2"/>
  <c r="M62" i="2"/>
  <c r="J20" i="1"/>
  <c r="D20" i="1"/>
  <c r="I20" i="1"/>
  <c r="H20" i="1"/>
  <c r="J24" i="1"/>
  <c r="F24" i="1"/>
  <c r="I24" i="1"/>
  <c r="H24" i="1"/>
  <c r="D24" i="1"/>
  <c r="G24" i="1"/>
  <c r="E24" i="1"/>
  <c r="B24" i="1"/>
  <c r="M22" i="2"/>
  <c r="T17" i="2"/>
  <c r="S17" i="2"/>
  <c r="X17" i="2"/>
  <c r="O20" i="2"/>
  <c r="N20" i="2"/>
  <c r="J22" i="1"/>
  <c r="F22" i="1"/>
  <c r="I22" i="1"/>
  <c r="G22" i="1"/>
  <c r="H22" i="1"/>
  <c r="E22" i="1"/>
  <c r="D22" i="1"/>
  <c r="B22" i="1"/>
  <c r="P40" i="2"/>
  <c r="O40" i="2"/>
  <c r="N40" i="2"/>
  <c r="S55" i="2"/>
  <c r="I32" i="1"/>
  <c r="L36" i="1"/>
  <c r="L34" i="1"/>
  <c r="B7" i="1"/>
  <c r="B16" i="1" s="1"/>
  <c r="M35" i="1"/>
  <c r="P37" i="2"/>
  <c r="O37" i="2"/>
  <c r="D30" i="1" s="1"/>
  <c r="G23" i="1"/>
  <c r="X75" i="2"/>
  <c r="V100" i="2"/>
  <c r="X100" i="2"/>
  <c r="S100" i="2"/>
  <c r="T100" i="2"/>
  <c r="V103" i="2"/>
  <c r="X103" i="2"/>
  <c r="T103" i="2"/>
  <c r="V155" i="2"/>
  <c r="S155" i="2"/>
  <c r="X155" i="2"/>
  <c r="T155" i="2"/>
  <c r="O10" i="2"/>
  <c r="T10" i="2" s="1"/>
  <c r="V10" i="2" s="1"/>
  <c r="X84" i="2"/>
  <c r="X143" i="2"/>
  <c r="V157" i="2"/>
  <c r="T157" i="2"/>
  <c r="M7" i="2"/>
  <c r="V87" i="2"/>
  <c r="T87" i="2"/>
  <c r="S94" i="2"/>
  <c r="S116" i="2"/>
  <c r="V125" i="2"/>
  <c r="S125" i="2"/>
  <c r="X132" i="2"/>
  <c r="V107" i="2"/>
  <c r="T107" i="2"/>
  <c r="M18" i="2"/>
  <c r="M31" i="2"/>
  <c r="M41" i="2"/>
  <c r="M51" i="2"/>
  <c r="M61" i="2"/>
  <c r="M71" i="2"/>
  <c r="K138" i="2"/>
  <c r="M154" i="2"/>
  <c r="K159" i="2"/>
  <c r="M70" i="2"/>
  <c r="V95" i="2"/>
  <c r="S95" i="2"/>
  <c r="M106" i="2"/>
  <c r="M111" i="2"/>
  <c r="M15" i="2"/>
  <c r="M121" i="2"/>
  <c r="V127" i="2"/>
  <c r="T127" i="2"/>
  <c r="K158" i="2"/>
  <c r="S107" i="2"/>
  <c r="S133" i="2"/>
  <c r="M28" i="2"/>
  <c r="M38" i="2"/>
  <c r="M48" i="2"/>
  <c r="M58" i="2"/>
  <c r="M68" i="2"/>
  <c r="V105" i="2"/>
  <c r="S105" i="2"/>
  <c r="S122" i="2"/>
  <c r="M131" i="2"/>
  <c r="T133" i="2"/>
  <c r="V137" i="2"/>
  <c r="T137" i="2"/>
  <c r="V117" i="2"/>
  <c r="T117" i="2"/>
  <c r="M13" i="2"/>
  <c r="M12" i="2"/>
  <c r="N13" i="2"/>
  <c r="C29" i="1" s="1"/>
  <c r="M11" i="2"/>
  <c r="O13" i="2"/>
  <c r="E6" i="1" s="1"/>
  <c r="N28" i="2"/>
  <c r="E5" i="1" s="1"/>
  <c r="N38" i="2"/>
  <c r="C30" i="1" s="1"/>
  <c r="V77" i="2"/>
  <c r="T77" i="2"/>
  <c r="S84" i="2"/>
  <c r="X107" i="2"/>
  <c r="T122" i="2"/>
  <c r="S143" i="2"/>
  <c r="K147" i="2"/>
  <c r="M47" i="2"/>
  <c r="T84" i="2"/>
  <c r="T95" i="2"/>
  <c r="V110" i="2"/>
  <c r="X110" i="2"/>
  <c r="S110" i="2"/>
  <c r="S117" i="2"/>
  <c r="S132" i="2"/>
  <c r="X133" i="2"/>
  <c r="V141" i="2"/>
  <c r="X141" i="2"/>
  <c r="T143" i="2"/>
  <c r="V147" i="2"/>
  <c r="T147" i="2"/>
  <c r="J16" i="1" l="1"/>
  <c r="V43" i="2"/>
  <c r="X43" i="2"/>
  <c r="S43" i="2"/>
  <c r="T43" i="2"/>
  <c r="T38" i="2"/>
  <c r="X38" i="2"/>
  <c r="S38" i="2"/>
  <c r="V38" i="2" s="1"/>
  <c r="V61" i="2"/>
  <c r="T61" i="2"/>
  <c r="S61" i="2"/>
  <c r="X61" i="2"/>
  <c r="L30" i="1"/>
  <c r="G20" i="1"/>
  <c r="F16" i="1"/>
  <c r="T18" i="2"/>
  <c r="H15" i="1" s="1"/>
  <c r="S18" i="2"/>
  <c r="X18" i="2"/>
  <c r="V48" i="2"/>
  <c r="X48" i="2"/>
  <c r="S48" i="2"/>
  <c r="T48" i="2"/>
  <c r="V71" i="2"/>
  <c r="T71" i="2"/>
  <c r="S71" i="2"/>
  <c r="X71" i="2"/>
  <c r="C15" i="1"/>
  <c r="E10" i="1"/>
  <c r="E20" i="1"/>
  <c r="X28" i="2"/>
  <c r="T28" i="2"/>
  <c r="V28" i="2" s="1"/>
  <c r="S28" i="2"/>
  <c r="V51" i="2"/>
  <c r="T51" i="2"/>
  <c r="S51" i="2"/>
  <c r="X51" i="2"/>
  <c r="L32" i="1"/>
  <c r="F20" i="1"/>
  <c r="B18" i="1"/>
  <c r="V50" i="2"/>
  <c r="S50" i="2"/>
  <c r="X50" i="2"/>
  <c r="T50" i="2"/>
  <c r="V130" i="2"/>
  <c r="X130" i="2"/>
  <c r="T130" i="2"/>
  <c r="S130" i="2"/>
  <c r="E17" i="1"/>
  <c r="V41" i="2"/>
  <c r="T41" i="2"/>
  <c r="S41" i="2"/>
  <c r="X41" i="2"/>
  <c r="V72" i="2"/>
  <c r="X72" i="2"/>
  <c r="T72" i="2"/>
  <c r="S72" i="2"/>
  <c r="V60" i="2"/>
  <c r="S60" i="2"/>
  <c r="X60" i="2"/>
  <c r="T60" i="2"/>
  <c r="V44" i="2"/>
  <c r="X44" i="2"/>
  <c r="S44" i="2"/>
  <c r="T44" i="2"/>
  <c r="V151" i="2"/>
  <c r="X151" i="2"/>
  <c r="T151" i="2"/>
  <c r="S151" i="2"/>
  <c r="S11" i="2"/>
  <c r="G16" i="1" s="1"/>
  <c r="T11" i="2"/>
  <c r="X11" i="2"/>
  <c r="I34" i="1"/>
  <c r="C18" i="1"/>
  <c r="X22" i="2"/>
  <c r="S22" i="2"/>
  <c r="V22" i="2"/>
  <c r="T22" i="2"/>
  <c r="K6" i="3"/>
  <c r="J34" i="1"/>
  <c r="B17" i="1"/>
  <c r="L29" i="1"/>
  <c r="V96" i="2"/>
  <c r="X96" i="2"/>
  <c r="T96" i="2"/>
  <c r="S96" i="2"/>
  <c r="T15" i="2"/>
  <c r="X15" i="2"/>
  <c r="S15" i="2"/>
  <c r="V15" i="2" s="1"/>
  <c r="M36" i="1"/>
  <c r="V64" i="2"/>
  <c r="T64" i="2"/>
  <c r="X64" i="2"/>
  <c r="S64" i="2"/>
  <c r="I36" i="1"/>
  <c r="K33" i="1"/>
  <c r="I33" i="1"/>
  <c r="I30" i="1"/>
  <c r="E19" i="1"/>
  <c r="K35" i="1"/>
  <c r="V124" i="2"/>
  <c r="X124" i="2"/>
  <c r="T124" i="2"/>
  <c r="S124" i="2"/>
  <c r="V54" i="2"/>
  <c r="X54" i="2"/>
  <c r="S54" i="2"/>
  <c r="T54" i="2"/>
  <c r="K10" i="3"/>
  <c r="X12" i="2"/>
  <c r="T12" i="2"/>
  <c r="S12" i="2"/>
  <c r="G19" i="1" s="1"/>
  <c r="X20" i="2"/>
  <c r="T20" i="2"/>
  <c r="S20" i="2"/>
  <c r="V20" i="2" s="1"/>
  <c r="H17" i="1"/>
  <c r="V106" i="2"/>
  <c r="S106" i="2"/>
  <c r="X106" i="2"/>
  <c r="T106" i="2"/>
  <c r="V66" i="2"/>
  <c r="X66" i="2"/>
  <c r="T66" i="2"/>
  <c r="S66" i="2"/>
  <c r="T31" i="2"/>
  <c r="S31" i="2"/>
  <c r="V31" i="2" s="1"/>
  <c r="X31" i="2"/>
  <c r="E4" i="1"/>
  <c r="J29" i="1"/>
  <c r="I29" i="1"/>
  <c r="L35" i="1"/>
  <c r="L31" i="1"/>
  <c r="I35" i="1"/>
  <c r="K29" i="1"/>
  <c r="K31" i="1"/>
  <c r="J19" i="1"/>
  <c r="J15" i="1"/>
  <c r="J31" i="1"/>
  <c r="I31" i="1"/>
  <c r="H19" i="1"/>
  <c r="V52" i="2"/>
  <c r="X52" i="2"/>
  <c r="T52" i="2"/>
  <c r="S52" i="2"/>
  <c r="S13" i="2"/>
  <c r="V13" i="2" s="1"/>
  <c r="X13" i="2"/>
  <c r="T13" i="2"/>
  <c r="J30" i="1"/>
  <c r="D29" i="1"/>
  <c r="M34" i="1"/>
  <c r="T37" i="2"/>
  <c r="V37" i="2" s="1"/>
  <c r="E7" i="1"/>
  <c r="X26" i="2"/>
  <c r="T26" i="2"/>
  <c r="S26" i="2"/>
  <c r="V26" i="2" s="1"/>
  <c r="J33" i="1"/>
  <c r="D17" i="1"/>
  <c r="D19" i="1"/>
  <c r="V24" i="2"/>
  <c r="X24" i="2"/>
  <c r="S24" i="2"/>
  <c r="T24" i="2"/>
  <c r="V91" i="2"/>
  <c r="X91" i="2"/>
  <c r="T91" i="2"/>
  <c r="S91" i="2"/>
  <c r="E29" i="1"/>
  <c r="J35" i="1"/>
  <c r="F17" i="1"/>
  <c r="V131" i="2"/>
  <c r="X131" i="2"/>
  <c r="T131" i="2"/>
  <c r="S131" i="2"/>
  <c r="K36" i="1"/>
  <c r="C17" i="1"/>
  <c r="T27" i="2"/>
  <c r="V27" i="2" s="1"/>
  <c r="V144" i="2"/>
  <c r="X144" i="2"/>
  <c r="T144" i="2"/>
  <c r="S144" i="2"/>
  <c r="X8" i="2"/>
  <c r="S8" i="2"/>
  <c r="V8" i="2" s="1"/>
  <c r="K8" i="3"/>
  <c r="T8" i="2"/>
  <c r="E15" i="1"/>
  <c r="C16" i="1"/>
  <c r="V76" i="2"/>
  <c r="X76" i="2"/>
  <c r="T76" i="2"/>
  <c r="S76" i="2"/>
  <c r="B19" i="1"/>
  <c r="K30" i="1"/>
  <c r="V36" i="2"/>
  <c r="X36" i="2"/>
  <c r="S36" i="2"/>
  <c r="B30" i="1"/>
  <c r="T36" i="2"/>
  <c r="V134" i="2"/>
  <c r="X134" i="2"/>
  <c r="T134" i="2"/>
  <c r="S134" i="2"/>
  <c r="V118" i="2"/>
  <c r="X118" i="2"/>
  <c r="S118" i="2"/>
  <c r="T118" i="2"/>
  <c r="D16" i="1"/>
  <c r="F15" i="1"/>
  <c r="S19" i="2"/>
  <c r="T19" i="2"/>
  <c r="V19" i="2" s="1"/>
  <c r="X19" i="2"/>
  <c r="H18" i="1"/>
  <c r="V74" i="2"/>
  <c r="X74" i="2"/>
  <c r="T74" i="2"/>
  <c r="S74" i="2"/>
  <c r="S30" i="2"/>
  <c r="V30" i="2" s="1"/>
  <c r="X30" i="2"/>
  <c r="T30" i="2"/>
  <c r="E8" i="1"/>
  <c r="E11" i="1"/>
  <c r="V62" i="2"/>
  <c r="X62" i="2"/>
  <c r="T62" i="2"/>
  <c r="S62" i="2"/>
  <c r="X23" i="2"/>
  <c r="T23" i="2"/>
  <c r="S23" i="2"/>
  <c r="V23" i="2" s="1"/>
  <c r="V121" i="2"/>
  <c r="X121" i="2"/>
  <c r="T121" i="2"/>
  <c r="S121" i="2"/>
  <c r="V53" i="2"/>
  <c r="X53" i="2"/>
  <c r="T53" i="2"/>
  <c r="S53" i="2"/>
  <c r="J32" i="1"/>
  <c r="J18" i="1"/>
  <c r="J36" i="1"/>
  <c r="V46" i="2"/>
  <c r="X46" i="2"/>
  <c r="T46" i="2"/>
  <c r="S46" i="2"/>
  <c r="V47" i="2"/>
  <c r="X47" i="2"/>
  <c r="T47" i="2"/>
  <c r="S47" i="2"/>
  <c r="V111" i="2"/>
  <c r="X111" i="2"/>
  <c r="S111" i="2"/>
  <c r="T111" i="2"/>
  <c r="V33" i="2"/>
  <c r="I18" i="1" s="1"/>
  <c r="S33" i="2"/>
  <c r="G18" i="1" s="1"/>
  <c r="X33" i="2"/>
  <c r="T33" i="2"/>
  <c r="D15" i="1"/>
  <c r="S7" i="2"/>
  <c r="V7" i="2" s="1"/>
  <c r="K7" i="3"/>
  <c r="X7" i="2"/>
  <c r="T7" i="2"/>
  <c r="B29" i="1"/>
  <c r="V70" i="2"/>
  <c r="S70" i="2"/>
  <c r="X70" i="2"/>
  <c r="T70" i="2"/>
  <c r="S16" i="2"/>
  <c r="X16" i="2"/>
  <c r="T16" i="2"/>
  <c r="V16" i="2" s="1"/>
  <c r="V68" i="2"/>
  <c r="X68" i="2"/>
  <c r="T68" i="2"/>
  <c r="S68" i="2"/>
  <c r="V154" i="2"/>
  <c r="T154" i="2"/>
  <c r="S154" i="2"/>
  <c r="X154" i="2"/>
  <c r="C19" i="1"/>
  <c r="K32" i="1"/>
  <c r="J17" i="1"/>
  <c r="S40" i="2"/>
  <c r="V40" i="2" s="1"/>
  <c r="X40" i="2"/>
  <c r="T40" i="2"/>
  <c r="V56" i="2"/>
  <c r="X56" i="2"/>
  <c r="T56" i="2"/>
  <c r="S56" i="2"/>
  <c r="E16" i="1"/>
  <c r="V42" i="2"/>
  <c r="X42" i="2"/>
  <c r="T42" i="2"/>
  <c r="S42" i="2"/>
  <c r="F18" i="1"/>
  <c r="F19" i="1"/>
  <c r="M32" i="1"/>
  <c r="V58" i="2"/>
  <c r="X58" i="2"/>
  <c r="T58" i="2"/>
  <c r="S58" i="2"/>
  <c r="B15" i="1"/>
  <c r="K34" i="1"/>
  <c r="B20" i="1"/>
  <c r="V81" i="2"/>
  <c r="X81" i="2"/>
  <c r="S81" i="2"/>
  <c r="T81" i="2"/>
  <c r="H16" i="1"/>
  <c r="L33" i="1"/>
  <c r="M31" i="1" l="1"/>
  <c r="I17" i="1"/>
  <c r="V11" i="2"/>
  <c r="F29" i="1" s="1"/>
  <c r="M33" i="1"/>
  <c r="V18" i="2"/>
  <c r="I15" i="1" s="1"/>
  <c r="V12" i="2"/>
  <c r="G17" i="1"/>
  <c r="F30" i="1"/>
  <c r="G15" i="1"/>
  <c r="E9" i="1" l="1"/>
  <c r="M29" i="1"/>
  <c r="I19" i="1"/>
  <c r="I16" i="1"/>
  <c r="M30" i="1"/>
</calcChain>
</file>

<file path=xl/sharedStrings.xml><?xml version="1.0" encoding="utf-8"?>
<sst xmlns="http://schemas.openxmlformats.org/spreadsheetml/2006/main" count="416" uniqueCount="206">
  <si>
    <t>Auswahl</t>
  </si>
  <si>
    <t>Wert</t>
  </si>
  <si>
    <t>Kennzahl</t>
  </si>
  <si>
    <t>Nutzungshinweise
1. Stammdaten auf der Seite „Mitarbeiter“ pflegen.
2. Arbeitszeiten in „Zeiterfassung“ erfassen: Datum, Beginn, Ende und Pause.
3. Das Dashboard aktualisiert sich nach Monat/Jahr.
4. Feiertage und Zuschläge sind in „Einstellungen“ editierbar.
5. Diese Datei ist eine Vorlage und ersetzt keine individuelle Rechts- oder Lohnberatung.</t>
  </si>
  <si>
    <t>Monat</t>
  </si>
  <si>
    <t>Netto-Stunden</t>
  </si>
  <si>
    <t>Jahr</t>
  </si>
  <si>
    <t>Nachtstunden</t>
  </si>
  <si>
    <t>Monatsbeginn</t>
  </si>
  <si>
    <t>Sonntagsstunden</t>
  </si>
  <si>
    <t>Monatsende</t>
  </si>
  <si>
    <t>Feiertagsstunden</t>
  </si>
  <si>
    <t>Trinkgeld</t>
  </si>
  <si>
    <t>Gesamtwert</t>
  </si>
  <si>
    <t>Einträge</t>
  </si>
  <si>
    <t>Hinweise prüfen</t>
  </si>
  <si>
    <t>Mitarbeiter</t>
  </si>
  <si>
    <t>Netto Std.</t>
  </si>
  <si>
    <t>Nacht</t>
  </si>
  <si>
    <t>Sonntag</t>
  </si>
  <si>
    <t>Feiertag</t>
  </si>
  <si>
    <t>Grundlohn</t>
  </si>
  <si>
    <t>Zuschläge</t>
  </si>
  <si>
    <t>Hinweise</t>
  </si>
  <si>
    <t>Nacht Std.</t>
  </si>
  <si>
    <t>Sonntag Std.</t>
  </si>
  <si>
    <t>Feiertag Std.</t>
  </si>
  <si>
    <t>Bereich</t>
  </si>
  <si>
    <t>Service</t>
  </si>
  <si>
    <t>Küche</t>
  </si>
  <si>
    <t>Bar</t>
  </si>
  <si>
    <t>Spülküche</t>
  </si>
  <si>
    <t>Reinigung</t>
  </si>
  <si>
    <t>Kasse</t>
  </si>
  <si>
    <t>Veranstaltung</t>
  </si>
  <si>
    <t>Verwaltung</t>
  </si>
  <si>
    <t>Zeiterfassung Gastronomie 2026</t>
  </si>
  <si>
    <t>Gelbe Felder sind Eingabefelder. Grüne Felder werden berechnet. Zeiten über Mitternacht sind möglich. Für die Ruhezeitprüfung Einträge je Mitarbeiter chronologisch sortieren.</t>
  </si>
  <si>
    <t>Eintrag-ID</t>
  </si>
  <si>
    <t>Mitarbeiter-ID</t>
  </si>
  <si>
    <t>Datum</t>
  </si>
  <si>
    <t>Wochentag</t>
  </si>
  <si>
    <t>Schichtart</t>
  </si>
  <si>
    <t>Beginn</t>
  </si>
  <si>
    <t>Ende</t>
  </si>
  <si>
    <t>Pause (Min.)</t>
  </si>
  <si>
    <t>Soll-Pause</t>
  </si>
  <si>
    <t>Brutto Std.</t>
  </si>
  <si>
    <t>Stundenlohn</t>
  </si>
  <si>
    <t>Zuschläge optional</t>
  </si>
  <si>
    <t>Prüfung Pause</t>
  </si>
  <si>
    <t>Prüfung Arbeitszeit</t>
  </si>
  <si>
    <t>Ruhezeit Std.</t>
  </si>
  <si>
    <t>Prüfung Ruhezeit</t>
  </si>
  <si>
    <t>Freigabe</t>
  </si>
  <si>
    <t>Bemerkung</t>
  </si>
  <si>
    <t>Beginn intern</t>
  </si>
  <si>
    <t>Ende intern</t>
  </si>
  <si>
    <t>Vorheriges Ende</t>
  </si>
  <si>
    <t>Z-001</t>
  </si>
  <si>
    <t>M001</t>
  </si>
  <si>
    <t>Spätdienst</t>
  </si>
  <si>
    <t>Geprüft</t>
  </si>
  <si>
    <t>Normaler Abendservice</t>
  </si>
  <si>
    <t>Z-002</t>
  </si>
  <si>
    <t>M002</t>
  </si>
  <si>
    <t>Vorbereitung und Abendservice</t>
  </si>
  <si>
    <t>Z-003</t>
  </si>
  <si>
    <t>M003</t>
  </si>
  <si>
    <t>Nachtschicht</t>
  </si>
  <si>
    <t>Bar bis nach Mitternacht</t>
  </si>
  <si>
    <t>Z-004</t>
  </si>
  <si>
    <t>M004</t>
  </si>
  <si>
    <t>Frühdienst</t>
  </si>
  <si>
    <t>Grundreinigung</t>
  </si>
  <si>
    <t>Z-005</t>
  </si>
  <si>
    <t>Mitteldienst</t>
  </si>
  <si>
    <t>Offen</t>
  </si>
  <si>
    <t>Sonntagsgeschäft</t>
  </si>
  <si>
    <t>Z-006</t>
  </si>
  <si>
    <t>Sonntag Küche</t>
  </si>
  <si>
    <t>Z-007</t>
  </si>
  <si>
    <t>M005</t>
  </si>
  <si>
    <t>Mittagsgeschäft</t>
  </si>
  <si>
    <t>Z-008</t>
  </si>
  <si>
    <t>Event</t>
  </si>
  <si>
    <t>Korrigieren</t>
  </si>
  <si>
    <t>Pause prüfen: Beispiel mit zu kurzer Pause</t>
  </si>
  <si>
    <t>Z-009</t>
  </si>
  <si>
    <t>Z-010</t>
  </si>
  <si>
    <t>Z-011</t>
  </si>
  <si>
    <t>Lange Veranstaltung, Arbeitszeit prüfen</t>
  </si>
  <si>
    <t>Z-012</t>
  </si>
  <si>
    <t>Pause automatisch nicht nötig</t>
  </si>
  <si>
    <t>Z-013</t>
  </si>
  <si>
    <t>Sonntag Abend</t>
  </si>
  <si>
    <t>Z-014</t>
  </si>
  <si>
    <t>Pause prüfen</t>
  </si>
  <si>
    <t>Z-015</t>
  </si>
  <si>
    <t>Z-016</t>
  </si>
  <si>
    <t>Z-017</t>
  </si>
  <si>
    <t>Z-018</t>
  </si>
  <si>
    <t>Z-019</t>
  </si>
  <si>
    <t>Samstag Bar</t>
  </si>
  <si>
    <t>Z-020</t>
  </si>
  <si>
    <t>Sonntag Reinigung</t>
  </si>
  <si>
    <t>Z-021</t>
  </si>
  <si>
    <t>Z-022</t>
  </si>
  <si>
    <t>Z-023</t>
  </si>
  <si>
    <t>Z-024</t>
  </si>
  <si>
    <t>Z-025</t>
  </si>
  <si>
    <t>Private Feier</t>
  </si>
  <si>
    <t>Z-026</t>
  </si>
  <si>
    <t>Netto über 9 Std.</t>
  </si>
  <si>
    <t>Z-027</t>
  </si>
  <si>
    <t>Z-028</t>
  </si>
  <si>
    <t>Z-029</t>
  </si>
  <si>
    <t>Z-030</t>
  </si>
  <si>
    <t>Monatsabschluss</t>
  </si>
  <si>
    <t>Z-031</t>
  </si>
  <si>
    <t>M006</t>
  </si>
  <si>
    <t>Beispiel Februar</t>
  </si>
  <si>
    <t>Z-032</t>
  </si>
  <si>
    <t>Z-033</t>
  </si>
  <si>
    <t>Z-034</t>
  </si>
  <si>
    <t>Z-035</t>
  </si>
  <si>
    <t>Mitarbeiter-Stammdaten 2026</t>
  </si>
  <si>
    <t>Hinweis</t>
  </si>
  <si>
    <t>Pflege die Stammdaten hier. Namen sind Beispieldaten und können vollständig ersetzt werden.</t>
  </si>
  <si>
    <t>Name</t>
  </si>
  <si>
    <t>Rolle</t>
  </si>
  <si>
    <t>Standardbereich</t>
  </si>
  <si>
    <t>Arbeitsmodell</t>
  </si>
  <si>
    <t>Soll Std./Woche</t>
  </si>
  <si>
    <t>Aktiv</t>
  </si>
  <si>
    <t>Eintritt</t>
  </si>
  <si>
    <t>Mindestlohnprüfung</t>
  </si>
  <si>
    <t>Monatsstunden</t>
  </si>
  <si>
    <t>Beispiel Servicekraft A</t>
  </si>
  <si>
    <t>Servicekraft</t>
  </si>
  <si>
    <t>Teilzeit</t>
  </si>
  <si>
    <t>Ja</t>
  </si>
  <si>
    <t>Beispiel Küche A</t>
  </si>
  <si>
    <t>Koch/Köchin</t>
  </si>
  <si>
    <t>Vollzeit</t>
  </si>
  <si>
    <t>Beispiel Bar A</t>
  </si>
  <si>
    <t>Minijob</t>
  </si>
  <si>
    <t>Beispiel Reinigung A</t>
  </si>
  <si>
    <t>Beispiel Servicekraft B</t>
  </si>
  <si>
    <t>Werkstudent</t>
  </si>
  <si>
    <t>Beispiel Spülküche A</t>
  </si>
  <si>
    <t>Spülhilfe</t>
  </si>
  <si>
    <t>Zeiterfassung Gastronomie – Einstellungen 2026</t>
  </si>
  <si>
    <t>Parameter</t>
  </si>
  <si>
    <t>Bereiche</t>
  </si>
  <si>
    <t>Schichtarten</t>
  </si>
  <si>
    <t>Vorlage ist auf das Jahr 2026 ausgerichtet.</t>
  </si>
  <si>
    <t>Standard-Monat</t>
  </si>
  <si>
    <t>1 = Januar, 12 = Dezember</t>
  </si>
  <si>
    <t>Gesetzlicher Mindestlohn je Stunde</t>
  </si>
  <si>
    <t>Dient als Plausibilitätsprüfung für Stundenlöhne.</t>
  </si>
  <si>
    <t>Nachtbeginn</t>
  </si>
  <si>
    <t>Für interne Auswertung der Nachtstunden.</t>
  </si>
  <si>
    <t>Abgerechnet</t>
  </si>
  <si>
    <t>Nachtende</t>
  </si>
  <si>
    <t>Nachtzeit über Mitternacht wird automatisch berücksichtigt.</t>
  </si>
  <si>
    <t>Pause bei mehr als 6 Stunden (Min.)</t>
  </si>
  <si>
    <t>Mindestpause nach hinterlegter Standardregel.</t>
  </si>
  <si>
    <t>Abruf</t>
  </si>
  <si>
    <t>Pause bei mehr als 9 Stunden (Min.)</t>
  </si>
  <si>
    <t>Schulung</t>
  </si>
  <si>
    <t>Warnung ab Netto-Arbeitszeit (Std.)</t>
  </si>
  <si>
    <t>Hinweiswert für Tagesarbeitszeit.</t>
  </si>
  <si>
    <t>Max. Kontrollwert Netto-Arbeitszeit (Std.)</t>
  </si>
  <si>
    <t>Schichten darüber werden als kritisch markiert.</t>
  </si>
  <si>
    <t>Standard-Ruhezeit (Std.)</t>
  </si>
  <si>
    <t>Normale Ruhezeit zwischen zwei Schichten.</t>
  </si>
  <si>
    <t>Gastronomie-Kurzruhezeit Hinweis (Std.)</t>
  </si>
  <si>
    <t>Für interne Prüfung: unter 10 Std. wird kritisch markiert.</t>
  </si>
  <si>
    <t>Optionaler Nachtzuschlag</t>
  </si>
  <si>
    <t>Nur zur internen Kostenplanung, kein automatischer Rechtsanspruch.</t>
  </si>
  <si>
    <t>Optionaler Sonntagszuschlag</t>
  </si>
  <si>
    <t>Nur zur internen Kostenplanung.</t>
  </si>
  <si>
    <t>Optionaler Feiertagszuschlag</t>
  </si>
  <si>
    <t>Feiertage 2026</t>
  </si>
  <si>
    <t>Bezeichnung</t>
  </si>
  <si>
    <t>Geltung</t>
  </si>
  <si>
    <t>Neujahr</t>
  </si>
  <si>
    <t>Deutschland / regional prüfen</t>
  </si>
  <si>
    <t>Heilige Drei Könige (regional)</t>
  </si>
  <si>
    <t>Internationaler Frauentag (regional)</t>
  </si>
  <si>
    <t>Karfreitag</t>
  </si>
  <si>
    <t>Ostermontag</t>
  </si>
  <si>
    <t>Tag der Arbeit</t>
  </si>
  <si>
    <t>Christi Himmelfahrt</t>
  </si>
  <si>
    <t>Pfingstmontag</t>
  </si>
  <si>
    <t>Fronleichnam (regional)</t>
  </si>
  <si>
    <t>Mariä Himmelfahrt (regional)</t>
  </si>
  <si>
    <t>Weltkindertag (regional)</t>
  </si>
  <si>
    <t>Tag der Deutschen Einheit</t>
  </si>
  <si>
    <t>Reformationstag (regional)</t>
  </si>
  <si>
    <t>Allerheiligen (regional)</t>
  </si>
  <si>
    <t>Buß- und Bettag (regional)</t>
  </si>
  <si>
    <t>1. Weihnachtstag</t>
  </si>
  <si>
    <t>2. Weihnachtstag</t>
  </si>
  <si>
    <t>Zeiterfassung Gastronomie Excel – Übersicht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</si>
</sst>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€\ #,##0.00"/>
    <numFmt numFmtId="165" formatCode="hh:mm"/>
    <numFmt numFmtId="167" formatCode="dd\.mm\.yyyy\ hh:mm"/>
    <numFmt numFmtId="168" formatCode="yyyy\-mm\-dd"/>
  </numFmts>
  <fonts count="8" x14ac:knownFonts="1">
    <font>
      <sz val="11"/>
      <name val="Carlito"/>
    </font>
    <font>
      <b/>
      <sz val="16"/>
      <color rgb="FFFFFFFF"/>
      <name val="Carlito"/>
    </font>
    <font>
      <b/>
      <sz val="11"/>
      <color rgb="FFFFFFFF"/>
      <name val="Carlito"/>
    </font>
    <font>
      <b/>
      <sz val="11"/>
      <name val="Carlito"/>
    </font>
    <font>
      <i/>
      <sz val="11"/>
      <color rgb="FF475569"/>
      <name val="Carlito"/>
    </font>
    <font>
      <b/>
      <sz val="11"/>
      <color rgb="FF0F172A"/>
      <name val="Carlito"/>
    </font>
    <font>
      <sz val="11"/>
      <name val="Carlito"/>
    </font>
    <font>
      <b/>
      <sz val="20"/>
      <color rgb="FFFFFFFF"/>
      <name val="Carlito"/>
      <family val="2"/>
    </font>
  </fonts>
  <fills count="9">
    <fill>
      <patternFill patternType="none"/>
    </fill>
    <fill>
      <patternFill patternType="gray125"/>
    </fill>
    <fill>
      <patternFill patternType="solid">
        <fgColor rgb="FF1F4E5F"/>
      </patternFill>
    </fill>
    <fill>
      <patternFill patternType="solid">
        <fgColor rgb="FFEEF2F7"/>
      </patternFill>
    </fill>
    <fill>
      <patternFill patternType="solid">
        <fgColor rgb="FFFFF2CC"/>
      </patternFill>
    </fill>
    <fill>
      <patternFill patternType="solid">
        <fgColor rgb="FFF8FAFC"/>
      </patternFill>
    </fill>
    <fill>
      <patternFill patternType="solid">
        <fgColor rgb="FFFFFFFF"/>
      </patternFill>
    </fill>
    <fill>
      <patternFill patternType="solid">
        <fgColor rgb="FFE2F0D9"/>
      </patternFill>
    </fill>
    <fill>
      <patternFill patternType="solid">
        <fgColor rgb="FFD9EAF7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85">
    <xf numFmtId="0" fontId="0" fillId="0" borderId="0" xfId="0"/>
    <xf numFmtId="0" fontId="1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3" borderId="4" xfId="1" applyFont="1" applyFill="1" applyBorder="1"/>
    <xf numFmtId="0" fontId="0" fillId="4" borderId="5" xfId="1" applyFont="1" applyFill="1" applyBorder="1"/>
    <xf numFmtId="0" fontId="4" fillId="5" borderId="6" xfId="1" applyFont="1" applyFill="1" applyBorder="1" applyAlignment="1">
      <alignment wrapText="1"/>
    </xf>
    <xf numFmtId="164" fontId="0" fillId="4" borderId="5" xfId="1" applyNumberFormat="1" applyFont="1" applyFill="1" applyBorder="1"/>
    <xf numFmtId="165" fontId="0" fillId="4" borderId="5" xfId="1" applyNumberFormat="1" applyFont="1" applyFill="1" applyBorder="1"/>
    <xf numFmtId="9" fontId="0" fillId="4" borderId="5" xfId="1" applyNumberFormat="1" applyFont="1" applyFill="1" applyBorder="1"/>
    <xf numFmtId="0" fontId="3" fillId="3" borderId="7" xfId="1" applyFont="1" applyFill="1" applyBorder="1"/>
    <xf numFmtId="9" fontId="0" fillId="4" borderId="8" xfId="1" applyNumberFormat="1" applyFont="1" applyFill="1" applyBorder="1"/>
    <xf numFmtId="0" fontId="4" fillId="5" borderId="9" xfId="1" applyFont="1" applyFill="1" applyBorder="1" applyAlignment="1">
      <alignment wrapText="1"/>
    </xf>
    <xf numFmtId="0" fontId="0" fillId="6" borderId="0" xfId="1" applyFont="1" applyFill="1"/>
    <xf numFmtId="0" fontId="0" fillId="0" borderId="5" xfId="1" applyFont="1" applyBorder="1"/>
    <xf numFmtId="0" fontId="0" fillId="0" borderId="6" xfId="1" applyFont="1" applyBorder="1"/>
    <xf numFmtId="0" fontId="0" fillId="0" borderId="8" xfId="1" applyFont="1" applyBorder="1"/>
    <xf numFmtId="0" fontId="0" fillId="0" borderId="9" xfId="1" applyFont="1" applyBorder="1"/>
    <xf numFmtId="0" fontId="0" fillId="4" borderId="4" xfId="1" applyFont="1" applyFill="1" applyBorder="1"/>
    <xf numFmtId="0" fontId="0" fillId="7" borderId="5" xfId="1" applyFont="1" applyFill="1" applyBorder="1"/>
    <xf numFmtId="2" fontId="0" fillId="7" borderId="6" xfId="1" applyNumberFormat="1" applyFont="1" applyFill="1" applyBorder="1"/>
    <xf numFmtId="0" fontId="0" fillId="4" borderId="7" xfId="1" applyFont="1" applyFill="1" applyBorder="1"/>
    <xf numFmtId="0" fontId="0" fillId="4" borderId="8" xfId="1" applyFont="1" applyFill="1" applyBorder="1"/>
    <xf numFmtId="164" fontId="0" fillId="4" borderId="8" xfId="1" applyNumberFormat="1" applyFont="1" applyFill="1" applyBorder="1"/>
    <xf numFmtId="0" fontId="0" fillId="7" borderId="8" xfId="1" applyFont="1" applyFill="1" applyBorder="1"/>
    <xf numFmtId="2" fontId="0" fillId="7" borderId="9" xfId="1" applyNumberFormat="1" applyFont="1" applyFill="1" applyBorder="1"/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0" fillId="4" borderId="13" xfId="1" applyFont="1" applyFill="1" applyBorder="1" applyAlignment="1">
      <alignment wrapText="1"/>
    </xf>
    <xf numFmtId="0" fontId="0" fillId="4" borderId="14" xfId="1" applyFont="1" applyFill="1" applyBorder="1" applyAlignment="1">
      <alignment wrapText="1"/>
    </xf>
    <xf numFmtId="0" fontId="0" fillId="7" borderId="14" xfId="1" applyFont="1" applyFill="1" applyBorder="1" applyAlignment="1">
      <alignment wrapText="1"/>
    </xf>
    <xf numFmtId="165" fontId="0" fillId="4" borderId="14" xfId="1" applyNumberFormat="1" applyFont="1" applyFill="1" applyBorder="1" applyAlignment="1">
      <alignment wrapText="1"/>
    </xf>
    <xf numFmtId="1" fontId="0" fillId="7" borderId="14" xfId="1" applyNumberFormat="1" applyFont="1" applyFill="1" applyBorder="1" applyAlignment="1">
      <alignment wrapText="1"/>
    </xf>
    <xf numFmtId="2" fontId="0" fillId="7" borderId="14" xfId="1" applyNumberFormat="1" applyFont="1" applyFill="1" applyBorder="1" applyAlignment="1">
      <alignment wrapText="1"/>
    </xf>
    <xf numFmtId="164" fontId="0" fillId="7" borderId="14" xfId="1" applyNumberFormat="1" applyFont="1" applyFill="1" applyBorder="1" applyAlignment="1">
      <alignment wrapText="1"/>
    </xf>
    <xf numFmtId="164" fontId="0" fillId="4" borderId="14" xfId="1" applyNumberFormat="1" applyFont="1" applyFill="1" applyBorder="1" applyAlignment="1">
      <alignment wrapText="1"/>
    </xf>
    <xf numFmtId="167" fontId="0" fillId="7" borderId="14" xfId="1" applyNumberFormat="1" applyFont="1" applyFill="1" applyBorder="1" applyAlignment="1">
      <alignment wrapText="1"/>
    </xf>
    <xf numFmtId="167" fontId="0" fillId="7" borderId="15" xfId="1" applyNumberFormat="1" applyFont="1" applyFill="1" applyBorder="1" applyAlignment="1">
      <alignment wrapText="1"/>
    </xf>
    <xf numFmtId="0" fontId="0" fillId="4" borderId="16" xfId="1" applyFont="1" applyFill="1" applyBorder="1" applyAlignment="1">
      <alignment wrapText="1"/>
    </xf>
    <xf numFmtId="0" fontId="0" fillId="4" borderId="17" xfId="1" applyFont="1" applyFill="1" applyBorder="1" applyAlignment="1">
      <alignment wrapText="1"/>
    </xf>
    <xf numFmtId="0" fontId="0" fillId="7" borderId="17" xfId="1" applyFont="1" applyFill="1" applyBorder="1" applyAlignment="1">
      <alignment wrapText="1"/>
    </xf>
    <xf numFmtId="165" fontId="0" fillId="4" borderId="17" xfId="1" applyNumberFormat="1" applyFont="1" applyFill="1" applyBorder="1" applyAlignment="1">
      <alignment wrapText="1"/>
    </xf>
    <xf numFmtId="1" fontId="0" fillId="7" borderId="17" xfId="1" applyNumberFormat="1" applyFont="1" applyFill="1" applyBorder="1" applyAlignment="1">
      <alignment wrapText="1"/>
    </xf>
    <xf numFmtId="2" fontId="0" fillId="7" borderId="17" xfId="1" applyNumberFormat="1" applyFont="1" applyFill="1" applyBorder="1" applyAlignment="1">
      <alignment wrapText="1"/>
    </xf>
    <xf numFmtId="164" fontId="0" fillId="7" borderId="17" xfId="1" applyNumberFormat="1" applyFont="1" applyFill="1" applyBorder="1" applyAlignment="1">
      <alignment wrapText="1"/>
    </xf>
    <xf numFmtId="164" fontId="0" fillId="4" borderId="17" xfId="1" applyNumberFormat="1" applyFont="1" applyFill="1" applyBorder="1" applyAlignment="1">
      <alignment wrapText="1"/>
    </xf>
    <xf numFmtId="167" fontId="0" fillId="7" borderId="17" xfId="1" applyNumberFormat="1" applyFont="1" applyFill="1" applyBorder="1" applyAlignment="1">
      <alignment wrapText="1"/>
    </xf>
    <xf numFmtId="167" fontId="0" fillId="7" borderId="18" xfId="1" applyNumberFormat="1" applyFont="1" applyFill="1" applyBorder="1" applyAlignment="1">
      <alignment wrapText="1"/>
    </xf>
    <xf numFmtId="0" fontId="0" fillId="0" borderId="0" xfId="1" applyFont="1" applyAlignment="1">
      <alignment wrapText="1"/>
    </xf>
    <xf numFmtId="0" fontId="5" fillId="8" borderId="0" xfId="1" applyFont="1" applyFill="1" applyAlignment="1">
      <alignment horizontal="left" vertical="center" wrapText="1"/>
    </xf>
    <xf numFmtId="0" fontId="0" fillId="4" borderId="0" xfId="1" applyFont="1" applyFill="1" applyAlignment="1">
      <alignment wrapText="1"/>
    </xf>
    <xf numFmtId="2" fontId="0" fillId="7" borderId="0" xfId="1" applyNumberFormat="1" applyFont="1" applyFill="1" applyAlignment="1">
      <alignment wrapText="1"/>
    </xf>
    <xf numFmtId="164" fontId="0" fillId="7" borderId="0" xfId="1" applyNumberFormat="1" applyFont="1" applyFill="1" applyAlignment="1">
      <alignment wrapText="1"/>
    </xf>
    <xf numFmtId="1" fontId="0" fillId="7" borderId="0" xfId="1" applyNumberFormat="1" applyFont="1" applyFill="1" applyAlignment="1">
      <alignment wrapText="1"/>
    </xf>
    <xf numFmtId="0" fontId="0" fillId="7" borderId="4" xfId="1" applyFont="1" applyFill="1" applyBorder="1" applyAlignment="1">
      <alignment wrapText="1"/>
    </xf>
    <xf numFmtId="2" fontId="0" fillId="7" borderId="5" xfId="1" applyNumberFormat="1" applyFont="1" applyFill="1" applyBorder="1" applyAlignment="1">
      <alignment wrapText="1"/>
    </xf>
    <xf numFmtId="164" fontId="0" fillId="7" borderId="5" xfId="1" applyNumberFormat="1" applyFont="1" applyFill="1" applyBorder="1" applyAlignment="1">
      <alignment wrapText="1"/>
    </xf>
    <xf numFmtId="1" fontId="0" fillId="7" borderId="6" xfId="1" applyNumberFormat="1" applyFont="1" applyFill="1" applyBorder="1" applyAlignment="1">
      <alignment wrapText="1"/>
    </xf>
    <xf numFmtId="0" fontId="0" fillId="7" borderId="7" xfId="1" applyFont="1" applyFill="1" applyBorder="1" applyAlignment="1">
      <alignment wrapText="1"/>
    </xf>
    <xf numFmtId="2" fontId="0" fillId="7" borderId="8" xfId="1" applyNumberFormat="1" applyFont="1" applyFill="1" applyBorder="1" applyAlignment="1">
      <alignment wrapText="1"/>
    </xf>
    <xf numFmtId="164" fontId="0" fillId="7" borderId="8" xfId="1" applyNumberFormat="1" applyFont="1" applyFill="1" applyBorder="1" applyAlignment="1">
      <alignment wrapText="1"/>
    </xf>
    <xf numFmtId="1" fontId="0" fillId="7" borderId="9" xfId="1" applyNumberFormat="1" applyFont="1" applyFill="1" applyBorder="1" applyAlignment="1">
      <alignment wrapText="1"/>
    </xf>
    <xf numFmtId="0" fontId="0" fillId="0" borderId="4" xfId="1" applyFont="1" applyBorder="1" applyAlignment="1">
      <alignment wrapText="1"/>
    </xf>
    <xf numFmtId="2" fontId="0" fillId="0" borderId="5" xfId="1" applyNumberFormat="1" applyFont="1" applyBorder="1" applyAlignment="1">
      <alignment wrapText="1"/>
    </xf>
    <xf numFmtId="164" fontId="0" fillId="0" borderId="6" xfId="1" applyNumberFormat="1" applyFont="1" applyBorder="1" applyAlignment="1">
      <alignment wrapText="1"/>
    </xf>
    <xf numFmtId="164" fontId="0" fillId="7" borderId="6" xfId="1" applyNumberFormat="1" applyFont="1" applyFill="1" applyBorder="1" applyAlignment="1">
      <alignment wrapText="1"/>
    </xf>
    <xf numFmtId="164" fontId="0" fillId="7" borderId="9" xfId="1" applyNumberFormat="1" applyFont="1" applyFill="1" applyBorder="1" applyAlignment="1">
      <alignment wrapText="1"/>
    </xf>
    <xf numFmtId="0" fontId="0" fillId="0" borderId="7" xfId="1" applyFont="1" applyBorder="1" applyAlignment="1">
      <alignment wrapText="1"/>
    </xf>
    <xf numFmtId="2" fontId="0" fillId="0" borderId="8" xfId="1" applyNumberFormat="1" applyFont="1" applyBorder="1" applyAlignment="1">
      <alignment wrapText="1"/>
    </xf>
    <xf numFmtId="164" fontId="0" fillId="0" borderId="9" xfId="1" applyNumberFormat="1" applyFont="1" applyBorder="1" applyAlignment="1">
      <alignment wrapText="1"/>
    </xf>
    <xf numFmtId="168" fontId="0" fillId="4" borderId="14" xfId="1" applyNumberFormat="1" applyFont="1" applyFill="1" applyBorder="1" applyAlignment="1">
      <alignment wrapText="1"/>
    </xf>
    <xf numFmtId="168" fontId="0" fillId="4" borderId="17" xfId="1" applyNumberFormat="1" applyFont="1" applyFill="1" applyBorder="1" applyAlignment="1">
      <alignment wrapText="1"/>
    </xf>
    <xf numFmtId="168" fontId="0" fillId="7" borderId="0" xfId="1" applyNumberFormat="1" applyFont="1" applyFill="1" applyAlignment="1">
      <alignment wrapText="1"/>
    </xf>
    <xf numFmtId="168" fontId="0" fillId="4" borderId="5" xfId="1" applyNumberFormat="1" applyFont="1" applyFill="1" applyBorder="1"/>
    <xf numFmtId="168" fontId="0" fillId="4" borderId="8" xfId="1" applyNumberFormat="1" applyFont="1" applyFill="1" applyBorder="1"/>
    <xf numFmtId="168" fontId="0" fillId="0" borderId="4" xfId="1" applyNumberFormat="1" applyFont="1" applyBorder="1"/>
    <xf numFmtId="168" fontId="0" fillId="0" borderId="7" xfId="1" applyNumberFormat="1" applyFont="1" applyBorder="1"/>
    <xf numFmtId="0" fontId="4" fillId="5" borderId="0" xfId="1" applyFont="1" applyFill="1" applyAlignment="1">
      <alignment vertical="top" wrapText="1"/>
    </xf>
    <xf numFmtId="0" fontId="1" fillId="2" borderId="0" xfId="1" applyFont="1" applyFill="1" applyAlignment="1">
      <alignment horizontal="left" vertical="center"/>
    </xf>
    <xf numFmtId="0" fontId="4" fillId="5" borderId="0" xfId="1" applyFont="1" applyFill="1" applyAlignment="1">
      <alignment wrapText="1"/>
    </xf>
    <xf numFmtId="0" fontId="7" fillId="2" borderId="0" xfId="1" applyFont="1" applyFill="1" applyAlignment="1">
      <alignment horizontal="left" vertical="center" wrapText="1"/>
    </xf>
  </cellXfs>
  <cellStyles count="2">
    <cellStyle name="Normal" xfId="1" xr:uid="{00000000-0005-0000-0000-000000000000}"/>
    <cellStyle name="Standard" xfId="0" builtinId="0"/>
  </cellStyles>
  <dxfs count="7">
    <dxf>
      <fill>
        <patternFill patternType="solid">
          <bgColor rgb="FFFCE4D6"/>
        </patternFill>
      </fill>
    </dxf>
    <dxf>
      <fill>
        <patternFill patternType="solid">
          <bgColor rgb="FFE2F0D9"/>
        </patternFill>
      </fill>
    </dxf>
    <dxf>
      <font>
        <b/>
        <color rgb="FF9A3412"/>
      </font>
      <fill>
        <patternFill patternType="solid">
          <bgColor rgb="FFFCE4D6"/>
        </patternFill>
      </fill>
    </dxf>
    <dxf>
      <font>
        <b/>
        <color rgb="FF9A3412"/>
      </font>
      <fill>
        <patternFill patternType="solid">
          <bgColor rgb="FFFCE4D6"/>
        </patternFill>
      </fill>
    </dxf>
    <dxf>
      <font>
        <b/>
        <color rgb="FF9A3412"/>
      </font>
      <fill>
        <patternFill patternType="solid">
          <bgColor rgb="FFFCE4D6"/>
        </patternFill>
      </fill>
    </dxf>
    <dxf>
      <font>
        <b/>
        <color rgb="FF9A3412"/>
      </font>
      <fill>
        <patternFill patternType="solid">
          <bgColor rgb="FFFCE4D6"/>
        </patternFill>
      </fill>
    </dxf>
    <dxf>
      <font>
        <b/>
        <color rgb="FF9A3412"/>
      </font>
      <fill>
        <patternFill patternType="solid">
          <bgColor rgb="FFFCE4D6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Netto-Stunden</c:v>
          </c:tx>
          <c:invertIfNegative val="1"/>
          <c:cat>
            <c:numRef>
              <c:f>Übersicht!$A$29:$A$40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Übersicht!$B$29:$B$40</c:f>
              <c:numCache>
                <c:formatCode>0.00</c:formatCode>
                <c:ptCount val="12"/>
                <c:pt idx="0">
                  <c:v>212.75</c:v>
                </c:pt>
                <c:pt idx="1">
                  <c:v>32.25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25-489E-8B7A-A5A27F593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rgbClr val="FFFFCC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Netto-Stunden</c:v>
          </c:tx>
          <c:invertIfNegative val="1"/>
          <c:cat>
            <c:strRef>
              <c:f>Übersicht!$H$29:$H$36</c:f>
              <c:strCache>
                <c:ptCount val="8"/>
                <c:pt idx="0">
                  <c:v>Service</c:v>
                </c:pt>
                <c:pt idx="1">
                  <c:v>Küche</c:v>
                </c:pt>
                <c:pt idx="2">
                  <c:v>Bar</c:v>
                </c:pt>
                <c:pt idx="3">
                  <c:v>Spülküche</c:v>
                </c:pt>
                <c:pt idx="4">
                  <c:v>Reinigung</c:v>
                </c:pt>
                <c:pt idx="5">
                  <c:v>Kasse</c:v>
                </c:pt>
                <c:pt idx="6">
                  <c:v>Veranstaltung</c:v>
                </c:pt>
                <c:pt idx="7">
                  <c:v>Verwaltung</c:v>
                </c:pt>
              </c:strCache>
            </c:strRef>
          </c:cat>
          <c:val>
            <c:numRef>
              <c:f>Übersicht!$I$29:$I$36</c:f>
              <c:numCache>
                <c:formatCode>0.00</c:formatCode>
                <c:ptCount val="8"/>
                <c:pt idx="0">
                  <c:v>90.5</c:v>
                </c:pt>
                <c:pt idx="1">
                  <c:v>57.5</c:v>
                </c:pt>
                <c:pt idx="2">
                  <c:v>41.75</c:v>
                </c:pt>
                <c:pt idx="3">
                  <c:v>0</c:v>
                </c:pt>
                <c:pt idx="4">
                  <c:v>23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5-4A81-8F85-C5B255E0C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13</xdr:row>
      <xdr:rowOff>0</xdr:rowOff>
    </xdr:from>
    <xdr:to>
      <xdr:col>14</xdr:col>
      <xdr:colOff>0</xdr:colOff>
      <xdr:row>26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14</xdr:col>
      <xdr:colOff>0</xdr:colOff>
      <xdr:row>52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blZeiterfassung" displayName="tblZeiterfassung" ref="A5:AE160">
  <tableColumns count="31">
    <tableColumn id="1" xr3:uid="{00000000-0010-0000-0000-000001000000}" name="Eintrag-ID"/>
    <tableColumn id="2" xr3:uid="{00000000-0010-0000-0000-000002000000}" name="Mitarbeiter-ID"/>
    <tableColumn id="3" xr3:uid="{00000000-0010-0000-0000-000003000000}" name="Mitarbeiter"/>
    <tableColumn id="4" xr3:uid="{00000000-0010-0000-0000-000004000000}" name="Datum"/>
    <tableColumn id="5" xr3:uid="{00000000-0010-0000-0000-000005000000}" name="Wochentag"/>
    <tableColumn id="6" xr3:uid="{00000000-0010-0000-0000-000006000000}" name="Bereich"/>
    <tableColumn id="7" xr3:uid="{00000000-0010-0000-0000-000007000000}" name="Schichtart"/>
    <tableColumn id="8" xr3:uid="{00000000-0010-0000-0000-000008000000}" name="Beginn"/>
    <tableColumn id="9" xr3:uid="{00000000-0010-0000-0000-000009000000}" name="Ende"/>
    <tableColumn id="10" xr3:uid="{00000000-0010-0000-0000-00000A000000}" name="Pause (Min.)"/>
    <tableColumn id="11" xr3:uid="{00000000-0010-0000-0000-00000B000000}" name="Soll-Pause"/>
    <tableColumn id="12" xr3:uid="{00000000-0010-0000-0000-00000C000000}" name="Brutto Std."/>
    <tableColumn id="13" xr3:uid="{00000000-0010-0000-0000-00000D000000}" name="Netto Std."/>
    <tableColumn id="14" xr3:uid="{00000000-0010-0000-0000-00000E000000}" name="Nacht Std."/>
    <tableColumn id="15" xr3:uid="{00000000-0010-0000-0000-00000F000000}" name="Sonntag Std."/>
    <tableColumn id="16" xr3:uid="{00000000-0010-0000-0000-000010000000}" name="Feiertag Std."/>
    <tableColumn id="17" xr3:uid="{00000000-0010-0000-0000-000011000000}" name="Feiertag"/>
    <tableColumn id="18" xr3:uid="{00000000-0010-0000-0000-000012000000}" name="Stundenlohn"/>
    <tableColumn id="19" xr3:uid="{00000000-0010-0000-0000-000013000000}" name="Grundlohn"/>
    <tableColumn id="20" xr3:uid="{00000000-0010-0000-0000-000014000000}" name="Zuschläge optional"/>
    <tableColumn id="21" xr3:uid="{00000000-0010-0000-0000-000015000000}" name="Trinkgeld"/>
    <tableColumn id="22" xr3:uid="{00000000-0010-0000-0000-000016000000}" name="Gesamtwert"/>
    <tableColumn id="23" xr3:uid="{00000000-0010-0000-0000-000017000000}" name="Prüfung Pause"/>
    <tableColumn id="24" xr3:uid="{00000000-0010-0000-0000-000018000000}" name="Prüfung Arbeitszeit"/>
    <tableColumn id="25" xr3:uid="{00000000-0010-0000-0000-000019000000}" name="Ruhezeit Std."/>
    <tableColumn id="26" xr3:uid="{00000000-0010-0000-0000-00001A000000}" name="Prüfung Ruhezeit"/>
    <tableColumn id="27" xr3:uid="{00000000-0010-0000-0000-00001B000000}" name="Freigabe"/>
    <tableColumn id="28" xr3:uid="{00000000-0010-0000-0000-00001C000000}" name="Bemerkung"/>
    <tableColumn id="29" xr3:uid="{00000000-0010-0000-0000-00001D000000}" name="Beginn intern"/>
    <tableColumn id="30" xr3:uid="{00000000-0010-0000-0000-00001E000000}" name="Ende intern"/>
    <tableColumn id="31" xr3:uid="{00000000-0010-0000-0000-00001F000000}" name="Vorheriges En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blMitarbeiter" displayName="tblMitarbeiter" ref="A5:K35">
  <tableColumns count="11">
    <tableColumn id="1" xr3:uid="{00000000-0010-0000-0100-000001000000}" name="Mitarbeiter-ID"/>
    <tableColumn id="2" xr3:uid="{00000000-0010-0000-0100-000002000000}" name="Name"/>
    <tableColumn id="3" xr3:uid="{00000000-0010-0000-0100-000003000000}" name="Rolle"/>
    <tableColumn id="4" xr3:uid="{00000000-0010-0000-0100-000004000000}" name="Standardbereich"/>
    <tableColumn id="5" xr3:uid="{00000000-0010-0000-0100-000005000000}" name="Arbeitsmodell"/>
    <tableColumn id="6" xr3:uid="{00000000-0010-0000-0100-000006000000}" name="Soll Std./Woche"/>
    <tableColumn id="7" xr3:uid="{00000000-0010-0000-0100-000007000000}" name="Stundenlohn"/>
    <tableColumn id="8" xr3:uid="{00000000-0010-0000-0100-000008000000}" name="Aktiv"/>
    <tableColumn id="9" xr3:uid="{00000000-0010-0000-0100-000009000000}" name="Eintritt"/>
    <tableColumn id="10" xr3:uid="{00000000-0010-0000-0100-00000A000000}" name="Mindestlohnprüfung"/>
    <tableColumn id="11" xr3:uid="{00000000-0010-0000-0100-00000B000000}" name="Monatsstund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tabSelected="1" topLeftCell="A3" workbookViewId="0">
      <selection activeCell="A2" sqref="A2"/>
    </sheetView>
  </sheetViews>
  <sheetFormatPr baseColWidth="10" defaultColWidth="9" defaultRowHeight="15" x14ac:dyDescent="0.25"/>
  <cols>
    <col min="1" max="1" width="24" customWidth="1"/>
    <col min="2" max="2" width="13" customWidth="1"/>
    <col min="3" max="6" width="14" customWidth="1"/>
    <col min="7" max="7" width="12" customWidth="1"/>
    <col min="8" max="14" width="14" customWidth="1"/>
  </cols>
  <sheetData>
    <row r="1" spans="1:14" ht="27.95" customHeight="1" x14ac:dyDescent="0.25">
      <c r="A1" s="84" t="s">
        <v>205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8.1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20.100000000000001" customHeight="1" x14ac:dyDescent="0.25">
      <c r="A3" s="2" t="s">
        <v>0</v>
      </c>
      <c r="B3" s="2" t="s">
        <v>1</v>
      </c>
      <c r="C3" s="52"/>
      <c r="D3" s="2" t="s">
        <v>2</v>
      </c>
      <c r="E3" s="2" t="s">
        <v>1</v>
      </c>
      <c r="F3" s="52"/>
      <c r="G3" s="3"/>
      <c r="H3" s="81" t="s">
        <v>3</v>
      </c>
      <c r="I3" s="81"/>
      <c r="J3" s="81"/>
      <c r="K3" s="81"/>
      <c r="L3" s="81"/>
      <c r="M3" s="81"/>
      <c r="N3" s="81"/>
    </row>
    <row r="4" spans="1:14" ht="20.100000000000001" customHeight="1" x14ac:dyDescent="0.25">
      <c r="A4" s="53" t="s">
        <v>4</v>
      </c>
      <c r="B4" s="54">
        <v>1</v>
      </c>
      <c r="C4" s="52"/>
      <c r="D4" s="53" t="s">
        <v>5</v>
      </c>
      <c r="E4" s="55">
        <f>SUMIFS(Zeiterfassung!$M:$M,Zeiterfassung!$D:$D,"&gt;="&amp;$B$6,Zeiterfassung!$D:$D,"&lt;"&amp;$B$7)</f>
        <v>212.75</v>
      </c>
      <c r="F4" s="52"/>
      <c r="G4" s="3"/>
      <c r="H4" s="81"/>
      <c r="I4" s="81"/>
      <c r="J4" s="81"/>
      <c r="K4" s="81"/>
      <c r="L4" s="81"/>
      <c r="M4" s="81"/>
      <c r="N4" s="81"/>
    </row>
    <row r="5" spans="1:14" ht="20.100000000000001" customHeight="1" x14ac:dyDescent="0.25">
      <c r="A5" s="53" t="s">
        <v>6</v>
      </c>
      <c r="B5" s="54">
        <v>2026</v>
      </c>
      <c r="C5" s="52"/>
      <c r="D5" s="53" t="s">
        <v>7</v>
      </c>
      <c r="E5" s="55">
        <f>SUMIFS(Zeiterfassung!$N:$N,Zeiterfassung!$D:$D,"&gt;="&amp;$B$6,Zeiterfassung!$D:$D,"&lt;"&amp;$B$7)</f>
        <v>34</v>
      </c>
      <c r="F5" s="52"/>
      <c r="G5" s="3"/>
      <c r="H5" s="81"/>
      <c r="I5" s="81"/>
      <c r="J5" s="81"/>
      <c r="K5" s="81"/>
      <c r="L5" s="81"/>
      <c r="M5" s="81"/>
      <c r="N5" s="81"/>
    </row>
    <row r="6" spans="1:14" ht="20.100000000000001" customHeight="1" x14ac:dyDescent="0.25">
      <c r="A6" s="53" t="s">
        <v>8</v>
      </c>
      <c r="B6" s="76">
        <f>DATE($B$5,$B$4,1)</f>
        <v>46023</v>
      </c>
      <c r="C6" s="52"/>
      <c r="D6" s="53" t="s">
        <v>9</v>
      </c>
      <c r="E6" s="55">
        <f>SUMIFS(Zeiterfassung!$O:$O,Zeiterfassung!$D:$D,"&gt;="&amp;$B$6,Zeiterfassung!$D:$D,"&lt;"&amp;$B$7)</f>
        <v>65</v>
      </c>
      <c r="F6" s="52"/>
      <c r="G6" s="3"/>
      <c r="H6" s="81"/>
      <c r="I6" s="81"/>
      <c r="J6" s="81"/>
      <c r="K6" s="81"/>
      <c r="L6" s="81"/>
      <c r="M6" s="81"/>
      <c r="N6" s="81"/>
    </row>
    <row r="7" spans="1:14" ht="20.100000000000001" customHeight="1" x14ac:dyDescent="0.25">
      <c r="A7" s="53" t="s">
        <v>10</v>
      </c>
      <c r="B7" s="76">
        <f>EDATE($B$6,1)</f>
        <v>46054</v>
      </c>
      <c r="C7" s="52"/>
      <c r="D7" s="53" t="s">
        <v>11</v>
      </c>
      <c r="E7" s="55">
        <f>SUMIFS(Zeiterfassung!$P:$P,Zeiterfassung!$D:$D,"&gt;="&amp;$B$6,Zeiterfassung!$D:$D,"&lt;"&amp;$B$7)</f>
        <v>7</v>
      </c>
      <c r="F7" s="52"/>
      <c r="G7" s="3"/>
      <c r="H7" s="81"/>
      <c r="I7" s="81"/>
      <c r="J7" s="81"/>
      <c r="K7" s="81"/>
      <c r="L7" s="81"/>
      <c r="M7" s="81"/>
      <c r="N7" s="81"/>
    </row>
    <row r="8" spans="1:14" ht="20.100000000000001" customHeight="1" x14ac:dyDescent="0.25">
      <c r="A8" s="52"/>
      <c r="B8" s="52"/>
      <c r="C8" s="52"/>
      <c r="D8" s="53" t="s">
        <v>12</v>
      </c>
      <c r="E8" s="56">
        <f>SUMIFS(Zeiterfassung!$U:$U,Zeiterfassung!$D:$D,"&gt;="&amp;$B$6,Zeiterfassung!$D:$D,"&lt;"&amp;$B$7)</f>
        <v>655</v>
      </c>
      <c r="F8" s="52"/>
      <c r="G8" s="3"/>
      <c r="H8" s="81"/>
      <c r="I8" s="81"/>
      <c r="J8" s="81"/>
      <c r="K8" s="81"/>
      <c r="L8" s="81"/>
      <c r="M8" s="81"/>
      <c r="N8" s="81"/>
    </row>
    <row r="9" spans="1:14" ht="20.100000000000001" customHeight="1" x14ac:dyDescent="0.25">
      <c r="A9" s="52"/>
      <c r="B9" s="52"/>
      <c r="C9" s="52"/>
      <c r="D9" s="53" t="s">
        <v>13</v>
      </c>
      <c r="E9" s="56">
        <f>SUMIFS(Zeiterfassung!$V:$V,Zeiterfassung!$D:$D,"&gt;="&amp;$B$6,Zeiterfassung!$D:$D,"&lt;"&amp;$B$7)</f>
        <v>4629.96</v>
      </c>
      <c r="F9" s="52"/>
      <c r="G9" s="3"/>
      <c r="H9" s="81"/>
      <c r="I9" s="81"/>
      <c r="J9" s="81"/>
      <c r="K9" s="81"/>
      <c r="L9" s="81"/>
      <c r="M9" s="81"/>
      <c r="N9" s="81"/>
    </row>
    <row r="10" spans="1:14" ht="20.100000000000001" customHeight="1" x14ac:dyDescent="0.25">
      <c r="A10" s="52"/>
      <c r="B10" s="52"/>
      <c r="C10" s="52"/>
      <c r="D10" s="53" t="s">
        <v>14</v>
      </c>
      <c r="E10" s="57">
        <f>COUNTIFS(Zeiterfassung!$B:$B,"&lt;&gt;",Zeiterfassung!$D:$D,"&gt;="&amp;$B$6,Zeiterfassung!$D:$D,"&lt;"&amp;$B$7)</f>
        <v>30</v>
      </c>
      <c r="F10" s="52"/>
      <c r="G10" s="3"/>
      <c r="H10" s="81"/>
      <c r="I10" s="81"/>
      <c r="J10" s="81"/>
      <c r="K10" s="81"/>
      <c r="L10" s="81"/>
      <c r="M10" s="81"/>
      <c r="N10" s="81"/>
    </row>
    <row r="11" spans="1:14" ht="20.100000000000001" customHeight="1" x14ac:dyDescent="0.25">
      <c r="A11" s="52"/>
      <c r="B11" s="52"/>
      <c r="C11" s="52"/>
      <c r="D11" s="53" t="s">
        <v>15</v>
      </c>
      <c r="E11" s="57">
        <f ca="1">COUNTIFS(Zeiterfassung!$B:$B,"&lt;&gt;",Zeiterfassung!$D:$D,"&gt;="&amp;$B$6,Zeiterfassung!$D:$D,"&lt;"&amp;$B$7,Zeiterfassung!$W:$W,"&lt;&gt;OK")+COUNTIFS(Zeiterfassung!$B:$B,"&lt;&gt;",Zeiterfassung!$D:$D,"&gt;="&amp;$B$6,Zeiterfassung!$D:$D,"&lt;"&amp;$B$7,Zeiterfassung!$X:$X,"&lt;&gt;OK")+COUNTIFS(Zeiterfassung!$B:$B,"&lt;&gt;",Zeiterfassung!$D:$D,"&gt;="&amp;$B$6,Zeiterfassung!$D:$D,"&lt;"&amp;$B$7,Zeiterfassung!$Z:$Z,"&lt;&gt;OK")</f>
        <v>35</v>
      </c>
      <c r="F11" s="52"/>
      <c r="G11" s="3"/>
      <c r="H11" s="81"/>
      <c r="I11" s="81"/>
      <c r="J11" s="81"/>
      <c r="K11" s="81"/>
      <c r="L11" s="81"/>
      <c r="M11" s="81"/>
      <c r="N11" s="81"/>
    </row>
    <row r="12" spans="1:14" ht="8.1" customHeight="1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 ht="8.1" customHeight="1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</row>
    <row r="14" spans="1:14" ht="24" customHeight="1" x14ac:dyDescent="0.25">
      <c r="A14" s="4" t="s">
        <v>16</v>
      </c>
      <c r="B14" s="5" t="s">
        <v>17</v>
      </c>
      <c r="C14" s="5" t="s">
        <v>18</v>
      </c>
      <c r="D14" s="5" t="s">
        <v>19</v>
      </c>
      <c r="E14" s="5" t="s">
        <v>20</v>
      </c>
      <c r="F14" s="5" t="s">
        <v>12</v>
      </c>
      <c r="G14" s="5" t="s">
        <v>21</v>
      </c>
      <c r="H14" s="5" t="s">
        <v>22</v>
      </c>
      <c r="I14" s="5" t="s">
        <v>13</v>
      </c>
      <c r="J14" s="6" t="s">
        <v>23</v>
      </c>
      <c r="K14" s="52"/>
      <c r="L14" s="52"/>
      <c r="M14" s="52"/>
      <c r="N14" s="52"/>
    </row>
    <row r="15" spans="1:14" ht="18.95" customHeight="1" x14ac:dyDescent="0.25">
      <c r="A15" s="58" t="str">
        <f>IF(Mitarbeiter!$B6="","",Mitarbeiter!$B6)</f>
        <v>Beispiel Servicekraft A</v>
      </c>
      <c r="B15" s="59">
        <f>IF($A15="","",SUMIFS(Zeiterfassung!$M:$M,Zeiterfassung!$C:$C,$A15,Zeiterfassung!$D:$D,"&gt;="&amp;$B$6,Zeiterfassung!$D:$D,"&lt;"&amp;$B$7))</f>
        <v>56.75</v>
      </c>
      <c r="C15" s="59">
        <f>IF($A15="","",SUMIFS(Zeiterfassung!$N:$N,Zeiterfassung!$C:$C,$A15,Zeiterfassung!$D:$D,"&gt;="&amp;$B$6,Zeiterfassung!$D:$D,"&lt;"&amp;$B$7))</f>
        <v>7</v>
      </c>
      <c r="D15" s="59">
        <f>IF($A15="","",SUMIFS(Zeiterfassung!$O:$O,Zeiterfassung!$C:$C,$A15,Zeiterfassung!$D:$D,"&gt;="&amp;$B$6,Zeiterfassung!$D:$D,"&lt;"&amp;$B$7))</f>
        <v>29</v>
      </c>
      <c r="E15" s="59">
        <f>IF($A15="","",SUMIFS(Zeiterfassung!$P:$P,Zeiterfassung!$C:$C,$A15,Zeiterfassung!$D:$D,"&gt;="&amp;$B$6,Zeiterfassung!$D:$D,"&lt;"&amp;$B$7))</f>
        <v>0</v>
      </c>
      <c r="F15" s="60">
        <f>IF($A15="","",SUMIFS(Zeiterfassung!$U:$U,Zeiterfassung!$C:$C,$A15,Zeiterfassung!$D:$D,"&gt;="&amp;$B$6,Zeiterfassung!$D:$D,"&lt;"&amp;$B$7))</f>
        <v>245.5</v>
      </c>
      <c r="G15" s="60">
        <f>IF($A15="","",SUMIFS(Zeiterfassung!$S:$S,Zeiterfassung!$C:$C,$A15,Zeiterfassung!$D:$D,"&gt;="&amp;$B$6,Zeiterfassung!$D:$D,"&lt;"&amp;$B$7))</f>
        <v>822.88</v>
      </c>
      <c r="H15" s="60">
        <f>IF($A15="","",SUMIFS(Zeiterfassung!$T:$T,Zeiterfassung!$C:$C,$A15,Zeiterfassung!$D:$D,"&gt;="&amp;$B$6,Zeiterfassung!$D:$D,"&lt;"&amp;$B$7))</f>
        <v>235.64</v>
      </c>
      <c r="I15" s="60">
        <f>IF($A15="","",SUMIFS(Zeiterfassung!$V:$V,Zeiterfassung!$C:$C,$A15,Zeiterfassung!$D:$D,"&gt;="&amp;$B$6,Zeiterfassung!$D:$D,"&lt;"&amp;$B$7))</f>
        <v>1304.02</v>
      </c>
      <c r="J15" s="61">
        <f ca="1">IF($A15="","",COUNTIFS(Zeiterfassung!$C:$C,$A15,Zeiterfassung!$D:$D,"&gt;="&amp;$B$6,Zeiterfassung!$D:$D,"&lt;"&amp;$B$7,Zeiterfassung!$W:$W,"&lt;&gt;OK")+COUNTIFS(Zeiterfassung!$C:$C,$A15,Zeiterfassung!$D:$D,"&gt;="&amp;$B$6,Zeiterfassung!$D:$D,"&lt;"&amp;$B$7,Zeiterfassung!$X:$X,"&lt;&gt;OK")+COUNTIFS(Zeiterfassung!$C:$C,$A15,Zeiterfassung!$D:$D,"&gt;="&amp;$B$6,Zeiterfassung!$D:$D,"&lt;"&amp;$B$7,Zeiterfassung!$Z:$Z,"&lt;&gt;OK"))</f>
        <v>8</v>
      </c>
      <c r="K15" s="52"/>
      <c r="L15" s="52"/>
      <c r="M15" s="52"/>
      <c r="N15" s="52"/>
    </row>
    <row r="16" spans="1:14" ht="18.95" customHeight="1" x14ac:dyDescent="0.25">
      <c r="A16" s="58" t="str">
        <f>IF(Mitarbeiter!$B7="","",Mitarbeiter!$B7)</f>
        <v>Beispiel Küche A</v>
      </c>
      <c r="B16" s="59">
        <f>IF($A16="","",SUMIFS(Zeiterfassung!$M:$M,Zeiterfassung!$C:$C,$A16,Zeiterfassung!$D:$D,"&gt;="&amp;$B$6,Zeiterfassung!$D:$D,"&lt;"&amp;$B$7))</f>
        <v>57.5</v>
      </c>
      <c r="C16" s="59">
        <f>IF($A16="","",SUMIFS(Zeiterfassung!$N:$N,Zeiterfassung!$C:$C,$A16,Zeiterfassung!$D:$D,"&gt;="&amp;$B$6,Zeiterfassung!$D:$D,"&lt;"&amp;$B$7))</f>
        <v>1</v>
      </c>
      <c r="D16" s="59">
        <f>IF($A16="","",SUMIFS(Zeiterfassung!$O:$O,Zeiterfassung!$C:$C,$A16,Zeiterfassung!$D:$D,"&gt;="&amp;$B$6,Zeiterfassung!$D:$D,"&lt;"&amp;$B$7))</f>
        <v>17.5</v>
      </c>
      <c r="E16" s="59">
        <f>IF($A16="","",SUMIFS(Zeiterfassung!$P:$P,Zeiterfassung!$C:$C,$A16,Zeiterfassung!$D:$D,"&gt;="&amp;$B$6,Zeiterfassung!$D:$D,"&lt;"&amp;$B$7))</f>
        <v>0</v>
      </c>
      <c r="F16" s="60">
        <f>IF($A16="","",SUMIFS(Zeiterfassung!$U:$U,Zeiterfassung!$C:$C,$A16,Zeiterfassung!$D:$D,"&gt;="&amp;$B$6,Zeiterfassung!$D:$D,"&lt;"&amp;$B$7))</f>
        <v>0</v>
      </c>
      <c r="G16" s="60">
        <f>IF($A16="","",SUMIFS(Zeiterfassung!$S:$S,Zeiterfassung!$C:$C,$A16,Zeiterfassung!$D:$D,"&gt;="&amp;$B$6,Zeiterfassung!$D:$D,"&lt;"&amp;$B$7))</f>
        <v>1023.5</v>
      </c>
      <c r="H16" s="60">
        <f>IF($A16="","",SUMIFS(Zeiterfassung!$T:$T,Zeiterfassung!$C:$C,$A16,Zeiterfassung!$D:$D,"&gt;="&amp;$B$6,Zeiterfassung!$D:$D,"&lt;"&amp;$B$7))</f>
        <v>160.20999999999998</v>
      </c>
      <c r="I16" s="60">
        <f>IF($A16="","",SUMIFS(Zeiterfassung!$V:$V,Zeiterfassung!$C:$C,$A16,Zeiterfassung!$D:$D,"&gt;="&amp;$B$6,Zeiterfassung!$D:$D,"&lt;"&amp;$B$7))</f>
        <v>1183.71</v>
      </c>
      <c r="J16" s="61">
        <f ca="1">IF($A16="","",COUNTIFS(Zeiterfassung!$C:$C,$A16,Zeiterfassung!$D:$D,"&gt;="&amp;$B$6,Zeiterfassung!$D:$D,"&lt;"&amp;$B$7,Zeiterfassung!$W:$W,"&lt;&gt;OK")+COUNTIFS(Zeiterfassung!$C:$C,$A16,Zeiterfassung!$D:$D,"&gt;="&amp;$B$6,Zeiterfassung!$D:$D,"&lt;"&amp;$B$7,Zeiterfassung!$X:$X,"&lt;&gt;OK")+COUNTIFS(Zeiterfassung!$C:$C,$A16,Zeiterfassung!$D:$D,"&gt;="&amp;$B$6,Zeiterfassung!$D:$D,"&lt;"&amp;$B$7,Zeiterfassung!$Z:$Z,"&lt;&gt;OK"))</f>
        <v>11</v>
      </c>
      <c r="K16" s="52"/>
      <c r="L16" s="52"/>
      <c r="M16" s="52"/>
      <c r="N16" s="52"/>
    </row>
    <row r="17" spans="1:14" ht="18.95" customHeight="1" x14ac:dyDescent="0.25">
      <c r="A17" s="58" t="str">
        <f>IF(Mitarbeiter!$B8="","",Mitarbeiter!$B8)</f>
        <v>Beispiel Bar A</v>
      </c>
      <c r="B17" s="59">
        <f>IF($A17="","",SUMIFS(Zeiterfassung!$M:$M,Zeiterfassung!$C:$C,$A17,Zeiterfassung!$D:$D,"&gt;="&amp;$B$6,Zeiterfassung!$D:$D,"&lt;"&amp;$B$7))</f>
        <v>41.75</v>
      </c>
      <c r="C17" s="59">
        <f>IF($A17="","",SUMIFS(Zeiterfassung!$N:$N,Zeiterfassung!$C:$C,$A17,Zeiterfassung!$D:$D,"&gt;="&amp;$B$6,Zeiterfassung!$D:$D,"&lt;"&amp;$B$7))</f>
        <v>20.5</v>
      </c>
      <c r="D17" s="59">
        <f>IF($A17="","",SUMIFS(Zeiterfassung!$O:$O,Zeiterfassung!$C:$C,$A17,Zeiterfassung!$D:$D,"&gt;="&amp;$B$6,Zeiterfassung!$D:$D,"&lt;"&amp;$B$7))</f>
        <v>6.5</v>
      </c>
      <c r="E17" s="59">
        <f>IF($A17="","",SUMIFS(Zeiterfassung!$P:$P,Zeiterfassung!$C:$C,$A17,Zeiterfassung!$D:$D,"&gt;="&amp;$B$6,Zeiterfassung!$D:$D,"&lt;"&amp;$B$7))</f>
        <v>7</v>
      </c>
      <c r="F17" s="60">
        <f>IF($A17="","",SUMIFS(Zeiterfassung!$U:$U,Zeiterfassung!$C:$C,$A17,Zeiterfassung!$D:$D,"&gt;="&amp;$B$6,Zeiterfassung!$D:$D,"&lt;"&amp;$B$7))</f>
        <v>277.5</v>
      </c>
      <c r="G17" s="60">
        <f>IF($A17="","",SUMIFS(Zeiterfassung!$S:$S,Zeiterfassung!$C:$C,$A17,Zeiterfassung!$D:$D,"&gt;="&amp;$B$6,Zeiterfassung!$D:$D,"&lt;"&amp;$B$7))</f>
        <v>580.34</v>
      </c>
      <c r="H17" s="60">
        <f>IF($A17="","",SUMIFS(Zeiterfassung!$T:$T,Zeiterfassung!$C:$C,$A17,Zeiterfassung!$D:$D,"&gt;="&amp;$B$6,Zeiterfassung!$D:$D,"&lt;"&amp;$B$7))</f>
        <v>213.71</v>
      </c>
      <c r="I17" s="60">
        <f>IF($A17="","",SUMIFS(Zeiterfassung!$V:$V,Zeiterfassung!$C:$C,$A17,Zeiterfassung!$D:$D,"&gt;="&amp;$B$6,Zeiterfassung!$D:$D,"&lt;"&amp;$B$7))</f>
        <v>1071.5500000000002</v>
      </c>
      <c r="J17" s="61">
        <f ca="1">IF($A17="","",COUNTIFS(Zeiterfassung!$C:$C,$A17,Zeiterfassung!$D:$D,"&gt;="&amp;$B$6,Zeiterfassung!$D:$D,"&lt;"&amp;$B$7,Zeiterfassung!$W:$W,"&lt;&gt;OK")+COUNTIFS(Zeiterfassung!$C:$C,$A17,Zeiterfassung!$D:$D,"&gt;="&amp;$B$6,Zeiterfassung!$D:$D,"&lt;"&amp;$B$7,Zeiterfassung!$X:$X,"&lt;&gt;OK")+COUNTIFS(Zeiterfassung!$C:$C,$A17,Zeiterfassung!$D:$D,"&gt;="&amp;$B$6,Zeiterfassung!$D:$D,"&lt;"&amp;$B$7,Zeiterfassung!$Z:$Z,"&lt;&gt;OK"))</f>
        <v>6</v>
      </c>
      <c r="K17" s="52"/>
      <c r="L17" s="52"/>
      <c r="M17" s="52"/>
      <c r="N17" s="52"/>
    </row>
    <row r="18" spans="1:14" ht="18.95" customHeight="1" x14ac:dyDescent="0.25">
      <c r="A18" s="58" t="str">
        <f>IF(Mitarbeiter!$B9="","",Mitarbeiter!$B9)</f>
        <v>Beispiel Reinigung A</v>
      </c>
      <c r="B18" s="59">
        <f>IF($A18="","",SUMIFS(Zeiterfassung!$M:$M,Zeiterfassung!$C:$C,$A18,Zeiterfassung!$D:$D,"&gt;="&amp;$B$6,Zeiterfassung!$D:$D,"&lt;"&amp;$B$7))</f>
        <v>23</v>
      </c>
      <c r="C18" s="59">
        <f>IF($A18="","",SUMIFS(Zeiterfassung!$N:$N,Zeiterfassung!$C:$C,$A18,Zeiterfassung!$D:$D,"&gt;="&amp;$B$6,Zeiterfassung!$D:$D,"&lt;"&amp;$B$7))</f>
        <v>0</v>
      </c>
      <c r="D18" s="59">
        <f>IF($A18="","",SUMIFS(Zeiterfassung!$O:$O,Zeiterfassung!$C:$C,$A18,Zeiterfassung!$D:$D,"&gt;="&amp;$B$6,Zeiterfassung!$D:$D,"&lt;"&amp;$B$7))</f>
        <v>12</v>
      </c>
      <c r="E18" s="59">
        <f>IF($A18="","",SUMIFS(Zeiterfassung!$P:$P,Zeiterfassung!$C:$C,$A18,Zeiterfassung!$D:$D,"&gt;="&amp;$B$6,Zeiterfassung!$D:$D,"&lt;"&amp;$B$7))</f>
        <v>0</v>
      </c>
      <c r="F18" s="60">
        <f>IF($A18="","",SUMIFS(Zeiterfassung!$U:$U,Zeiterfassung!$C:$C,$A18,Zeiterfassung!$D:$D,"&gt;="&amp;$B$6,Zeiterfassung!$D:$D,"&lt;"&amp;$B$7))</f>
        <v>0</v>
      </c>
      <c r="G18" s="60">
        <f>IF($A18="","",SUMIFS(Zeiterfassung!$S:$S,Zeiterfassung!$C:$C,$A18,Zeiterfassung!$D:$D,"&gt;="&amp;$B$6,Zeiterfassung!$D:$D,"&lt;"&amp;$B$7))</f>
        <v>326.59999999999997</v>
      </c>
      <c r="H18" s="60">
        <f>IF($A18="","",SUMIFS(Zeiterfassung!$T:$T,Zeiterfassung!$C:$C,$A18,Zeiterfassung!$D:$D,"&gt;="&amp;$B$6,Zeiterfassung!$D:$D,"&lt;"&amp;$B$7))</f>
        <v>85.2</v>
      </c>
      <c r="I18" s="60">
        <f>IF($A18="","",SUMIFS(Zeiterfassung!$V:$V,Zeiterfassung!$C:$C,$A18,Zeiterfassung!$D:$D,"&gt;="&amp;$B$6,Zeiterfassung!$D:$D,"&lt;"&amp;$B$7))</f>
        <v>411.8</v>
      </c>
      <c r="J18" s="61">
        <f ca="1">IF($A18="","",COUNTIFS(Zeiterfassung!$C:$C,$A18,Zeiterfassung!$D:$D,"&gt;="&amp;$B$6,Zeiterfassung!$D:$D,"&lt;"&amp;$B$7,Zeiterfassung!$W:$W,"&lt;&gt;OK")+COUNTIFS(Zeiterfassung!$C:$C,$A18,Zeiterfassung!$D:$D,"&gt;="&amp;$B$6,Zeiterfassung!$D:$D,"&lt;"&amp;$B$7,Zeiterfassung!$X:$X,"&lt;&gt;OK")+COUNTIFS(Zeiterfassung!$C:$C,$A18,Zeiterfassung!$D:$D,"&gt;="&amp;$B$6,Zeiterfassung!$D:$D,"&lt;"&amp;$B$7,Zeiterfassung!$Z:$Z,"&lt;&gt;OK"))</f>
        <v>4</v>
      </c>
      <c r="K18" s="52"/>
      <c r="L18" s="52"/>
      <c r="M18" s="52"/>
      <c r="N18" s="52"/>
    </row>
    <row r="19" spans="1:14" ht="18.95" customHeight="1" x14ac:dyDescent="0.25">
      <c r="A19" s="58" t="str">
        <f>IF(Mitarbeiter!$B10="","",Mitarbeiter!$B10)</f>
        <v>Beispiel Servicekraft B</v>
      </c>
      <c r="B19" s="59">
        <f>IF($A19="","",SUMIFS(Zeiterfassung!$M:$M,Zeiterfassung!$C:$C,$A19,Zeiterfassung!$D:$D,"&gt;="&amp;$B$6,Zeiterfassung!$D:$D,"&lt;"&amp;$B$7))</f>
        <v>33.75</v>
      </c>
      <c r="C19" s="59">
        <f>IF($A19="","",SUMIFS(Zeiterfassung!$N:$N,Zeiterfassung!$C:$C,$A19,Zeiterfassung!$D:$D,"&gt;="&amp;$B$6,Zeiterfassung!$D:$D,"&lt;"&amp;$B$7))</f>
        <v>5.5</v>
      </c>
      <c r="D19" s="59">
        <f>IF($A19="","",SUMIFS(Zeiterfassung!$O:$O,Zeiterfassung!$C:$C,$A19,Zeiterfassung!$D:$D,"&gt;="&amp;$B$6,Zeiterfassung!$D:$D,"&lt;"&amp;$B$7))</f>
        <v>0</v>
      </c>
      <c r="E19" s="59">
        <f>IF($A19="","",SUMIFS(Zeiterfassung!$P:$P,Zeiterfassung!$C:$C,$A19,Zeiterfassung!$D:$D,"&gt;="&amp;$B$6,Zeiterfassung!$D:$D,"&lt;"&amp;$B$7))</f>
        <v>0</v>
      </c>
      <c r="F19" s="60">
        <f>IF($A19="","",SUMIFS(Zeiterfassung!$U:$U,Zeiterfassung!$C:$C,$A19,Zeiterfassung!$D:$D,"&gt;="&amp;$B$6,Zeiterfassung!$D:$D,"&lt;"&amp;$B$7))</f>
        <v>132</v>
      </c>
      <c r="G19" s="60">
        <f>IF($A19="","",SUMIFS(Zeiterfassung!$S:$S,Zeiterfassung!$C:$C,$A19,Zeiterfassung!$D:$D,"&gt;="&amp;$B$6,Zeiterfassung!$D:$D,"&lt;"&amp;$B$7))</f>
        <v>506.25</v>
      </c>
      <c r="H19" s="60">
        <f>IF($A19="","",SUMIFS(Zeiterfassung!$T:$T,Zeiterfassung!$C:$C,$A19,Zeiterfassung!$D:$D,"&gt;="&amp;$B$6,Zeiterfassung!$D:$D,"&lt;"&amp;$B$7))</f>
        <v>20.63</v>
      </c>
      <c r="I19" s="60">
        <f>IF($A19="","",SUMIFS(Zeiterfassung!$V:$V,Zeiterfassung!$C:$C,$A19,Zeiterfassung!$D:$D,"&gt;="&amp;$B$6,Zeiterfassung!$D:$D,"&lt;"&amp;$B$7))</f>
        <v>658.88</v>
      </c>
      <c r="J19" s="61">
        <f ca="1">IF($A19="","",COUNTIFS(Zeiterfassung!$C:$C,$A19,Zeiterfassung!$D:$D,"&gt;="&amp;$B$6,Zeiterfassung!$D:$D,"&lt;"&amp;$B$7,Zeiterfassung!$W:$W,"&lt;&gt;OK")+COUNTIFS(Zeiterfassung!$C:$C,$A19,Zeiterfassung!$D:$D,"&gt;="&amp;$B$6,Zeiterfassung!$D:$D,"&lt;"&amp;$B$7,Zeiterfassung!$X:$X,"&lt;&gt;OK")+COUNTIFS(Zeiterfassung!$C:$C,$A19,Zeiterfassung!$D:$D,"&gt;="&amp;$B$6,Zeiterfassung!$D:$D,"&lt;"&amp;$B$7,Zeiterfassung!$Z:$Z,"&lt;&gt;OK"))</f>
        <v>6</v>
      </c>
      <c r="K19" s="52"/>
      <c r="L19" s="52"/>
      <c r="M19" s="52"/>
      <c r="N19" s="52"/>
    </row>
    <row r="20" spans="1:14" ht="18.95" customHeight="1" x14ac:dyDescent="0.25">
      <c r="A20" s="58" t="str">
        <f>IF(Mitarbeiter!$B11="","",Mitarbeiter!$B11)</f>
        <v>Beispiel Spülküche A</v>
      </c>
      <c r="B20" s="59">
        <f>IF($A20="","",SUMIFS(Zeiterfassung!$M:$M,Zeiterfassung!$C:$C,$A20,Zeiterfassung!$D:$D,"&gt;="&amp;$B$6,Zeiterfassung!$D:$D,"&lt;"&amp;$B$7))</f>
        <v>0</v>
      </c>
      <c r="C20" s="59">
        <f>IF($A20="","",SUMIFS(Zeiterfassung!$N:$N,Zeiterfassung!$C:$C,$A20,Zeiterfassung!$D:$D,"&gt;="&amp;$B$6,Zeiterfassung!$D:$D,"&lt;"&amp;$B$7))</f>
        <v>0</v>
      </c>
      <c r="D20" s="59">
        <f>IF($A20="","",SUMIFS(Zeiterfassung!$O:$O,Zeiterfassung!$C:$C,$A20,Zeiterfassung!$D:$D,"&gt;="&amp;$B$6,Zeiterfassung!$D:$D,"&lt;"&amp;$B$7))</f>
        <v>0</v>
      </c>
      <c r="E20" s="59">
        <f>IF($A20="","",SUMIFS(Zeiterfassung!$P:$P,Zeiterfassung!$C:$C,$A20,Zeiterfassung!$D:$D,"&gt;="&amp;$B$6,Zeiterfassung!$D:$D,"&lt;"&amp;$B$7))</f>
        <v>0</v>
      </c>
      <c r="F20" s="60">
        <f>IF($A20="","",SUMIFS(Zeiterfassung!$U:$U,Zeiterfassung!$C:$C,$A20,Zeiterfassung!$D:$D,"&gt;="&amp;$B$6,Zeiterfassung!$D:$D,"&lt;"&amp;$B$7))</f>
        <v>0</v>
      </c>
      <c r="G20" s="60">
        <f>IF($A20="","",SUMIFS(Zeiterfassung!$S:$S,Zeiterfassung!$C:$C,$A20,Zeiterfassung!$D:$D,"&gt;="&amp;$B$6,Zeiterfassung!$D:$D,"&lt;"&amp;$B$7))</f>
        <v>0</v>
      </c>
      <c r="H20" s="60">
        <f>IF($A20="","",SUMIFS(Zeiterfassung!$T:$T,Zeiterfassung!$C:$C,$A20,Zeiterfassung!$D:$D,"&gt;="&amp;$B$6,Zeiterfassung!$D:$D,"&lt;"&amp;$B$7))</f>
        <v>0</v>
      </c>
      <c r="I20" s="60">
        <f>IF($A20="","",SUMIFS(Zeiterfassung!$V:$V,Zeiterfassung!$C:$C,$A20,Zeiterfassung!$D:$D,"&gt;="&amp;$B$6,Zeiterfassung!$D:$D,"&lt;"&amp;$B$7))</f>
        <v>0</v>
      </c>
      <c r="J20" s="61">
        <f>IF($A20="","",COUNTIFS(Zeiterfassung!$C:$C,$A20,Zeiterfassung!$D:$D,"&gt;="&amp;$B$6,Zeiterfassung!$D:$D,"&lt;"&amp;$B$7,Zeiterfassung!$W:$W,"&lt;&gt;OK")+COUNTIFS(Zeiterfassung!$C:$C,$A20,Zeiterfassung!$D:$D,"&gt;="&amp;$B$6,Zeiterfassung!$D:$D,"&lt;"&amp;$B$7,Zeiterfassung!$X:$X,"&lt;&gt;OK")+COUNTIFS(Zeiterfassung!$C:$C,$A20,Zeiterfassung!$D:$D,"&gt;="&amp;$B$6,Zeiterfassung!$D:$D,"&lt;"&amp;$B$7,Zeiterfassung!$Z:$Z,"&lt;&gt;OK"))</f>
        <v>0</v>
      </c>
      <c r="K20" s="52"/>
      <c r="L20" s="52"/>
      <c r="M20" s="52"/>
      <c r="N20" s="52"/>
    </row>
    <row r="21" spans="1:14" ht="18.95" customHeight="1" x14ac:dyDescent="0.25">
      <c r="A21" s="58" t="str">
        <f>IF(Mitarbeiter!$B12="","",Mitarbeiter!$B12)</f>
        <v/>
      </c>
      <c r="B21" s="59" t="str">
        <f>IF($A21="","",SUMIFS(Zeiterfassung!$M:$M,Zeiterfassung!$C:$C,$A21,Zeiterfassung!$D:$D,"&gt;="&amp;$B$6,Zeiterfassung!$D:$D,"&lt;"&amp;$B$7))</f>
        <v/>
      </c>
      <c r="C21" s="59" t="str">
        <f>IF($A21="","",SUMIFS(Zeiterfassung!$N:$N,Zeiterfassung!$C:$C,$A21,Zeiterfassung!$D:$D,"&gt;="&amp;$B$6,Zeiterfassung!$D:$D,"&lt;"&amp;$B$7))</f>
        <v/>
      </c>
      <c r="D21" s="59" t="str">
        <f>IF($A21="","",SUMIFS(Zeiterfassung!$O:$O,Zeiterfassung!$C:$C,$A21,Zeiterfassung!$D:$D,"&gt;="&amp;$B$6,Zeiterfassung!$D:$D,"&lt;"&amp;$B$7))</f>
        <v/>
      </c>
      <c r="E21" s="59" t="str">
        <f>IF($A21="","",SUMIFS(Zeiterfassung!$P:$P,Zeiterfassung!$C:$C,$A21,Zeiterfassung!$D:$D,"&gt;="&amp;$B$6,Zeiterfassung!$D:$D,"&lt;"&amp;$B$7))</f>
        <v/>
      </c>
      <c r="F21" s="60" t="str">
        <f>IF($A21="","",SUMIFS(Zeiterfassung!$U:$U,Zeiterfassung!$C:$C,$A21,Zeiterfassung!$D:$D,"&gt;="&amp;$B$6,Zeiterfassung!$D:$D,"&lt;"&amp;$B$7))</f>
        <v/>
      </c>
      <c r="G21" s="60" t="str">
        <f>IF($A21="","",SUMIFS(Zeiterfassung!$S:$S,Zeiterfassung!$C:$C,$A21,Zeiterfassung!$D:$D,"&gt;="&amp;$B$6,Zeiterfassung!$D:$D,"&lt;"&amp;$B$7))</f>
        <v/>
      </c>
      <c r="H21" s="60" t="str">
        <f>IF($A21="","",SUMIFS(Zeiterfassung!$T:$T,Zeiterfassung!$C:$C,$A21,Zeiterfassung!$D:$D,"&gt;="&amp;$B$6,Zeiterfassung!$D:$D,"&lt;"&amp;$B$7))</f>
        <v/>
      </c>
      <c r="I21" s="60" t="str">
        <f>IF($A21="","",SUMIFS(Zeiterfassung!$V:$V,Zeiterfassung!$C:$C,$A21,Zeiterfassung!$D:$D,"&gt;="&amp;$B$6,Zeiterfassung!$D:$D,"&lt;"&amp;$B$7))</f>
        <v/>
      </c>
      <c r="J21" s="61" t="str">
        <f>IF($A21="","",COUNTIFS(Zeiterfassung!$C:$C,$A21,Zeiterfassung!$D:$D,"&gt;="&amp;$B$6,Zeiterfassung!$D:$D,"&lt;"&amp;$B$7,Zeiterfassung!$W:$W,"&lt;&gt;OK")+COUNTIFS(Zeiterfassung!$C:$C,$A21,Zeiterfassung!$D:$D,"&gt;="&amp;$B$6,Zeiterfassung!$D:$D,"&lt;"&amp;$B$7,Zeiterfassung!$X:$X,"&lt;&gt;OK")+COUNTIFS(Zeiterfassung!$C:$C,$A21,Zeiterfassung!$D:$D,"&gt;="&amp;$B$6,Zeiterfassung!$D:$D,"&lt;"&amp;$B$7,Zeiterfassung!$Z:$Z,"&lt;&gt;OK"))</f>
        <v/>
      </c>
      <c r="K21" s="52"/>
      <c r="L21" s="52"/>
      <c r="M21" s="52"/>
      <c r="N21" s="52"/>
    </row>
    <row r="22" spans="1:14" ht="18.95" customHeight="1" x14ac:dyDescent="0.25">
      <c r="A22" s="58" t="str">
        <f>IF(Mitarbeiter!$B13="","",Mitarbeiter!$B13)</f>
        <v/>
      </c>
      <c r="B22" s="59" t="str">
        <f>IF($A22="","",SUMIFS(Zeiterfassung!$M:$M,Zeiterfassung!$C:$C,$A22,Zeiterfassung!$D:$D,"&gt;="&amp;$B$6,Zeiterfassung!$D:$D,"&lt;"&amp;$B$7))</f>
        <v/>
      </c>
      <c r="C22" s="59" t="str">
        <f>IF($A22="","",SUMIFS(Zeiterfassung!$N:$N,Zeiterfassung!$C:$C,$A22,Zeiterfassung!$D:$D,"&gt;="&amp;$B$6,Zeiterfassung!$D:$D,"&lt;"&amp;$B$7))</f>
        <v/>
      </c>
      <c r="D22" s="59" t="str">
        <f>IF($A22="","",SUMIFS(Zeiterfassung!$O:$O,Zeiterfassung!$C:$C,$A22,Zeiterfassung!$D:$D,"&gt;="&amp;$B$6,Zeiterfassung!$D:$D,"&lt;"&amp;$B$7))</f>
        <v/>
      </c>
      <c r="E22" s="59" t="str">
        <f>IF($A22="","",SUMIFS(Zeiterfassung!$P:$P,Zeiterfassung!$C:$C,$A22,Zeiterfassung!$D:$D,"&gt;="&amp;$B$6,Zeiterfassung!$D:$D,"&lt;"&amp;$B$7))</f>
        <v/>
      </c>
      <c r="F22" s="60" t="str">
        <f>IF($A22="","",SUMIFS(Zeiterfassung!$U:$U,Zeiterfassung!$C:$C,$A22,Zeiterfassung!$D:$D,"&gt;="&amp;$B$6,Zeiterfassung!$D:$D,"&lt;"&amp;$B$7))</f>
        <v/>
      </c>
      <c r="G22" s="60" t="str">
        <f>IF($A22="","",SUMIFS(Zeiterfassung!$S:$S,Zeiterfassung!$C:$C,$A22,Zeiterfassung!$D:$D,"&gt;="&amp;$B$6,Zeiterfassung!$D:$D,"&lt;"&amp;$B$7))</f>
        <v/>
      </c>
      <c r="H22" s="60" t="str">
        <f>IF($A22="","",SUMIFS(Zeiterfassung!$T:$T,Zeiterfassung!$C:$C,$A22,Zeiterfassung!$D:$D,"&gt;="&amp;$B$6,Zeiterfassung!$D:$D,"&lt;"&amp;$B$7))</f>
        <v/>
      </c>
      <c r="I22" s="60" t="str">
        <f>IF($A22="","",SUMIFS(Zeiterfassung!$V:$V,Zeiterfassung!$C:$C,$A22,Zeiterfassung!$D:$D,"&gt;="&amp;$B$6,Zeiterfassung!$D:$D,"&lt;"&amp;$B$7))</f>
        <v/>
      </c>
      <c r="J22" s="61" t="str">
        <f>IF($A22="","",COUNTIFS(Zeiterfassung!$C:$C,$A22,Zeiterfassung!$D:$D,"&gt;="&amp;$B$6,Zeiterfassung!$D:$D,"&lt;"&amp;$B$7,Zeiterfassung!$W:$W,"&lt;&gt;OK")+COUNTIFS(Zeiterfassung!$C:$C,$A22,Zeiterfassung!$D:$D,"&gt;="&amp;$B$6,Zeiterfassung!$D:$D,"&lt;"&amp;$B$7,Zeiterfassung!$X:$X,"&lt;&gt;OK")+COUNTIFS(Zeiterfassung!$C:$C,$A22,Zeiterfassung!$D:$D,"&gt;="&amp;$B$6,Zeiterfassung!$D:$D,"&lt;"&amp;$B$7,Zeiterfassung!$Z:$Z,"&lt;&gt;OK"))</f>
        <v/>
      </c>
      <c r="K22" s="52"/>
      <c r="L22" s="52"/>
      <c r="M22" s="52"/>
      <c r="N22" s="52"/>
    </row>
    <row r="23" spans="1:14" ht="18.95" customHeight="1" x14ac:dyDescent="0.25">
      <c r="A23" s="58" t="str">
        <f>IF(Mitarbeiter!$B14="","",Mitarbeiter!$B14)</f>
        <v/>
      </c>
      <c r="B23" s="59" t="str">
        <f>IF($A23="","",SUMIFS(Zeiterfassung!$M:$M,Zeiterfassung!$C:$C,$A23,Zeiterfassung!$D:$D,"&gt;="&amp;$B$6,Zeiterfassung!$D:$D,"&lt;"&amp;$B$7))</f>
        <v/>
      </c>
      <c r="C23" s="59" t="str">
        <f>IF($A23="","",SUMIFS(Zeiterfassung!$N:$N,Zeiterfassung!$C:$C,$A23,Zeiterfassung!$D:$D,"&gt;="&amp;$B$6,Zeiterfassung!$D:$D,"&lt;"&amp;$B$7))</f>
        <v/>
      </c>
      <c r="D23" s="59" t="str">
        <f>IF($A23="","",SUMIFS(Zeiterfassung!$O:$O,Zeiterfassung!$C:$C,$A23,Zeiterfassung!$D:$D,"&gt;="&amp;$B$6,Zeiterfassung!$D:$D,"&lt;"&amp;$B$7))</f>
        <v/>
      </c>
      <c r="E23" s="59" t="str">
        <f>IF($A23="","",SUMIFS(Zeiterfassung!$P:$P,Zeiterfassung!$C:$C,$A23,Zeiterfassung!$D:$D,"&gt;="&amp;$B$6,Zeiterfassung!$D:$D,"&lt;"&amp;$B$7))</f>
        <v/>
      </c>
      <c r="F23" s="60" t="str">
        <f>IF($A23="","",SUMIFS(Zeiterfassung!$U:$U,Zeiterfassung!$C:$C,$A23,Zeiterfassung!$D:$D,"&gt;="&amp;$B$6,Zeiterfassung!$D:$D,"&lt;"&amp;$B$7))</f>
        <v/>
      </c>
      <c r="G23" s="60" t="str">
        <f>IF($A23="","",SUMIFS(Zeiterfassung!$S:$S,Zeiterfassung!$C:$C,$A23,Zeiterfassung!$D:$D,"&gt;="&amp;$B$6,Zeiterfassung!$D:$D,"&lt;"&amp;$B$7))</f>
        <v/>
      </c>
      <c r="H23" s="60" t="str">
        <f>IF($A23="","",SUMIFS(Zeiterfassung!$T:$T,Zeiterfassung!$C:$C,$A23,Zeiterfassung!$D:$D,"&gt;="&amp;$B$6,Zeiterfassung!$D:$D,"&lt;"&amp;$B$7))</f>
        <v/>
      </c>
      <c r="I23" s="60" t="str">
        <f>IF($A23="","",SUMIFS(Zeiterfassung!$V:$V,Zeiterfassung!$C:$C,$A23,Zeiterfassung!$D:$D,"&gt;="&amp;$B$6,Zeiterfassung!$D:$D,"&lt;"&amp;$B$7))</f>
        <v/>
      </c>
      <c r="J23" s="61" t="str">
        <f>IF($A23="","",COUNTIFS(Zeiterfassung!$C:$C,$A23,Zeiterfassung!$D:$D,"&gt;="&amp;$B$6,Zeiterfassung!$D:$D,"&lt;"&amp;$B$7,Zeiterfassung!$W:$W,"&lt;&gt;OK")+COUNTIFS(Zeiterfassung!$C:$C,$A23,Zeiterfassung!$D:$D,"&gt;="&amp;$B$6,Zeiterfassung!$D:$D,"&lt;"&amp;$B$7,Zeiterfassung!$X:$X,"&lt;&gt;OK")+COUNTIFS(Zeiterfassung!$C:$C,$A23,Zeiterfassung!$D:$D,"&gt;="&amp;$B$6,Zeiterfassung!$D:$D,"&lt;"&amp;$B$7,Zeiterfassung!$Z:$Z,"&lt;&gt;OK"))</f>
        <v/>
      </c>
      <c r="K23" s="52"/>
      <c r="L23" s="52"/>
      <c r="M23" s="52"/>
      <c r="N23" s="52"/>
    </row>
    <row r="24" spans="1:14" ht="18.95" customHeight="1" x14ac:dyDescent="0.25">
      <c r="A24" s="62" t="str">
        <f>IF(Mitarbeiter!$B15="","",Mitarbeiter!$B15)</f>
        <v/>
      </c>
      <c r="B24" s="63" t="str">
        <f>IF($A24="","",SUMIFS(Zeiterfassung!$M:$M,Zeiterfassung!$C:$C,$A24,Zeiterfassung!$D:$D,"&gt;="&amp;$B$6,Zeiterfassung!$D:$D,"&lt;"&amp;$B$7))</f>
        <v/>
      </c>
      <c r="C24" s="63" t="str">
        <f>IF($A24="","",SUMIFS(Zeiterfassung!$N:$N,Zeiterfassung!$C:$C,$A24,Zeiterfassung!$D:$D,"&gt;="&amp;$B$6,Zeiterfassung!$D:$D,"&lt;"&amp;$B$7))</f>
        <v/>
      </c>
      <c r="D24" s="63" t="str">
        <f>IF($A24="","",SUMIFS(Zeiterfassung!$O:$O,Zeiterfassung!$C:$C,$A24,Zeiterfassung!$D:$D,"&gt;="&amp;$B$6,Zeiterfassung!$D:$D,"&lt;"&amp;$B$7))</f>
        <v/>
      </c>
      <c r="E24" s="63" t="str">
        <f>IF($A24="","",SUMIFS(Zeiterfassung!$P:$P,Zeiterfassung!$C:$C,$A24,Zeiterfassung!$D:$D,"&gt;="&amp;$B$6,Zeiterfassung!$D:$D,"&lt;"&amp;$B$7))</f>
        <v/>
      </c>
      <c r="F24" s="64" t="str">
        <f>IF($A24="","",SUMIFS(Zeiterfassung!$U:$U,Zeiterfassung!$C:$C,$A24,Zeiterfassung!$D:$D,"&gt;="&amp;$B$6,Zeiterfassung!$D:$D,"&lt;"&amp;$B$7))</f>
        <v/>
      </c>
      <c r="G24" s="64" t="str">
        <f>IF($A24="","",SUMIFS(Zeiterfassung!$S:$S,Zeiterfassung!$C:$C,$A24,Zeiterfassung!$D:$D,"&gt;="&amp;$B$6,Zeiterfassung!$D:$D,"&lt;"&amp;$B$7))</f>
        <v/>
      </c>
      <c r="H24" s="64" t="str">
        <f>IF($A24="","",SUMIFS(Zeiterfassung!$T:$T,Zeiterfassung!$C:$C,$A24,Zeiterfassung!$D:$D,"&gt;="&amp;$B$6,Zeiterfassung!$D:$D,"&lt;"&amp;$B$7))</f>
        <v/>
      </c>
      <c r="I24" s="64" t="str">
        <f>IF($A24="","",SUMIFS(Zeiterfassung!$V:$V,Zeiterfassung!$C:$C,$A24,Zeiterfassung!$D:$D,"&gt;="&amp;$B$6,Zeiterfassung!$D:$D,"&lt;"&amp;$B$7))</f>
        <v/>
      </c>
      <c r="J24" s="65" t="str">
        <f>IF($A24="","",COUNTIFS(Zeiterfassung!$C:$C,$A24,Zeiterfassung!$D:$D,"&gt;="&amp;$B$6,Zeiterfassung!$D:$D,"&lt;"&amp;$B$7,Zeiterfassung!$W:$W,"&lt;&gt;OK")+COUNTIFS(Zeiterfassung!$C:$C,$A24,Zeiterfassung!$D:$D,"&gt;="&amp;$B$6,Zeiterfassung!$D:$D,"&lt;"&amp;$B$7,Zeiterfassung!$X:$X,"&lt;&gt;OK")+COUNTIFS(Zeiterfassung!$C:$C,$A24,Zeiterfassung!$D:$D,"&gt;="&amp;$B$6,Zeiterfassung!$D:$D,"&lt;"&amp;$B$7,Zeiterfassung!$Z:$Z,"&lt;&gt;OK"))</f>
        <v/>
      </c>
      <c r="K24" s="52"/>
      <c r="L24" s="52"/>
      <c r="M24" s="52"/>
      <c r="N24" s="52"/>
    </row>
    <row r="25" spans="1:14" ht="18.9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ht="18.95" customHeight="1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14" ht="18.95" customHeight="1" x14ac:dyDescent="0.2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4" ht="18.95" customHeight="1" x14ac:dyDescent="0.25">
      <c r="A28" s="4" t="s">
        <v>4</v>
      </c>
      <c r="B28" s="5" t="s">
        <v>17</v>
      </c>
      <c r="C28" s="5" t="s">
        <v>24</v>
      </c>
      <c r="D28" s="5" t="s">
        <v>25</v>
      </c>
      <c r="E28" s="5" t="s">
        <v>26</v>
      </c>
      <c r="F28" s="6" t="s">
        <v>13</v>
      </c>
      <c r="G28" s="52"/>
      <c r="H28" s="4" t="s">
        <v>27</v>
      </c>
      <c r="I28" s="5" t="s">
        <v>17</v>
      </c>
      <c r="J28" s="5" t="s">
        <v>18</v>
      </c>
      <c r="K28" s="5" t="s">
        <v>19</v>
      </c>
      <c r="L28" s="5" t="s">
        <v>20</v>
      </c>
      <c r="M28" s="6" t="s">
        <v>13</v>
      </c>
      <c r="N28" s="52"/>
    </row>
    <row r="29" spans="1:14" ht="18.95" customHeight="1" x14ac:dyDescent="0.25">
      <c r="A29" s="66">
        <v>1</v>
      </c>
      <c r="B29" s="67">
        <f>SUMIFS(Zeiterfassung!$M:$M,Zeiterfassung!$D:$D,"&gt;="&amp;DATE($B$5,A29,1),Zeiterfassung!$D:$D,"&lt;"&amp;EDATE(DATE($B$5,A29,1),1))</f>
        <v>212.75</v>
      </c>
      <c r="C29" s="67">
        <f>SUMIFS(Zeiterfassung!$N:$N,Zeiterfassung!$D:$D,"&gt;="&amp;DATE($B$5,A29,1),Zeiterfassung!$D:$D,"&lt;"&amp;EDATE(DATE($B$5,A29,1),1))</f>
        <v>34</v>
      </c>
      <c r="D29" s="67">
        <f>SUMIFS(Zeiterfassung!$O:$O,Zeiterfassung!$D:$D,"&gt;="&amp;DATE($B$5,A29,1),Zeiterfassung!$D:$D,"&lt;"&amp;EDATE(DATE($B$5,A29,1),1))</f>
        <v>65</v>
      </c>
      <c r="E29" s="67">
        <f>SUMIFS(Zeiterfassung!$P:$P,Zeiterfassung!$D:$D,"&gt;="&amp;DATE($B$5,A29,1),Zeiterfassung!$D:$D,"&lt;"&amp;EDATE(DATE($B$5,A29,1),1))</f>
        <v>7</v>
      </c>
      <c r="F29" s="68">
        <f>SUMIFS(Zeiterfassung!$V:$V,Zeiterfassung!$D:$D,"&gt;="&amp;DATE($B$5,A29,1),Zeiterfassung!$D:$D,"&lt;"&amp;EDATE(DATE($B$5,A29,1),1))</f>
        <v>4629.96</v>
      </c>
      <c r="G29" s="52"/>
      <c r="H29" s="58" t="s">
        <v>28</v>
      </c>
      <c r="I29" s="59">
        <f>SUMIFS(Zeiterfassung!$M:$M,Zeiterfassung!$F:$F,$H29,Zeiterfassung!$D:$D,"&gt;="&amp;$B$6,Zeiterfassung!$D:$D,"&lt;"&amp;$B$7)</f>
        <v>90.5</v>
      </c>
      <c r="J29" s="59">
        <f>SUMIFS(Zeiterfassung!$N:$N,Zeiterfassung!$F:$F,$H29,Zeiterfassung!$D:$D,"&gt;="&amp;$B$6,Zeiterfassung!$D:$D,"&lt;"&amp;$B$7)</f>
        <v>12.5</v>
      </c>
      <c r="K29" s="59">
        <f>SUMIFS(Zeiterfassung!$O:$O,Zeiterfassung!$F:$F,$H29,Zeiterfassung!$D:$D,"&gt;="&amp;$B$6,Zeiterfassung!$D:$D,"&lt;"&amp;$B$7)</f>
        <v>29</v>
      </c>
      <c r="L29" s="59">
        <f>SUMIFS(Zeiterfassung!$P:$P,Zeiterfassung!$F:$F,$H29,Zeiterfassung!$D:$D,"&gt;="&amp;$B$6,Zeiterfassung!$D:$D,"&lt;"&amp;$B$7)</f>
        <v>0</v>
      </c>
      <c r="M29" s="69">
        <f>SUMIFS(Zeiterfassung!$V:$V,Zeiterfassung!$F:$F,$H29,Zeiterfassung!$D:$D,"&gt;="&amp;$B$6,Zeiterfassung!$D:$D,"&lt;"&amp;$B$7)</f>
        <v>1962.8999999999999</v>
      </c>
      <c r="N29" s="52"/>
    </row>
    <row r="30" spans="1:14" ht="18.95" customHeight="1" x14ac:dyDescent="0.25">
      <c r="A30" s="66">
        <v>2</v>
      </c>
      <c r="B30" s="67">
        <f>SUMIFS(Zeiterfassung!$M:$M,Zeiterfassung!$D:$D,"&gt;="&amp;DATE($B$5,A30,1),Zeiterfassung!$D:$D,"&lt;"&amp;EDATE(DATE($B$5,A30,1),1))</f>
        <v>32.25</v>
      </c>
      <c r="C30" s="67">
        <f>SUMIFS(Zeiterfassung!$N:$N,Zeiterfassung!$D:$D,"&gt;="&amp;DATE($B$5,A30,1),Zeiterfassung!$D:$D,"&lt;"&amp;EDATE(DATE($B$5,A30,1),1))</f>
        <v>4</v>
      </c>
      <c r="D30" s="67">
        <f>SUMIFS(Zeiterfassung!$O:$O,Zeiterfassung!$D:$D,"&gt;="&amp;DATE($B$5,A30,1),Zeiterfassung!$D:$D,"&lt;"&amp;EDATE(DATE($B$5,A30,1),1))</f>
        <v>19</v>
      </c>
      <c r="E30" s="67">
        <f>SUMIFS(Zeiterfassung!$P:$P,Zeiterfassung!$D:$D,"&gt;="&amp;DATE($B$5,A30,1),Zeiterfassung!$D:$D,"&lt;"&amp;EDATE(DATE($B$5,A30,1),1))</f>
        <v>0</v>
      </c>
      <c r="F30" s="68">
        <f>SUMIFS(Zeiterfassung!$V:$V,Zeiterfassung!$D:$D,"&gt;="&amp;DATE($B$5,A30,1),Zeiterfassung!$D:$D,"&lt;"&amp;EDATE(DATE($B$5,A30,1),1))</f>
        <v>728.38</v>
      </c>
      <c r="G30" s="52"/>
      <c r="H30" s="58" t="s">
        <v>29</v>
      </c>
      <c r="I30" s="59">
        <f>SUMIFS(Zeiterfassung!$M:$M,Zeiterfassung!$F:$F,$H30,Zeiterfassung!$D:$D,"&gt;="&amp;$B$6,Zeiterfassung!$D:$D,"&lt;"&amp;$B$7)</f>
        <v>57.5</v>
      </c>
      <c r="J30" s="59">
        <f>SUMIFS(Zeiterfassung!$N:$N,Zeiterfassung!$F:$F,$H30,Zeiterfassung!$D:$D,"&gt;="&amp;$B$6,Zeiterfassung!$D:$D,"&lt;"&amp;$B$7)</f>
        <v>1</v>
      </c>
      <c r="K30" s="59">
        <f>SUMIFS(Zeiterfassung!$O:$O,Zeiterfassung!$F:$F,$H30,Zeiterfassung!$D:$D,"&gt;="&amp;$B$6,Zeiterfassung!$D:$D,"&lt;"&amp;$B$7)</f>
        <v>17.5</v>
      </c>
      <c r="L30" s="59">
        <f>SUMIFS(Zeiterfassung!$P:$P,Zeiterfassung!$F:$F,$H30,Zeiterfassung!$D:$D,"&gt;="&amp;$B$6,Zeiterfassung!$D:$D,"&lt;"&amp;$B$7)</f>
        <v>0</v>
      </c>
      <c r="M30" s="69">
        <f>SUMIFS(Zeiterfassung!$V:$V,Zeiterfassung!$F:$F,$H30,Zeiterfassung!$D:$D,"&gt;="&amp;$B$6,Zeiterfassung!$D:$D,"&lt;"&amp;$B$7)</f>
        <v>1183.71</v>
      </c>
      <c r="N30" s="52"/>
    </row>
    <row r="31" spans="1:14" ht="18.95" customHeight="1" x14ac:dyDescent="0.25">
      <c r="A31" s="66">
        <v>3</v>
      </c>
      <c r="B31" s="67">
        <f>SUMIFS(Zeiterfassung!$M:$M,Zeiterfassung!$D:$D,"&gt;="&amp;DATE($B$5,A31,1),Zeiterfassung!$D:$D,"&lt;"&amp;EDATE(DATE($B$5,A31,1),1))</f>
        <v>0</v>
      </c>
      <c r="C31" s="67">
        <f>SUMIFS(Zeiterfassung!$N:$N,Zeiterfassung!$D:$D,"&gt;="&amp;DATE($B$5,A31,1),Zeiterfassung!$D:$D,"&lt;"&amp;EDATE(DATE($B$5,A31,1),1))</f>
        <v>0</v>
      </c>
      <c r="D31" s="67">
        <f>SUMIFS(Zeiterfassung!$O:$O,Zeiterfassung!$D:$D,"&gt;="&amp;DATE($B$5,A31,1),Zeiterfassung!$D:$D,"&lt;"&amp;EDATE(DATE($B$5,A31,1),1))</f>
        <v>0</v>
      </c>
      <c r="E31" s="67">
        <f>SUMIFS(Zeiterfassung!$P:$P,Zeiterfassung!$D:$D,"&gt;="&amp;DATE($B$5,A31,1),Zeiterfassung!$D:$D,"&lt;"&amp;EDATE(DATE($B$5,A31,1),1))</f>
        <v>0</v>
      </c>
      <c r="F31" s="68">
        <f>SUMIFS(Zeiterfassung!$V:$V,Zeiterfassung!$D:$D,"&gt;="&amp;DATE($B$5,A31,1),Zeiterfassung!$D:$D,"&lt;"&amp;EDATE(DATE($B$5,A31,1),1))</f>
        <v>0</v>
      </c>
      <c r="G31" s="52"/>
      <c r="H31" s="58" t="s">
        <v>30</v>
      </c>
      <c r="I31" s="59">
        <f>SUMIFS(Zeiterfassung!$M:$M,Zeiterfassung!$F:$F,$H31,Zeiterfassung!$D:$D,"&gt;="&amp;$B$6,Zeiterfassung!$D:$D,"&lt;"&amp;$B$7)</f>
        <v>41.75</v>
      </c>
      <c r="J31" s="59">
        <f>SUMIFS(Zeiterfassung!$N:$N,Zeiterfassung!$F:$F,$H31,Zeiterfassung!$D:$D,"&gt;="&amp;$B$6,Zeiterfassung!$D:$D,"&lt;"&amp;$B$7)</f>
        <v>20.5</v>
      </c>
      <c r="K31" s="59">
        <f>SUMIFS(Zeiterfassung!$O:$O,Zeiterfassung!$F:$F,$H31,Zeiterfassung!$D:$D,"&gt;="&amp;$B$6,Zeiterfassung!$D:$D,"&lt;"&amp;$B$7)</f>
        <v>6.5</v>
      </c>
      <c r="L31" s="59">
        <f>SUMIFS(Zeiterfassung!$P:$P,Zeiterfassung!$F:$F,$H31,Zeiterfassung!$D:$D,"&gt;="&amp;$B$6,Zeiterfassung!$D:$D,"&lt;"&amp;$B$7)</f>
        <v>7</v>
      </c>
      <c r="M31" s="69">
        <f>SUMIFS(Zeiterfassung!$V:$V,Zeiterfassung!$F:$F,$H31,Zeiterfassung!$D:$D,"&gt;="&amp;$B$6,Zeiterfassung!$D:$D,"&lt;"&amp;$B$7)</f>
        <v>1071.5500000000002</v>
      </c>
      <c r="N31" s="52"/>
    </row>
    <row r="32" spans="1:14" ht="18.95" customHeight="1" x14ac:dyDescent="0.25">
      <c r="A32" s="66">
        <v>4</v>
      </c>
      <c r="B32" s="67">
        <f>SUMIFS(Zeiterfassung!$M:$M,Zeiterfassung!$D:$D,"&gt;="&amp;DATE($B$5,A32,1),Zeiterfassung!$D:$D,"&lt;"&amp;EDATE(DATE($B$5,A32,1),1))</f>
        <v>0</v>
      </c>
      <c r="C32" s="67">
        <f>SUMIFS(Zeiterfassung!$N:$N,Zeiterfassung!$D:$D,"&gt;="&amp;DATE($B$5,A32,1),Zeiterfassung!$D:$D,"&lt;"&amp;EDATE(DATE($B$5,A32,1),1))</f>
        <v>0</v>
      </c>
      <c r="D32" s="67">
        <f>SUMIFS(Zeiterfassung!$O:$O,Zeiterfassung!$D:$D,"&gt;="&amp;DATE($B$5,A32,1),Zeiterfassung!$D:$D,"&lt;"&amp;EDATE(DATE($B$5,A32,1),1))</f>
        <v>0</v>
      </c>
      <c r="E32" s="67">
        <f>SUMIFS(Zeiterfassung!$P:$P,Zeiterfassung!$D:$D,"&gt;="&amp;DATE($B$5,A32,1),Zeiterfassung!$D:$D,"&lt;"&amp;EDATE(DATE($B$5,A32,1),1))</f>
        <v>0</v>
      </c>
      <c r="F32" s="68">
        <f>SUMIFS(Zeiterfassung!$V:$V,Zeiterfassung!$D:$D,"&gt;="&amp;DATE($B$5,A32,1),Zeiterfassung!$D:$D,"&lt;"&amp;EDATE(DATE($B$5,A32,1),1))</f>
        <v>0</v>
      </c>
      <c r="G32" s="52"/>
      <c r="H32" s="58" t="s">
        <v>31</v>
      </c>
      <c r="I32" s="59">
        <f>SUMIFS(Zeiterfassung!$M:$M,Zeiterfassung!$F:$F,$H32,Zeiterfassung!$D:$D,"&gt;="&amp;$B$6,Zeiterfassung!$D:$D,"&lt;"&amp;$B$7)</f>
        <v>0</v>
      </c>
      <c r="J32" s="59">
        <f>SUMIFS(Zeiterfassung!$N:$N,Zeiterfassung!$F:$F,$H32,Zeiterfassung!$D:$D,"&gt;="&amp;$B$6,Zeiterfassung!$D:$D,"&lt;"&amp;$B$7)</f>
        <v>0</v>
      </c>
      <c r="K32" s="59">
        <f>SUMIFS(Zeiterfassung!$O:$O,Zeiterfassung!$F:$F,$H32,Zeiterfassung!$D:$D,"&gt;="&amp;$B$6,Zeiterfassung!$D:$D,"&lt;"&amp;$B$7)</f>
        <v>0</v>
      </c>
      <c r="L32" s="59">
        <f>SUMIFS(Zeiterfassung!$P:$P,Zeiterfassung!$F:$F,$H32,Zeiterfassung!$D:$D,"&gt;="&amp;$B$6,Zeiterfassung!$D:$D,"&lt;"&amp;$B$7)</f>
        <v>0</v>
      </c>
      <c r="M32" s="69">
        <f>SUMIFS(Zeiterfassung!$V:$V,Zeiterfassung!$F:$F,$H32,Zeiterfassung!$D:$D,"&gt;="&amp;$B$6,Zeiterfassung!$D:$D,"&lt;"&amp;$B$7)</f>
        <v>0</v>
      </c>
      <c r="N32" s="52"/>
    </row>
    <row r="33" spans="1:14" ht="18.95" customHeight="1" x14ac:dyDescent="0.25">
      <c r="A33" s="66">
        <v>5</v>
      </c>
      <c r="B33" s="67">
        <f>SUMIFS(Zeiterfassung!$M:$M,Zeiterfassung!$D:$D,"&gt;="&amp;DATE($B$5,A33,1),Zeiterfassung!$D:$D,"&lt;"&amp;EDATE(DATE($B$5,A33,1),1))</f>
        <v>0</v>
      </c>
      <c r="C33" s="67">
        <f>SUMIFS(Zeiterfassung!$N:$N,Zeiterfassung!$D:$D,"&gt;="&amp;DATE($B$5,A33,1),Zeiterfassung!$D:$D,"&lt;"&amp;EDATE(DATE($B$5,A33,1),1))</f>
        <v>0</v>
      </c>
      <c r="D33" s="67">
        <f>SUMIFS(Zeiterfassung!$O:$O,Zeiterfassung!$D:$D,"&gt;="&amp;DATE($B$5,A33,1),Zeiterfassung!$D:$D,"&lt;"&amp;EDATE(DATE($B$5,A33,1),1))</f>
        <v>0</v>
      </c>
      <c r="E33" s="67">
        <f>SUMIFS(Zeiterfassung!$P:$P,Zeiterfassung!$D:$D,"&gt;="&amp;DATE($B$5,A33,1),Zeiterfassung!$D:$D,"&lt;"&amp;EDATE(DATE($B$5,A33,1),1))</f>
        <v>0</v>
      </c>
      <c r="F33" s="68">
        <f>SUMIFS(Zeiterfassung!$V:$V,Zeiterfassung!$D:$D,"&gt;="&amp;DATE($B$5,A33,1),Zeiterfassung!$D:$D,"&lt;"&amp;EDATE(DATE($B$5,A33,1),1))</f>
        <v>0</v>
      </c>
      <c r="G33" s="52"/>
      <c r="H33" s="58" t="s">
        <v>32</v>
      </c>
      <c r="I33" s="59">
        <f>SUMIFS(Zeiterfassung!$M:$M,Zeiterfassung!$F:$F,$H33,Zeiterfassung!$D:$D,"&gt;="&amp;$B$6,Zeiterfassung!$D:$D,"&lt;"&amp;$B$7)</f>
        <v>23</v>
      </c>
      <c r="J33" s="59">
        <f>SUMIFS(Zeiterfassung!$N:$N,Zeiterfassung!$F:$F,$H33,Zeiterfassung!$D:$D,"&gt;="&amp;$B$6,Zeiterfassung!$D:$D,"&lt;"&amp;$B$7)</f>
        <v>0</v>
      </c>
      <c r="K33" s="59">
        <f>SUMIFS(Zeiterfassung!$O:$O,Zeiterfassung!$F:$F,$H33,Zeiterfassung!$D:$D,"&gt;="&amp;$B$6,Zeiterfassung!$D:$D,"&lt;"&amp;$B$7)</f>
        <v>12</v>
      </c>
      <c r="L33" s="59">
        <f>SUMIFS(Zeiterfassung!$P:$P,Zeiterfassung!$F:$F,$H33,Zeiterfassung!$D:$D,"&gt;="&amp;$B$6,Zeiterfassung!$D:$D,"&lt;"&amp;$B$7)</f>
        <v>0</v>
      </c>
      <c r="M33" s="69">
        <f>SUMIFS(Zeiterfassung!$V:$V,Zeiterfassung!$F:$F,$H33,Zeiterfassung!$D:$D,"&gt;="&amp;$B$6,Zeiterfassung!$D:$D,"&lt;"&amp;$B$7)</f>
        <v>411.8</v>
      </c>
      <c r="N33" s="52"/>
    </row>
    <row r="34" spans="1:14" ht="18.95" customHeight="1" x14ac:dyDescent="0.25">
      <c r="A34" s="66">
        <v>6</v>
      </c>
      <c r="B34" s="67">
        <f>SUMIFS(Zeiterfassung!$M:$M,Zeiterfassung!$D:$D,"&gt;="&amp;DATE($B$5,A34,1),Zeiterfassung!$D:$D,"&lt;"&amp;EDATE(DATE($B$5,A34,1),1))</f>
        <v>0</v>
      </c>
      <c r="C34" s="67">
        <f>SUMIFS(Zeiterfassung!$N:$N,Zeiterfassung!$D:$D,"&gt;="&amp;DATE($B$5,A34,1),Zeiterfassung!$D:$D,"&lt;"&amp;EDATE(DATE($B$5,A34,1),1))</f>
        <v>0</v>
      </c>
      <c r="D34" s="67">
        <f>SUMIFS(Zeiterfassung!$O:$O,Zeiterfassung!$D:$D,"&gt;="&amp;DATE($B$5,A34,1),Zeiterfassung!$D:$D,"&lt;"&amp;EDATE(DATE($B$5,A34,1),1))</f>
        <v>0</v>
      </c>
      <c r="E34" s="67">
        <f>SUMIFS(Zeiterfassung!$P:$P,Zeiterfassung!$D:$D,"&gt;="&amp;DATE($B$5,A34,1),Zeiterfassung!$D:$D,"&lt;"&amp;EDATE(DATE($B$5,A34,1),1))</f>
        <v>0</v>
      </c>
      <c r="F34" s="68">
        <f>SUMIFS(Zeiterfassung!$V:$V,Zeiterfassung!$D:$D,"&gt;="&amp;DATE($B$5,A34,1),Zeiterfassung!$D:$D,"&lt;"&amp;EDATE(DATE($B$5,A34,1),1))</f>
        <v>0</v>
      </c>
      <c r="G34" s="52"/>
      <c r="H34" s="58" t="s">
        <v>33</v>
      </c>
      <c r="I34" s="59">
        <f>SUMIFS(Zeiterfassung!$M:$M,Zeiterfassung!$F:$F,$H34,Zeiterfassung!$D:$D,"&gt;="&amp;$B$6,Zeiterfassung!$D:$D,"&lt;"&amp;$B$7)</f>
        <v>0</v>
      </c>
      <c r="J34" s="59">
        <f>SUMIFS(Zeiterfassung!$N:$N,Zeiterfassung!$F:$F,$H34,Zeiterfassung!$D:$D,"&gt;="&amp;$B$6,Zeiterfassung!$D:$D,"&lt;"&amp;$B$7)</f>
        <v>0</v>
      </c>
      <c r="K34" s="59">
        <f>SUMIFS(Zeiterfassung!$O:$O,Zeiterfassung!$F:$F,$H34,Zeiterfassung!$D:$D,"&gt;="&amp;$B$6,Zeiterfassung!$D:$D,"&lt;"&amp;$B$7)</f>
        <v>0</v>
      </c>
      <c r="L34" s="59">
        <f>SUMIFS(Zeiterfassung!$P:$P,Zeiterfassung!$F:$F,$H34,Zeiterfassung!$D:$D,"&gt;="&amp;$B$6,Zeiterfassung!$D:$D,"&lt;"&amp;$B$7)</f>
        <v>0</v>
      </c>
      <c r="M34" s="69">
        <f>SUMIFS(Zeiterfassung!$V:$V,Zeiterfassung!$F:$F,$H34,Zeiterfassung!$D:$D,"&gt;="&amp;$B$6,Zeiterfassung!$D:$D,"&lt;"&amp;$B$7)</f>
        <v>0</v>
      </c>
      <c r="N34" s="52"/>
    </row>
    <row r="35" spans="1:14" ht="18.95" customHeight="1" x14ac:dyDescent="0.25">
      <c r="A35" s="66">
        <v>7</v>
      </c>
      <c r="B35" s="67">
        <f>SUMIFS(Zeiterfassung!$M:$M,Zeiterfassung!$D:$D,"&gt;="&amp;DATE($B$5,A35,1),Zeiterfassung!$D:$D,"&lt;"&amp;EDATE(DATE($B$5,A35,1),1))</f>
        <v>0</v>
      </c>
      <c r="C35" s="67">
        <f>SUMIFS(Zeiterfassung!$N:$N,Zeiterfassung!$D:$D,"&gt;="&amp;DATE($B$5,A35,1),Zeiterfassung!$D:$D,"&lt;"&amp;EDATE(DATE($B$5,A35,1),1))</f>
        <v>0</v>
      </c>
      <c r="D35" s="67">
        <f>SUMIFS(Zeiterfassung!$O:$O,Zeiterfassung!$D:$D,"&gt;="&amp;DATE($B$5,A35,1),Zeiterfassung!$D:$D,"&lt;"&amp;EDATE(DATE($B$5,A35,1),1))</f>
        <v>0</v>
      </c>
      <c r="E35" s="67">
        <f>SUMIFS(Zeiterfassung!$P:$P,Zeiterfassung!$D:$D,"&gt;="&amp;DATE($B$5,A35,1),Zeiterfassung!$D:$D,"&lt;"&amp;EDATE(DATE($B$5,A35,1),1))</f>
        <v>0</v>
      </c>
      <c r="F35" s="68">
        <f>SUMIFS(Zeiterfassung!$V:$V,Zeiterfassung!$D:$D,"&gt;="&amp;DATE($B$5,A35,1),Zeiterfassung!$D:$D,"&lt;"&amp;EDATE(DATE($B$5,A35,1),1))</f>
        <v>0</v>
      </c>
      <c r="G35" s="52"/>
      <c r="H35" s="58" t="s">
        <v>34</v>
      </c>
      <c r="I35" s="59">
        <f>SUMIFS(Zeiterfassung!$M:$M,Zeiterfassung!$F:$F,$H35,Zeiterfassung!$D:$D,"&gt;="&amp;$B$6,Zeiterfassung!$D:$D,"&lt;"&amp;$B$7)</f>
        <v>0</v>
      </c>
      <c r="J35" s="59">
        <f>SUMIFS(Zeiterfassung!$N:$N,Zeiterfassung!$F:$F,$H35,Zeiterfassung!$D:$D,"&gt;="&amp;$B$6,Zeiterfassung!$D:$D,"&lt;"&amp;$B$7)</f>
        <v>0</v>
      </c>
      <c r="K35" s="59">
        <f>SUMIFS(Zeiterfassung!$O:$O,Zeiterfassung!$F:$F,$H35,Zeiterfassung!$D:$D,"&gt;="&amp;$B$6,Zeiterfassung!$D:$D,"&lt;"&amp;$B$7)</f>
        <v>0</v>
      </c>
      <c r="L35" s="59">
        <f>SUMIFS(Zeiterfassung!$P:$P,Zeiterfassung!$F:$F,$H35,Zeiterfassung!$D:$D,"&gt;="&amp;$B$6,Zeiterfassung!$D:$D,"&lt;"&amp;$B$7)</f>
        <v>0</v>
      </c>
      <c r="M35" s="69">
        <f>SUMIFS(Zeiterfassung!$V:$V,Zeiterfassung!$F:$F,$H35,Zeiterfassung!$D:$D,"&gt;="&amp;$B$6,Zeiterfassung!$D:$D,"&lt;"&amp;$B$7)</f>
        <v>0</v>
      </c>
      <c r="N35" s="52"/>
    </row>
    <row r="36" spans="1:14" ht="18.95" customHeight="1" x14ac:dyDescent="0.25">
      <c r="A36" s="66">
        <v>8</v>
      </c>
      <c r="B36" s="67">
        <f>SUMIFS(Zeiterfassung!$M:$M,Zeiterfassung!$D:$D,"&gt;="&amp;DATE($B$5,A36,1),Zeiterfassung!$D:$D,"&lt;"&amp;EDATE(DATE($B$5,A36,1),1))</f>
        <v>0</v>
      </c>
      <c r="C36" s="67">
        <f>SUMIFS(Zeiterfassung!$N:$N,Zeiterfassung!$D:$D,"&gt;="&amp;DATE($B$5,A36,1),Zeiterfassung!$D:$D,"&lt;"&amp;EDATE(DATE($B$5,A36,1),1))</f>
        <v>0</v>
      </c>
      <c r="D36" s="67">
        <f>SUMIFS(Zeiterfassung!$O:$O,Zeiterfassung!$D:$D,"&gt;="&amp;DATE($B$5,A36,1),Zeiterfassung!$D:$D,"&lt;"&amp;EDATE(DATE($B$5,A36,1),1))</f>
        <v>0</v>
      </c>
      <c r="E36" s="67">
        <f>SUMIFS(Zeiterfassung!$P:$P,Zeiterfassung!$D:$D,"&gt;="&amp;DATE($B$5,A36,1),Zeiterfassung!$D:$D,"&lt;"&amp;EDATE(DATE($B$5,A36,1),1))</f>
        <v>0</v>
      </c>
      <c r="F36" s="68">
        <f>SUMIFS(Zeiterfassung!$V:$V,Zeiterfassung!$D:$D,"&gt;="&amp;DATE($B$5,A36,1),Zeiterfassung!$D:$D,"&lt;"&amp;EDATE(DATE($B$5,A36,1),1))</f>
        <v>0</v>
      </c>
      <c r="G36" s="52"/>
      <c r="H36" s="62" t="s">
        <v>35</v>
      </c>
      <c r="I36" s="63">
        <f>SUMIFS(Zeiterfassung!$M:$M,Zeiterfassung!$F:$F,$H36,Zeiterfassung!$D:$D,"&gt;="&amp;$B$6,Zeiterfassung!$D:$D,"&lt;"&amp;$B$7)</f>
        <v>0</v>
      </c>
      <c r="J36" s="63">
        <f>SUMIFS(Zeiterfassung!$N:$N,Zeiterfassung!$F:$F,$H36,Zeiterfassung!$D:$D,"&gt;="&amp;$B$6,Zeiterfassung!$D:$D,"&lt;"&amp;$B$7)</f>
        <v>0</v>
      </c>
      <c r="K36" s="63">
        <f>SUMIFS(Zeiterfassung!$O:$O,Zeiterfassung!$F:$F,$H36,Zeiterfassung!$D:$D,"&gt;="&amp;$B$6,Zeiterfassung!$D:$D,"&lt;"&amp;$B$7)</f>
        <v>0</v>
      </c>
      <c r="L36" s="63">
        <f>SUMIFS(Zeiterfassung!$P:$P,Zeiterfassung!$F:$F,$H36,Zeiterfassung!$D:$D,"&gt;="&amp;$B$6,Zeiterfassung!$D:$D,"&lt;"&amp;$B$7)</f>
        <v>0</v>
      </c>
      <c r="M36" s="70">
        <f>SUMIFS(Zeiterfassung!$V:$V,Zeiterfassung!$F:$F,$H36,Zeiterfassung!$D:$D,"&gt;="&amp;$B$6,Zeiterfassung!$D:$D,"&lt;"&amp;$B$7)</f>
        <v>0</v>
      </c>
      <c r="N36" s="52"/>
    </row>
    <row r="37" spans="1:14" ht="18.95" customHeight="1" x14ac:dyDescent="0.25">
      <c r="A37" s="66">
        <v>9</v>
      </c>
      <c r="B37" s="67">
        <f>SUMIFS(Zeiterfassung!$M:$M,Zeiterfassung!$D:$D,"&gt;="&amp;DATE($B$5,A37,1),Zeiterfassung!$D:$D,"&lt;"&amp;EDATE(DATE($B$5,A37,1),1))</f>
        <v>0</v>
      </c>
      <c r="C37" s="67">
        <f>SUMIFS(Zeiterfassung!$N:$N,Zeiterfassung!$D:$D,"&gt;="&amp;DATE($B$5,A37,1),Zeiterfassung!$D:$D,"&lt;"&amp;EDATE(DATE($B$5,A37,1),1))</f>
        <v>0</v>
      </c>
      <c r="D37" s="67">
        <f>SUMIFS(Zeiterfassung!$O:$O,Zeiterfassung!$D:$D,"&gt;="&amp;DATE($B$5,A37,1),Zeiterfassung!$D:$D,"&lt;"&amp;EDATE(DATE($B$5,A37,1),1))</f>
        <v>0</v>
      </c>
      <c r="E37" s="67">
        <f>SUMIFS(Zeiterfassung!$P:$P,Zeiterfassung!$D:$D,"&gt;="&amp;DATE($B$5,A37,1),Zeiterfassung!$D:$D,"&lt;"&amp;EDATE(DATE($B$5,A37,1),1))</f>
        <v>0</v>
      </c>
      <c r="F37" s="68">
        <f>SUMIFS(Zeiterfassung!$V:$V,Zeiterfassung!$D:$D,"&gt;="&amp;DATE($B$5,A37,1),Zeiterfassung!$D:$D,"&lt;"&amp;EDATE(DATE($B$5,A37,1),1))</f>
        <v>0</v>
      </c>
      <c r="G37" s="52"/>
      <c r="H37" s="52"/>
      <c r="I37" s="52"/>
      <c r="J37" s="52"/>
      <c r="K37" s="52"/>
      <c r="L37" s="52"/>
      <c r="M37" s="52"/>
      <c r="N37" s="52"/>
    </row>
    <row r="38" spans="1:14" ht="18.95" customHeight="1" x14ac:dyDescent="0.25">
      <c r="A38" s="66">
        <v>10</v>
      </c>
      <c r="B38" s="67">
        <f>SUMIFS(Zeiterfassung!$M:$M,Zeiterfassung!$D:$D,"&gt;="&amp;DATE($B$5,A38,1),Zeiterfassung!$D:$D,"&lt;"&amp;EDATE(DATE($B$5,A38,1),1))</f>
        <v>0</v>
      </c>
      <c r="C38" s="67">
        <f>SUMIFS(Zeiterfassung!$N:$N,Zeiterfassung!$D:$D,"&gt;="&amp;DATE($B$5,A38,1),Zeiterfassung!$D:$D,"&lt;"&amp;EDATE(DATE($B$5,A38,1),1))</f>
        <v>0</v>
      </c>
      <c r="D38" s="67">
        <f>SUMIFS(Zeiterfassung!$O:$O,Zeiterfassung!$D:$D,"&gt;="&amp;DATE($B$5,A38,1),Zeiterfassung!$D:$D,"&lt;"&amp;EDATE(DATE($B$5,A38,1),1))</f>
        <v>0</v>
      </c>
      <c r="E38" s="67">
        <f>SUMIFS(Zeiterfassung!$P:$P,Zeiterfassung!$D:$D,"&gt;="&amp;DATE($B$5,A38,1),Zeiterfassung!$D:$D,"&lt;"&amp;EDATE(DATE($B$5,A38,1),1))</f>
        <v>0</v>
      </c>
      <c r="F38" s="68">
        <f>SUMIFS(Zeiterfassung!$V:$V,Zeiterfassung!$D:$D,"&gt;="&amp;DATE($B$5,A38,1),Zeiterfassung!$D:$D,"&lt;"&amp;EDATE(DATE($B$5,A38,1),1))</f>
        <v>0</v>
      </c>
      <c r="G38" s="52"/>
      <c r="H38" s="52"/>
      <c r="I38" s="52"/>
      <c r="J38" s="52"/>
      <c r="K38" s="52"/>
      <c r="L38" s="52"/>
      <c r="M38" s="52"/>
      <c r="N38" s="52"/>
    </row>
    <row r="39" spans="1:14" ht="18.95" customHeight="1" x14ac:dyDescent="0.25">
      <c r="A39" s="66">
        <v>11</v>
      </c>
      <c r="B39" s="67">
        <f>SUMIFS(Zeiterfassung!$M:$M,Zeiterfassung!$D:$D,"&gt;="&amp;DATE($B$5,A39,1),Zeiterfassung!$D:$D,"&lt;"&amp;EDATE(DATE($B$5,A39,1),1))</f>
        <v>0</v>
      </c>
      <c r="C39" s="67">
        <f>SUMIFS(Zeiterfassung!$N:$N,Zeiterfassung!$D:$D,"&gt;="&amp;DATE($B$5,A39,1),Zeiterfassung!$D:$D,"&lt;"&amp;EDATE(DATE($B$5,A39,1),1))</f>
        <v>0</v>
      </c>
      <c r="D39" s="67">
        <f>SUMIFS(Zeiterfassung!$O:$O,Zeiterfassung!$D:$D,"&gt;="&amp;DATE($B$5,A39,1),Zeiterfassung!$D:$D,"&lt;"&amp;EDATE(DATE($B$5,A39,1),1))</f>
        <v>0</v>
      </c>
      <c r="E39" s="67">
        <f>SUMIFS(Zeiterfassung!$P:$P,Zeiterfassung!$D:$D,"&gt;="&amp;DATE($B$5,A39,1),Zeiterfassung!$D:$D,"&lt;"&amp;EDATE(DATE($B$5,A39,1),1))</f>
        <v>0</v>
      </c>
      <c r="F39" s="68">
        <f>SUMIFS(Zeiterfassung!$V:$V,Zeiterfassung!$D:$D,"&gt;="&amp;DATE($B$5,A39,1),Zeiterfassung!$D:$D,"&lt;"&amp;EDATE(DATE($B$5,A39,1),1))</f>
        <v>0</v>
      </c>
      <c r="G39" s="52"/>
      <c r="H39" s="52"/>
      <c r="I39" s="52"/>
      <c r="J39" s="52"/>
      <c r="K39" s="52"/>
      <c r="L39" s="52"/>
      <c r="M39" s="52"/>
      <c r="N39" s="52"/>
    </row>
    <row r="40" spans="1:14" ht="18.95" customHeight="1" x14ac:dyDescent="0.25">
      <c r="A40" s="71">
        <v>12</v>
      </c>
      <c r="B40" s="72">
        <f>SUMIFS(Zeiterfassung!$M:$M,Zeiterfassung!$D:$D,"&gt;="&amp;DATE($B$5,A40,1),Zeiterfassung!$D:$D,"&lt;"&amp;EDATE(DATE($B$5,A40,1),1))</f>
        <v>0</v>
      </c>
      <c r="C40" s="72">
        <f>SUMIFS(Zeiterfassung!$N:$N,Zeiterfassung!$D:$D,"&gt;="&amp;DATE($B$5,A40,1),Zeiterfassung!$D:$D,"&lt;"&amp;EDATE(DATE($B$5,A40,1),1))</f>
        <v>0</v>
      </c>
      <c r="D40" s="72">
        <f>SUMIFS(Zeiterfassung!$O:$O,Zeiterfassung!$D:$D,"&gt;="&amp;DATE($B$5,A40,1),Zeiterfassung!$D:$D,"&lt;"&amp;EDATE(DATE($B$5,A40,1),1))</f>
        <v>0</v>
      </c>
      <c r="E40" s="72">
        <f>SUMIFS(Zeiterfassung!$P:$P,Zeiterfassung!$D:$D,"&gt;="&amp;DATE($B$5,A40,1),Zeiterfassung!$D:$D,"&lt;"&amp;EDATE(DATE($B$5,A40,1),1))</f>
        <v>0</v>
      </c>
      <c r="F40" s="73">
        <f>SUMIFS(Zeiterfassung!$V:$V,Zeiterfassung!$D:$D,"&gt;="&amp;DATE($B$5,A40,1),Zeiterfassung!$D:$D,"&lt;"&amp;EDATE(DATE($B$5,A40,1),1))</f>
        <v>0</v>
      </c>
      <c r="G40" s="52"/>
      <c r="H40" s="52"/>
      <c r="I40" s="52"/>
      <c r="J40" s="52"/>
      <c r="K40" s="52"/>
      <c r="L40" s="52"/>
      <c r="M40" s="52"/>
      <c r="N40" s="52"/>
    </row>
    <row r="41" spans="1:14" ht="18.95" customHeight="1" x14ac:dyDescent="0.2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1:14" ht="18.95" customHeight="1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spans="1:14" ht="18.95" customHeight="1" x14ac:dyDescent="0.2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spans="1:14" ht="18.95" customHeight="1" x14ac:dyDescent="0.2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</row>
    <row r="45" spans="1:14" ht="18.95" customHeight="1" x14ac:dyDescent="0.2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spans="1:14" ht="18.95" customHeight="1" x14ac:dyDescent="0.25"/>
    <row r="47" spans="1:14" ht="18.95" customHeight="1" x14ac:dyDescent="0.25"/>
    <row r="48" spans="1:14" ht="18.95" customHeight="1" x14ac:dyDescent="0.25"/>
    <row r="49" ht="18.95" customHeight="1" x14ac:dyDescent="0.25"/>
    <row r="50" ht="18.95" customHeight="1" x14ac:dyDescent="0.25"/>
    <row r="51" ht="18.95" customHeight="1" x14ac:dyDescent="0.25"/>
    <row r="52" ht="18.95" customHeight="1" x14ac:dyDescent="0.25"/>
  </sheetData>
  <mergeCells count="2">
    <mergeCell ref="A1:N1"/>
    <mergeCell ref="H3:N11"/>
  </mergeCells>
  <conditionalFormatting sqref="E11">
    <cfRule type="cellIs" dxfId="6" priority="1" operator="greaterThan">
      <formula>0</formula>
    </cfRule>
  </conditionalFormatting>
  <conditionalFormatting sqref="J15:J24">
    <cfRule type="cellIs" dxfId="5" priority="2" operator="greaterThan">
      <formula>0</formula>
    </cfRule>
  </conditionalFormatting>
  <dataValidations count="2">
    <dataValidation type="list" sqref="B4" xr:uid="{00000000-0002-0000-0000-000000000000}">
      <formula1>"1,2,3,4,5,6,7,8,9,10,11,12"</formula1>
    </dataValidation>
    <dataValidation type="list" sqref="B5" xr:uid="{00000000-0002-0000-0000-000001000000}">
      <formula1>"2026"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60"/>
  <sheetViews>
    <sheetView workbookViewId="0">
      <selection sqref="A1:H1"/>
    </sheetView>
  </sheetViews>
  <sheetFormatPr baseColWidth="10" defaultColWidth="9" defaultRowHeight="15" x14ac:dyDescent="0.25"/>
  <cols>
    <col min="1" max="1" width="13" customWidth="1"/>
    <col min="2" max="2" width="14" customWidth="1"/>
    <col min="3" max="3" width="25" customWidth="1"/>
    <col min="4" max="4" width="12" customWidth="1"/>
    <col min="5" max="5" width="10" customWidth="1"/>
    <col min="6" max="7" width="14" customWidth="1"/>
    <col min="8" max="9" width="10" customWidth="1"/>
    <col min="10" max="11" width="12" customWidth="1"/>
    <col min="12" max="14" width="10" customWidth="1"/>
    <col min="15" max="15" width="11" customWidth="1"/>
    <col min="16" max="16" width="12" customWidth="1"/>
    <col min="17" max="17" width="22" customWidth="1"/>
    <col min="18" max="18" width="12" customWidth="1"/>
    <col min="19" max="19" width="13" customWidth="1"/>
    <col min="20" max="20" width="17" customWidth="1"/>
    <col min="21" max="21" width="12" customWidth="1"/>
    <col min="22" max="22" width="13" customWidth="1"/>
    <col min="23" max="23" width="15" customWidth="1"/>
    <col min="24" max="24" width="18" customWidth="1"/>
    <col min="25" max="25" width="12" customWidth="1"/>
    <col min="26" max="26" width="18" customWidth="1"/>
    <col min="27" max="27" width="13" customWidth="1"/>
    <col min="28" max="28" width="32" customWidth="1"/>
    <col min="29" max="31" width="3" customWidth="1"/>
  </cols>
  <sheetData>
    <row r="1" spans="1:31" ht="27.95" customHeight="1" x14ac:dyDescent="0.25">
      <c r="A1" s="82" t="s">
        <v>36</v>
      </c>
      <c r="B1" s="82"/>
      <c r="C1" s="82"/>
      <c r="D1" s="82"/>
      <c r="E1" s="82"/>
      <c r="F1" s="82"/>
      <c r="G1" s="82"/>
      <c r="H1" s="8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4" customHeight="1" x14ac:dyDescent="0.25">
      <c r="A2" s="83" t="s">
        <v>37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3"/>
      <c r="AD2" s="3"/>
      <c r="AE2" s="3"/>
    </row>
    <row r="3" spans="1:31" ht="6" customHeight="1" x14ac:dyDescent="0.25"/>
    <row r="4" spans="1:31" ht="6" customHeight="1" x14ac:dyDescent="0.25"/>
    <row r="5" spans="1:31" ht="27.95" customHeight="1" x14ac:dyDescent="0.25">
      <c r="A5" s="29" t="s">
        <v>38</v>
      </c>
      <c r="B5" s="30" t="s">
        <v>39</v>
      </c>
      <c r="C5" s="30" t="s">
        <v>16</v>
      </c>
      <c r="D5" s="30" t="s">
        <v>40</v>
      </c>
      <c r="E5" s="30" t="s">
        <v>41</v>
      </c>
      <c r="F5" s="30" t="s">
        <v>27</v>
      </c>
      <c r="G5" s="30" t="s">
        <v>42</v>
      </c>
      <c r="H5" s="30" t="s">
        <v>43</v>
      </c>
      <c r="I5" s="30" t="s">
        <v>44</v>
      </c>
      <c r="J5" s="30" t="s">
        <v>45</v>
      </c>
      <c r="K5" s="30" t="s">
        <v>46</v>
      </c>
      <c r="L5" s="30" t="s">
        <v>47</v>
      </c>
      <c r="M5" s="30" t="s">
        <v>17</v>
      </c>
      <c r="N5" s="30" t="s">
        <v>24</v>
      </c>
      <c r="O5" s="30" t="s">
        <v>25</v>
      </c>
      <c r="P5" s="30" t="s">
        <v>26</v>
      </c>
      <c r="Q5" s="30" t="s">
        <v>20</v>
      </c>
      <c r="R5" s="30" t="s">
        <v>48</v>
      </c>
      <c r="S5" s="30" t="s">
        <v>21</v>
      </c>
      <c r="T5" s="30" t="s">
        <v>49</v>
      </c>
      <c r="U5" s="30" t="s">
        <v>12</v>
      </c>
      <c r="V5" s="30" t="s">
        <v>13</v>
      </c>
      <c r="W5" s="30" t="s">
        <v>50</v>
      </c>
      <c r="X5" s="30" t="s">
        <v>51</v>
      </c>
      <c r="Y5" s="30" t="s">
        <v>52</v>
      </c>
      <c r="Z5" s="30" t="s">
        <v>53</v>
      </c>
      <c r="AA5" s="30" t="s">
        <v>54</v>
      </c>
      <c r="AB5" s="30" t="s">
        <v>55</v>
      </c>
      <c r="AC5" s="30" t="s">
        <v>56</v>
      </c>
      <c r="AD5" s="30" t="s">
        <v>57</v>
      </c>
      <c r="AE5" s="31" t="s">
        <v>58</v>
      </c>
    </row>
    <row r="6" spans="1:31" ht="21.95" customHeight="1" x14ac:dyDescent="0.25">
      <c r="A6" s="32" t="s">
        <v>59</v>
      </c>
      <c r="B6" s="33" t="s">
        <v>60</v>
      </c>
      <c r="C6" s="34" t="str">
        <f>IFERROR(INDEX(Mitarbeiter!$B$6:$B$35,MATCH(B6,Mitarbeiter!$A$6:$A$35,0)),"")</f>
        <v>Beispiel Servicekraft A</v>
      </c>
      <c r="D6" s="74">
        <v>46024</v>
      </c>
      <c r="E6" s="34" t="str">
        <f t="shared" ref="E6:E37" si="0">IF(D6="","",CHOOSE(WEEKDAY(D6,2),"Mo","Di","Mi","Do","Fr","Sa","So"))</f>
        <v>Fr</v>
      </c>
      <c r="F6" s="33" t="s">
        <v>28</v>
      </c>
      <c r="G6" s="33" t="s">
        <v>61</v>
      </c>
      <c r="H6" s="35">
        <v>0.66666666666666663</v>
      </c>
      <c r="I6" s="35">
        <v>0.97916666666666663</v>
      </c>
      <c r="J6" s="33">
        <v>30</v>
      </c>
      <c r="K6" s="36">
        <f>IF(L6="","",IF(L6&gt;9,Einstellungen!$B$10,IF(L6&gt;6,Einstellungen!$B$9,0)))</f>
        <v>30</v>
      </c>
      <c r="L6" s="37">
        <f t="shared" ref="L6:L37" si="1">IF(OR(H6="",I6=""),"",MOD(I6-H6,1)*24)</f>
        <v>7.5</v>
      </c>
      <c r="M6" s="37">
        <f t="shared" ref="M6:M37" si="2">IF(L6="","",MAX(0,L6-J6/60))</f>
        <v>7</v>
      </c>
      <c r="N6" s="37">
        <f>IF(OR(D6="",H6="",I6=""),"",ROUND((MAX(0,MIN(AD6,D6+1+Einstellungen!$B$8)-MAX(AC6,D6+Einstellungen!$B$7))*24)+(MAX(0,MIN(AD6,D6+Einstellungen!$B$8)-MAX(AC6,D6-1+Einstellungen!$B$7))*24),2))</f>
        <v>1.5</v>
      </c>
      <c r="O6" s="37">
        <f t="shared" ref="O6:O37" si="3">IF(OR(D6="",H6="",I6=""),"",ROUND(IF(WEEKDAY(D6,2)=7,MAX(0,MIN(AD6,D6+1)-MAX(AC6,D6))*24,0)+IF(AD6&gt;D6+1,IF(WEEKDAY(D6+1,2)=7,MAX(0,MIN(AD6,D6+2)-MAX(AC6,D6+1))*24,0),0),2))</f>
        <v>0</v>
      </c>
      <c r="P6" s="37">
        <f>IF(OR(D6="",H6="",I6=""),"",ROUND(IF(COUNTIF(Einstellungen!$A$21:$A$45,D6)&gt;0,MAX(0,MIN(AD6,D6+1)-MAX(AC6,D6))*24,0)+IF(AD6&gt;D6+1,IF(COUNTIF(Einstellungen!$A$21:$A$45,D6+1)&gt;0,MAX(0,MIN(AD6,D6+2)-MAX(AC6,D6+1))*24,0),0),2))</f>
        <v>0</v>
      </c>
      <c r="Q6" s="34" t="str">
        <f>IF(D6="","",TRIM(IFERROR(VLOOKUP(D6,Einstellungen!$A$21:$B$45,2,FALSE)&amp;" ","")&amp;IF(I6&lt;=H6,IFERROR(VLOOKUP(D6+1,Einstellungen!$A$21:$B$45,2,FALSE),""),"")))</f>
        <v/>
      </c>
      <c r="R6" s="38">
        <f>IFERROR(INDEX(Mitarbeiter!$G$6:$G$35,MATCH(B6,Mitarbeiter!$A$6:$A$35,0)),"")</f>
        <v>14.5</v>
      </c>
      <c r="S6" s="38">
        <f t="shared" ref="S6:S37" si="4">IF(M6="","",ROUND(M6*R6,2))</f>
        <v>101.5</v>
      </c>
      <c r="T6" s="38">
        <f>IF(M6="","",ROUND(((N6*Einstellungen!$B$15)+(O6*Einstellungen!$B$16)+(P6*Einstellungen!$B$17))*R6,2))</f>
        <v>5.44</v>
      </c>
      <c r="U6" s="39">
        <v>18.5</v>
      </c>
      <c r="V6" s="38">
        <f t="shared" ref="V6:V37" si="5">IF(M6="","",ROUND(S6+T6+U6,2))</f>
        <v>125.44</v>
      </c>
      <c r="W6" s="34" t="str">
        <f t="shared" ref="W6:W37" si="6">IF(B6="","",IF(J6&lt;K6,"Pause prüfen","OK"))</f>
        <v>OK</v>
      </c>
      <c r="X6" s="34" t="str">
        <f>IF(M6="","",IF(M6&gt;Einstellungen!$B$12,"kritisch &gt;10 Std.",IF(M6&gt;Einstellungen!$B$11,"prüfen &gt;8 Std.","OK")))</f>
        <v>OK</v>
      </c>
      <c r="Y6" s="37" t="str">
        <f t="shared" ref="Y6:Y37" si="7">IF(AE6="","",ROUND((AC6-AE6)*24,2))</f>
        <v/>
      </c>
      <c r="Z6" s="34" t="str">
        <f>IF(Y6="","",IF(Y6&lt;Einstellungen!$B$14,"kritisch &lt;10 Std.",IF(Y6&lt;Einstellungen!$B$13,"prüfen &lt;11 Std.","OK")))</f>
        <v/>
      </c>
      <c r="AA6" s="33" t="s">
        <v>62</v>
      </c>
      <c r="AB6" s="33" t="s">
        <v>63</v>
      </c>
      <c r="AC6" s="40">
        <f t="shared" ref="AC6:AC37" si="8">IF(OR(D6="",H6=""),"",D6+H6)</f>
        <v>46024.666666666664</v>
      </c>
      <c r="AD6" s="40">
        <f t="shared" ref="AD6:AD37" si="9">IF(OR(D6="",I6=""),"",D6+I6+IF(I6&lt;=H6,1,0))</f>
        <v>46024.979166666664</v>
      </c>
      <c r="AE6" s="41" t="str">
        <f>IF(B6="","", "")</f>
        <v/>
      </c>
    </row>
    <row r="7" spans="1:31" ht="21.95" customHeight="1" x14ac:dyDescent="0.25">
      <c r="A7" s="32" t="s">
        <v>64</v>
      </c>
      <c r="B7" s="33" t="s">
        <v>65</v>
      </c>
      <c r="C7" s="34" t="str">
        <f>IFERROR(INDEX(Mitarbeiter!$B$6:$B$35,MATCH(B7,Mitarbeiter!$A$6:$A$35,0)),"")</f>
        <v>Beispiel Küche A</v>
      </c>
      <c r="D7" s="74">
        <v>46024</v>
      </c>
      <c r="E7" s="34" t="str">
        <f t="shared" si="0"/>
        <v>Fr</v>
      </c>
      <c r="F7" s="33" t="s">
        <v>29</v>
      </c>
      <c r="G7" s="33" t="s">
        <v>61</v>
      </c>
      <c r="H7" s="35">
        <v>0.58333333333333337</v>
      </c>
      <c r="I7" s="35">
        <v>0.9375</v>
      </c>
      <c r="J7" s="33">
        <v>30</v>
      </c>
      <c r="K7" s="36">
        <f>IF(L7="","",IF(L7&gt;9,Einstellungen!$B$10,IF(L7&gt;6,Einstellungen!$B$9,0)))</f>
        <v>30</v>
      </c>
      <c r="L7" s="37">
        <f t="shared" si="1"/>
        <v>8.5</v>
      </c>
      <c r="M7" s="37">
        <f t="shared" si="2"/>
        <v>8</v>
      </c>
      <c r="N7" s="37">
        <f>IF(OR(D7="",H7="",I7=""),"",ROUND((MAX(0,MIN(AD7,D7+1+Einstellungen!$B$8)-MAX(AC7,D7+Einstellungen!$B$7))*24)+(MAX(0,MIN(AD7,D7+Einstellungen!$B$8)-MAX(AC7,D7-1+Einstellungen!$B$7))*24),2))</f>
        <v>0.5</v>
      </c>
      <c r="O7" s="37">
        <f t="shared" si="3"/>
        <v>0</v>
      </c>
      <c r="P7" s="37">
        <f>IF(OR(D7="",H7="",I7=""),"",ROUND(IF(COUNTIF(Einstellungen!$A$21:$A$45,D7)&gt;0,MAX(0,MIN(AD7,D7+1)-MAX(AC7,D7))*24,0)+IF(AD7&gt;D7+1,IF(COUNTIF(Einstellungen!$A$21:$A$45,D7+1)&gt;0,MAX(0,MIN(AD7,D7+2)-MAX(AC7,D7+1))*24,0),0),2))</f>
        <v>0</v>
      </c>
      <c r="Q7" s="34" t="str">
        <f>IF(D7="","",TRIM(IFERROR(VLOOKUP(D7,Einstellungen!$A$21:$B$45,2,FALSE)&amp;" ","")&amp;IF(I7&lt;=H7,IFERROR(VLOOKUP(D7+1,Einstellungen!$A$21:$B$45,2,FALSE),""),"")))</f>
        <v/>
      </c>
      <c r="R7" s="38">
        <f>IFERROR(INDEX(Mitarbeiter!$G$6:$G$35,MATCH(B7,Mitarbeiter!$A$6:$A$35,0)),"")</f>
        <v>17.8</v>
      </c>
      <c r="S7" s="38">
        <f t="shared" si="4"/>
        <v>142.4</v>
      </c>
      <c r="T7" s="38">
        <f>IF(M7="","",ROUND(((N7*Einstellungen!$B$15)+(O7*Einstellungen!$B$16)+(P7*Einstellungen!$B$17))*R7,2))</f>
        <v>2.23</v>
      </c>
      <c r="U7" s="39">
        <v>0</v>
      </c>
      <c r="V7" s="38">
        <f t="shared" si="5"/>
        <v>144.63</v>
      </c>
      <c r="W7" s="34" t="str">
        <f t="shared" si="6"/>
        <v>OK</v>
      </c>
      <c r="X7" s="34" t="str">
        <f>IF(M7="","",IF(M7&gt;Einstellungen!$B$12,"kritisch &gt;10 Std.",IF(M7&gt;Einstellungen!$B$11,"prüfen &gt;8 Std.","OK")))</f>
        <v>OK</v>
      </c>
      <c r="Y7" s="37" t="str">
        <f t="shared" si="7"/>
        <v/>
      </c>
      <c r="Z7" s="34" t="str">
        <f>IF(Y7="","",IF(Y7&lt;Einstellungen!$B$14,"kritisch &lt;10 Std.",IF(Y7&lt;Einstellungen!$B$13,"prüfen &lt;11 Std.","OK")))</f>
        <v/>
      </c>
      <c r="AA7" s="33" t="s">
        <v>62</v>
      </c>
      <c r="AB7" s="33" t="s">
        <v>66</v>
      </c>
      <c r="AC7" s="40">
        <f t="shared" si="8"/>
        <v>46024.583333333336</v>
      </c>
      <c r="AD7" s="40">
        <f t="shared" si="9"/>
        <v>46024.9375</v>
      </c>
      <c r="AE7" s="41" t="str">
        <f>IF(B7="","",IF(COUNTIF($B$6:B6,B7)=0,"",_xludf.MAXIFS($AD$6:AD6,$B$6:B6,B7)))</f>
        <v/>
      </c>
    </row>
    <row r="8" spans="1:31" ht="21.95" customHeight="1" x14ac:dyDescent="0.25">
      <c r="A8" s="32" t="s">
        <v>67</v>
      </c>
      <c r="B8" s="33" t="s">
        <v>68</v>
      </c>
      <c r="C8" s="34" t="str">
        <f>IFERROR(INDEX(Mitarbeiter!$B$6:$B$35,MATCH(B8,Mitarbeiter!$A$6:$A$35,0)),"")</f>
        <v>Beispiel Bar A</v>
      </c>
      <c r="D8" s="74">
        <v>46025</v>
      </c>
      <c r="E8" s="34" t="str">
        <f t="shared" si="0"/>
        <v>Sa</v>
      </c>
      <c r="F8" s="33" t="s">
        <v>30</v>
      </c>
      <c r="G8" s="33" t="s">
        <v>69</v>
      </c>
      <c r="H8" s="35">
        <v>0.75</v>
      </c>
      <c r="I8" s="35">
        <v>8.3333333333333329E-2</v>
      </c>
      <c r="J8" s="33">
        <v>45</v>
      </c>
      <c r="K8" s="36">
        <f>IF(L8="","",IF(L8&gt;9,Einstellungen!$B$10,IF(L8&gt;6,Einstellungen!$B$9,0)))</f>
        <v>30</v>
      </c>
      <c r="L8" s="37">
        <f t="shared" si="1"/>
        <v>8</v>
      </c>
      <c r="M8" s="37">
        <f t="shared" si="2"/>
        <v>7.25</v>
      </c>
      <c r="N8" s="37">
        <f>IF(OR(D8="",H8="",I8=""),"",ROUND((MAX(0,MIN(AD8,D8+1+Einstellungen!$B$8)-MAX(AC8,D8+Einstellungen!$B$7))*24)+(MAX(0,MIN(AD8,D8+Einstellungen!$B$8)-MAX(AC8,D8-1+Einstellungen!$B$7))*24),2))</f>
        <v>4</v>
      </c>
      <c r="O8" s="37">
        <f t="shared" si="3"/>
        <v>2</v>
      </c>
      <c r="P8" s="37">
        <f>IF(OR(D8="",H8="",I8=""),"",ROUND(IF(COUNTIF(Einstellungen!$A$21:$A$45,D8)&gt;0,MAX(0,MIN(AD8,D8+1)-MAX(AC8,D8))*24,0)+IF(AD8&gt;D8+1,IF(COUNTIF(Einstellungen!$A$21:$A$45,D8+1)&gt;0,MAX(0,MIN(AD8,D8+2)-MAX(AC8,D8+1))*24,0),0),2))</f>
        <v>0</v>
      </c>
      <c r="Q8" s="34" t="str">
        <f>IF(D8="","",TRIM(IFERROR(VLOOKUP(D8,Einstellungen!$A$21:$B$45,2,FALSE)&amp;" ","")&amp;IF(I8&lt;=H8,IFERROR(VLOOKUP(D8+1,Einstellungen!$A$21:$B$45,2,FALSE),""),"")))</f>
        <v/>
      </c>
      <c r="R8" s="38">
        <f>IFERROR(INDEX(Mitarbeiter!$G$6:$G$35,MATCH(B8,Mitarbeiter!$A$6:$A$35,0)),"")</f>
        <v>13.9</v>
      </c>
      <c r="S8" s="38">
        <f t="shared" si="4"/>
        <v>100.78</v>
      </c>
      <c r="T8" s="38">
        <f>IF(M8="","",ROUND(((N8*Einstellungen!$B$15)+(O8*Einstellungen!$B$16)+(P8*Einstellungen!$B$17))*R8,2))</f>
        <v>27.8</v>
      </c>
      <c r="U8" s="39">
        <v>42</v>
      </c>
      <c r="V8" s="38">
        <f t="shared" si="5"/>
        <v>170.58</v>
      </c>
      <c r="W8" s="34" t="str">
        <f t="shared" si="6"/>
        <v>OK</v>
      </c>
      <c r="X8" s="34" t="str">
        <f>IF(M8="","",IF(M8&gt;Einstellungen!$B$12,"kritisch &gt;10 Std.",IF(M8&gt;Einstellungen!$B$11,"prüfen &gt;8 Std.","OK")))</f>
        <v>OK</v>
      </c>
      <c r="Y8" s="37" t="str">
        <f t="shared" si="7"/>
        <v/>
      </c>
      <c r="Z8" s="34" t="str">
        <f>IF(Y8="","",IF(Y8&lt;Einstellungen!$B$14,"kritisch &lt;10 Std.",IF(Y8&lt;Einstellungen!$B$13,"prüfen &lt;11 Std.","OK")))</f>
        <v/>
      </c>
      <c r="AA8" s="33" t="s">
        <v>62</v>
      </c>
      <c r="AB8" s="33" t="s">
        <v>70</v>
      </c>
      <c r="AC8" s="40">
        <f t="shared" si="8"/>
        <v>46025.75</v>
      </c>
      <c r="AD8" s="40">
        <f t="shared" si="9"/>
        <v>46026.083333333336</v>
      </c>
      <c r="AE8" s="41" t="str">
        <f>IF(B8="","",IF(COUNTIF($B$6:B7,B8)=0,"",_xludf.MAXIFS($AD$6:AD7,$B$6:B7,B8)))</f>
        <v/>
      </c>
    </row>
    <row r="9" spans="1:31" ht="21.95" customHeight="1" x14ac:dyDescent="0.25">
      <c r="A9" s="32" t="s">
        <v>71</v>
      </c>
      <c r="B9" s="33" t="s">
        <v>72</v>
      </c>
      <c r="C9" s="34" t="str">
        <f>IFERROR(INDEX(Mitarbeiter!$B$6:$B$35,MATCH(B9,Mitarbeiter!$A$6:$A$35,0)),"")</f>
        <v>Beispiel Reinigung A</v>
      </c>
      <c r="D9" s="74">
        <v>46025</v>
      </c>
      <c r="E9" s="34" t="str">
        <f t="shared" si="0"/>
        <v>Sa</v>
      </c>
      <c r="F9" s="33" t="s">
        <v>32</v>
      </c>
      <c r="G9" s="33" t="s">
        <v>73</v>
      </c>
      <c r="H9" s="35">
        <v>0.29166666666666669</v>
      </c>
      <c r="I9" s="35">
        <v>0.5</v>
      </c>
      <c r="J9" s="33">
        <v>0</v>
      </c>
      <c r="K9" s="36">
        <f>IF(L9="","",IF(L9&gt;9,Einstellungen!$B$10,IF(L9&gt;6,Einstellungen!$B$9,0)))</f>
        <v>0</v>
      </c>
      <c r="L9" s="37">
        <f t="shared" si="1"/>
        <v>5</v>
      </c>
      <c r="M9" s="37">
        <f t="shared" si="2"/>
        <v>5</v>
      </c>
      <c r="N9" s="37">
        <f>IF(OR(D9="",H9="",I9=""),"",ROUND((MAX(0,MIN(AD9,D9+1+Einstellungen!$B$8)-MAX(AC9,D9+Einstellungen!$B$7))*24)+(MAX(0,MIN(AD9,D9+Einstellungen!$B$8)-MAX(AC9,D9-1+Einstellungen!$B$7))*24),2))</f>
        <v>0</v>
      </c>
      <c r="O9" s="37">
        <f t="shared" si="3"/>
        <v>0</v>
      </c>
      <c r="P9" s="37">
        <f>IF(OR(D9="",H9="",I9=""),"",ROUND(IF(COUNTIF(Einstellungen!$A$21:$A$45,D9)&gt;0,MAX(0,MIN(AD9,D9+1)-MAX(AC9,D9))*24,0)+IF(AD9&gt;D9+1,IF(COUNTIF(Einstellungen!$A$21:$A$45,D9+1)&gt;0,MAX(0,MIN(AD9,D9+2)-MAX(AC9,D9+1))*24,0),0),2))</f>
        <v>0</v>
      </c>
      <c r="Q9" s="34" t="str">
        <f>IF(D9="","",TRIM(IFERROR(VLOOKUP(D9,Einstellungen!$A$21:$B$45,2,FALSE)&amp;" ","")&amp;IF(I9&lt;=H9,IFERROR(VLOOKUP(D9+1,Einstellungen!$A$21:$B$45,2,FALSE),""),"")))</f>
        <v/>
      </c>
      <c r="R9" s="38">
        <f>IFERROR(INDEX(Mitarbeiter!$G$6:$G$35,MATCH(B9,Mitarbeiter!$A$6:$A$35,0)),"")</f>
        <v>14.2</v>
      </c>
      <c r="S9" s="38">
        <f t="shared" si="4"/>
        <v>71</v>
      </c>
      <c r="T9" s="38">
        <f>IF(M9="","",ROUND(((N9*Einstellungen!$B$15)+(O9*Einstellungen!$B$16)+(P9*Einstellungen!$B$17))*R9,2))</f>
        <v>0</v>
      </c>
      <c r="U9" s="39">
        <v>0</v>
      </c>
      <c r="V9" s="38">
        <f t="shared" si="5"/>
        <v>71</v>
      </c>
      <c r="W9" s="34" t="str">
        <f t="shared" si="6"/>
        <v>OK</v>
      </c>
      <c r="X9" s="34" t="str">
        <f>IF(M9="","",IF(M9&gt;Einstellungen!$B$12,"kritisch &gt;10 Std.",IF(M9&gt;Einstellungen!$B$11,"prüfen &gt;8 Std.","OK")))</f>
        <v>OK</v>
      </c>
      <c r="Y9" s="37" t="str">
        <f t="shared" si="7"/>
        <v/>
      </c>
      <c r="Z9" s="34" t="str">
        <f>IF(Y9="","",IF(Y9&lt;Einstellungen!$B$14,"kritisch &lt;10 Std.",IF(Y9&lt;Einstellungen!$B$13,"prüfen &lt;11 Std.","OK")))</f>
        <v/>
      </c>
      <c r="AA9" s="33" t="s">
        <v>62</v>
      </c>
      <c r="AB9" s="33" t="s">
        <v>74</v>
      </c>
      <c r="AC9" s="40">
        <f t="shared" si="8"/>
        <v>46025.291666666664</v>
      </c>
      <c r="AD9" s="40">
        <f t="shared" si="9"/>
        <v>46025.5</v>
      </c>
      <c r="AE9" s="41" t="str">
        <f>IF(B9="","",IF(COUNTIF($B$6:B8,B9)=0,"",_xludf.MAXIFS($AD$6:AD8,$B$6:B8,B9)))</f>
        <v/>
      </c>
    </row>
    <row r="10" spans="1:31" ht="21.95" customHeight="1" x14ac:dyDescent="0.25">
      <c r="A10" s="32" t="s">
        <v>75</v>
      </c>
      <c r="B10" s="33" t="s">
        <v>60</v>
      </c>
      <c r="C10" s="34" t="str">
        <f>IFERROR(INDEX(Mitarbeiter!$B$6:$B$35,MATCH(B10,Mitarbeiter!$A$6:$A$35,0)),"")</f>
        <v>Beispiel Servicekraft A</v>
      </c>
      <c r="D10" s="74">
        <v>46026</v>
      </c>
      <c r="E10" s="34" t="str">
        <f t="shared" si="0"/>
        <v>So</v>
      </c>
      <c r="F10" s="33" t="s">
        <v>28</v>
      </c>
      <c r="G10" s="33" t="s">
        <v>76</v>
      </c>
      <c r="H10" s="35">
        <v>0.45833333333333331</v>
      </c>
      <c r="I10" s="35">
        <v>0.75</v>
      </c>
      <c r="J10" s="33">
        <v>30</v>
      </c>
      <c r="K10" s="36">
        <f>IF(L10="","",IF(L10&gt;9,Einstellungen!$B$10,IF(L10&gt;6,Einstellungen!$B$9,0)))</f>
        <v>30</v>
      </c>
      <c r="L10" s="37">
        <f t="shared" si="1"/>
        <v>7</v>
      </c>
      <c r="M10" s="37">
        <f t="shared" si="2"/>
        <v>6.5</v>
      </c>
      <c r="N10" s="37">
        <f>IF(OR(D10="",H10="",I10=""),"",ROUND((MAX(0,MIN(AD10,D10+1+Einstellungen!$B$8)-MAX(AC10,D10+Einstellungen!$B$7))*24)+(MAX(0,MIN(AD10,D10+Einstellungen!$B$8)-MAX(AC10,D10-1+Einstellungen!$B$7))*24),2))</f>
        <v>0</v>
      </c>
      <c r="O10" s="37">
        <f t="shared" si="3"/>
        <v>7</v>
      </c>
      <c r="P10" s="37">
        <f>IF(OR(D10="",H10="",I10=""),"",ROUND(IF(COUNTIF(Einstellungen!$A$21:$A$45,D10)&gt;0,MAX(0,MIN(AD10,D10+1)-MAX(AC10,D10))*24,0)+IF(AD10&gt;D10+1,IF(COUNTIF(Einstellungen!$A$21:$A$45,D10+1)&gt;0,MAX(0,MIN(AD10,D10+2)-MAX(AC10,D10+1))*24,0),0),2))</f>
        <v>0</v>
      </c>
      <c r="Q10" s="34" t="str">
        <f>IF(D10="","",TRIM(IFERROR(VLOOKUP(D10,Einstellungen!$A$21:$B$45,2,FALSE)&amp;" ","")&amp;IF(I10&lt;=H10,IFERROR(VLOOKUP(D10+1,Einstellungen!$A$21:$B$45,2,FALSE),""),"")))</f>
        <v/>
      </c>
      <c r="R10" s="38">
        <f>IFERROR(INDEX(Mitarbeiter!$G$6:$G$35,MATCH(B10,Mitarbeiter!$A$6:$A$35,0)),"")</f>
        <v>14.5</v>
      </c>
      <c r="S10" s="38">
        <f t="shared" si="4"/>
        <v>94.25</v>
      </c>
      <c r="T10" s="38">
        <f>IF(M10="","",ROUND(((N10*Einstellungen!$B$15)+(O10*Einstellungen!$B$16)+(P10*Einstellungen!$B$17))*R10,2))</f>
        <v>50.75</v>
      </c>
      <c r="U10" s="39">
        <v>26</v>
      </c>
      <c r="V10" s="38">
        <f t="shared" si="5"/>
        <v>171</v>
      </c>
      <c r="W10" s="34" t="str">
        <f t="shared" si="6"/>
        <v>OK</v>
      </c>
      <c r="X10" s="34" t="str">
        <f>IF(M10="","",IF(M10&gt;Einstellungen!$B$12,"kritisch &gt;10 Std.",IF(M10&gt;Einstellungen!$B$11,"prüfen &gt;8 Std.","OK")))</f>
        <v>OK</v>
      </c>
      <c r="Y10" s="37" t="e">
        <f t="shared" ca="1" si="7"/>
        <v>#NAME?</v>
      </c>
      <c r="Z10" s="34" t="e">
        <f ca="1">IF(Y10="","",IF(Y10&lt;Einstellungen!$B$14,"kritisch &lt;10 Std.",IF(Y10&lt;Einstellungen!$B$13,"prüfen &lt;11 Std.","OK")))</f>
        <v>#NAME?</v>
      </c>
      <c r="AA10" s="33" t="s">
        <v>77</v>
      </c>
      <c r="AB10" s="33" t="s">
        <v>78</v>
      </c>
      <c r="AC10" s="40">
        <f t="shared" si="8"/>
        <v>46026.458333333336</v>
      </c>
      <c r="AD10" s="40">
        <f t="shared" si="9"/>
        <v>46026.75</v>
      </c>
      <c r="AE10" s="41" t="e">
        <f ca="1">IF(B10="","",IF(COUNTIF($B$6:B9,B10)=0,"",_xludf.MAXIFS($AD$6:AD9,$B$6:B9,B10)))</f>
        <v>#NAME?</v>
      </c>
    </row>
    <row r="11" spans="1:31" ht="21.95" customHeight="1" x14ac:dyDescent="0.25">
      <c r="A11" s="32" t="s">
        <v>79</v>
      </c>
      <c r="B11" s="33" t="s">
        <v>65</v>
      </c>
      <c r="C11" s="34" t="str">
        <f>IFERROR(INDEX(Mitarbeiter!$B$6:$B$35,MATCH(B11,Mitarbeiter!$A$6:$A$35,0)),"")</f>
        <v>Beispiel Küche A</v>
      </c>
      <c r="D11" s="74">
        <v>46026</v>
      </c>
      <c r="E11" s="34" t="str">
        <f t="shared" si="0"/>
        <v>So</v>
      </c>
      <c r="F11" s="33" t="s">
        <v>29</v>
      </c>
      <c r="G11" s="33" t="s">
        <v>76</v>
      </c>
      <c r="H11" s="35">
        <v>0.41666666666666669</v>
      </c>
      <c r="I11" s="35">
        <v>0.79166666666666663</v>
      </c>
      <c r="J11" s="33">
        <v>45</v>
      </c>
      <c r="K11" s="36">
        <f>IF(L11="","",IF(L11&gt;9,Einstellungen!$B$10,IF(L11&gt;6,Einstellungen!$B$9,0)))</f>
        <v>30</v>
      </c>
      <c r="L11" s="37">
        <f t="shared" si="1"/>
        <v>8.9999999999999982</v>
      </c>
      <c r="M11" s="37">
        <f t="shared" si="2"/>
        <v>8.2499999999999982</v>
      </c>
      <c r="N11" s="37">
        <f>IF(OR(D11="",H11="",I11=""),"",ROUND((MAX(0,MIN(AD11,D11+1+Einstellungen!$B$8)-MAX(AC11,D11+Einstellungen!$B$7))*24)+(MAX(0,MIN(AD11,D11+Einstellungen!$B$8)-MAX(AC11,D11-1+Einstellungen!$B$7))*24),2))</f>
        <v>0</v>
      </c>
      <c r="O11" s="37">
        <f t="shared" si="3"/>
        <v>9</v>
      </c>
      <c r="P11" s="37">
        <f>IF(OR(D11="",H11="",I11=""),"",ROUND(IF(COUNTIF(Einstellungen!$A$21:$A$45,D11)&gt;0,MAX(0,MIN(AD11,D11+1)-MAX(AC11,D11))*24,0)+IF(AD11&gt;D11+1,IF(COUNTIF(Einstellungen!$A$21:$A$45,D11+1)&gt;0,MAX(0,MIN(AD11,D11+2)-MAX(AC11,D11+1))*24,0),0),2))</f>
        <v>0</v>
      </c>
      <c r="Q11" s="34" t="str">
        <f>IF(D11="","",TRIM(IFERROR(VLOOKUP(D11,Einstellungen!$A$21:$B$45,2,FALSE)&amp;" ","")&amp;IF(I11&lt;=H11,IFERROR(VLOOKUP(D11+1,Einstellungen!$A$21:$B$45,2,FALSE),""),"")))</f>
        <v/>
      </c>
      <c r="R11" s="38">
        <f>IFERROR(INDEX(Mitarbeiter!$G$6:$G$35,MATCH(B11,Mitarbeiter!$A$6:$A$35,0)),"")</f>
        <v>17.8</v>
      </c>
      <c r="S11" s="38">
        <f t="shared" si="4"/>
        <v>146.85</v>
      </c>
      <c r="T11" s="38">
        <f>IF(M11="","",ROUND(((N11*Einstellungen!$B$15)+(O11*Einstellungen!$B$16)+(P11*Einstellungen!$B$17))*R11,2))</f>
        <v>80.099999999999994</v>
      </c>
      <c r="U11" s="39">
        <v>0</v>
      </c>
      <c r="V11" s="38">
        <f t="shared" si="5"/>
        <v>226.95</v>
      </c>
      <c r="W11" s="34" t="str">
        <f t="shared" si="6"/>
        <v>OK</v>
      </c>
      <c r="X11" s="34" t="str">
        <f>IF(M11="","",IF(M11&gt;Einstellungen!$B$12,"kritisch &gt;10 Std.",IF(M11&gt;Einstellungen!$B$11,"prüfen &gt;8 Std.","OK")))</f>
        <v>prüfen &gt;8 Std.</v>
      </c>
      <c r="Y11" s="37" t="e">
        <f t="shared" ca="1" si="7"/>
        <v>#NAME?</v>
      </c>
      <c r="Z11" s="34" t="e">
        <f ca="1">IF(Y11="","",IF(Y11&lt;Einstellungen!$B$14,"kritisch &lt;10 Std.",IF(Y11&lt;Einstellungen!$B$13,"prüfen &lt;11 Std.","OK")))</f>
        <v>#NAME?</v>
      </c>
      <c r="AA11" s="33" t="s">
        <v>62</v>
      </c>
      <c r="AB11" s="33" t="s">
        <v>80</v>
      </c>
      <c r="AC11" s="40">
        <f t="shared" si="8"/>
        <v>46026.416666666664</v>
      </c>
      <c r="AD11" s="40">
        <f t="shared" si="9"/>
        <v>46026.791666666664</v>
      </c>
      <c r="AE11" s="41" t="e">
        <f ca="1">IF(B11="","",IF(COUNTIF($B$6:B10,B11)=0,"",_xludf.MAXIFS($AD$6:AD10,$B$6:B10,B11)))</f>
        <v>#NAME?</v>
      </c>
    </row>
    <row r="12" spans="1:31" ht="21.95" customHeight="1" x14ac:dyDescent="0.25">
      <c r="A12" s="32" t="s">
        <v>81</v>
      </c>
      <c r="B12" s="33" t="s">
        <v>82</v>
      </c>
      <c r="C12" s="34" t="str">
        <f>IFERROR(INDEX(Mitarbeiter!$B$6:$B$35,MATCH(B12,Mitarbeiter!$A$6:$A$35,0)),"")</f>
        <v>Beispiel Servicekraft B</v>
      </c>
      <c r="D12" s="74">
        <v>46027</v>
      </c>
      <c r="E12" s="34" t="str">
        <f t="shared" si="0"/>
        <v>Mo</v>
      </c>
      <c r="F12" s="33" t="s">
        <v>28</v>
      </c>
      <c r="G12" s="33" t="s">
        <v>73</v>
      </c>
      <c r="H12" s="35">
        <v>0.33333333333333331</v>
      </c>
      <c r="I12" s="35">
        <v>0.625</v>
      </c>
      <c r="J12" s="33">
        <v>30</v>
      </c>
      <c r="K12" s="36">
        <f>IF(L12="","",IF(L12&gt;9,Einstellungen!$B$10,IF(L12&gt;6,Einstellungen!$B$9,0)))</f>
        <v>30</v>
      </c>
      <c r="L12" s="37">
        <f t="shared" si="1"/>
        <v>7</v>
      </c>
      <c r="M12" s="37">
        <f t="shared" si="2"/>
        <v>6.5</v>
      </c>
      <c r="N12" s="37">
        <f>IF(OR(D12="",H12="",I12=""),"",ROUND((MAX(0,MIN(AD12,D12+1+Einstellungen!$B$8)-MAX(AC12,D12+Einstellungen!$B$7))*24)+(MAX(0,MIN(AD12,D12+Einstellungen!$B$8)-MAX(AC12,D12-1+Einstellungen!$B$7))*24),2))</f>
        <v>0</v>
      </c>
      <c r="O12" s="37">
        <f t="shared" si="3"/>
        <v>0</v>
      </c>
      <c r="P12" s="37">
        <f>IF(OR(D12="",H12="",I12=""),"",ROUND(IF(COUNTIF(Einstellungen!$A$21:$A$45,D12)&gt;0,MAX(0,MIN(AD12,D12+1)-MAX(AC12,D12))*24,0)+IF(AD12&gt;D12+1,IF(COUNTIF(Einstellungen!$A$21:$A$45,D12+1)&gt;0,MAX(0,MIN(AD12,D12+2)-MAX(AC12,D12+1))*24,0),0),2))</f>
        <v>0</v>
      </c>
      <c r="Q12" s="34" t="str">
        <f>IF(D12="","",TRIM(IFERROR(VLOOKUP(D12,Einstellungen!$A$21:$B$45,2,FALSE)&amp;" ","")&amp;IF(I12&lt;=H12,IFERROR(VLOOKUP(D12+1,Einstellungen!$A$21:$B$45,2,FALSE),""),"")))</f>
        <v/>
      </c>
      <c r="R12" s="38">
        <f>IFERROR(INDEX(Mitarbeiter!$G$6:$G$35,MATCH(B12,Mitarbeiter!$A$6:$A$35,0)),"")</f>
        <v>15</v>
      </c>
      <c r="S12" s="38">
        <f t="shared" si="4"/>
        <v>97.5</v>
      </c>
      <c r="T12" s="38">
        <f>IF(M12="","",ROUND(((N12*Einstellungen!$B$15)+(O12*Einstellungen!$B$16)+(P12*Einstellungen!$B$17))*R12,2))</f>
        <v>0</v>
      </c>
      <c r="U12" s="39">
        <v>14</v>
      </c>
      <c r="V12" s="38">
        <f t="shared" si="5"/>
        <v>111.5</v>
      </c>
      <c r="W12" s="34" t="str">
        <f t="shared" si="6"/>
        <v>OK</v>
      </c>
      <c r="X12" s="34" t="str">
        <f>IF(M12="","",IF(M12&gt;Einstellungen!$B$12,"kritisch &gt;10 Std.",IF(M12&gt;Einstellungen!$B$11,"prüfen &gt;8 Std.","OK")))</f>
        <v>OK</v>
      </c>
      <c r="Y12" s="37" t="str">
        <f t="shared" si="7"/>
        <v/>
      </c>
      <c r="Z12" s="34" t="str">
        <f>IF(Y12="","",IF(Y12&lt;Einstellungen!$B$14,"kritisch &lt;10 Std.",IF(Y12&lt;Einstellungen!$B$13,"prüfen &lt;11 Std.","OK")))</f>
        <v/>
      </c>
      <c r="AA12" s="33" t="s">
        <v>62</v>
      </c>
      <c r="AB12" s="33" t="s">
        <v>83</v>
      </c>
      <c r="AC12" s="40">
        <f t="shared" si="8"/>
        <v>46027.333333333336</v>
      </c>
      <c r="AD12" s="40">
        <f t="shared" si="9"/>
        <v>46027.625</v>
      </c>
      <c r="AE12" s="41" t="str">
        <f>IF(B12="","",IF(COUNTIF($B$6:B11,B12)=0,"",_xludf.MAXIFS($AD$6:AD11,$B$6:B11,B12)))</f>
        <v/>
      </c>
    </row>
    <row r="13" spans="1:31" ht="21.95" customHeight="1" x14ac:dyDescent="0.25">
      <c r="A13" s="32" t="s">
        <v>84</v>
      </c>
      <c r="B13" s="33" t="s">
        <v>68</v>
      </c>
      <c r="C13" s="34" t="str">
        <f>IFERROR(INDEX(Mitarbeiter!$B$6:$B$35,MATCH(B13,Mitarbeiter!$A$6:$A$35,0)),"")</f>
        <v>Beispiel Bar A</v>
      </c>
      <c r="D13" s="74">
        <v>46028</v>
      </c>
      <c r="E13" s="34" t="str">
        <f t="shared" si="0"/>
        <v>Di</v>
      </c>
      <c r="F13" s="33" t="s">
        <v>30</v>
      </c>
      <c r="G13" s="33" t="s">
        <v>85</v>
      </c>
      <c r="H13" s="35">
        <v>0.70833333333333337</v>
      </c>
      <c r="I13" s="35">
        <v>4.1666666666666664E-2</v>
      </c>
      <c r="J13" s="33">
        <v>30</v>
      </c>
      <c r="K13" s="36">
        <f>IF(L13="","",IF(L13&gt;9,Einstellungen!$B$10,IF(L13&gt;6,Einstellungen!$B$9,0)))</f>
        <v>30</v>
      </c>
      <c r="L13" s="37">
        <f t="shared" si="1"/>
        <v>7.9999999999999982</v>
      </c>
      <c r="M13" s="37">
        <f t="shared" si="2"/>
        <v>7.4999999999999982</v>
      </c>
      <c r="N13" s="37">
        <f>IF(OR(D13="",H13="",I13=""),"",ROUND((MAX(0,MIN(AD13,D13+1+Einstellungen!$B$8)-MAX(AC13,D13+Einstellungen!$B$7))*24)+(MAX(0,MIN(AD13,D13+Einstellungen!$B$8)-MAX(AC13,D13-1+Einstellungen!$B$7))*24),2))</f>
        <v>3</v>
      </c>
      <c r="O13" s="37">
        <f t="shared" si="3"/>
        <v>0</v>
      </c>
      <c r="P13" s="37">
        <f>IF(OR(D13="",H13="",I13=""),"",ROUND(IF(COUNTIF(Einstellungen!$A$21:$A$45,D13)&gt;0,MAX(0,MIN(AD13,D13+1)-MAX(AC13,D13))*24,0)+IF(AD13&gt;D13+1,IF(COUNTIF(Einstellungen!$A$21:$A$45,D13+1)&gt;0,MAX(0,MIN(AD13,D13+2)-MAX(AC13,D13+1))*24,0),0),2))</f>
        <v>7</v>
      </c>
      <c r="Q13" s="34" t="str">
        <f>IF(D13="","",TRIM(IFERROR(VLOOKUP(D13,Einstellungen!$A$21:$B$45,2,FALSE)&amp;" ","")&amp;IF(I13&lt;=H13,IFERROR(VLOOKUP(D13+1,Einstellungen!$A$21:$B$45,2,FALSE),""),"")))</f>
        <v>Heilige Drei Könige (regional)</v>
      </c>
      <c r="R13" s="38">
        <f>IFERROR(INDEX(Mitarbeiter!$G$6:$G$35,MATCH(B13,Mitarbeiter!$A$6:$A$35,0)),"")</f>
        <v>13.9</v>
      </c>
      <c r="S13" s="38">
        <f t="shared" si="4"/>
        <v>104.25</v>
      </c>
      <c r="T13" s="38">
        <f>IF(M13="","",ROUND(((N13*Einstellungen!$B$15)+(O13*Einstellungen!$B$16)+(P13*Einstellungen!$B$17))*R13,2))</f>
        <v>107.73</v>
      </c>
      <c r="U13" s="39">
        <v>55</v>
      </c>
      <c r="V13" s="38">
        <f t="shared" si="5"/>
        <v>266.98</v>
      </c>
      <c r="W13" s="34" t="str">
        <f t="shared" si="6"/>
        <v>OK</v>
      </c>
      <c r="X13" s="34" t="str">
        <f>IF(M13="","",IF(M13&gt;Einstellungen!$B$12,"kritisch &gt;10 Std.",IF(M13&gt;Einstellungen!$B$11,"prüfen &gt;8 Std.","OK")))</f>
        <v>OK</v>
      </c>
      <c r="Y13" s="37" t="e">
        <f t="shared" ca="1" si="7"/>
        <v>#NAME?</v>
      </c>
      <c r="Z13" s="34" t="e">
        <f ca="1">IF(Y13="","",IF(Y13&lt;Einstellungen!$B$14,"kritisch &lt;10 Std.",IF(Y13&lt;Einstellungen!$B$13,"prüfen &lt;11 Std.","OK")))</f>
        <v>#NAME?</v>
      </c>
      <c r="AA13" s="33" t="s">
        <v>86</v>
      </c>
      <c r="AB13" s="33" t="s">
        <v>87</v>
      </c>
      <c r="AC13" s="40">
        <f t="shared" si="8"/>
        <v>46028.708333333336</v>
      </c>
      <c r="AD13" s="40">
        <f t="shared" si="9"/>
        <v>46029.041666666664</v>
      </c>
      <c r="AE13" s="41" t="e">
        <f ca="1">IF(B13="","",IF(COUNTIF($B$6:B12,B13)=0,"",_xludf.MAXIFS($AD$6:AD12,$B$6:B12,B13)))</f>
        <v>#NAME?</v>
      </c>
    </row>
    <row r="14" spans="1:31" ht="21.95" customHeight="1" x14ac:dyDescent="0.25">
      <c r="A14" s="32" t="s">
        <v>88</v>
      </c>
      <c r="B14" s="33" t="s">
        <v>60</v>
      </c>
      <c r="C14" s="34" t="str">
        <f>IFERROR(INDEX(Mitarbeiter!$B$6:$B$35,MATCH(B14,Mitarbeiter!$A$6:$A$35,0)),"")</f>
        <v>Beispiel Servicekraft A</v>
      </c>
      <c r="D14" s="74">
        <v>46030</v>
      </c>
      <c r="E14" s="34" t="str">
        <f t="shared" si="0"/>
        <v>Do</v>
      </c>
      <c r="F14" s="33" t="s">
        <v>28</v>
      </c>
      <c r="G14" s="33" t="s">
        <v>61</v>
      </c>
      <c r="H14" s="35">
        <v>0.625</v>
      </c>
      <c r="I14" s="35">
        <v>0.95833333333333337</v>
      </c>
      <c r="J14" s="33">
        <v>30</v>
      </c>
      <c r="K14" s="36">
        <f>IF(L14="","",IF(L14&gt;9,Einstellungen!$B$10,IF(L14&gt;6,Einstellungen!$B$9,0)))</f>
        <v>30</v>
      </c>
      <c r="L14" s="37">
        <f t="shared" si="1"/>
        <v>8</v>
      </c>
      <c r="M14" s="37">
        <f t="shared" si="2"/>
        <v>7.5</v>
      </c>
      <c r="N14" s="37">
        <f>IF(OR(D14="",H14="",I14=""),"",ROUND((MAX(0,MIN(AD14,D14+1+Einstellungen!$B$8)-MAX(AC14,D14+Einstellungen!$B$7))*24)+(MAX(0,MIN(AD14,D14+Einstellungen!$B$8)-MAX(AC14,D14-1+Einstellungen!$B$7))*24),2))</f>
        <v>1</v>
      </c>
      <c r="O14" s="37">
        <f t="shared" si="3"/>
        <v>0</v>
      </c>
      <c r="P14" s="37">
        <f>IF(OR(D14="",H14="",I14=""),"",ROUND(IF(COUNTIF(Einstellungen!$A$21:$A$45,D14)&gt;0,MAX(0,MIN(AD14,D14+1)-MAX(AC14,D14))*24,0)+IF(AD14&gt;D14+1,IF(COUNTIF(Einstellungen!$A$21:$A$45,D14+1)&gt;0,MAX(0,MIN(AD14,D14+2)-MAX(AC14,D14+1))*24,0),0),2))</f>
        <v>0</v>
      </c>
      <c r="Q14" s="34" t="str">
        <f>IF(D14="","",TRIM(IFERROR(VLOOKUP(D14,Einstellungen!$A$21:$B$45,2,FALSE)&amp;" ","")&amp;IF(I14&lt;=H14,IFERROR(VLOOKUP(D14+1,Einstellungen!$A$21:$B$45,2,FALSE),""),"")))</f>
        <v/>
      </c>
      <c r="R14" s="38">
        <f>IFERROR(INDEX(Mitarbeiter!$G$6:$G$35,MATCH(B14,Mitarbeiter!$A$6:$A$35,0)),"")</f>
        <v>14.5</v>
      </c>
      <c r="S14" s="38">
        <f t="shared" si="4"/>
        <v>108.75</v>
      </c>
      <c r="T14" s="38">
        <f>IF(M14="","",ROUND(((N14*Einstellungen!$B$15)+(O14*Einstellungen!$B$16)+(P14*Einstellungen!$B$17))*R14,2))</f>
        <v>3.63</v>
      </c>
      <c r="U14" s="39">
        <v>21</v>
      </c>
      <c r="V14" s="38">
        <f t="shared" si="5"/>
        <v>133.38</v>
      </c>
      <c r="W14" s="34" t="str">
        <f t="shared" si="6"/>
        <v>OK</v>
      </c>
      <c r="X14" s="34" t="str">
        <f>IF(M14="","",IF(M14&gt;Einstellungen!$B$12,"kritisch &gt;10 Std.",IF(M14&gt;Einstellungen!$B$11,"prüfen &gt;8 Std.","OK")))</f>
        <v>OK</v>
      </c>
      <c r="Y14" s="37" t="e">
        <f t="shared" ca="1" si="7"/>
        <v>#NAME?</v>
      </c>
      <c r="Z14" s="34" t="e">
        <f ca="1">IF(Y14="","",IF(Y14&lt;Einstellungen!$B$14,"kritisch &lt;10 Std.",IF(Y14&lt;Einstellungen!$B$13,"prüfen &lt;11 Std.","OK")))</f>
        <v>#NAME?</v>
      </c>
      <c r="AA14" s="33" t="s">
        <v>62</v>
      </c>
      <c r="AB14" s="33"/>
      <c r="AC14" s="40">
        <f t="shared" si="8"/>
        <v>46030.625</v>
      </c>
      <c r="AD14" s="40">
        <f t="shared" si="9"/>
        <v>46030.958333333336</v>
      </c>
      <c r="AE14" s="41" t="e">
        <f ca="1">IF(B14="","",IF(COUNTIF($B$6:B13,B14)=0,"",_xludf.MAXIFS($AD$6:AD13,$B$6:B13,B14)))</f>
        <v>#NAME?</v>
      </c>
    </row>
    <row r="15" spans="1:31" ht="21.95" customHeight="1" x14ac:dyDescent="0.25">
      <c r="A15" s="32" t="s">
        <v>89</v>
      </c>
      <c r="B15" s="33" t="s">
        <v>65</v>
      </c>
      <c r="C15" s="34" t="str">
        <f>IFERROR(INDEX(Mitarbeiter!$B$6:$B$35,MATCH(B15,Mitarbeiter!$A$6:$A$35,0)),"")</f>
        <v>Beispiel Küche A</v>
      </c>
      <c r="D15" s="74">
        <v>46030</v>
      </c>
      <c r="E15" s="34" t="str">
        <f t="shared" si="0"/>
        <v>Do</v>
      </c>
      <c r="F15" s="33" t="s">
        <v>29</v>
      </c>
      <c r="G15" s="33" t="s">
        <v>61</v>
      </c>
      <c r="H15" s="35">
        <v>0.54166666666666663</v>
      </c>
      <c r="I15" s="35">
        <v>0.91666666666666663</v>
      </c>
      <c r="J15" s="33">
        <v>45</v>
      </c>
      <c r="K15" s="36">
        <f>IF(L15="","",IF(L15&gt;9,Einstellungen!$B$10,IF(L15&gt;6,Einstellungen!$B$9,0)))</f>
        <v>30</v>
      </c>
      <c r="L15" s="37">
        <f t="shared" si="1"/>
        <v>9</v>
      </c>
      <c r="M15" s="37">
        <f t="shared" si="2"/>
        <v>8.25</v>
      </c>
      <c r="N15" s="37">
        <f>IF(OR(D15="",H15="",I15=""),"",ROUND((MAX(0,MIN(AD15,D15+1+Einstellungen!$B$8)-MAX(AC15,D15+Einstellungen!$B$7))*24)+(MAX(0,MIN(AD15,D15+Einstellungen!$B$8)-MAX(AC15,D15-1+Einstellungen!$B$7))*24),2))</f>
        <v>0</v>
      </c>
      <c r="O15" s="37">
        <f t="shared" si="3"/>
        <v>0</v>
      </c>
      <c r="P15" s="37">
        <f>IF(OR(D15="",H15="",I15=""),"",ROUND(IF(COUNTIF(Einstellungen!$A$21:$A$45,D15)&gt;0,MAX(0,MIN(AD15,D15+1)-MAX(AC15,D15))*24,0)+IF(AD15&gt;D15+1,IF(COUNTIF(Einstellungen!$A$21:$A$45,D15+1)&gt;0,MAX(0,MIN(AD15,D15+2)-MAX(AC15,D15+1))*24,0),0),2))</f>
        <v>0</v>
      </c>
      <c r="Q15" s="34" t="str">
        <f>IF(D15="","",TRIM(IFERROR(VLOOKUP(D15,Einstellungen!$A$21:$B$45,2,FALSE)&amp;" ","")&amp;IF(I15&lt;=H15,IFERROR(VLOOKUP(D15+1,Einstellungen!$A$21:$B$45,2,FALSE),""),"")))</f>
        <v/>
      </c>
      <c r="R15" s="38">
        <f>IFERROR(INDEX(Mitarbeiter!$G$6:$G$35,MATCH(B15,Mitarbeiter!$A$6:$A$35,0)),"")</f>
        <v>17.8</v>
      </c>
      <c r="S15" s="38">
        <f t="shared" si="4"/>
        <v>146.85</v>
      </c>
      <c r="T15" s="38">
        <f>IF(M15="","",ROUND(((N15*Einstellungen!$B$15)+(O15*Einstellungen!$B$16)+(P15*Einstellungen!$B$17))*R15,2))</f>
        <v>0</v>
      </c>
      <c r="U15" s="39">
        <v>0</v>
      </c>
      <c r="V15" s="38">
        <f t="shared" si="5"/>
        <v>146.85</v>
      </c>
      <c r="W15" s="34" t="str">
        <f t="shared" si="6"/>
        <v>OK</v>
      </c>
      <c r="X15" s="34" t="str">
        <f>IF(M15="","",IF(M15&gt;Einstellungen!$B$12,"kritisch &gt;10 Std.",IF(M15&gt;Einstellungen!$B$11,"prüfen &gt;8 Std.","OK")))</f>
        <v>prüfen &gt;8 Std.</v>
      </c>
      <c r="Y15" s="37" t="e">
        <f t="shared" ca="1" si="7"/>
        <v>#NAME?</v>
      </c>
      <c r="Z15" s="34" t="e">
        <f ca="1">IF(Y15="","",IF(Y15&lt;Einstellungen!$B$14,"kritisch &lt;10 Std.",IF(Y15&lt;Einstellungen!$B$13,"prüfen &lt;11 Std.","OK")))</f>
        <v>#NAME?</v>
      </c>
      <c r="AA15" s="33" t="s">
        <v>62</v>
      </c>
      <c r="AB15" s="33"/>
      <c r="AC15" s="40">
        <f t="shared" si="8"/>
        <v>46030.541666666664</v>
      </c>
      <c r="AD15" s="40">
        <f t="shared" si="9"/>
        <v>46030.916666666664</v>
      </c>
      <c r="AE15" s="41" t="e">
        <f ca="1">IF(B15="","",IF(COUNTIF($B$6:B14,B15)=0,"",_xludf.MAXIFS($AD$6:AD14,$B$6:B14,B15)))</f>
        <v>#NAME?</v>
      </c>
    </row>
    <row r="16" spans="1:31" ht="21.95" customHeight="1" x14ac:dyDescent="0.25">
      <c r="A16" s="32" t="s">
        <v>90</v>
      </c>
      <c r="B16" s="33" t="s">
        <v>82</v>
      </c>
      <c r="C16" s="34" t="str">
        <f>IFERROR(INDEX(Mitarbeiter!$B$6:$B$35,MATCH(B16,Mitarbeiter!$A$6:$A$35,0)),"")</f>
        <v>Beispiel Servicekraft B</v>
      </c>
      <c r="D16" s="74">
        <v>46031</v>
      </c>
      <c r="E16" s="34" t="str">
        <f t="shared" si="0"/>
        <v>Fr</v>
      </c>
      <c r="F16" s="33" t="s">
        <v>28</v>
      </c>
      <c r="G16" s="33" t="s">
        <v>85</v>
      </c>
      <c r="H16" s="35">
        <v>0.70833333333333337</v>
      </c>
      <c r="I16" s="35">
        <v>0.125</v>
      </c>
      <c r="J16" s="33">
        <v>45</v>
      </c>
      <c r="K16" s="36">
        <f>IF(L16="","",IF(L16&gt;9,Einstellungen!$B$10,IF(L16&gt;6,Einstellungen!$B$9,0)))</f>
        <v>45</v>
      </c>
      <c r="L16" s="37">
        <f t="shared" si="1"/>
        <v>10</v>
      </c>
      <c r="M16" s="37">
        <f t="shared" si="2"/>
        <v>9.25</v>
      </c>
      <c r="N16" s="37">
        <f>IF(OR(D16="",H16="",I16=""),"",ROUND((MAX(0,MIN(AD16,D16+1+Einstellungen!$B$8)-MAX(AC16,D16+Einstellungen!$B$7))*24)+(MAX(0,MIN(AD16,D16+Einstellungen!$B$8)-MAX(AC16,D16-1+Einstellungen!$B$7))*24),2))</f>
        <v>5</v>
      </c>
      <c r="O16" s="37">
        <f t="shared" si="3"/>
        <v>0</v>
      </c>
      <c r="P16" s="37">
        <f>IF(OR(D16="",H16="",I16=""),"",ROUND(IF(COUNTIF(Einstellungen!$A$21:$A$45,D16)&gt;0,MAX(0,MIN(AD16,D16+1)-MAX(AC16,D16))*24,0)+IF(AD16&gt;D16+1,IF(COUNTIF(Einstellungen!$A$21:$A$45,D16+1)&gt;0,MAX(0,MIN(AD16,D16+2)-MAX(AC16,D16+1))*24,0),0),2))</f>
        <v>0</v>
      </c>
      <c r="Q16" s="34" t="str">
        <f>IF(D16="","",TRIM(IFERROR(VLOOKUP(D16,Einstellungen!$A$21:$B$45,2,FALSE)&amp;" ","")&amp;IF(I16&lt;=H16,IFERROR(VLOOKUP(D16+1,Einstellungen!$A$21:$B$45,2,FALSE),""),"")))</f>
        <v/>
      </c>
      <c r="R16" s="38">
        <f>IFERROR(INDEX(Mitarbeiter!$G$6:$G$35,MATCH(B16,Mitarbeiter!$A$6:$A$35,0)),"")</f>
        <v>15</v>
      </c>
      <c r="S16" s="38">
        <f t="shared" si="4"/>
        <v>138.75</v>
      </c>
      <c r="T16" s="38">
        <f>IF(M16="","",ROUND(((N16*Einstellungen!$B$15)+(O16*Einstellungen!$B$16)+(P16*Einstellungen!$B$17))*R16,2))</f>
        <v>18.75</v>
      </c>
      <c r="U16" s="39">
        <v>64</v>
      </c>
      <c r="V16" s="38">
        <f t="shared" si="5"/>
        <v>221.5</v>
      </c>
      <c r="W16" s="34" t="str">
        <f t="shared" si="6"/>
        <v>OK</v>
      </c>
      <c r="X16" s="34" t="str">
        <f>IF(M16="","",IF(M16&gt;Einstellungen!$B$12,"kritisch &gt;10 Std.",IF(M16&gt;Einstellungen!$B$11,"prüfen &gt;8 Std.","OK")))</f>
        <v>prüfen &gt;8 Std.</v>
      </c>
      <c r="Y16" s="37" t="e">
        <f t="shared" ca="1" si="7"/>
        <v>#NAME?</v>
      </c>
      <c r="Z16" s="34" t="e">
        <f ca="1">IF(Y16="","",IF(Y16&lt;Einstellungen!$B$14,"kritisch &lt;10 Std.",IF(Y16&lt;Einstellungen!$B$13,"prüfen &lt;11 Std.","OK")))</f>
        <v>#NAME?</v>
      </c>
      <c r="AA16" s="33" t="s">
        <v>77</v>
      </c>
      <c r="AB16" s="33" t="s">
        <v>91</v>
      </c>
      <c r="AC16" s="40">
        <f t="shared" si="8"/>
        <v>46031.708333333336</v>
      </c>
      <c r="AD16" s="40">
        <f t="shared" si="9"/>
        <v>46032.125</v>
      </c>
      <c r="AE16" s="41" t="e">
        <f ca="1">IF(B16="","",IF(COUNTIF($B$6:B15,B16)=0,"",_xludf.MAXIFS($AD$6:AD15,$B$6:B15,B16)))</f>
        <v>#NAME?</v>
      </c>
    </row>
    <row r="17" spans="1:31" ht="21.95" customHeight="1" x14ac:dyDescent="0.25">
      <c r="A17" s="32" t="s">
        <v>92</v>
      </c>
      <c r="B17" s="33" t="s">
        <v>72</v>
      </c>
      <c r="C17" s="34" t="str">
        <f>IFERROR(INDEX(Mitarbeiter!$B$6:$B$35,MATCH(B17,Mitarbeiter!$A$6:$A$35,0)),"")</f>
        <v>Beispiel Reinigung A</v>
      </c>
      <c r="D17" s="74">
        <v>46032</v>
      </c>
      <c r="E17" s="34" t="str">
        <f t="shared" si="0"/>
        <v>Sa</v>
      </c>
      <c r="F17" s="33" t="s">
        <v>32</v>
      </c>
      <c r="G17" s="33" t="s">
        <v>73</v>
      </c>
      <c r="H17" s="35">
        <v>0.25</v>
      </c>
      <c r="I17" s="35">
        <v>0.5</v>
      </c>
      <c r="J17" s="33">
        <v>0</v>
      </c>
      <c r="K17" s="36">
        <f>IF(L17="","",IF(L17&gt;9,Einstellungen!$B$10,IF(L17&gt;6,Einstellungen!$B$9,0)))</f>
        <v>0</v>
      </c>
      <c r="L17" s="37">
        <f t="shared" si="1"/>
        <v>6</v>
      </c>
      <c r="M17" s="37">
        <f t="shared" si="2"/>
        <v>6</v>
      </c>
      <c r="N17" s="37">
        <f>IF(OR(D17="",H17="",I17=""),"",ROUND((MAX(0,MIN(AD17,D17+1+Einstellungen!$B$8)-MAX(AC17,D17+Einstellungen!$B$7))*24)+(MAX(0,MIN(AD17,D17+Einstellungen!$B$8)-MAX(AC17,D17-1+Einstellungen!$B$7))*24),2))</f>
        <v>0</v>
      </c>
      <c r="O17" s="37">
        <f t="shared" si="3"/>
        <v>0</v>
      </c>
      <c r="P17" s="37">
        <f>IF(OR(D17="",H17="",I17=""),"",ROUND(IF(COUNTIF(Einstellungen!$A$21:$A$45,D17)&gt;0,MAX(0,MIN(AD17,D17+1)-MAX(AC17,D17))*24,0)+IF(AD17&gt;D17+1,IF(COUNTIF(Einstellungen!$A$21:$A$45,D17+1)&gt;0,MAX(0,MIN(AD17,D17+2)-MAX(AC17,D17+1))*24,0),0),2))</f>
        <v>0</v>
      </c>
      <c r="Q17" s="34" t="str">
        <f>IF(D17="","",TRIM(IFERROR(VLOOKUP(D17,Einstellungen!$A$21:$B$45,2,FALSE)&amp;" ","")&amp;IF(I17&lt;=H17,IFERROR(VLOOKUP(D17+1,Einstellungen!$A$21:$B$45,2,FALSE),""),"")))</f>
        <v/>
      </c>
      <c r="R17" s="38">
        <f>IFERROR(INDEX(Mitarbeiter!$G$6:$G$35,MATCH(B17,Mitarbeiter!$A$6:$A$35,0)),"")</f>
        <v>14.2</v>
      </c>
      <c r="S17" s="38">
        <f t="shared" si="4"/>
        <v>85.2</v>
      </c>
      <c r="T17" s="38">
        <f>IF(M17="","",ROUND(((N17*Einstellungen!$B$15)+(O17*Einstellungen!$B$16)+(P17*Einstellungen!$B$17))*R17,2))</f>
        <v>0</v>
      </c>
      <c r="U17" s="39">
        <v>0</v>
      </c>
      <c r="V17" s="38">
        <f t="shared" si="5"/>
        <v>85.2</v>
      </c>
      <c r="W17" s="34" t="str">
        <f t="shared" si="6"/>
        <v>OK</v>
      </c>
      <c r="X17" s="34" t="str">
        <f>IF(M17="","",IF(M17&gt;Einstellungen!$B$12,"kritisch &gt;10 Std.",IF(M17&gt;Einstellungen!$B$11,"prüfen &gt;8 Std.","OK")))</f>
        <v>OK</v>
      </c>
      <c r="Y17" s="37" t="e">
        <f t="shared" ca="1" si="7"/>
        <v>#NAME?</v>
      </c>
      <c r="Z17" s="34" t="e">
        <f ca="1">IF(Y17="","",IF(Y17&lt;Einstellungen!$B$14,"kritisch &lt;10 Std.",IF(Y17&lt;Einstellungen!$B$13,"prüfen &lt;11 Std.","OK")))</f>
        <v>#NAME?</v>
      </c>
      <c r="AA17" s="33" t="s">
        <v>62</v>
      </c>
      <c r="AB17" s="33" t="s">
        <v>93</v>
      </c>
      <c r="AC17" s="40">
        <f t="shared" si="8"/>
        <v>46032.25</v>
      </c>
      <c r="AD17" s="40">
        <f t="shared" si="9"/>
        <v>46032.5</v>
      </c>
      <c r="AE17" s="41" t="e">
        <f ca="1">IF(B17="","",IF(COUNTIF($B$6:B16,B17)=0,"",_xludf.MAXIFS($AD$6:AD16,$B$6:B16,B17)))</f>
        <v>#NAME?</v>
      </c>
    </row>
    <row r="18" spans="1:31" ht="21.95" customHeight="1" x14ac:dyDescent="0.25">
      <c r="A18" s="32" t="s">
        <v>94</v>
      </c>
      <c r="B18" s="33" t="s">
        <v>60</v>
      </c>
      <c r="C18" s="34" t="str">
        <f>IFERROR(INDEX(Mitarbeiter!$B$6:$B$35,MATCH(B18,Mitarbeiter!$A$6:$A$35,0)),"")</f>
        <v>Beispiel Servicekraft A</v>
      </c>
      <c r="D18" s="74">
        <v>46033</v>
      </c>
      <c r="E18" s="34" t="str">
        <f t="shared" si="0"/>
        <v>So</v>
      </c>
      <c r="F18" s="33" t="s">
        <v>28</v>
      </c>
      <c r="G18" s="33" t="s">
        <v>61</v>
      </c>
      <c r="H18" s="35">
        <v>0.66666666666666663</v>
      </c>
      <c r="I18" s="35">
        <v>0.91666666666666663</v>
      </c>
      <c r="J18" s="33">
        <v>0</v>
      </c>
      <c r="K18" s="36">
        <f>IF(L18="","",IF(L18&gt;9,Einstellungen!$B$10,IF(L18&gt;6,Einstellungen!$B$9,0)))</f>
        <v>0</v>
      </c>
      <c r="L18" s="37">
        <f t="shared" si="1"/>
        <v>6</v>
      </c>
      <c r="M18" s="37">
        <f t="shared" si="2"/>
        <v>6</v>
      </c>
      <c r="N18" s="37">
        <f>IF(OR(D18="",H18="",I18=""),"",ROUND((MAX(0,MIN(AD18,D18+1+Einstellungen!$B$8)-MAX(AC18,D18+Einstellungen!$B$7))*24)+(MAX(0,MIN(AD18,D18+Einstellungen!$B$8)-MAX(AC18,D18-1+Einstellungen!$B$7))*24),2))</f>
        <v>0</v>
      </c>
      <c r="O18" s="37">
        <f t="shared" si="3"/>
        <v>6</v>
      </c>
      <c r="P18" s="37">
        <f>IF(OR(D18="",H18="",I18=""),"",ROUND(IF(COUNTIF(Einstellungen!$A$21:$A$45,D18)&gt;0,MAX(0,MIN(AD18,D18+1)-MAX(AC18,D18))*24,0)+IF(AD18&gt;D18+1,IF(COUNTIF(Einstellungen!$A$21:$A$45,D18+1)&gt;0,MAX(0,MIN(AD18,D18+2)-MAX(AC18,D18+1))*24,0),0),2))</f>
        <v>0</v>
      </c>
      <c r="Q18" s="34" t="str">
        <f>IF(D18="","",TRIM(IFERROR(VLOOKUP(D18,Einstellungen!$A$21:$B$45,2,FALSE)&amp;" ","")&amp;IF(I18&lt;=H18,IFERROR(VLOOKUP(D18+1,Einstellungen!$A$21:$B$45,2,FALSE),""),"")))</f>
        <v/>
      </c>
      <c r="R18" s="38">
        <f>IFERROR(INDEX(Mitarbeiter!$G$6:$G$35,MATCH(B18,Mitarbeiter!$A$6:$A$35,0)),"")</f>
        <v>14.5</v>
      </c>
      <c r="S18" s="38">
        <f t="shared" si="4"/>
        <v>87</v>
      </c>
      <c r="T18" s="38">
        <f>IF(M18="","",ROUND(((N18*Einstellungen!$B$15)+(O18*Einstellungen!$B$16)+(P18*Einstellungen!$B$17))*R18,2))</f>
        <v>43.5</v>
      </c>
      <c r="U18" s="39">
        <v>31</v>
      </c>
      <c r="V18" s="38">
        <f t="shared" si="5"/>
        <v>161.5</v>
      </c>
      <c r="W18" s="34" t="str">
        <f t="shared" si="6"/>
        <v>OK</v>
      </c>
      <c r="X18" s="34" t="str">
        <f>IF(M18="","",IF(M18&gt;Einstellungen!$B$12,"kritisch &gt;10 Std.",IF(M18&gt;Einstellungen!$B$11,"prüfen &gt;8 Std.","OK")))</f>
        <v>OK</v>
      </c>
      <c r="Y18" s="37" t="e">
        <f t="shared" ca="1" si="7"/>
        <v>#NAME?</v>
      </c>
      <c r="Z18" s="34" t="e">
        <f ca="1">IF(Y18="","",IF(Y18&lt;Einstellungen!$B$14,"kritisch &lt;10 Std.",IF(Y18&lt;Einstellungen!$B$13,"prüfen &lt;11 Std.","OK")))</f>
        <v>#NAME?</v>
      </c>
      <c r="AA18" s="33" t="s">
        <v>62</v>
      </c>
      <c r="AB18" s="33" t="s">
        <v>95</v>
      </c>
      <c r="AC18" s="40">
        <f t="shared" si="8"/>
        <v>46033.666666666664</v>
      </c>
      <c r="AD18" s="40">
        <f t="shared" si="9"/>
        <v>46033.916666666664</v>
      </c>
      <c r="AE18" s="41" t="e">
        <f ca="1">IF(B18="","",IF(COUNTIF($B$6:B17,B18)=0,"",_xludf.MAXIFS($AD$6:AD17,$B$6:B17,B18)))</f>
        <v>#NAME?</v>
      </c>
    </row>
    <row r="19" spans="1:31" ht="21.95" customHeight="1" x14ac:dyDescent="0.25">
      <c r="A19" s="32" t="s">
        <v>96</v>
      </c>
      <c r="B19" s="33" t="s">
        <v>65</v>
      </c>
      <c r="C19" s="34" t="str">
        <f>IFERROR(INDEX(Mitarbeiter!$B$6:$B$35,MATCH(B19,Mitarbeiter!$A$6:$A$35,0)),"")</f>
        <v>Beispiel Küche A</v>
      </c>
      <c r="D19" s="74">
        <v>46033</v>
      </c>
      <c r="E19" s="34" t="str">
        <f t="shared" si="0"/>
        <v>So</v>
      </c>
      <c r="F19" s="33" t="s">
        <v>29</v>
      </c>
      <c r="G19" s="33" t="s">
        <v>61</v>
      </c>
      <c r="H19" s="35">
        <v>0.58333333333333337</v>
      </c>
      <c r="I19" s="35">
        <v>0.9375</v>
      </c>
      <c r="J19" s="33">
        <v>30</v>
      </c>
      <c r="K19" s="36">
        <f>IF(L19="","",IF(L19&gt;9,Einstellungen!$B$10,IF(L19&gt;6,Einstellungen!$B$9,0)))</f>
        <v>30</v>
      </c>
      <c r="L19" s="37">
        <f t="shared" si="1"/>
        <v>8.5</v>
      </c>
      <c r="M19" s="37">
        <f t="shared" si="2"/>
        <v>8</v>
      </c>
      <c r="N19" s="37">
        <f>IF(OR(D19="",H19="",I19=""),"",ROUND((MAX(0,MIN(AD19,D19+1+Einstellungen!$B$8)-MAX(AC19,D19+Einstellungen!$B$7))*24)+(MAX(0,MIN(AD19,D19+Einstellungen!$B$8)-MAX(AC19,D19-1+Einstellungen!$B$7))*24),2))</f>
        <v>0.5</v>
      </c>
      <c r="O19" s="37">
        <f t="shared" si="3"/>
        <v>8.5</v>
      </c>
      <c r="P19" s="37">
        <f>IF(OR(D19="",H19="",I19=""),"",ROUND(IF(COUNTIF(Einstellungen!$A$21:$A$45,D19)&gt;0,MAX(0,MIN(AD19,D19+1)-MAX(AC19,D19))*24,0)+IF(AD19&gt;D19+1,IF(COUNTIF(Einstellungen!$A$21:$A$45,D19+1)&gt;0,MAX(0,MIN(AD19,D19+2)-MAX(AC19,D19+1))*24,0),0),2))</f>
        <v>0</v>
      </c>
      <c r="Q19" s="34" t="str">
        <f>IF(D19="","",TRIM(IFERROR(VLOOKUP(D19,Einstellungen!$A$21:$B$45,2,FALSE)&amp;" ","")&amp;IF(I19&lt;=H19,IFERROR(VLOOKUP(D19+1,Einstellungen!$A$21:$B$45,2,FALSE),""),"")))</f>
        <v/>
      </c>
      <c r="R19" s="38">
        <f>IFERROR(INDEX(Mitarbeiter!$G$6:$G$35,MATCH(B19,Mitarbeiter!$A$6:$A$35,0)),"")</f>
        <v>17.8</v>
      </c>
      <c r="S19" s="38">
        <f t="shared" si="4"/>
        <v>142.4</v>
      </c>
      <c r="T19" s="38">
        <f>IF(M19="","",ROUND(((N19*Einstellungen!$B$15)+(O19*Einstellungen!$B$16)+(P19*Einstellungen!$B$17))*R19,2))</f>
        <v>77.88</v>
      </c>
      <c r="U19" s="39">
        <v>0</v>
      </c>
      <c r="V19" s="38">
        <f t="shared" si="5"/>
        <v>220.28</v>
      </c>
      <c r="W19" s="34" t="str">
        <f t="shared" si="6"/>
        <v>OK</v>
      </c>
      <c r="X19" s="34" t="str">
        <f>IF(M19="","",IF(M19&gt;Einstellungen!$B$12,"kritisch &gt;10 Std.",IF(M19&gt;Einstellungen!$B$11,"prüfen &gt;8 Std.","OK")))</f>
        <v>OK</v>
      </c>
      <c r="Y19" s="37" t="e">
        <f t="shared" ca="1" si="7"/>
        <v>#NAME?</v>
      </c>
      <c r="Z19" s="34" t="e">
        <f ca="1">IF(Y19="","",IF(Y19&lt;Einstellungen!$B$14,"kritisch &lt;10 Std.",IF(Y19&lt;Einstellungen!$B$13,"prüfen &lt;11 Std.","OK")))</f>
        <v>#NAME?</v>
      </c>
      <c r="AA19" s="33" t="s">
        <v>77</v>
      </c>
      <c r="AB19" s="33" t="s">
        <v>97</v>
      </c>
      <c r="AC19" s="40">
        <f t="shared" si="8"/>
        <v>46033.583333333336</v>
      </c>
      <c r="AD19" s="40">
        <f t="shared" si="9"/>
        <v>46033.9375</v>
      </c>
      <c r="AE19" s="41" t="e">
        <f ca="1">IF(B19="","",IF(COUNTIF($B$6:B18,B19)=0,"",_xludf.MAXIFS($AD$6:AD18,$B$6:B18,B19)))</f>
        <v>#NAME?</v>
      </c>
    </row>
    <row r="20" spans="1:31" ht="21.95" customHeight="1" x14ac:dyDescent="0.25">
      <c r="A20" s="32" t="s">
        <v>98</v>
      </c>
      <c r="B20" s="33" t="s">
        <v>68</v>
      </c>
      <c r="C20" s="34" t="str">
        <f>IFERROR(INDEX(Mitarbeiter!$B$6:$B$35,MATCH(B20,Mitarbeiter!$A$6:$A$35,0)),"")</f>
        <v>Beispiel Bar A</v>
      </c>
      <c r="D20" s="74">
        <v>46034</v>
      </c>
      <c r="E20" s="34" t="str">
        <f t="shared" si="0"/>
        <v>Mo</v>
      </c>
      <c r="F20" s="33" t="s">
        <v>30</v>
      </c>
      <c r="G20" s="33" t="s">
        <v>69</v>
      </c>
      <c r="H20" s="35">
        <v>0.79166666666666663</v>
      </c>
      <c r="I20" s="35">
        <v>6.25E-2</v>
      </c>
      <c r="J20" s="33">
        <v>30</v>
      </c>
      <c r="K20" s="36">
        <f>IF(L20="","",IF(L20&gt;9,Einstellungen!$B$10,IF(L20&gt;6,Einstellungen!$B$9,0)))</f>
        <v>30</v>
      </c>
      <c r="L20" s="37">
        <f t="shared" si="1"/>
        <v>6.5000000000000009</v>
      </c>
      <c r="M20" s="37">
        <f t="shared" si="2"/>
        <v>6.0000000000000009</v>
      </c>
      <c r="N20" s="37">
        <f>IF(OR(D20="",H20="",I20=""),"",ROUND((MAX(0,MIN(AD20,D20+1+Einstellungen!$B$8)-MAX(AC20,D20+Einstellungen!$B$7))*24)+(MAX(0,MIN(AD20,D20+Einstellungen!$B$8)-MAX(AC20,D20-1+Einstellungen!$B$7))*24),2))</f>
        <v>3.5</v>
      </c>
      <c r="O20" s="37">
        <f t="shared" si="3"/>
        <v>0</v>
      </c>
      <c r="P20" s="37">
        <f>IF(OR(D20="",H20="",I20=""),"",ROUND(IF(COUNTIF(Einstellungen!$A$21:$A$45,D20)&gt;0,MAX(0,MIN(AD20,D20+1)-MAX(AC20,D20))*24,0)+IF(AD20&gt;D20+1,IF(COUNTIF(Einstellungen!$A$21:$A$45,D20+1)&gt;0,MAX(0,MIN(AD20,D20+2)-MAX(AC20,D20+1))*24,0),0),2))</f>
        <v>0</v>
      </c>
      <c r="Q20" s="34" t="str">
        <f>IF(D20="","",TRIM(IFERROR(VLOOKUP(D20,Einstellungen!$A$21:$B$45,2,FALSE)&amp;" ","")&amp;IF(I20&lt;=H20,IFERROR(VLOOKUP(D20+1,Einstellungen!$A$21:$B$45,2,FALSE),""),"")))</f>
        <v/>
      </c>
      <c r="R20" s="38">
        <f>IFERROR(INDEX(Mitarbeiter!$G$6:$G$35,MATCH(B20,Mitarbeiter!$A$6:$A$35,0)),"")</f>
        <v>13.9</v>
      </c>
      <c r="S20" s="38">
        <f t="shared" si="4"/>
        <v>83.4</v>
      </c>
      <c r="T20" s="38">
        <f>IF(M20="","",ROUND(((N20*Einstellungen!$B$15)+(O20*Einstellungen!$B$16)+(P20*Einstellungen!$B$17))*R20,2))</f>
        <v>12.16</v>
      </c>
      <c r="U20" s="39">
        <v>37.5</v>
      </c>
      <c r="V20" s="38">
        <f t="shared" si="5"/>
        <v>133.06</v>
      </c>
      <c r="W20" s="34" t="str">
        <f t="shared" si="6"/>
        <v>OK</v>
      </c>
      <c r="X20" s="34" t="str">
        <f>IF(M20="","",IF(M20&gt;Einstellungen!$B$12,"kritisch &gt;10 Std.",IF(M20&gt;Einstellungen!$B$11,"prüfen &gt;8 Std.","OK")))</f>
        <v>OK</v>
      </c>
      <c r="Y20" s="37" t="e">
        <f t="shared" ca="1" si="7"/>
        <v>#NAME?</v>
      </c>
      <c r="Z20" s="34" t="e">
        <f ca="1">IF(Y20="","",IF(Y20&lt;Einstellungen!$B$14,"kritisch &lt;10 Std.",IF(Y20&lt;Einstellungen!$B$13,"prüfen &lt;11 Std.","OK")))</f>
        <v>#NAME?</v>
      </c>
      <c r="AA20" s="33" t="s">
        <v>62</v>
      </c>
      <c r="AB20" s="33"/>
      <c r="AC20" s="40">
        <f t="shared" si="8"/>
        <v>46034.791666666664</v>
      </c>
      <c r="AD20" s="40">
        <f t="shared" si="9"/>
        <v>46035.0625</v>
      </c>
      <c r="AE20" s="41" t="e">
        <f ca="1">IF(B20="","",IF(COUNTIF($B$6:B19,B20)=0,"",_xludf.MAXIFS($AD$6:AD19,$B$6:B19,B20)))</f>
        <v>#NAME?</v>
      </c>
    </row>
    <row r="21" spans="1:31" ht="21.95" customHeight="1" x14ac:dyDescent="0.25">
      <c r="A21" s="32" t="s">
        <v>99</v>
      </c>
      <c r="B21" s="33" t="s">
        <v>82</v>
      </c>
      <c r="C21" s="34" t="str">
        <f>IFERROR(INDEX(Mitarbeiter!$B$6:$B$35,MATCH(B21,Mitarbeiter!$A$6:$A$35,0)),"")</f>
        <v>Beispiel Servicekraft B</v>
      </c>
      <c r="D21" s="74">
        <v>46035</v>
      </c>
      <c r="E21" s="34" t="str">
        <f t="shared" si="0"/>
        <v>Di</v>
      </c>
      <c r="F21" s="33" t="s">
        <v>28</v>
      </c>
      <c r="G21" s="33" t="s">
        <v>76</v>
      </c>
      <c r="H21" s="35">
        <v>0.45833333333333331</v>
      </c>
      <c r="I21" s="35">
        <v>0.70833333333333337</v>
      </c>
      <c r="J21" s="33">
        <v>0</v>
      </c>
      <c r="K21" s="36">
        <f>IF(L21="","",IF(L21&gt;9,Einstellungen!$B$10,IF(L21&gt;6,Einstellungen!$B$9,0)))</f>
        <v>0</v>
      </c>
      <c r="L21" s="37">
        <f t="shared" si="1"/>
        <v>6.0000000000000018</v>
      </c>
      <c r="M21" s="37">
        <f t="shared" si="2"/>
        <v>6.0000000000000018</v>
      </c>
      <c r="N21" s="37">
        <f>IF(OR(D21="",H21="",I21=""),"",ROUND((MAX(0,MIN(AD21,D21+1+Einstellungen!$B$8)-MAX(AC21,D21+Einstellungen!$B$7))*24)+(MAX(0,MIN(AD21,D21+Einstellungen!$B$8)-MAX(AC21,D21-1+Einstellungen!$B$7))*24),2))</f>
        <v>0</v>
      </c>
      <c r="O21" s="37">
        <f t="shared" si="3"/>
        <v>0</v>
      </c>
      <c r="P21" s="37">
        <f>IF(OR(D21="",H21="",I21=""),"",ROUND(IF(COUNTIF(Einstellungen!$A$21:$A$45,D21)&gt;0,MAX(0,MIN(AD21,D21+1)-MAX(AC21,D21))*24,0)+IF(AD21&gt;D21+1,IF(COUNTIF(Einstellungen!$A$21:$A$45,D21+1)&gt;0,MAX(0,MIN(AD21,D21+2)-MAX(AC21,D21+1))*24,0),0),2))</f>
        <v>0</v>
      </c>
      <c r="Q21" s="34" t="str">
        <f>IF(D21="","",TRIM(IFERROR(VLOOKUP(D21,Einstellungen!$A$21:$B$45,2,FALSE)&amp;" ","")&amp;IF(I21&lt;=H21,IFERROR(VLOOKUP(D21+1,Einstellungen!$A$21:$B$45,2,FALSE),""),"")))</f>
        <v/>
      </c>
      <c r="R21" s="38">
        <f>IFERROR(INDEX(Mitarbeiter!$G$6:$G$35,MATCH(B21,Mitarbeiter!$A$6:$A$35,0)),"")</f>
        <v>15</v>
      </c>
      <c r="S21" s="38">
        <f t="shared" si="4"/>
        <v>90</v>
      </c>
      <c r="T21" s="38">
        <f>IF(M21="","",ROUND(((N21*Einstellungen!$B$15)+(O21*Einstellungen!$B$16)+(P21*Einstellungen!$B$17))*R21,2))</f>
        <v>0</v>
      </c>
      <c r="U21" s="39">
        <v>18</v>
      </c>
      <c r="V21" s="38">
        <f t="shared" si="5"/>
        <v>108</v>
      </c>
      <c r="W21" s="34" t="str">
        <f t="shared" si="6"/>
        <v>OK</v>
      </c>
      <c r="X21" s="34" t="str">
        <f>IF(M21="","",IF(M21&gt;Einstellungen!$B$12,"kritisch &gt;10 Std.",IF(M21&gt;Einstellungen!$B$11,"prüfen &gt;8 Std.","OK")))</f>
        <v>OK</v>
      </c>
      <c r="Y21" s="37" t="e">
        <f t="shared" ca="1" si="7"/>
        <v>#NAME?</v>
      </c>
      <c r="Z21" s="34" t="e">
        <f ca="1">IF(Y21="","",IF(Y21&lt;Einstellungen!$B$14,"kritisch &lt;10 Std.",IF(Y21&lt;Einstellungen!$B$13,"prüfen &lt;11 Std.","OK")))</f>
        <v>#NAME?</v>
      </c>
      <c r="AA21" s="33" t="s">
        <v>62</v>
      </c>
      <c r="AB21" s="33"/>
      <c r="AC21" s="40">
        <f t="shared" si="8"/>
        <v>46035.458333333336</v>
      </c>
      <c r="AD21" s="40">
        <f t="shared" si="9"/>
        <v>46035.708333333336</v>
      </c>
      <c r="AE21" s="41" t="e">
        <f ca="1">IF(B21="","",IF(COUNTIF($B$6:B20,B21)=0,"",_xludf.MAXIFS($AD$6:AD20,$B$6:B20,B21)))</f>
        <v>#NAME?</v>
      </c>
    </row>
    <row r="22" spans="1:31" ht="21.95" customHeight="1" x14ac:dyDescent="0.25">
      <c r="A22" s="32" t="s">
        <v>100</v>
      </c>
      <c r="B22" s="33" t="s">
        <v>60</v>
      </c>
      <c r="C22" s="34" t="str">
        <f>IFERROR(INDEX(Mitarbeiter!$B$6:$B$35,MATCH(B22,Mitarbeiter!$A$6:$A$35,0)),"")</f>
        <v>Beispiel Servicekraft A</v>
      </c>
      <c r="D22" s="74">
        <v>46037</v>
      </c>
      <c r="E22" s="34" t="str">
        <f t="shared" si="0"/>
        <v>Do</v>
      </c>
      <c r="F22" s="33" t="s">
        <v>28</v>
      </c>
      <c r="G22" s="33" t="s">
        <v>61</v>
      </c>
      <c r="H22" s="35">
        <v>0.64583333333333337</v>
      </c>
      <c r="I22" s="35">
        <v>0.97916666666666663</v>
      </c>
      <c r="J22" s="33">
        <v>30</v>
      </c>
      <c r="K22" s="36">
        <f>IF(L22="","",IF(L22&gt;9,Einstellungen!$B$10,IF(L22&gt;6,Einstellungen!$B$9,0)))</f>
        <v>30</v>
      </c>
      <c r="L22" s="37">
        <f t="shared" si="1"/>
        <v>7.9999999999999982</v>
      </c>
      <c r="M22" s="37">
        <f t="shared" si="2"/>
        <v>7.4999999999999982</v>
      </c>
      <c r="N22" s="37">
        <f>IF(OR(D22="",H22="",I22=""),"",ROUND((MAX(0,MIN(AD22,D22+1+Einstellungen!$B$8)-MAX(AC22,D22+Einstellungen!$B$7))*24)+(MAX(0,MIN(AD22,D22+Einstellungen!$B$8)-MAX(AC22,D22-1+Einstellungen!$B$7))*24),2))</f>
        <v>1.5</v>
      </c>
      <c r="O22" s="37">
        <f t="shared" si="3"/>
        <v>0</v>
      </c>
      <c r="P22" s="37">
        <f>IF(OR(D22="",H22="",I22=""),"",ROUND(IF(COUNTIF(Einstellungen!$A$21:$A$45,D22)&gt;0,MAX(0,MIN(AD22,D22+1)-MAX(AC22,D22))*24,0)+IF(AD22&gt;D22+1,IF(COUNTIF(Einstellungen!$A$21:$A$45,D22+1)&gt;0,MAX(0,MIN(AD22,D22+2)-MAX(AC22,D22+1))*24,0),0),2))</f>
        <v>0</v>
      </c>
      <c r="Q22" s="34" t="str">
        <f>IF(D22="","",TRIM(IFERROR(VLOOKUP(D22,Einstellungen!$A$21:$B$45,2,FALSE)&amp;" ","")&amp;IF(I22&lt;=H22,IFERROR(VLOOKUP(D22+1,Einstellungen!$A$21:$B$45,2,FALSE),""),"")))</f>
        <v/>
      </c>
      <c r="R22" s="38">
        <f>IFERROR(INDEX(Mitarbeiter!$G$6:$G$35,MATCH(B22,Mitarbeiter!$A$6:$A$35,0)),"")</f>
        <v>14.5</v>
      </c>
      <c r="S22" s="38">
        <f t="shared" si="4"/>
        <v>108.75</v>
      </c>
      <c r="T22" s="38">
        <f>IF(M22="","",ROUND(((N22*Einstellungen!$B$15)+(O22*Einstellungen!$B$16)+(P22*Einstellungen!$B$17))*R22,2))</f>
        <v>5.44</v>
      </c>
      <c r="U22" s="39">
        <v>28</v>
      </c>
      <c r="V22" s="38">
        <f t="shared" si="5"/>
        <v>142.19</v>
      </c>
      <c r="W22" s="34" t="str">
        <f t="shared" si="6"/>
        <v>OK</v>
      </c>
      <c r="X22" s="34" t="str">
        <f>IF(M22="","",IF(M22&gt;Einstellungen!$B$12,"kritisch &gt;10 Std.",IF(M22&gt;Einstellungen!$B$11,"prüfen &gt;8 Std.","OK")))</f>
        <v>OK</v>
      </c>
      <c r="Y22" s="37" t="e">
        <f t="shared" ca="1" si="7"/>
        <v>#NAME?</v>
      </c>
      <c r="Z22" s="34" t="e">
        <f ca="1">IF(Y22="","",IF(Y22&lt;Einstellungen!$B$14,"kritisch &lt;10 Std.",IF(Y22&lt;Einstellungen!$B$13,"prüfen &lt;11 Std.","OK")))</f>
        <v>#NAME?</v>
      </c>
      <c r="AA22" s="33" t="s">
        <v>62</v>
      </c>
      <c r="AB22" s="33"/>
      <c r="AC22" s="40">
        <f t="shared" si="8"/>
        <v>46037.645833333336</v>
      </c>
      <c r="AD22" s="40">
        <f t="shared" si="9"/>
        <v>46037.979166666664</v>
      </c>
      <c r="AE22" s="41" t="e">
        <f ca="1">IF(B22="","",IF(COUNTIF($B$6:B21,B22)=0,"",_xludf.MAXIFS($AD$6:AD21,$B$6:B21,B22)))</f>
        <v>#NAME?</v>
      </c>
    </row>
    <row r="23" spans="1:31" ht="21.95" customHeight="1" x14ac:dyDescent="0.25">
      <c r="A23" s="32" t="s">
        <v>101</v>
      </c>
      <c r="B23" s="33" t="s">
        <v>65</v>
      </c>
      <c r="C23" s="34" t="str">
        <f>IFERROR(INDEX(Mitarbeiter!$B$6:$B$35,MATCH(B23,Mitarbeiter!$A$6:$A$35,0)),"")</f>
        <v>Beispiel Küche A</v>
      </c>
      <c r="D23" s="74">
        <v>46038</v>
      </c>
      <c r="E23" s="34" t="str">
        <f t="shared" si="0"/>
        <v>Fr</v>
      </c>
      <c r="F23" s="33" t="s">
        <v>29</v>
      </c>
      <c r="G23" s="33" t="s">
        <v>61</v>
      </c>
      <c r="H23" s="35">
        <v>0.54166666666666663</v>
      </c>
      <c r="I23" s="35">
        <v>0.91666666666666663</v>
      </c>
      <c r="J23" s="33">
        <v>45</v>
      </c>
      <c r="K23" s="36">
        <f>IF(L23="","",IF(L23&gt;9,Einstellungen!$B$10,IF(L23&gt;6,Einstellungen!$B$9,0)))</f>
        <v>30</v>
      </c>
      <c r="L23" s="37">
        <f t="shared" si="1"/>
        <v>9</v>
      </c>
      <c r="M23" s="37">
        <f t="shared" si="2"/>
        <v>8.25</v>
      </c>
      <c r="N23" s="37">
        <f>IF(OR(D23="",H23="",I23=""),"",ROUND((MAX(0,MIN(AD23,D23+1+Einstellungen!$B$8)-MAX(AC23,D23+Einstellungen!$B$7))*24)+(MAX(0,MIN(AD23,D23+Einstellungen!$B$8)-MAX(AC23,D23-1+Einstellungen!$B$7))*24),2))</f>
        <v>0</v>
      </c>
      <c r="O23" s="37">
        <f t="shared" si="3"/>
        <v>0</v>
      </c>
      <c r="P23" s="37">
        <f>IF(OR(D23="",H23="",I23=""),"",ROUND(IF(COUNTIF(Einstellungen!$A$21:$A$45,D23)&gt;0,MAX(0,MIN(AD23,D23+1)-MAX(AC23,D23))*24,0)+IF(AD23&gt;D23+1,IF(COUNTIF(Einstellungen!$A$21:$A$45,D23+1)&gt;0,MAX(0,MIN(AD23,D23+2)-MAX(AC23,D23+1))*24,0),0),2))</f>
        <v>0</v>
      </c>
      <c r="Q23" s="34" t="str">
        <f>IF(D23="","",TRIM(IFERROR(VLOOKUP(D23,Einstellungen!$A$21:$B$45,2,FALSE)&amp;" ","")&amp;IF(I23&lt;=H23,IFERROR(VLOOKUP(D23+1,Einstellungen!$A$21:$B$45,2,FALSE),""),"")))</f>
        <v/>
      </c>
      <c r="R23" s="38">
        <f>IFERROR(INDEX(Mitarbeiter!$G$6:$G$35,MATCH(B23,Mitarbeiter!$A$6:$A$35,0)),"")</f>
        <v>17.8</v>
      </c>
      <c r="S23" s="38">
        <f t="shared" si="4"/>
        <v>146.85</v>
      </c>
      <c r="T23" s="38">
        <f>IF(M23="","",ROUND(((N23*Einstellungen!$B$15)+(O23*Einstellungen!$B$16)+(P23*Einstellungen!$B$17))*R23,2))</f>
        <v>0</v>
      </c>
      <c r="U23" s="39">
        <v>0</v>
      </c>
      <c r="V23" s="38">
        <f t="shared" si="5"/>
        <v>146.85</v>
      </c>
      <c r="W23" s="34" t="str">
        <f t="shared" si="6"/>
        <v>OK</v>
      </c>
      <c r="X23" s="34" t="str">
        <f>IF(M23="","",IF(M23&gt;Einstellungen!$B$12,"kritisch &gt;10 Std.",IF(M23&gt;Einstellungen!$B$11,"prüfen &gt;8 Std.","OK")))</f>
        <v>prüfen &gt;8 Std.</v>
      </c>
      <c r="Y23" s="37" t="e">
        <f t="shared" ca="1" si="7"/>
        <v>#NAME?</v>
      </c>
      <c r="Z23" s="34" t="e">
        <f ca="1">IF(Y23="","",IF(Y23&lt;Einstellungen!$B$14,"kritisch &lt;10 Std.",IF(Y23&lt;Einstellungen!$B$13,"prüfen &lt;11 Std.","OK")))</f>
        <v>#NAME?</v>
      </c>
      <c r="AA23" s="33" t="s">
        <v>62</v>
      </c>
      <c r="AB23" s="33"/>
      <c r="AC23" s="40">
        <f t="shared" si="8"/>
        <v>46038.541666666664</v>
      </c>
      <c r="AD23" s="40">
        <f t="shared" si="9"/>
        <v>46038.916666666664</v>
      </c>
      <c r="AE23" s="41" t="e">
        <f ca="1">IF(B23="","",IF(COUNTIF($B$6:B22,B23)=0,"",_xludf.MAXIFS($AD$6:AD22,$B$6:B22,B23)))</f>
        <v>#NAME?</v>
      </c>
    </row>
    <row r="24" spans="1:31" ht="21.95" customHeight="1" x14ac:dyDescent="0.25">
      <c r="A24" s="32" t="s">
        <v>102</v>
      </c>
      <c r="B24" s="33" t="s">
        <v>68</v>
      </c>
      <c r="C24" s="34" t="str">
        <f>IFERROR(INDEX(Mitarbeiter!$B$6:$B$35,MATCH(B24,Mitarbeiter!$A$6:$A$35,0)),"")</f>
        <v>Beispiel Bar A</v>
      </c>
      <c r="D24" s="74">
        <v>46039</v>
      </c>
      <c r="E24" s="34" t="str">
        <f t="shared" si="0"/>
        <v>Sa</v>
      </c>
      <c r="F24" s="33" t="s">
        <v>30</v>
      </c>
      <c r="G24" s="33" t="s">
        <v>69</v>
      </c>
      <c r="H24" s="35">
        <v>0.75</v>
      </c>
      <c r="I24" s="35">
        <v>8.3333333333333329E-2</v>
      </c>
      <c r="J24" s="33">
        <v>45</v>
      </c>
      <c r="K24" s="36">
        <f>IF(L24="","",IF(L24&gt;9,Einstellungen!$B$10,IF(L24&gt;6,Einstellungen!$B$9,0)))</f>
        <v>30</v>
      </c>
      <c r="L24" s="37">
        <f t="shared" si="1"/>
        <v>8</v>
      </c>
      <c r="M24" s="37">
        <f t="shared" si="2"/>
        <v>7.25</v>
      </c>
      <c r="N24" s="37">
        <f>IF(OR(D24="",H24="",I24=""),"",ROUND((MAX(0,MIN(AD24,D24+1+Einstellungen!$B$8)-MAX(AC24,D24+Einstellungen!$B$7))*24)+(MAX(0,MIN(AD24,D24+Einstellungen!$B$8)-MAX(AC24,D24-1+Einstellungen!$B$7))*24),2))</f>
        <v>4</v>
      </c>
      <c r="O24" s="37">
        <f t="shared" si="3"/>
        <v>2</v>
      </c>
      <c r="P24" s="37">
        <f>IF(OR(D24="",H24="",I24=""),"",ROUND(IF(COUNTIF(Einstellungen!$A$21:$A$45,D24)&gt;0,MAX(0,MIN(AD24,D24+1)-MAX(AC24,D24))*24,0)+IF(AD24&gt;D24+1,IF(COUNTIF(Einstellungen!$A$21:$A$45,D24+1)&gt;0,MAX(0,MIN(AD24,D24+2)-MAX(AC24,D24+1))*24,0),0),2))</f>
        <v>0</v>
      </c>
      <c r="Q24" s="34" t="str">
        <f>IF(D24="","",TRIM(IFERROR(VLOOKUP(D24,Einstellungen!$A$21:$B$45,2,FALSE)&amp;" ","")&amp;IF(I24&lt;=H24,IFERROR(VLOOKUP(D24+1,Einstellungen!$A$21:$B$45,2,FALSE),""),"")))</f>
        <v/>
      </c>
      <c r="R24" s="38">
        <f>IFERROR(INDEX(Mitarbeiter!$G$6:$G$35,MATCH(B24,Mitarbeiter!$A$6:$A$35,0)),"")</f>
        <v>13.9</v>
      </c>
      <c r="S24" s="38">
        <f t="shared" si="4"/>
        <v>100.78</v>
      </c>
      <c r="T24" s="38">
        <f>IF(M24="","",ROUND(((N24*Einstellungen!$B$15)+(O24*Einstellungen!$B$16)+(P24*Einstellungen!$B$17))*R24,2))</f>
        <v>27.8</v>
      </c>
      <c r="U24" s="39">
        <v>49</v>
      </c>
      <c r="V24" s="38">
        <f t="shared" si="5"/>
        <v>177.58</v>
      </c>
      <c r="W24" s="34" t="str">
        <f t="shared" si="6"/>
        <v>OK</v>
      </c>
      <c r="X24" s="34" t="str">
        <f>IF(M24="","",IF(M24&gt;Einstellungen!$B$12,"kritisch &gt;10 Std.",IF(M24&gt;Einstellungen!$B$11,"prüfen &gt;8 Std.","OK")))</f>
        <v>OK</v>
      </c>
      <c r="Y24" s="37" t="e">
        <f t="shared" ca="1" si="7"/>
        <v>#NAME?</v>
      </c>
      <c r="Z24" s="34" t="e">
        <f ca="1">IF(Y24="","",IF(Y24&lt;Einstellungen!$B$14,"kritisch &lt;10 Std.",IF(Y24&lt;Einstellungen!$B$13,"prüfen &lt;11 Std.","OK")))</f>
        <v>#NAME?</v>
      </c>
      <c r="AA24" s="33" t="s">
        <v>77</v>
      </c>
      <c r="AB24" s="33" t="s">
        <v>103</v>
      </c>
      <c r="AC24" s="40">
        <f t="shared" si="8"/>
        <v>46039.75</v>
      </c>
      <c r="AD24" s="40">
        <f t="shared" si="9"/>
        <v>46040.083333333336</v>
      </c>
      <c r="AE24" s="41" t="e">
        <f ca="1">IF(B24="","",IF(COUNTIF($B$6:B23,B24)=0,"",_xludf.MAXIFS($AD$6:AD23,$B$6:B23,B24)))</f>
        <v>#NAME?</v>
      </c>
    </row>
    <row r="25" spans="1:31" ht="21.95" customHeight="1" x14ac:dyDescent="0.25">
      <c r="A25" s="32" t="s">
        <v>104</v>
      </c>
      <c r="B25" s="33" t="s">
        <v>72</v>
      </c>
      <c r="C25" s="34" t="str">
        <f>IFERROR(INDEX(Mitarbeiter!$B$6:$B$35,MATCH(B25,Mitarbeiter!$A$6:$A$35,0)),"")</f>
        <v>Beispiel Reinigung A</v>
      </c>
      <c r="D25" s="74">
        <v>46040</v>
      </c>
      <c r="E25" s="34" t="str">
        <f t="shared" si="0"/>
        <v>So</v>
      </c>
      <c r="F25" s="33" t="s">
        <v>32</v>
      </c>
      <c r="G25" s="33" t="s">
        <v>73</v>
      </c>
      <c r="H25" s="35">
        <v>0.29166666666666669</v>
      </c>
      <c r="I25" s="35">
        <v>0.54166666666666663</v>
      </c>
      <c r="J25" s="33">
        <v>0</v>
      </c>
      <c r="K25" s="36">
        <f>IF(L25="","",IF(L25&gt;9,Einstellungen!$B$10,IF(L25&gt;6,Einstellungen!$B$9,0)))</f>
        <v>0</v>
      </c>
      <c r="L25" s="37">
        <f t="shared" si="1"/>
        <v>5.9999999999999982</v>
      </c>
      <c r="M25" s="37">
        <f t="shared" si="2"/>
        <v>5.9999999999999982</v>
      </c>
      <c r="N25" s="37">
        <f>IF(OR(D25="",H25="",I25=""),"",ROUND((MAX(0,MIN(AD25,D25+1+Einstellungen!$B$8)-MAX(AC25,D25+Einstellungen!$B$7))*24)+(MAX(0,MIN(AD25,D25+Einstellungen!$B$8)-MAX(AC25,D25-1+Einstellungen!$B$7))*24),2))</f>
        <v>0</v>
      </c>
      <c r="O25" s="37">
        <f t="shared" si="3"/>
        <v>6</v>
      </c>
      <c r="P25" s="37">
        <f>IF(OR(D25="",H25="",I25=""),"",ROUND(IF(COUNTIF(Einstellungen!$A$21:$A$45,D25)&gt;0,MAX(0,MIN(AD25,D25+1)-MAX(AC25,D25))*24,0)+IF(AD25&gt;D25+1,IF(COUNTIF(Einstellungen!$A$21:$A$45,D25+1)&gt;0,MAX(0,MIN(AD25,D25+2)-MAX(AC25,D25+1))*24,0),0),2))</f>
        <v>0</v>
      </c>
      <c r="Q25" s="34" t="str">
        <f>IF(D25="","",TRIM(IFERROR(VLOOKUP(D25,Einstellungen!$A$21:$B$45,2,FALSE)&amp;" ","")&amp;IF(I25&lt;=H25,IFERROR(VLOOKUP(D25+1,Einstellungen!$A$21:$B$45,2,FALSE),""),"")))</f>
        <v/>
      </c>
      <c r="R25" s="38">
        <f>IFERROR(INDEX(Mitarbeiter!$G$6:$G$35,MATCH(B25,Mitarbeiter!$A$6:$A$35,0)),"")</f>
        <v>14.2</v>
      </c>
      <c r="S25" s="38">
        <f t="shared" si="4"/>
        <v>85.2</v>
      </c>
      <c r="T25" s="38">
        <f>IF(M25="","",ROUND(((N25*Einstellungen!$B$15)+(O25*Einstellungen!$B$16)+(P25*Einstellungen!$B$17))*R25,2))</f>
        <v>42.6</v>
      </c>
      <c r="U25" s="39">
        <v>0</v>
      </c>
      <c r="V25" s="38">
        <f t="shared" si="5"/>
        <v>127.8</v>
      </c>
      <c r="W25" s="34" t="str">
        <f t="shared" si="6"/>
        <v>OK</v>
      </c>
      <c r="X25" s="34" t="str">
        <f>IF(M25="","",IF(M25&gt;Einstellungen!$B$12,"kritisch &gt;10 Std.",IF(M25&gt;Einstellungen!$B$11,"prüfen &gt;8 Std.","OK")))</f>
        <v>OK</v>
      </c>
      <c r="Y25" s="37" t="e">
        <f t="shared" ca="1" si="7"/>
        <v>#NAME?</v>
      </c>
      <c r="Z25" s="34" t="e">
        <f ca="1">IF(Y25="","",IF(Y25&lt;Einstellungen!$B$14,"kritisch &lt;10 Std.",IF(Y25&lt;Einstellungen!$B$13,"prüfen &lt;11 Std.","OK")))</f>
        <v>#NAME?</v>
      </c>
      <c r="AA25" s="33" t="s">
        <v>62</v>
      </c>
      <c r="AB25" s="33" t="s">
        <v>105</v>
      </c>
      <c r="AC25" s="40">
        <f t="shared" si="8"/>
        <v>46040.291666666664</v>
      </c>
      <c r="AD25" s="40">
        <f t="shared" si="9"/>
        <v>46040.541666666664</v>
      </c>
      <c r="AE25" s="41" t="e">
        <f ca="1">IF(B25="","",IF(COUNTIF($B$6:B24,B25)=0,"",_xludf.MAXIFS($AD$6:AD24,$B$6:B24,B25)))</f>
        <v>#NAME?</v>
      </c>
    </row>
    <row r="26" spans="1:31" ht="21.95" customHeight="1" x14ac:dyDescent="0.25">
      <c r="A26" s="32" t="s">
        <v>106</v>
      </c>
      <c r="B26" s="33" t="s">
        <v>60</v>
      </c>
      <c r="C26" s="34" t="str">
        <f>IFERROR(INDEX(Mitarbeiter!$B$6:$B$35,MATCH(B26,Mitarbeiter!$A$6:$A$35,0)),"")</f>
        <v>Beispiel Servicekraft A</v>
      </c>
      <c r="D26" s="74">
        <v>46040</v>
      </c>
      <c r="E26" s="34" t="str">
        <f t="shared" si="0"/>
        <v>So</v>
      </c>
      <c r="F26" s="33" t="s">
        <v>28</v>
      </c>
      <c r="G26" s="33" t="s">
        <v>76</v>
      </c>
      <c r="H26" s="35">
        <v>0.45833333333333331</v>
      </c>
      <c r="I26" s="35">
        <v>0.79166666666666663</v>
      </c>
      <c r="J26" s="33">
        <v>30</v>
      </c>
      <c r="K26" s="36">
        <f>IF(L26="","",IF(L26&gt;9,Einstellungen!$B$10,IF(L26&gt;6,Einstellungen!$B$9,0)))</f>
        <v>30</v>
      </c>
      <c r="L26" s="37">
        <f t="shared" si="1"/>
        <v>8</v>
      </c>
      <c r="M26" s="37">
        <f t="shared" si="2"/>
        <v>7.5</v>
      </c>
      <c r="N26" s="37">
        <f>IF(OR(D26="",H26="",I26=""),"",ROUND((MAX(0,MIN(AD26,D26+1+Einstellungen!$B$8)-MAX(AC26,D26+Einstellungen!$B$7))*24)+(MAX(0,MIN(AD26,D26+Einstellungen!$B$8)-MAX(AC26,D26-1+Einstellungen!$B$7))*24),2))</f>
        <v>0</v>
      </c>
      <c r="O26" s="37">
        <f t="shared" si="3"/>
        <v>8</v>
      </c>
      <c r="P26" s="37">
        <f>IF(OR(D26="",H26="",I26=""),"",ROUND(IF(COUNTIF(Einstellungen!$A$21:$A$45,D26)&gt;0,MAX(0,MIN(AD26,D26+1)-MAX(AC26,D26))*24,0)+IF(AD26&gt;D26+1,IF(COUNTIF(Einstellungen!$A$21:$A$45,D26+1)&gt;0,MAX(0,MIN(AD26,D26+2)-MAX(AC26,D26+1))*24,0),0),2))</f>
        <v>0</v>
      </c>
      <c r="Q26" s="34" t="str">
        <f>IF(D26="","",TRIM(IFERROR(VLOOKUP(D26,Einstellungen!$A$21:$B$45,2,FALSE)&amp;" ","")&amp;IF(I26&lt;=H26,IFERROR(VLOOKUP(D26+1,Einstellungen!$A$21:$B$45,2,FALSE),""),"")))</f>
        <v/>
      </c>
      <c r="R26" s="38">
        <f>IFERROR(INDEX(Mitarbeiter!$G$6:$G$35,MATCH(B26,Mitarbeiter!$A$6:$A$35,0)),"")</f>
        <v>14.5</v>
      </c>
      <c r="S26" s="38">
        <f t="shared" si="4"/>
        <v>108.75</v>
      </c>
      <c r="T26" s="38">
        <f>IF(M26="","",ROUND(((N26*Einstellungen!$B$15)+(O26*Einstellungen!$B$16)+(P26*Einstellungen!$B$17))*R26,2))</f>
        <v>58</v>
      </c>
      <c r="U26" s="39">
        <v>34</v>
      </c>
      <c r="V26" s="38">
        <f t="shared" si="5"/>
        <v>200.75</v>
      </c>
      <c r="W26" s="34" t="str">
        <f t="shared" si="6"/>
        <v>OK</v>
      </c>
      <c r="X26" s="34" t="str">
        <f>IF(M26="","",IF(M26&gt;Einstellungen!$B$12,"kritisch &gt;10 Std.",IF(M26&gt;Einstellungen!$B$11,"prüfen &gt;8 Std.","OK")))</f>
        <v>OK</v>
      </c>
      <c r="Y26" s="37" t="e">
        <f t="shared" ca="1" si="7"/>
        <v>#NAME?</v>
      </c>
      <c r="Z26" s="34" t="e">
        <f ca="1">IF(Y26="","",IF(Y26&lt;Einstellungen!$B$14,"kritisch &lt;10 Std.",IF(Y26&lt;Einstellungen!$B$13,"prüfen &lt;11 Std.","OK")))</f>
        <v>#NAME?</v>
      </c>
      <c r="AA26" s="33" t="s">
        <v>62</v>
      </c>
      <c r="AB26" s="33"/>
      <c r="AC26" s="40">
        <f t="shared" si="8"/>
        <v>46040.458333333336</v>
      </c>
      <c r="AD26" s="40">
        <f t="shared" si="9"/>
        <v>46040.791666666664</v>
      </c>
      <c r="AE26" s="41" t="e">
        <f ca="1">IF(B26="","",IF(COUNTIF($B$6:B25,B26)=0,"",_xludf.MAXIFS($AD$6:AD25,$B$6:B25,B26)))</f>
        <v>#NAME?</v>
      </c>
    </row>
    <row r="27" spans="1:31" ht="21.95" customHeight="1" x14ac:dyDescent="0.25">
      <c r="A27" s="32" t="s">
        <v>107</v>
      </c>
      <c r="B27" s="33" t="s">
        <v>65</v>
      </c>
      <c r="C27" s="34" t="str">
        <f>IFERROR(INDEX(Mitarbeiter!$B$6:$B$35,MATCH(B27,Mitarbeiter!$A$6:$A$35,0)),"")</f>
        <v>Beispiel Küche A</v>
      </c>
      <c r="D27" s="74">
        <v>46041</v>
      </c>
      <c r="E27" s="34" t="str">
        <f t="shared" si="0"/>
        <v>Mo</v>
      </c>
      <c r="F27" s="33" t="s">
        <v>29</v>
      </c>
      <c r="G27" s="33" t="s">
        <v>73</v>
      </c>
      <c r="H27" s="35">
        <v>0.33333333333333331</v>
      </c>
      <c r="I27" s="35">
        <v>0.66666666666666663</v>
      </c>
      <c r="J27" s="33">
        <v>30</v>
      </c>
      <c r="K27" s="36">
        <f>IF(L27="","",IF(L27&gt;9,Einstellungen!$B$10,IF(L27&gt;6,Einstellungen!$B$9,0)))</f>
        <v>30</v>
      </c>
      <c r="L27" s="37">
        <f t="shared" si="1"/>
        <v>8</v>
      </c>
      <c r="M27" s="37">
        <f t="shared" si="2"/>
        <v>7.5</v>
      </c>
      <c r="N27" s="37">
        <f>IF(OR(D27="",H27="",I27=""),"",ROUND((MAX(0,MIN(AD27,D27+1+Einstellungen!$B$8)-MAX(AC27,D27+Einstellungen!$B$7))*24)+(MAX(0,MIN(AD27,D27+Einstellungen!$B$8)-MAX(AC27,D27-1+Einstellungen!$B$7))*24),2))</f>
        <v>0</v>
      </c>
      <c r="O27" s="37">
        <f t="shared" si="3"/>
        <v>0</v>
      </c>
      <c r="P27" s="37">
        <f>IF(OR(D27="",H27="",I27=""),"",ROUND(IF(COUNTIF(Einstellungen!$A$21:$A$45,D27)&gt;0,MAX(0,MIN(AD27,D27+1)-MAX(AC27,D27))*24,0)+IF(AD27&gt;D27+1,IF(COUNTIF(Einstellungen!$A$21:$A$45,D27+1)&gt;0,MAX(0,MIN(AD27,D27+2)-MAX(AC27,D27+1))*24,0),0),2))</f>
        <v>0</v>
      </c>
      <c r="Q27" s="34" t="str">
        <f>IF(D27="","",TRIM(IFERROR(VLOOKUP(D27,Einstellungen!$A$21:$B$45,2,FALSE)&amp;" ","")&amp;IF(I27&lt;=H27,IFERROR(VLOOKUP(D27+1,Einstellungen!$A$21:$B$45,2,FALSE),""),"")))</f>
        <v/>
      </c>
      <c r="R27" s="38">
        <f>IFERROR(INDEX(Mitarbeiter!$G$6:$G$35,MATCH(B27,Mitarbeiter!$A$6:$A$35,0)),"")</f>
        <v>17.8</v>
      </c>
      <c r="S27" s="38">
        <f t="shared" si="4"/>
        <v>133.5</v>
      </c>
      <c r="T27" s="38">
        <f>IF(M27="","",ROUND(((N27*Einstellungen!$B$15)+(O27*Einstellungen!$B$16)+(P27*Einstellungen!$B$17))*R27,2))</f>
        <v>0</v>
      </c>
      <c r="U27" s="39">
        <v>0</v>
      </c>
      <c r="V27" s="38">
        <f t="shared" si="5"/>
        <v>133.5</v>
      </c>
      <c r="W27" s="34" t="str">
        <f t="shared" si="6"/>
        <v>OK</v>
      </c>
      <c r="X27" s="34" t="str">
        <f>IF(M27="","",IF(M27&gt;Einstellungen!$B$12,"kritisch &gt;10 Std.",IF(M27&gt;Einstellungen!$B$11,"prüfen &gt;8 Std.","OK")))</f>
        <v>OK</v>
      </c>
      <c r="Y27" s="37" t="e">
        <f t="shared" ca="1" si="7"/>
        <v>#NAME?</v>
      </c>
      <c r="Z27" s="34" t="e">
        <f ca="1">IF(Y27="","",IF(Y27&lt;Einstellungen!$B$14,"kritisch &lt;10 Std.",IF(Y27&lt;Einstellungen!$B$13,"prüfen &lt;11 Std.","OK")))</f>
        <v>#NAME?</v>
      </c>
      <c r="AA27" s="33" t="s">
        <v>62</v>
      </c>
      <c r="AB27" s="33"/>
      <c r="AC27" s="40">
        <f t="shared" si="8"/>
        <v>46041.333333333336</v>
      </c>
      <c r="AD27" s="40">
        <f t="shared" si="9"/>
        <v>46041.666666666664</v>
      </c>
      <c r="AE27" s="41" t="e">
        <f ca="1">IF(B27="","",IF(COUNTIF($B$6:B26,B27)=0,"",_xludf.MAXIFS($AD$6:AD26,$B$6:B26,B27)))</f>
        <v>#NAME?</v>
      </c>
    </row>
    <row r="28" spans="1:31" ht="21.95" customHeight="1" x14ac:dyDescent="0.25">
      <c r="A28" s="32" t="s">
        <v>108</v>
      </c>
      <c r="B28" s="33" t="s">
        <v>82</v>
      </c>
      <c r="C28" s="34" t="str">
        <f>IFERROR(INDEX(Mitarbeiter!$B$6:$B$35,MATCH(B28,Mitarbeiter!$A$6:$A$35,0)),"")</f>
        <v>Beispiel Servicekraft B</v>
      </c>
      <c r="D28" s="74">
        <v>46042</v>
      </c>
      <c r="E28" s="34" t="str">
        <f t="shared" si="0"/>
        <v>Di</v>
      </c>
      <c r="F28" s="33" t="s">
        <v>28</v>
      </c>
      <c r="G28" s="33" t="s">
        <v>61</v>
      </c>
      <c r="H28" s="35">
        <v>0.66666666666666663</v>
      </c>
      <c r="I28" s="35">
        <v>0.9375</v>
      </c>
      <c r="J28" s="33">
        <v>30</v>
      </c>
      <c r="K28" s="36">
        <f>IF(L28="","",IF(L28&gt;9,Einstellungen!$B$10,IF(L28&gt;6,Einstellungen!$B$9,0)))</f>
        <v>30</v>
      </c>
      <c r="L28" s="37">
        <f t="shared" si="1"/>
        <v>6.5000000000000009</v>
      </c>
      <c r="M28" s="37">
        <f t="shared" si="2"/>
        <v>6.0000000000000009</v>
      </c>
      <c r="N28" s="37">
        <f>IF(OR(D28="",H28="",I28=""),"",ROUND((MAX(0,MIN(AD28,D28+1+Einstellungen!$B$8)-MAX(AC28,D28+Einstellungen!$B$7))*24)+(MAX(0,MIN(AD28,D28+Einstellungen!$B$8)-MAX(AC28,D28-1+Einstellungen!$B$7))*24),2))</f>
        <v>0.5</v>
      </c>
      <c r="O28" s="37">
        <f t="shared" si="3"/>
        <v>0</v>
      </c>
      <c r="P28" s="37">
        <f>IF(OR(D28="",H28="",I28=""),"",ROUND(IF(COUNTIF(Einstellungen!$A$21:$A$45,D28)&gt;0,MAX(0,MIN(AD28,D28+1)-MAX(AC28,D28))*24,0)+IF(AD28&gt;D28+1,IF(COUNTIF(Einstellungen!$A$21:$A$45,D28+1)&gt;0,MAX(0,MIN(AD28,D28+2)-MAX(AC28,D28+1))*24,0),0),2))</f>
        <v>0</v>
      </c>
      <c r="Q28" s="34" t="str">
        <f>IF(D28="","",TRIM(IFERROR(VLOOKUP(D28,Einstellungen!$A$21:$B$45,2,FALSE)&amp;" ","")&amp;IF(I28&lt;=H28,IFERROR(VLOOKUP(D28+1,Einstellungen!$A$21:$B$45,2,FALSE),""),"")))</f>
        <v/>
      </c>
      <c r="R28" s="38">
        <f>IFERROR(INDEX(Mitarbeiter!$G$6:$G$35,MATCH(B28,Mitarbeiter!$A$6:$A$35,0)),"")</f>
        <v>15</v>
      </c>
      <c r="S28" s="38">
        <f t="shared" si="4"/>
        <v>90</v>
      </c>
      <c r="T28" s="38">
        <f>IF(M28="","",ROUND(((N28*Einstellungen!$B$15)+(O28*Einstellungen!$B$16)+(P28*Einstellungen!$B$17))*R28,2))</f>
        <v>1.88</v>
      </c>
      <c r="U28" s="39">
        <v>24</v>
      </c>
      <c r="V28" s="38">
        <f t="shared" si="5"/>
        <v>115.88</v>
      </c>
      <c r="W28" s="34" t="str">
        <f t="shared" si="6"/>
        <v>OK</v>
      </c>
      <c r="X28" s="34" t="str">
        <f>IF(M28="","",IF(M28&gt;Einstellungen!$B$12,"kritisch &gt;10 Std.",IF(M28&gt;Einstellungen!$B$11,"prüfen &gt;8 Std.","OK")))</f>
        <v>OK</v>
      </c>
      <c r="Y28" s="37" t="e">
        <f t="shared" ca="1" si="7"/>
        <v>#NAME?</v>
      </c>
      <c r="Z28" s="34" t="e">
        <f ca="1">IF(Y28="","",IF(Y28&lt;Einstellungen!$B$14,"kritisch &lt;10 Std.",IF(Y28&lt;Einstellungen!$B$13,"prüfen &lt;11 Std.","OK")))</f>
        <v>#NAME?</v>
      </c>
      <c r="AA28" s="33" t="s">
        <v>77</v>
      </c>
      <c r="AB28" s="33"/>
      <c r="AC28" s="40">
        <f t="shared" si="8"/>
        <v>46042.666666666664</v>
      </c>
      <c r="AD28" s="40">
        <f t="shared" si="9"/>
        <v>46042.9375</v>
      </c>
      <c r="AE28" s="41" t="e">
        <f ca="1">IF(B28="","",IF(COUNTIF($B$6:B27,B28)=0,"",_xludf.MAXIFS($AD$6:AD27,$B$6:B27,B28)))</f>
        <v>#NAME?</v>
      </c>
    </row>
    <row r="29" spans="1:31" ht="21.95" customHeight="1" x14ac:dyDescent="0.25">
      <c r="A29" s="32" t="s">
        <v>109</v>
      </c>
      <c r="B29" s="33" t="s">
        <v>68</v>
      </c>
      <c r="C29" s="34" t="str">
        <f>IFERROR(INDEX(Mitarbeiter!$B$6:$B$35,MATCH(B29,Mitarbeiter!$A$6:$A$35,0)),"")</f>
        <v>Beispiel Bar A</v>
      </c>
      <c r="D29" s="74">
        <v>46043</v>
      </c>
      <c r="E29" s="34" t="str">
        <f t="shared" si="0"/>
        <v>Mi</v>
      </c>
      <c r="F29" s="33" t="s">
        <v>30</v>
      </c>
      <c r="G29" s="33" t="s">
        <v>61</v>
      </c>
      <c r="H29" s="35">
        <v>0.70833333333333337</v>
      </c>
      <c r="I29" s="35">
        <v>0.97916666666666663</v>
      </c>
      <c r="J29" s="33">
        <v>30</v>
      </c>
      <c r="K29" s="36">
        <f>IF(L29="","",IF(L29&gt;9,Einstellungen!$B$10,IF(L29&gt;6,Einstellungen!$B$9,0)))</f>
        <v>30</v>
      </c>
      <c r="L29" s="37">
        <f t="shared" si="1"/>
        <v>6.4999999999999982</v>
      </c>
      <c r="M29" s="37">
        <f t="shared" si="2"/>
        <v>5.9999999999999982</v>
      </c>
      <c r="N29" s="37">
        <f>IF(OR(D29="",H29="",I29=""),"",ROUND((MAX(0,MIN(AD29,D29+1+Einstellungen!$B$8)-MAX(AC29,D29+Einstellungen!$B$7))*24)+(MAX(0,MIN(AD29,D29+Einstellungen!$B$8)-MAX(AC29,D29-1+Einstellungen!$B$7))*24),2))</f>
        <v>1.5</v>
      </c>
      <c r="O29" s="37">
        <f t="shared" si="3"/>
        <v>0</v>
      </c>
      <c r="P29" s="37">
        <f>IF(OR(D29="",H29="",I29=""),"",ROUND(IF(COUNTIF(Einstellungen!$A$21:$A$45,D29)&gt;0,MAX(0,MIN(AD29,D29+1)-MAX(AC29,D29))*24,0)+IF(AD29&gt;D29+1,IF(COUNTIF(Einstellungen!$A$21:$A$45,D29+1)&gt;0,MAX(0,MIN(AD29,D29+2)-MAX(AC29,D29+1))*24,0),0),2))</f>
        <v>0</v>
      </c>
      <c r="Q29" s="34" t="str">
        <f>IF(D29="","",TRIM(IFERROR(VLOOKUP(D29,Einstellungen!$A$21:$B$45,2,FALSE)&amp;" ","")&amp;IF(I29&lt;=H29,IFERROR(VLOOKUP(D29+1,Einstellungen!$A$21:$B$45,2,FALSE),""),"")))</f>
        <v/>
      </c>
      <c r="R29" s="38">
        <f>IFERROR(INDEX(Mitarbeiter!$G$6:$G$35,MATCH(B29,Mitarbeiter!$A$6:$A$35,0)),"")</f>
        <v>13.9</v>
      </c>
      <c r="S29" s="38">
        <f t="shared" si="4"/>
        <v>83.4</v>
      </c>
      <c r="T29" s="38">
        <f>IF(M29="","",ROUND(((N29*Einstellungen!$B$15)+(O29*Einstellungen!$B$16)+(P29*Einstellungen!$B$17))*R29,2))</f>
        <v>5.21</v>
      </c>
      <c r="U29" s="39">
        <v>33</v>
      </c>
      <c r="V29" s="38">
        <f t="shared" si="5"/>
        <v>121.61</v>
      </c>
      <c r="W29" s="34" t="str">
        <f t="shared" si="6"/>
        <v>OK</v>
      </c>
      <c r="X29" s="34" t="str">
        <f>IF(M29="","",IF(M29&gt;Einstellungen!$B$12,"kritisch &gt;10 Std.",IF(M29&gt;Einstellungen!$B$11,"prüfen &gt;8 Std.","OK")))</f>
        <v>OK</v>
      </c>
      <c r="Y29" s="37" t="e">
        <f t="shared" ca="1" si="7"/>
        <v>#NAME?</v>
      </c>
      <c r="Z29" s="34" t="e">
        <f ca="1">IF(Y29="","",IF(Y29&lt;Einstellungen!$B$14,"kritisch &lt;10 Std.",IF(Y29&lt;Einstellungen!$B$13,"prüfen &lt;11 Std.","OK")))</f>
        <v>#NAME?</v>
      </c>
      <c r="AA29" s="33" t="s">
        <v>62</v>
      </c>
      <c r="AB29" s="33"/>
      <c r="AC29" s="40">
        <f t="shared" si="8"/>
        <v>46043.708333333336</v>
      </c>
      <c r="AD29" s="40">
        <f t="shared" si="9"/>
        <v>46043.979166666664</v>
      </c>
      <c r="AE29" s="41" t="e">
        <f ca="1">IF(B29="","",IF(COUNTIF($B$6:B28,B29)=0,"",_xludf.MAXIFS($AD$6:AD28,$B$6:B28,B29)))</f>
        <v>#NAME?</v>
      </c>
    </row>
    <row r="30" spans="1:31" ht="21.95" customHeight="1" x14ac:dyDescent="0.25">
      <c r="A30" s="32" t="s">
        <v>110</v>
      </c>
      <c r="B30" s="33" t="s">
        <v>60</v>
      </c>
      <c r="C30" s="34" t="str">
        <f>IFERROR(INDEX(Mitarbeiter!$B$6:$B$35,MATCH(B30,Mitarbeiter!$A$6:$A$35,0)),"")</f>
        <v>Beispiel Servicekraft A</v>
      </c>
      <c r="D30" s="74">
        <v>46045</v>
      </c>
      <c r="E30" s="34" t="str">
        <f t="shared" si="0"/>
        <v>Fr</v>
      </c>
      <c r="F30" s="33" t="s">
        <v>28</v>
      </c>
      <c r="G30" s="33" t="s">
        <v>85</v>
      </c>
      <c r="H30" s="35">
        <v>0.70833333333333337</v>
      </c>
      <c r="I30" s="35">
        <v>4.1666666666666664E-2</v>
      </c>
      <c r="J30" s="33">
        <v>45</v>
      </c>
      <c r="K30" s="36">
        <f>IF(L30="","",IF(L30&gt;9,Einstellungen!$B$10,IF(L30&gt;6,Einstellungen!$B$9,0)))</f>
        <v>30</v>
      </c>
      <c r="L30" s="37">
        <f t="shared" si="1"/>
        <v>7.9999999999999982</v>
      </c>
      <c r="M30" s="37">
        <f t="shared" si="2"/>
        <v>7.2499999999999982</v>
      </c>
      <c r="N30" s="37">
        <f>IF(OR(D30="",H30="",I30=""),"",ROUND((MAX(0,MIN(AD30,D30+1+Einstellungen!$B$8)-MAX(AC30,D30+Einstellungen!$B$7))*24)+(MAX(0,MIN(AD30,D30+Einstellungen!$B$8)-MAX(AC30,D30-1+Einstellungen!$B$7))*24),2))</f>
        <v>3</v>
      </c>
      <c r="O30" s="37">
        <f t="shared" si="3"/>
        <v>0</v>
      </c>
      <c r="P30" s="37">
        <f>IF(OR(D30="",H30="",I30=""),"",ROUND(IF(COUNTIF(Einstellungen!$A$21:$A$45,D30)&gt;0,MAX(0,MIN(AD30,D30+1)-MAX(AC30,D30))*24,0)+IF(AD30&gt;D30+1,IF(COUNTIF(Einstellungen!$A$21:$A$45,D30+1)&gt;0,MAX(0,MIN(AD30,D30+2)-MAX(AC30,D30+1))*24,0),0),2))</f>
        <v>0</v>
      </c>
      <c r="Q30" s="34" t="str">
        <f>IF(D30="","",TRIM(IFERROR(VLOOKUP(D30,Einstellungen!$A$21:$B$45,2,FALSE)&amp;" ","")&amp;IF(I30&lt;=H30,IFERROR(VLOOKUP(D30+1,Einstellungen!$A$21:$B$45,2,FALSE),""),"")))</f>
        <v/>
      </c>
      <c r="R30" s="38">
        <f>IFERROR(INDEX(Mitarbeiter!$G$6:$G$35,MATCH(B30,Mitarbeiter!$A$6:$A$35,0)),"")</f>
        <v>14.5</v>
      </c>
      <c r="S30" s="38">
        <f t="shared" si="4"/>
        <v>105.13</v>
      </c>
      <c r="T30" s="38">
        <f>IF(M30="","",ROUND(((N30*Einstellungen!$B$15)+(O30*Einstellungen!$B$16)+(P30*Einstellungen!$B$17))*R30,2))</f>
        <v>10.88</v>
      </c>
      <c r="U30" s="39">
        <v>58</v>
      </c>
      <c r="V30" s="38">
        <f t="shared" si="5"/>
        <v>174.01</v>
      </c>
      <c r="W30" s="34" t="str">
        <f t="shared" si="6"/>
        <v>OK</v>
      </c>
      <c r="X30" s="34" t="str">
        <f>IF(M30="","",IF(M30&gt;Einstellungen!$B$12,"kritisch &gt;10 Std.",IF(M30&gt;Einstellungen!$B$11,"prüfen &gt;8 Std.","OK")))</f>
        <v>OK</v>
      </c>
      <c r="Y30" s="37" t="e">
        <f t="shared" ca="1" si="7"/>
        <v>#NAME?</v>
      </c>
      <c r="Z30" s="34" t="e">
        <f ca="1">IF(Y30="","",IF(Y30&lt;Einstellungen!$B$14,"kritisch &lt;10 Std.",IF(Y30&lt;Einstellungen!$B$13,"prüfen &lt;11 Std.","OK")))</f>
        <v>#NAME?</v>
      </c>
      <c r="AA30" s="33" t="s">
        <v>62</v>
      </c>
      <c r="AB30" s="33" t="s">
        <v>111</v>
      </c>
      <c r="AC30" s="40">
        <f t="shared" si="8"/>
        <v>46045.708333333336</v>
      </c>
      <c r="AD30" s="40">
        <f t="shared" si="9"/>
        <v>46046.041666666664</v>
      </c>
      <c r="AE30" s="41" t="e">
        <f ca="1">IF(B30="","",IF(COUNTIF($B$6:B29,B30)=0,"",_xludf.MAXIFS($AD$6:AD29,$B$6:B29,B30)))</f>
        <v>#NAME?</v>
      </c>
    </row>
    <row r="31" spans="1:31" ht="21.95" customHeight="1" x14ac:dyDescent="0.25">
      <c r="A31" s="32" t="s">
        <v>112</v>
      </c>
      <c r="B31" s="33" t="s">
        <v>65</v>
      </c>
      <c r="C31" s="34" t="str">
        <f>IFERROR(INDEX(Mitarbeiter!$B$6:$B$35,MATCH(B31,Mitarbeiter!$A$6:$A$35,0)),"")</f>
        <v>Beispiel Küche A</v>
      </c>
      <c r="D31" s="74">
        <v>46045</v>
      </c>
      <c r="E31" s="34" t="str">
        <f t="shared" si="0"/>
        <v>Fr</v>
      </c>
      <c r="F31" s="33" t="s">
        <v>29</v>
      </c>
      <c r="G31" s="33" t="s">
        <v>85</v>
      </c>
      <c r="H31" s="35">
        <v>0.5</v>
      </c>
      <c r="I31" s="35">
        <v>0.91666666666666663</v>
      </c>
      <c r="J31" s="33">
        <v>45</v>
      </c>
      <c r="K31" s="36">
        <f>IF(L31="","",IF(L31&gt;9,Einstellungen!$B$10,IF(L31&gt;6,Einstellungen!$B$9,0)))</f>
        <v>45</v>
      </c>
      <c r="L31" s="37">
        <f t="shared" si="1"/>
        <v>10</v>
      </c>
      <c r="M31" s="37">
        <f t="shared" si="2"/>
        <v>9.25</v>
      </c>
      <c r="N31" s="37">
        <f>IF(OR(D31="",H31="",I31=""),"",ROUND((MAX(0,MIN(AD31,D31+1+Einstellungen!$B$8)-MAX(AC31,D31+Einstellungen!$B$7))*24)+(MAX(0,MIN(AD31,D31+Einstellungen!$B$8)-MAX(AC31,D31-1+Einstellungen!$B$7))*24),2))</f>
        <v>0</v>
      </c>
      <c r="O31" s="37">
        <f t="shared" si="3"/>
        <v>0</v>
      </c>
      <c r="P31" s="37">
        <f>IF(OR(D31="",H31="",I31=""),"",ROUND(IF(COUNTIF(Einstellungen!$A$21:$A$45,D31)&gt;0,MAX(0,MIN(AD31,D31+1)-MAX(AC31,D31))*24,0)+IF(AD31&gt;D31+1,IF(COUNTIF(Einstellungen!$A$21:$A$45,D31+1)&gt;0,MAX(0,MIN(AD31,D31+2)-MAX(AC31,D31+1))*24,0),0),2))</f>
        <v>0</v>
      </c>
      <c r="Q31" s="34" t="str">
        <f>IF(D31="","",TRIM(IFERROR(VLOOKUP(D31,Einstellungen!$A$21:$B$45,2,FALSE)&amp;" ","")&amp;IF(I31&lt;=H31,IFERROR(VLOOKUP(D31+1,Einstellungen!$A$21:$B$45,2,FALSE),""),"")))</f>
        <v/>
      </c>
      <c r="R31" s="38">
        <f>IFERROR(INDEX(Mitarbeiter!$G$6:$G$35,MATCH(B31,Mitarbeiter!$A$6:$A$35,0)),"")</f>
        <v>17.8</v>
      </c>
      <c r="S31" s="38">
        <f t="shared" si="4"/>
        <v>164.65</v>
      </c>
      <c r="T31" s="38">
        <f>IF(M31="","",ROUND(((N31*Einstellungen!$B$15)+(O31*Einstellungen!$B$16)+(P31*Einstellungen!$B$17))*R31,2))</f>
        <v>0</v>
      </c>
      <c r="U31" s="39">
        <v>0</v>
      </c>
      <c r="V31" s="38">
        <f t="shared" si="5"/>
        <v>164.65</v>
      </c>
      <c r="W31" s="34" t="str">
        <f t="shared" si="6"/>
        <v>OK</v>
      </c>
      <c r="X31" s="34" t="str">
        <f>IF(M31="","",IF(M31&gt;Einstellungen!$B$12,"kritisch &gt;10 Std.",IF(M31&gt;Einstellungen!$B$11,"prüfen &gt;8 Std.","OK")))</f>
        <v>prüfen &gt;8 Std.</v>
      </c>
      <c r="Y31" s="37" t="e">
        <f t="shared" ca="1" si="7"/>
        <v>#NAME?</v>
      </c>
      <c r="Z31" s="34" t="e">
        <f ca="1">IF(Y31="","",IF(Y31&lt;Einstellungen!$B$14,"kritisch &lt;10 Std.",IF(Y31&lt;Einstellungen!$B$13,"prüfen &lt;11 Std.","OK")))</f>
        <v>#NAME?</v>
      </c>
      <c r="AA31" s="33" t="s">
        <v>86</v>
      </c>
      <c r="AB31" s="33" t="s">
        <v>113</v>
      </c>
      <c r="AC31" s="40">
        <f t="shared" si="8"/>
        <v>46045.5</v>
      </c>
      <c r="AD31" s="40">
        <f t="shared" si="9"/>
        <v>46045.916666666664</v>
      </c>
      <c r="AE31" s="41" t="e">
        <f ca="1">IF(B31="","",IF(COUNTIF($B$6:B30,B31)=0,"",_xludf.MAXIFS($AD$6:AD30,$B$6:B30,B31)))</f>
        <v>#NAME?</v>
      </c>
    </row>
    <row r="32" spans="1:31" ht="21.95" customHeight="1" x14ac:dyDescent="0.25">
      <c r="A32" s="32" t="s">
        <v>114</v>
      </c>
      <c r="B32" s="33" t="s">
        <v>82</v>
      </c>
      <c r="C32" s="34" t="str">
        <f>IFERROR(INDEX(Mitarbeiter!$B$6:$B$35,MATCH(B32,Mitarbeiter!$A$6:$A$35,0)),"")</f>
        <v>Beispiel Servicekraft B</v>
      </c>
      <c r="D32" s="74">
        <v>46046</v>
      </c>
      <c r="E32" s="34" t="str">
        <f t="shared" si="0"/>
        <v>Sa</v>
      </c>
      <c r="F32" s="33" t="s">
        <v>28</v>
      </c>
      <c r="G32" s="33" t="s">
        <v>73</v>
      </c>
      <c r="H32" s="35">
        <v>0.33333333333333331</v>
      </c>
      <c r="I32" s="35">
        <v>0.58333333333333337</v>
      </c>
      <c r="J32" s="33">
        <v>0</v>
      </c>
      <c r="K32" s="36">
        <f>IF(L32="","",IF(L32&gt;9,Einstellungen!$B$10,IF(L32&gt;6,Einstellungen!$B$9,0)))</f>
        <v>0</v>
      </c>
      <c r="L32" s="37">
        <f t="shared" si="1"/>
        <v>6.0000000000000018</v>
      </c>
      <c r="M32" s="37">
        <f t="shared" si="2"/>
        <v>6.0000000000000018</v>
      </c>
      <c r="N32" s="37">
        <f>IF(OR(D32="",H32="",I32=""),"",ROUND((MAX(0,MIN(AD32,D32+1+Einstellungen!$B$8)-MAX(AC32,D32+Einstellungen!$B$7))*24)+(MAX(0,MIN(AD32,D32+Einstellungen!$B$8)-MAX(AC32,D32-1+Einstellungen!$B$7))*24),2))</f>
        <v>0</v>
      </c>
      <c r="O32" s="37">
        <f t="shared" si="3"/>
        <v>0</v>
      </c>
      <c r="P32" s="37">
        <f>IF(OR(D32="",H32="",I32=""),"",ROUND(IF(COUNTIF(Einstellungen!$A$21:$A$45,D32)&gt;0,MAX(0,MIN(AD32,D32+1)-MAX(AC32,D32))*24,0)+IF(AD32&gt;D32+1,IF(COUNTIF(Einstellungen!$A$21:$A$45,D32+1)&gt;0,MAX(0,MIN(AD32,D32+2)-MAX(AC32,D32+1))*24,0),0),2))</f>
        <v>0</v>
      </c>
      <c r="Q32" s="34" t="str">
        <f>IF(D32="","",TRIM(IFERROR(VLOOKUP(D32,Einstellungen!$A$21:$B$45,2,FALSE)&amp;" ","")&amp;IF(I32&lt;=H32,IFERROR(VLOOKUP(D32+1,Einstellungen!$A$21:$B$45,2,FALSE),""),"")))</f>
        <v/>
      </c>
      <c r="R32" s="38">
        <f>IFERROR(INDEX(Mitarbeiter!$G$6:$G$35,MATCH(B32,Mitarbeiter!$A$6:$A$35,0)),"")</f>
        <v>15</v>
      </c>
      <c r="S32" s="38">
        <f t="shared" si="4"/>
        <v>90</v>
      </c>
      <c r="T32" s="38">
        <f>IF(M32="","",ROUND(((N32*Einstellungen!$B$15)+(O32*Einstellungen!$B$16)+(P32*Einstellungen!$B$17))*R32,2))</f>
        <v>0</v>
      </c>
      <c r="U32" s="39">
        <v>12</v>
      </c>
      <c r="V32" s="38">
        <f t="shared" si="5"/>
        <v>102</v>
      </c>
      <c r="W32" s="34" t="str">
        <f t="shared" si="6"/>
        <v>OK</v>
      </c>
      <c r="X32" s="34" t="str">
        <f>IF(M32="","",IF(M32&gt;Einstellungen!$B$12,"kritisch &gt;10 Std.",IF(M32&gt;Einstellungen!$B$11,"prüfen &gt;8 Std.","OK")))</f>
        <v>OK</v>
      </c>
      <c r="Y32" s="37" t="e">
        <f t="shared" ca="1" si="7"/>
        <v>#NAME?</v>
      </c>
      <c r="Z32" s="34" t="e">
        <f ca="1">IF(Y32="","",IF(Y32&lt;Einstellungen!$B$14,"kritisch &lt;10 Std.",IF(Y32&lt;Einstellungen!$B$13,"prüfen &lt;11 Std.","OK")))</f>
        <v>#NAME?</v>
      </c>
      <c r="AA32" s="33" t="s">
        <v>62</v>
      </c>
      <c r="AB32" s="33"/>
      <c r="AC32" s="40">
        <f t="shared" si="8"/>
        <v>46046.333333333336</v>
      </c>
      <c r="AD32" s="40">
        <f t="shared" si="9"/>
        <v>46046.583333333336</v>
      </c>
      <c r="AE32" s="41" t="e">
        <f ca="1">IF(B32="","",IF(COUNTIF($B$6:B31,B32)=0,"",_xludf.MAXIFS($AD$6:AD31,$B$6:B31,B32)))</f>
        <v>#NAME?</v>
      </c>
    </row>
    <row r="33" spans="1:31" ht="21.95" customHeight="1" x14ac:dyDescent="0.25">
      <c r="A33" s="32" t="s">
        <v>115</v>
      </c>
      <c r="B33" s="33" t="s">
        <v>72</v>
      </c>
      <c r="C33" s="34" t="str">
        <f>IFERROR(INDEX(Mitarbeiter!$B$6:$B$35,MATCH(B33,Mitarbeiter!$A$6:$A$35,0)),"")</f>
        <v>Beispiel Reinigung A</v>
      </c>
      <c r="D33" s="74">
        <v>46047</v>
      </c>
      <c r="E33" s="34" t="str">
        <f t="shared" si="0"/>
        <v>So</v>
      </c>
      <c r="F33" s="33" t="s">
        <v>32</v>
      </c>
      <c r="G33" s="33" t="s">
        <v>73</v>
      </c>
      <c r="H33" s="35">
        <v>0.25</v>
      </c>
      <c r="I33" s="35">
        <v>0.5</v>
      </c>
      <c r="J33" s="33">
        <v>0</v>
      </c>
      <c r="K33" s="36">
        <f>IF(L33="","",IF(L33&gt;9,Einstellungen!$B$10,IF(L33&gt;6,Einstellungen!$B$9,0)))</f>
        <v>0</v>
      </c>
      <c r="L33" s="37">
        <f t="shared" si="1"/>
        <v>6</v>
      </c>
      <c r="M33" s="37">
        <f t="shared" si="2"/>
        <v>6</v>
      </c>
      <c r="N33" s="37">
        <f>IF(OR(D33="",H33="",I33=""),"",ROUND((MAX(0,MIN(AD33,D33+1+Einstellungen!$B$8)-MAX(AC33,D33+Einstellungen!$B$7))*24)+(MAX(0,MIN(AD33,D33+Einstellungen!$B$8)-MAX(AC33,D33-1+Einstellungen!$B$7))*24),2))</f>
        <v>0</v>
      </c>
      <c r="O33" s="37">
        <f t="shared" si="3"/>
        <v>6</v>
      </c>
      <c r="P33" s="37">
        <f>IF(OR(D33="",H33="",I33=""),"",ROUND(IF(COUNTIF(Einstellungen!$A$21:$A$45,D33)&gt;0,MAX(0,MIN(AD33,D33+1)-MAX(AC33,D33))*24,0)+IF(AD33&gt;D33+1,IF(COUNTIF(Einstellungen!$A$21:$A$45,D33+1)&gt;0,MAX(0,MIN(AD33,D33+2)-MAX(AC33,D33+1))*24,0),0),2))</f>
        <v>0</v>
      </c>
      <c r="Q33" s="34" t="str">
        <f>IF(D33="","",TRIM(IFERROR(VLOOKUP(D33,Einstellungen!$A$21:$B$45,2,FALSE)&amp;" ","")&amp;IF(I33&lt;=H33,IFERROR(VLOOKUP(D33+1,Einstellungen!$A$21:$B$45,2,FALSE),""),"")))</f>
        <v/>
      </c>
      <c r="R33" s="38">
        <f>IFERROR(INDEX(Mitarbeiter!$G$6:$G$35,MATCH(B33,Mitarbeiter!$A$6:$A$35,0)),"")</f>
        <v>14.2</v>
      </c>
      <c r="S33" s="38">
        <f t="shared" si="4"/>
        <v>85.2</v>
      </c>
      <c r="T33" s="38">
        <f>IF(M33="","",ROUND(((N33*Einstellungen!$B$15)+(O33*Einstellungen!$B$16)+(P33*Einstellungen!$B$17))*R33,2))</f>
        <v>42.6</v>
      </c>
      <c r="U33" s="39">
        <v>0</v>
      </c>
      <c r="V33" s="38">
        <f t="shared" si="5"/>
        <v>127.8</v>
      </c>
      <c r="W33" s="34" t="str">
        <f t="shared" si="6"/>
        <v>OK</v>
      </c>
      <c r="X33" s="34" t="str">
        <f>IF(M33="","",IF(M33&gt;Einstellungen!$B$12,"kritisch &gt;10 Std.",IF(M33&gt;Einstellungen!$B$11,"prüfen &gt;8 Std.","OK")))</f>
        <v>OK</v>
      </c>
      <c r="Y33" s="37" t="e">
        <f t="shared" ca="1" si="7"/>
        <v>#NAME?</v>
      </c>
      <c r="Z33" s="34" t="e">
        <f ca="1">IF(Y33="","",IF(Y33&lt;Einstellungen!$B$14,"kritisch &lt;10 Std.",IF(Y33&lt;Einstellungen!$B$13,"prüfen &lt;11 Std.","OK")))</f>
        <v>#NAME?</v>
      </c>
      <c r="AA33" s="33" t="s">
        <v>62</v>
      </c>
      <c r="AB33" s="33"/>
      <c r="AC33" s="40">
        <f t="shared" si="8"/>
        <v>46047.25</v>
      </c>
      <c r="AD33" s="40">
        <f t="shared" si="9"/>
        <v>46047.5</v>
      </c>
      <c r="AE33" s="41" t="e">
        <f ca="1">IF(B33="","",IF(COUNTIF($B$6:B32,B33)=0,"",_xludf.MAXIFS($AD$6:AD32,$B$6:B32,B33)))</f>
        <v>#NAME?</v>
      </c>
    </row>
    <row r="34" spans="1:31" ht="21.95" customHeight="1" x14ac:dyDescent="0.25">
      <c r="A34" s="32" t="s">
        <v>116</v>
      </c>
      <c r="B34" s="33" t="s">
        <v>60</v>
      </c>
      <c r="C34" s="34" t="str">
        <f>IFERROR(INDEX(Mitarbeiter!$B$6:$B$35,MATCH(B34,Mitarbeiter!$A$6:$A$35,0)),"")</f>
        <v>Beispiel Servicekraft A</v>
      </c>
      <c r="D34" s="74">
        <v>46047</v>
      </c>
      <c r="E34" s="34" t="str">
        <f t="shared" si="0"/>
        <v>So</v>
      </c>
      <c r="F34" s="33" t="s">
        <v>28</v>
      </c>
      <c r="G34" s="33" t="s">
        <v>76</v>
      </c>
      <c r="H34" s="35">
        <v>0.41666666666666669</v>
      </c>
      <c r="I34" s="35">
        <v>0.75</v>
      </c>
      <c r="J34" s="33">
        <v>30</v>
      </c>
      <c r="K34" s="36">
        <f>IF(L34="","",IF(L34&gt;9,Einstellungen!$B$10,IF(L34&gt;6,Einstellungen!$B$9,0)))</f>
        <v>30</v>
      </c>
      <c r="L34" s="37">
        <f t="shared" si="1"/>
        <v>8</v>
      </c>
      <c r="M34" s="37">
        <f t="shared" si="2"/>
        <v>7.5</v>
      </c>
      <c r="N34" s="37">
        <f>IF(OR(D34="",H34="",I34=""),"",ROUND((MAX(0,MIN(AD34,D34+1+Einstellungen!$B$8)-MAX(AC34,D34+Einstellungen!$B$7))*24)+(MAX(0,MIN(AD34,D34+Einstellungen!$B$8)-MAX(AC34,D34-1+Einstellungen!$B$7))*24),2))</f>
        <v>0</v>
      </c>
      <c r="O34" s="37">
        <f t="shared" si="3"/>
        <v>8</v>
      </c>
      <c r="P34" s="37">
        <f>IF(OR(D34="",H34="",I34=""),"",ROUND(IF(COUNTIF(Einstellungen!$A$21:$A$45,D34)&gt;0,MAX(0,MIN(AD34,D34+1)-MAX(AC34,D34))*24,0)+IF(AD34&gt;D34+1,IF(COUNTIF(Einstellungen!$A$21:$A$45,D34+1)&gt;0,MAX(0,MIN(AD34,D34+2)-MAX(AC34,D34+1))*24,0),0),2))</f>
        <v>0</v>
      </c>
      <c r="Q34" s="34" t="str">
        <f>IF(D34="","",TRIM(IFERROR(VLOOKUP(D34,Einstellungen!$A$21:$B$45,2,FALSE)&amp;" ","")&amp;IF(I34&lt;=H34,IFERROR(VLOOKUP(D34+1,Einstellungen!$A$21:$B$45,2,FALSE),""),"")))</f>
        <v/>
      </c>
      <c r="R34" s="38">
        <f>IFERROR(INDEX(Mitarbeiter!$G$6:$G$35,MATCH(B34,Mitarbeiter!$A$6:$A$35,0)),"")</f>
        <v>14.5</v>
      </c>
      <c r="S34" s="38">
        <f t="shared" si="4"/>
        <v>108.75</v>
      </c>
      <c r="T34" s="38">
        <f>IF(M34="","",ROUND(((N34*Einstellungen!$B$15)+(O34*Einstellungen!$B$16)+(P34*Einstellungen!$B$17))*R34,2))</f>
        <v>58</v>
      </c>
      <c r="U34" s="39">
        <v>29</v>
      </c>
      <c r="V34" s="38">
        <f t="shared" si="5"/>
        <v>195.75</v>
      </c>
      <c r="W34" s="34" t="str">
        <f t="shared" si="6"/>
        <v>OK</v>
      </c>
      <c r="X34" s="34" t="str">
        <f>IF(M34="","",IF(M34&gt;Einstellungen!$B$12,"kritisch &gt;10 Std.",IF(M34&gt;Einstellungen!$B$11,"prüfen &gt;8 Std.","OK")))</f>
        <v>OK</v>
      </c>
      <c r="Y34" s="37" t="e">
        <f t="shared" ca="1" si="7"/>
        <v>#NAME?</v>
      </c>
      <c r="Z34" s="34" t="e">
        <f ca="1">IF(Y34="","",IF(Y34&lt;Einstellungen!$B$14,"kritisch &lt;10 Std.",IF(Y34&lt;Einstellungen!$B$13,"prüfen &lt;11 Std.","OK")))</f>
        <v>#NAME?</v>
      </c>
      <c r="AA34" s="33" t="s">
        <v>62</v>
      </c>
      <c r="AB34" s="33"/>
      <c r="AC34" s="40">
        <f t="shared" si="8"/>
        <v>46047.416666666664</v>
      </c>
      <c r="AD34" s="40">
        <f t="shared" si="9"/>
        <v>46047.75</v>
      </c>
      <c r="AE34" s="41" t="e">
        <f ca="1">IF(B34="","",IF(COUNTIF($B$6:B33,B34)=0,"",_xludf.MAXIFS($AD$6:AD33,$B$6:B33,B34)))</f>
        <v>#NAME?</v>
      </c>
    </row>
    <row r="35" spans="1:31" ht="21.95" customHeight="1" x14ac:dyDescent="0.25">
      <c r="A35" s="32" t="s">
        <v>117</v>
      </c>
      <c r="B35" s="33" t="s">
        <v>68</v>
      </c>
      <c r="C35" s="34" t="str">
        <f>IFERROR(INDEX(Mitarbeiter!$B$6:$B$35,MATCH(B35,Mitarbeiter!$A$6:$A$35,0)),"")</f>
        <v>Beispiel Bar A</v>
      </c>
      <c r="D35" s="74">
        <v>46053</v>
      </c>
      <c r="E35" s="34" t="str">
        <f t="shared" si="0"/>
        <v>Sa</v>
      </c>
      <c r="F35" s="33" t="s">
        <v>30</v>
      </c>
      <c r="G35" s="33" t="s">
        <v>69</v>
      </c>
      <c r="H35" s="35">
        <v>0.75</v>
      </c>
      <c r="I35" s="35">
        <v>0.10416666666666667</v>
      </c>
      <c r="J35" s="33">
        <v>45</v>
      </c>
      <c r="K35" s="36">
        <f>IF(L35="","",IF(L35&gt;9,Einstellungen!$B$10,IF(L35&gt;6,Einstellungen!$B$9,0)))</f>
        <v>30</v>
      </c>
      <c r="L35" s="37">
        <f t="shared" si="1"/>
        <v>8.5</v>
      </c>
      <c r="M35" s="37">
        <f t="shared" si="2"/>
        <v>7.75</v>
      </c>
      <c r="N35" s="37">
        <f>IF(OR(D35="",H35="",I35=""),"",ROUND((MAX(0,MIN(AD35,D35+1+Einstellungen!$B$8)-MAX(AC35,D35+Einstellungen!$B$7))*24)+(MAX(0,MIN(AD35,D35+Einstellungen!$B$8)-MAX(AC35,D35-1+Einstellungen!$B$7))*24),2))</f>
        <v>4.5</v>
      </c>
      <c r="O35" s="37">
        <f t="shared" si="3"/>
        <v>2.5</v>
      </c>
      <c r="P35" s="37">
        <f>IF(OR(D35="",H35="",I35=""),"",ROUND(IF(COUNTIF(Einstellungen!$A$21:$A$45,D35)&gt;0,MAX(0,MIN(AD35,D35+1)-MAX(AC35,D35))*24,0)+IF(AD35&gt;D35+1,IF(COUNTIF(Einstellungen!$A$21:$A$45,D35+1)&gt;0,MAX(0,MIN(AD35,D35+2)-MAX(AC35,D35+1))*24,0),0),2))</f>
        <v>0</v>
      </c>
      <c r="Q35" s="34" t="str">
        <f>IF(D35="","",TRIM(IFERROR(VLOOKUP(D35,Einstellungen!$A$21:$B$45,2,FALSE)&amp;" ","")&amp;IF(I35&lt;=H35,IFERROR(VLOOKUP(D35+1,Einstellungen!$A$21:$B$45,2,FALSE),""),"")))</f>
        <v/>
      </c>
      <c r="R35" s="38">
        <f>IFERROR(INDEX(Mitarbeiter!$G$6:$G$35,MATCH(B35,Mitarbeiter!$A$6:$A$35,0)),"")</f>
        <v>13.9</v>
      </c>
      <c r="S35" s="38">
        <f t="shared" si="4"/>
        <v>107.73</v>
      </c>
      <c r="T35" s="38">
        <f>IF(M35="","",ROUND(((N35*Einstellungen!$B$15)+(O35*Einstellungen!$B$16)+(P35*Einstellungen!$B$17))*R35,2))</f>
        <v>33.01</v>
      </c>
      <c r="U35" s="39">
        <v>61</v>
      </c>
      <c r="V35" s="38">
        <f t="shared" si="5"/>
        <v>201.74</v>
      </c>
      <c r="W35" s="34" t="str">
        <f t="shared" si="6"/>
        <v>OK</v>
      </c>
      <c r="X35" s="34" t="str">
        <f>IF(M35="","",IF(M35&gt;Einstellungen!$B$12,"kritisch &gt;10 Std.",IF(M35&gt;Einstellungen!$B$11,"prüfen &gt;8 Std.","OK")))</f>
        <v>OK</v>
      </c>
      <c r="Y35" s="37" t="e">
        <f t="shared" ca="1" si="7"/>
        <v>#NAME?</v>
      </c>
      <c r="Z35" s="34" t="e">
        <f ca="1">IF(Y35="","",IF(Y35&lt;Einstellungen!$B$14,"kritisch &lt;10 Std.",IF(Y35&lt;Einstellungen!$B$13,"prüfen &lt;11 Std.","OK")))</f>
        <v>#NAME?</v>
      </c>
      <c r="AA35" s="33" t="s">
        <v>77</v>
      </c>
      <c r="AB35" s="33" t="s">
        <v>118</v>
      </c>
      <c r="AC35" s="40">
        <f t="shared" si="8"/>
        <v>46053.75</v>
      </c>
      <c r="AD35" s="40">
        <f t="shared" si="9"/>
        <v>46054.104166666664</v>
      </c>
      <c r="AE35" s="41" t="e">
        <f ca="1">IF(B35="","",IF(COUNTIF($B$6:B34,B35)=0,"",_xludf.MAXIFS($AD$6:AD34,$B$6:B34,B35)))</f>
        <v>#NAME?</v>
      </c>
    </row>
    <row r="36" spans="1:31" ht="21.95" customHeight="1" x14ac:dyDescent="0.25">
      <c r="A36" s="32" t="s">
        <v>119</v>
      </c>
      <c r="B36" s="33" t="s">
        <v>120</v>
      </c>
      <c r="C36" s="34" t="str">
        <f>IFERROR(INDEX(Mitarbeiter!$B$6:$B$35,MATCH(B36,Mitarbeiter!$A$6:$A$35,0)),"")</f>
        <v>Beispiel Spülküche A</v>
      </c>
      <c r="D36" s="74">
        <v>46054</v>
      </c>
      <c r="E36" s="34" t="str">
        <f t="shared" si="0"/>
        <v>So</v>
      </c>
      <c r="F36" s="33" t="s">
        <v>31</v>
      </c>
      <c r="G36" s="33" t="s">
        <v>76</v>
      </c>
      <c r="H36" s="35">
        <v>0.5</v>
      </c>
      <c r="I36" s="35">
        <v>0.75</v>
      </c>
      <c r="J36" s="33">
        <v>0</v>
      </c>
      <c r="K36" s="36">
        <f>IF(L36="","",IF(L36&gt;9,Einstellungen!$B$10,IF(L36&gt;6,Einstellungen!$B$9,0)))</f>
        <v>0</v>
      </c>
      <c r="L36" s="37">
        <f t="shared" si="1"/>
        <v>6</v>
      </c>
      <c r="M36" s="37">
        <f t="shared" si="2"/>
        <v>6</v>
      </c>
      <c r="N36" s="37">
        <f>IF(OR(D36="",H36="",I36=""),"",ROUND((MAX(0,MIN(AD36,D36+1+Einstellungen!$B$8)-MAX(AC36,D36+Einstellungen!$B$7))*24)+(MAX(0,MIN(AD36,D36+Einstellungen!$B$8)-MAX(AC36,D36-1+Einstellungen!$B$7))*24),2))</f>
        <v>0</v>
      </c>
      <c r="O36" s="37">
        <f t="shared" si="3"/>
        <v>6</v>
      </c>
      <c r="P36" s="37">
        <f>IF(OR(D36="",H36="",I36=""),"",ROUND(IF(COUNTIF(Einstellungen!$A$21:$A$45,D36)&gt;0,MAX(0,MIN(AD36,D36+1)-MAX(AC36,D36))*24,0)+IF(AD36&gt;D36+1,IF(COUNTIF(Einstellungen!$A$21:$A$45,D36+1)&gt;0,MAX(0,MIN(AD36,D36+2)-MAX(AC36,D36+1))*24,0),0),2))</f>
        <v>0</v>
      </c>
      <c r="Q36" s="34" t="str">
        <f>IF(D36="","",TRIM(IFERROR(VLOOKUP(D36,Einstellungen!$A$21:$B$45,2,FALSE)&amp;" ","")&amp;IF(I36&lt;=H36,IFERROR(VLOOKUP(D36+1,Einstellungen!$A$21:$B$45,2,FALSE),""),"")))</f>
        <v/>
      </c>
      <c r="R36" s="38">
        <f>IFERROR(INDEX(Mitarbeiter!$G$6:$G$35,MATCH(B36,Mitarbeiter!$A$6:$A$35,0)),"")</f>
        <v>13.9</v>
      </c>
      <c r="S36" s="38">
        <f t="shared" si="4"/>
        <v>83.4</v>
      </c>
      <c r="T36" s="38">
        <f>IF(M36="","",ROUND(((N36*Einstellungen!$B$15)+(O36*Einstellungen!$B$16)+(P36*Einstellungen!$B$17))*R36,2))</f>
        <v>41.7</v>
      </c>
      <c r="U36" s="39">
        <v>0</v>
      </c>
      <c r="V36" s="38">
        <f t="shared" si="5"/>
        <v>125.1</v>
      </c>
      <c r="W36" s="34" t="str">
        <f t="shared" si="6"/>
        <v>OK</v>
      </c>
      <c r="X36" s="34" t="str">
        <f>IF(M36="","",IF(M36&gt;Einstellungen!$B$12,"kritisch &gt;10 Std.",IF(M36&gt;Einstellungen!$B$11,"prüfen &gt;8 Std.","OK")))</f>
        <v>OK</v>
      </c>
      <c r="Y36" s="37" t="str">
        <f t="shared" si="7"/>
        <v/>
      </c>
      <c r="Z36" s="34" t="str">
        <f>IF(Y36="","",IF(Y36&lt;Einstellungen!$B$14,"kritisch &lt;10 Std.",IF(Y36&lt;Einstellungen!$B$13,"prüfen &lt;11 Std.","OK")))</f>
        <v/>
      </c>
      <c r="AA36" s="33" t="s">
        <v>62</v>
      </c>
      <c r="AB36" s="33" t="s">
        <v>121</v>
      </c>
      <c r="AC36" s="40">
        <f t="shared" si="8"/>
        <v>46054.5</v>
      </c>
      <c r="AD36" s="40">
        <f t="shared" si="9"/>
        <v>46054.75</v>
      </c>
      <c r="AE36" s="41" t="str">
        <f>IF(B36="","",IF(COUNTIF($B$6:B35,B36)=0,"",_xludf.MAXIFS($AD$6:AD35,$B$6:B35,B36)))</f>
        <v/>
      </c>
    </row>
    <row r="37" spans="1:31" ht="21.95" customHeight="1" x14ac:dyDescent="0.25">
      <c r="A37" s="32" t="s">
        <v>122</v>
      </c>
      <c r="B37" s="33" t="s">
        <v>60</v>
      </c>
      <c r="C37" s="34" t="str">
        <f>IFERROR(INDEX(Mitarbeiter!$B$6:$B$35,MATCH(B37,Mitarbeiter!$A$6:$A$35,0)),"")</f>
        <v>Beispiel Servicekraft A</v>
      </c>
      <c r="D37" s="74">
        <v>46054</v>
      </c>
      <c r="E37" s="34" t="str">
        <f t="shared" si="0"/>
        <v>So</v>
      </c>
      <c r="F37" s="33" t="s">
        <v>28</v>
      </c>
      <c r="G37" s="33" t="s">
        <v>76</v>
      </c>
      <c r="H37" s="35">
        <v>0.45833333333333331</v>
      </c>
      <c r="I37" s="35">
        <v>0.75</v>
      </c>
      <c r="J37" s="33">
        <v>30</v>
      </c>
      <c r="K37" s="36">
        <f>IF(L37="","",IF(L37&gt;9,Einstellungen!$B$10,IF(L37&gt;6,Einstellungen!$B$9,0)))</f>
        <v>30</v>
      </c>
      <c r="L37" s="37">
        <f t="shared" si="1"/>
        <v>7</v>
      </c>
      <c r="M37" s="37">
        <f t="shared" si="2"/>
        <v>6.5</v>
      </c>
      <c r="N37" s="37">
        <f>IF(OR(D37="",H37="",I37=""),"",ROUND((MAX(0,MIN(AD37,D37+1+Einstellungen!$B$8)-MAX(AC37,D37+Einstellungen!$B$7))*24)+(MAX(0,MIN(AD37,D37+Einstellungen!$B$8)-MAX(AC37,D37-1+Einstellungen!$B$7))*24),2))</f>
        <v>0</v>
      </c>
      <c r="O37" s="37">
        <f t="shared" si="3"/>
        <v>7</v>
      </c>
      <c r="P37" s="37">
        <f>IF(OR(D37="",H37="",I37=""),"",ROUND(IF(COUNTIF(Einstellungen!$A$21:$A$45,D37)&gt;0,MAX(0,MIN(AD37,D37+1)-MAX(AC37,D37))*24,0)+IF(AD37&gt;D37+1,IF(COUNTIF(Einstellungen!$A$21:$A$45,D37+1)&gt;0,MAX(0,MIN(AD37,D37+2)-MAX(AC37,D37+1))*24,0),0),2))</f>
        <v>0</v>
      </c>
      <c r="Q37" s="34" t="str">
        <f>IF(D37="","",TRIM(IFERROR(VLOOKUP(D37,Einstellungen!$A$21:$B$45,2,FALSE)&amp;" ","")&amp;IF(I37&lt;=H37,IFERROR(VLOOKUP(D37+1,Einstellungen!$A$21:$B$45,2,FALSE),""),"")))</f>
        <v/>
      </c>
      <c r="R37" s="38">
        <f>IFERROR(INDEX(Mitarbeiter!$G$6:$G$35,MATCH(B37,Mitarbeiter!$A$6:$A$35,0)),"")</f>
        <v>14.5</v>
      </c>
      <c r="S37" s="38">
        <f t="shared" si="4"/>
        <v>94.25</v>
      </c>
      <c r="T37" s="38">
        <f>IF(M37="","",ROUND(((N37*Einstellungen!$B$15)+(O37*Einstellungen!$B$16)+(P37*Einstellungen!$B$17))*R37,2))</f>
        <v>50.75</v>
      </c>
      <c r="U37" s="39">
        <v>23</v>
      </c>
      <c r="V37" s="38">
        <f t="shared" si="5"/>
        <v>168</v>
      </c>
      <c r="W37" s="34" t="str">
        <f t="shared" si="6"/>
        <v>OK</v>
      </c>
      <c r="X37" s="34" t="str">
        <f>IF(M37="","",IF(M37&gt;Einstellungen!$B$12,"kritisch &gt;10 Std.",IF(M37&gt;Einstellungen!$B$11,"prüfen &gt;8 Std.","OK")))</f>
        <v>OK</v>
      </c>
      <c r="Y37" s="37" t="e">
        <f t="shared" ca="1" si="7"/>
        <v>#NAME?</v>
      </c>
      <c r="Z37" s="34" t="e">
        <f ca="1">IF(Y37="","",IF(Y37&lt;Einstellungen!$B$14,"kritisch &lt;10 Std.",IF(Y37&lt;Einstellungen!$B$13,"prüfen &lt;11 Std.","OK")))</f>
        <v>#NAME?</v>
      </c>
      <c r="AA37" s="33" t="s">
        <v>62</v>
      </c>
      <c r="AB37" s="33"/>
      <c r="AC37" s="40">
        <f t="shared" si="8"/>
        <v>46054.458333333336</v>
      </c>
      <c r="AD37" s="40">
        <f t="shared" si="9"/>
        <v>46054.75</v>
      </c>
      <c r="AE37" s="41" t="e">
        <f ca="1">IF(B37="","",IF(COUNTIF($B$6:B36,B37)=0,"",_xludf.MAXIFS($AD$6:AD36,$B$6:B36,B37)))</f>
        <v>#NAME?</v>
      </c>
    </row>
    <row r="38" spans="1:31" ht="21.95" customHeight="1" x14ac:dyDescent="0.25">
      <c r="A38" s="32" t="s">
        <v>123</v>
      </c>
      <c r="B38" s="33" t="s">
        <v>65</v>
      </c>
      <c r="C38" s="34" t="str">
        <f>IFERROR(INDEX(Mitarbeiter!$B$6:$B$35,MATCH(B38,Mitarbeiter!$A$6:$A$35,0)),"")</f>
        <v>Beispiel Küche A</v>
      </c>
      <c r="D38" s="74">
        <v>46055</v>
      </c>
      <c r="E38" s="34" t="str">
        <f t="shared" ref="E38:E69" si="10">IF(D38="","",CHOOSE(WEEKDAY(D38,2),"Mo","Di","Mi","Do","Fr","Sa","So"))</f>
        <v>Mo</v>
      </c>
      <c r="F38" s="33" t="s">
        <v>29</v>
      </c>
      <c r="G38" s="33" t="s">
        <v>61</v>
      </c>
      <c r="H38" s="35">
        <v>0.58333333333333337</v>
      </c>
      <c r="I38" s="35">
        <v>0.91666666666666663</v>
      </c>
      <c r="J38" s="33">
        <v>30</v>
      </c>
      <c r="K38" s="36">
        <f>IF(L38="","",IF(L38&gt;9,Einstellungen!$B$10,IF(L38&gt;6,Einstellungen!$B$9,0)))</f>
        <v>30</v>
      </c>
      <c r="L38" s="37">
        <f t="shared" ref="L38:L69" si="11">IF(OR(H38="",I38=""),"",MOD(I38-H38,1)*24)</f>
        <v>7.9999999999999982</v>
      </c>
      <c r="M38" s="37">
        <f t="shared" ref="M38:M69" si="12">IF(L38="","",MAX(0,L38-J38/60))</f>
        <v>7.4999999999999982</v>
      </c>
      <c r="N38" s="37">
        <f>IF(OR(D38="",H38="",I38=""),"",ROUND((MAX(0,MIN(AD38,D38+1+Einstellungen!$B$8)-MAX(AC38,D38+Einstellungen!$B$7))*24)+(MAX(0,MIN(AD38,D38+Einstellungen!$B$8)-MAX(AC38,D38-1+Einstellungen!$B$7))*24),2))</f>
        <v>0</v>
      </c>
      <c r="O38" s="37">
        <f t="shared" ref="O38:O69" si="13">IF(OR(D38="",H38="",I38=""),"",ROUND(IF(WEEKDAY(D38,2)=7,MAX(0,MIN(AD38,D38+1)-MAX(AC38,D38))*24,0)+IF(AD38&gt;D38+1,IF(WEEKDAY(D38+1,2)=7,MAX(0,MIN(AD38,D38+2)-MAX(AC38,D38+1))*24,0),0),2))</f>
        <v>0</v>
      </c>
      <c r="P38" s="37">
        <f>IF(OR(D38="",H38="",I38=""),"",ROUND(IF(COUNTIF(Einstellungen!$A$21:$A$45,D38)&gt;0,MAX(0,MIN(AD38,D38+1)-MAX(AC38,D38))*24,0)+IF(AD38&gt;D38+1,IF(COUNTIF(Einstellungen!$A$21:$A$45,D38+1)&gt;0,MAX(0,MIN(AD38,D38+2)-MAX(AC38,D38+1))*24,0),0),2))</f>
        <v>0</v>
      </c>
      <c r="Q38" s="34" t="str">
        <f>IF(D38="","",TRIM(IFERROR(VLOOKUP(D38,Einstellungen!$A$21:$B$45,2,FALSE)&amp;" ","")&amp;IF(I38&lt;=H38,IFERROR(VLOOKUP(D38+1,Einstellungen!$A$21:$B$45,2,FALSE),""),"")))</f>
        <v/>
      </c>
      <c r="R38" s="38">
        <f>IFERROR(INDEX(Mitarbeiter!$G$6:$G$35,MATCH(B38,Mitarbeiter!$A$6:$A$35,0)),"")</f>
        <v>17.8</v>
      </c>
      <c r="S38" s="38">
        <f t="shared" ref="S38:S69" si="14">IF(M38="","",ROUND(M38*R38,2))</f>
        <v>133.5</v>
      </c>
      <c r="T38" s="38">
        <f>IF(M38="","",ROUND(((N38*Einstellungen!$B$15)+(O38*Einstellungen!$B$16)+(P38*Einstellungen!$B$17))*R38,2))</f>
        <v>0</v>
      </c>
      <c r="U38" s="39">
        <v>0</v>
      </c>
      <c r="V38" s="38">
        <f t="shared" ref="V38:V69" si="15">IF(M38="","",ROUND(S38+T38+U38,2))</f>
        <v>133.5</v>
      </c>
      <c r="W38" s="34" t="str">
        <f t="shared" ref="W38:W69" si="16">IF(B38="","",IF(J38&lt;K38,"Pause prüfen","OK"))</f>
        <v>OK</v>
      </c>
      <c r="X38" s="34" t="str">
        <f>IF(M38="","",IF(M38&gt;Einstellungen!$B$12,"kritisch &gt;10 Std.",IF(M38&gt;Einstellungen!$B$11,"prüfen &gt;8 Std.","OK")))</f>
        <v>OK</v>
      </c>
      <c r="Y38" s="37" t="e">
        <f t="shared" ref="Y38:Y69" ca="1" si="17">IF(AE38="","",ROUND((AC38-AE38)*24,2))</f>
        <v>#NAME?</v>
      </c>
      <c r="Z38" s="34" t="e">
        <f ca="1">IF(Y38="","",IF(Y38&lt;Einstellungen!$B$14,"kritisch &lt;10 Std.",IF(Y38&lt;Einstellungen!$B$13,"prüfen &lt;11 Std.","OK")))</f>
        <v>#NAME?</v>
      </c>
      <c r="AA38" s="33" t="s">
        <v>62</v>
      </c>
      <c r="AB38" s="33"/>
      <c r="AC38" s="40">
        <f t="shared" ref="AC38:AC69" si="18">IF(OR(D38="",H38=""),"",D38+H38)</f>
        <v>46055.583333333336</v>
      </c>
      <c r="AD38" s="40">
        <f t="shared" ref="AD38:AD69" si="19">IF(OR(D38="",I38=""),"",D38+I38+IF(I38&lt;=H38,1,0))</f>
        <v>46055.916666666664</v>
      </c>
      <c r="AE38" s="41" t="e">
        <f ca="1">IF(B38="","",IF(COUNTIF($B$6:B37,B38)=0,"",_xludf.MAXIFS($AD$6:AD37,$B$6:B37,B38)))</f>
        <v>#NAME?</v>
      </c>
    </row>
    <row r="39" spans="1:31" ht="21.95" customHeight="1" x14ac:dyDescent="0.25">
      <c r="A39" s="32" t="s">
        <v>124</v>
      </c>
      <c r="B39" s="33" t="s">
        <v>68</v>
      </c>
      <c r="C39" s="34" t="str">
        <f>IFERROR(INDEX(Mitarbeiter!$B$6:$B$35,MATCH(B39,Mitarbeiter!$A$6:$A$35,0)),"")</f>
        <v>Beispiel Bar A</v>
      </c>
      <c r="D39" s="74">
        <v>46059</v>
      </c>
      <c r="E39" s="34" t="str">
        <f t="shared" si="10"/>
        <v>Fr</v>
      </c>
      <c r="F39" s="33" t="s">
        <v>30</v>
      </c>
      <c r="G39" s="33" t="s">
        <v>69</v>
      </c>
      <c r="H39" s="35">
        <v>0.79166666666666663</v>
      </c>
      <c r="I39" s="35">
        <v>8.3333333333333329E-2</v>
      </c>
      <c r="J39" s="33">
        <v>45</v>
      </c>
      <c r="K39" s="36">
        <f>IF(L39="","",IF(L39&gt;9,Einstellungen!$B$10,IF(L39&gt;6,Einstellungen!$B$9,0)))</f>
        <v>30</v>
      </c>
      <c r="L39" s="37">
        <f t="shared" si="11"/>
        <v>7.0000000000000018</v>
      </c>
      <c r="M39" s="37">
        <f t="shared" si="12"/>
        <v>6.2500000000000018</v>
      </c>
      <c r="N39" s="37">
        <f>IF(OR(D39="",H39="",I39=""),"",ROUND((MAX(0,MIN(AD39,D39+1+Einstellungen!$B$8)-MAX(AC39,D39+Einstellungen!$B$7))*24)+(MAX(0,MIN(AD39,D39+Einstellungen!$B$8)-MAX(AC39,D39-1+Einstellungen!$B$7))*24),2))</f>
        <v>4</v>
      </c>
      <c r="O39" s="37">
        <f t="shared" si="13"/>
        <v>0</v>
      </c>
      <c r="P39" s="37">
        <f>IF(OR(D39="",H39="",I39=""),"",ROUND(IF(COUNTIF(Einstellungen!$A$21:$A$45,D39)&gt;0,MAX(0,MIN(AD39,D39+1)-MAX(AC39,D39))*24,0)+IF(AD39&gt;D39+1,IF(COUNTIF(Einstellungen!$A$21:$A$45,D39+1)&gt;0,MAX(0,MIN(AD39,D39+2)-MAX(AC39,D39+1))*24,0),0),2))</f>
        <v>0</v>
      </c>
      <c r="Q39" s="34" t="str">
        <f>IF(D39="","",TRIM(IFERROR(VLOOKUP(D39,Einstellungen!$A$21:$B$45,2,FALSE)&amp;" ","")&amp;IF(I39&lt;=H39,IFERROR(VLOOKUP(D39+1,Einstellungen!$A$21:$B$45,2,FALSE),""),"")))</f>
        <v/>
      </c>
      <c r="R39" s="38">
        <f>IFERROR(INDEX(Mitarbeiter!$G$6:$G$35,MATCH(B39,Mitarbeiter!$A$6:$A$35,0)),"")</f>
        <v>13.9</v>
      </c>
      <c r="S39" s="38">
        <f t="shared" si="14"/>
        <v>86.88</v>
      </c>
      <c r="T39" s="38">
        <f>IF(M39="","",ROUND(((N39*Einstellungen!$B$15)+(O39*Einstellungen!$B$16)+(P39*Einstellungen!$B$17))*R39,2))</f>
        <v>13.9</v>
      </c>
      <c r="U39" s="39">
        <v>47</v>
      </c>
      <c r="V39" s="38">
        <f t="shared" si="15"/>
        <v>147.78</v>
      </c>
      <c r="W39" s="34" t="str">
        <f t="shared" si="16"/>
        <v>OK</v>
      </c>
      <c r="X39" s="34" t="str">
        <f>IF(M39="","",IF(M39&gt;Einstellungen!$B$12,"kritisch &gt;10 Std.",IF(M39&gt;Einstellungen!$B$11,"prüfen &gt;8 Std.","OK")))</f>
        <v>OK</v>
      </c>
      <c r="Y39" s="37" t="e">
        <f t="shared" ca="1" si="17"/>
        <v>#NAME?</v>
      </c>
      <c r="Z39" s="34" t="e">
        <f ca="1">IF(Y39="","",IF(Y39&lt;Einstellungen!$B$14,"kritisch &lt;10 Std.",IF(Y39&lt;Einstellungen!$B$13,"prüfen &lt;11 Std.","OK")))</f>
        <v>#NAME?</v>
      </c>
      <c r="AA39" s="33" t="s">
        <v>77</v>
      </c>
      <c r="AB39" s="33"/>
      <c r="AC39" s="40">
        <f t="shared" si="18"/>
        <v>46059.791666666664</v>
      </c>
      <c r="AD39" s="40">
        <f t="shared" si="19"/>
        <v>46060.083333333336</v>
      </c>
      <c r="AE39" s="41" t="e">
        <f ca="1">IF(B39="","",IF(COUNTIF($B$6:B38,B39)=0,"",_xludf.MAXIFS($AD$6:AD38,$B$6:B38,B39)))</f>
        <v>#NAME?</v>
      </c>
    </row>
    <row r="40" spans="1:31" ht="21.95" customHeight="1" x14ac:dyDescent="0.25">
      <c r="A40" s="32" t="s">
        <v>125</v>
      </c>
      <c r="B40" s="33" t="s">
        <v>82</v>
      </c>
      <c r="C40" s="34" t="str">
        <f>IFERROR(INDEX(Mitarbeiter!$B$6:$B$35,MATCH(B40,Mitarbeiter!$A$6:$A$35,0)),"")</f>
        <v>Beispiel Servicekraft B</v>
      </c>
      <c r="D40" s="74">
        <v>46061</v>
      </c>
      <c r="E40" s="34" t="str">
        <f t="shared" si="10"/>
        <v>So</v>
      </c>
      <c r="F40" s="33" t="s">
        <v>28</v>
      </c>
      <c r="G40" s="33" t="s">
        <v>61</v>
      </c>
      <c r="H40" s="35">
        <v>0.66666666666666663</v>
      </c>
      <c r="I40" s="35">
        <v>0.91666666666666663</v>
      </c>
      <c r="J40" s="33">
        <v>0</v>
      </c>
      <c r="K40" s="36">
        <f>IF(L40="","",IF(L40&gt;9,Einstellungen!$B$10,IF(L40&gt;6,Einstellungen!$B$9,0)))</f>
        <v>0</v>
      </c>
      <c r="L40" s="37">
        <f t="shared" si="11"/>
        <v>6</v>
      </c>
      <c r="M40" s="37">
        <f t="shared" si="12"/>
        <v>6</v>
      </c>
      <c r="N40" s="37">
        <f>IF(OR(D40="",H40="",I40=""),"",ROUND((MAX(0,MIN(AD40,D40+1+Einstellungen!$B$8)-MAX(AC40,D40+Einstellungen!$B$7))*24)+(MAX(0,MIN(AD40,D40+Einstellungen!$B$8)-MAX(AC40,D40-1+Einstellungen!$B$7))*24),2))</f>
        <v>0</v>
      </c>
      <c r="O40" s="37">
        <f t="shared" si="13"/>
        <v>6</v>
      </c>
      <c r="P40" s="37">
        <f>IF(OR(D40="",H40="",I40=""),"",ROUND(IF(COUNTIF(Einstellungen!$A$21:$A$45,D40)&gt;0,MAX(0,MIN(AD40,D40+1)-MAX(AC40,D40))*24,0)+IF(AD40&gt;D40+1,IF(COUNTIF(Einstellungen!$A$21:$A$45,D40+1)&gt;0,MAX(0,MIN(AD40,D40+2)-MAX(AC40,D40+1))*24,0),0),2))</f>
        <v>0</v>
      </c>
      <c r="Q40" s="34" t="str">
        <f>IF(D40="","",TRIM(IFERROR(VLOOKUP(D40,Einstellungen!$A$21:$B$45,2,FALSE)&amp;" ","")&amp;IF(I40&lt;=H40,IFERROR(VLOOKUP(D40+1,Einstellungen!$A$21:$B$45,2,FALSE),""),"")))</f>
        <v/>
      </c>
      <c r="R40" s="38">
        <f>IFERROR(INDEX(Mitarbeiter!$G$6:$G$35,MATCH(B40,Mitarbeiter!$A$6:$A$35,0)),"")</f>
        <v>15</v>
      </c>
      <c r="S40" s="38">
        <f t="shared" si="14"/>
        <v>90</v>
      </c>
      <c r="T40" s="38">
        <f>IF(M40="","",ROUND(((N40*Einstellungen!$B$15)+(O40*Einstellungen!$B$16)+(P40*Einstellungen!$B$17))*R40,2))</f>
        <v>45</v>
      </c>
      <c r="U40" s="39">
        <v>19</v>
      </c>
      <c r="V40" s="38">
        <f t="shared" si="15"/>
        <v>154</v>
      </c>
      <c r="W40" s="34" t="str">
        <f t="shared" si="16"/>
        <v>OK</v>
      </c>
      <c r="X40" s="34" t="str">
        <f>IF(M40="","",IF(M40&gt;Einstellungen!$B$12,"kritisch &gt;10 Std.",IF(M40&gt;Einstellungen!$B$11,"prüfen &gt;8 Std.","OK")))</f>
        <v>OK</v>
      </c>
      <c r="Y40" s="37" t="e">
        <f t="shared" ca="1" si="17"/>
        <v>#NAME?</v>
      </c>
      <c r="Z40" s="34" t="e">
        <f ca="1">IF(Y40="","",IF(Y40&lt;Einstellungen!$B$14,"kritisch &lt;10 Std.",IF(Y40&lt;Einstellungen!$B$13,"prüfen &lt;11 Std.","OK")))</f>
        <v>#NAME?</v>
      </c>
      <c r="AA40" s="33" t="s">
        <v>62</v>
      </c>
      <c r="AB40" s="33" t="s">
        <v>19</v>
      </c>
      <c r="AC40" s="40">
        <f t="shared" si="18"/>
        <v>46061.666666666664</v>
      </c>
      <c r="AD40" s="40">
        <f t="shared" si="19"/>
        <v>46061.916666666664</v>
      </c>
      <c r="AE40" s="41" t="e">
        <f ca="1">IF(B40="","",IF(COUNTIF($B$6:B39,B40)=0,"",_xludf.MAXIFS($AD$6:AD39,$B$6:B39,B40)))</f>
        <v>#NAME?</v>
      </c>
    </row>
    <row r="41" spans="1:31" ht="21.95" customHeight="1" x14ac:dyDescent="0.25">
      <c r="A41" s="32"/>
      <c r="B41" s="33"/>
      <c r="C41" s="34" t="str">
        <f>IFERROR(INDEX(Mitarbeiter!$B$6:$B$35,MATCH(B41,Mitarbeiter!$A$6:$A$35,0)),"")</f>
        <v/>
      </c>
      <c r="D41" s="74"/>
      <c r="E41" s="34" t="str">
        <f t="shared" si="10"/>
        <v/>
      </c>
      <c r="F41" s="33"/>
      <c r="G41" s="33"/>
      <c r="H41" s="35"/>
      <c r="I41" s="35"/>
      <c r="J41" s="33"/>
      <c r="K41" s="36" t="str">
        <f>IF(L41="","",IF(L41&gt;9,Einstellungen!$B$10,IF(L41&gt;6,Einstellungen!$B$9,0)))</f>
        <v/>
      </c>
      <c r="L41" s="37" t="str">
        <f t="shared" si="11"/>
        <v/>
      </c>
      <c r="M41" s="37" t="str">
        <f t="shared" si="12"/>
        <v/>
      </c>
      <c r="N41" s="37" t="str">
        <f>IF(OR(D41="",H41="",I41=""),"",ROUND((MAX(0,MIN(AD41,D41+1+Einstellungen!$B$8)-MAX(AC41,D41+Einstellungen!$B$7))*24)+(MAX(0,MIN(AD41,D41+Einstellungen!$B$8)-MAX(AC41,D41-1+Einstellungen!$B$7))*24),2))</f>
        <v/>
      </c>
      <c r="O41" s="37" t="str">
        <f t="shared" si="13"/>
        <v/>
      </c>
      <c r="P41" s="37" t="str">
        <f>IF(OR(D41="",H41="",I41=""),"",ROUND(IF(COUNTIF(Einstellungen!$A$21:$A$45,D41)&gt;0,MAX(0,MIN(AD41,D41+1)-MAX(AC41,D41))*24,0)+IF(AD41&gt;D41+1,IF(COUNTIF(Einstellungen!$A$21:$A$45,D41+1)&gt;0,MAX(0,MIN(AD41,D41+2)-MAX(AC41,D41+1))*24,0),0),2))</f>
        <v/>
      </c>
      <c r="Q41" s="34" t="str">
        <f>IF(D41="","",TRIM(IFERROR(VLOOKUP(D41,Einstellungen!$A$21:$B$45,2,FALSE)&amp;" ","")&amp;IF(I41&lt;=H41,IFERROR(VLOOKUP(D41+1,Einstellungen!$A$21:$B$45,2,FALSE),""),"")))</f>
        <v/>
      </c>
      <c r="R41" s="38" t="str">
        <f>IFERROR(INDEX(Mitarbeiter!$G$6:$G$35,MATCH(B41,Mitarbeiter!$A$6:$A$35,0)),"")</f>
        <v/>
      </c>
      <c r="S41" s="38" t="str">
        <f t="shared" si="14"/>
        <v/>
      </c>
      <c r="T41" s="38" t="str">
        <f>IF(M41="","",ROUND(((N41*Einstellungen!$B$15)+(O41*Einstellungen!$B$16)+(P41*Einstellungen!$B$17))*R41,2))</f>
        <v/>
      </c>
      <c r="U41" s="39"/>
      <c r="V41" s="38" t="str">
        <f t="shared" si="15"/>
        <v/>
      </c>
      <c r="W41" s="34" t="str">
        <f t="shared" si="16"/>
        <v/>
      </c>
      <c r="X41" s="34" t="str">
        <f>IF(M41="","",IF(M41&gt;Einstellungen!$B$12,"kritisch &gt;10 Std.",IF(M41&gt;Einstellungen!$B$11,"prüfen &gt;8 Std.","OK")))</f>
        <v/>
      </c>
      <c r="Y41" s="37" t="str">
        <f t="shared" si="17"/>
        <v/>
      </c>
      <c r="Z41" s="34" t="str">
        <f>IF(Y41="","",IF(Y41&lt;Einstellungen!$B$14,"kritisch &lt;10 Std.",IF(Y41&lt;Einstellungen!$B$13,"prüfen &lt;11 Std.","OK")))</f>
        <v/>
      </c>
      <c r="AA41" s="33"/>
      <c r="AB41" s="33"/>
      <c r="AC41" s="40" t="str">
        <f t="shared" si="18"/>
        <v/>
      </c>
      <c r="AD41" s="40" t="str">
        <f t="shared" si="19"/>
        <v/>
      </c>
      <c r="AE41" s="41" t="str">
        <f>IF(B41="","",IF(COUNTIF($B$6:B40,B41)=0,"",_xludf.MAXIFS($AD$6:AD40,$B$6:B40,B41)))</f>
        <v/>
      </c>
    </row>
    <row r="42" spans="1:31" ht="21.95" customHeight="1" x14ac:dyDescent="0.25">
      <c r="A42" s="32"/>
      <c r="B42" s="33"/>
      <c r="C42" s="34" t="str">
        <f>IFERROR(INDEX(Mitarbeiter!$B$6:$B$35,MATCH(B42,Mitarbeiter!$A$6:$A$35,0)),"")</f>
        <v/>
      </c>
      <c r="D42" s="74"/>
      <c r="E42" s="34" t="str">
        <f t="shared" si="10"/>
        <v/>
      </c>
      <c r="F42" s="33"/>
      <c r="G42" s="33"/>
      <c r="H42" s="35"/>
      <c r="I42" s="35"/>
      <c r="J42" s="33"/>
      <c r="K42" s="36" t="str">
        <f>IF(L42="","",IF(L42&gt;9,Einstellungen!$B$10,IF(L42&gt;6,Einstellungen!$B$9,0)))</f>
        <v/>
      </c>
      <c r="L42" s="37" t="str">
        <f t="shared" si="11"/>
        <v/>
      </c>
      <c r="M42" s="37" t="str">
        <f t="shared" si="12"/>
        <v/>
      </c>
      <c r="N42" s="37" t="str">
        <f>IF(OR(D42="",H42="",I42=""),"",ROUND((MAX(0,MIN(AD42,D42+1+Einstellungen!$B$8)-MAX(AC42,D42+Einstellungen!$B$7))*24)+(MAX(0,MIN(AD42,D42+Einstellungen!$B$8)-MAX(AC42,D42-1+Einstellungen!$B$7))*24),2))</f>
        <v/>
      </c>
      <c r="O42" s="37" t="str">
        <f t="shared" si="13"/>
        <v/>
      </c>
      <c r="P42" s="37" t="str">
        <f>IF(OR(D42="",H42="",I42=""),"",ROUND(IF(COUNTIF(Einstellungen!$A$21:$A$45,D42)&gt;0,MAX(0,MIN(AD42,D42+1)-MAX(AC42,D42))*24,0)+IF(AD42&gt;D42+1,IF(COUNTIF(Einstellungen!$A$21:$A$45,D42+1)&gt;0,MAX(0,MIN(AD42,D42+2)-MAX(AC42,D42+1))*24,0),0),2))</f>
        <v/>
      </c>
      <c r="Q42" s="34" t="str">
        <f>IF(D42="","",TRIM(IFERROR(VLOOKUP(D42,Einstellungen!$A$21:$B$45,2,FALSE)&amp;" ","")&amp;IF(I42&lt;=H42,IFERROR(VLOOKUP(D42+1,Einstellungen!$A$21:$B$45,2,FALSE),""),"")))</f>
        <v/>
      </c>
      <c r="R42" s="38" t="str">
        <f>IFERROR(INDEX(Mitarbeiter!$G$6:$G$35,MATCH(B42,Mitarbeiter!$A$6:$A$35,0)),"")</f>
        <v/>
      </c>
      <c r="S42" s="38" t="str">
        <f t="shared" si="14"/>
        <v/>
      </c>
      <c r="T42" s="38" t="str">
        <f>IF(M42="","",ROUND(((N42*Einstellungen!$B$15)+(O42*Einstellungen!$B$16)+(P42*Einstellungen!$B$17))*R42,2))</f>
        <v/>
      </c>
      <c r="U42" s="39"/>
      <c r="V42" s="38" t="str">
        <f t="shared" si="15"/>
        <v/>
      </c>
      <c r="W42" s="34" t="str">
        <f t="shared" si="16"/>
        <v/>
      </c>
      <c r="X42" s="34" t="str">
        <f>IF(M42="","",IF(M42&gt;Einstellungen!$B$12,"kritisch &gt;10 Std.",IF(M42&gt;Einstellungen!$B$11,"prüfen &gt;8 Std.","OK")))</f>
        <v/>
      </c>
      <c r="Y42" s="37" t="str">
        <f t="shared" si="17"/>
        <v/>
      </c>
      <c r="Z42" s="34" t="str">
        <f>IF(Y42="","",IF(Y42&lt;Einstellungen!$B$14,"kritisch &lt;10 Std.",IF(Y42&lt;Einstellungen!$B$13,"prüfen &lt;11 Std.","OK")))</f>
        <v/>
      </c>
      <c r="AA42" s="33"/>
      <c r="AB42" s="33"/>
      <c r="AC42" s="40" t="str">
        <f t="shared" si="18"/>
        <v/>
      </c>
      <c r="AD42" s="40" t="str">
        <f t="shared" si="19"/>
        <v/>
      </c>
      <c r="AE42" s="41" t="str">
        <f>IF(B42="","",IF(COUNTIF($B$6:B41,B42)=0,"",_xludf.MAXIFS($AD$6:AD41,$B$6:B41,B42)))</f>
        <v/>
      </c>
    </row>
    <row r="43" spans="1:31" ht="21.95" customHeight="1" x14ac:dyDescent="0.25">
      <c r="A43" s="32"/>
      <c r="B43" s="33"/>
      <c r="C43" s="34" t="str">
        <f>IFERROR(INDEX(Mitarbeiter!$B$6:$B$35,MATCH(B43,Mitarbeiter!$A$6:$A$35,0)),"")</f>
        <v/>
      </c>
      <c r="D43" s="74"/>
      <c r="E43" s="34" t="str">
        <f t="shared" si="10"/>
        <v/>
      </c>
      <c r="F43" s="33"/>
      <c r="G43" s="33"/>
      <c r="H43" s="35"/>
      <c r="I43" s="35"/>
      <c r="J43" s="33"/>
      <c r="K43" s="36" t="str">
        <f>IF(L43="","",IF(L43&gt;9,Einstellungen!$B$10,IF(L43&gt;6,Einstellungen!$B$9,0)))</f>
        <v/>
      </c>
      <c r="L43" s="37" t="str">
        <f t="shared" si="11"/>
        <v/>
      </c>
      <c r="M43" s="37" t="str">
        <f t="shared" si="12"/>
        <v/>
      </c>
      <c r="N43" s="37" t="str">
        <f>IF(OR(D43="",H43="",I43=""),"",ROUND((MAX(0,MIN(AD43,D43+1+Einstellungen!$B$8)-MAX(AC43,D43+Einstellungen!$B$7))*24)+(MAX(0,MIN(AD43,D43+Einstellungen!$B$8)-MAX(AC43,D43-1+Einstellungen!$B$7))*24),2))</f>
        <v/>
      </c>
      <c r="O43" s="37" t="str">
        <f t="shared" si="13"/>
        <v/>
      </c>
      <c r="P43" s="37" t="str">
        <f>IF(OR(D43="",H43="",I43=""),"",ROUND(IF(COUNTIF(Einstellungen!$A$21:$A$45,D43)&gt;0,MAX(0,MIN(AD43,D43+1)-MAX(AC43,D43))*24,0)+IF(AD43&gt;D43+1,IF(COUNTIF(Einstellungen!$A$21:$A$45,D43+1)&gt;0,MAX(0,MIN(AD43,D43+2)-MAX(AC43,D43+1))*24,0),0),2))</f>
        <v/>
      </c>
      <c r="Q43" s="34" t="str">
        <f>IF(D43="","",TRIM(IFERROR(VLOOKUP(D43,Einstellungen!$A$21:$B$45,2,FALSE)&amp;" ","")&amp;IF(I43&lt;=H43,IFERROR(VLOOKUP(D43+1,Einstellungen!$A$21:$B$45,2,FALSE),""),"")))</f>
        <v/>
      </c>
      <c r="R43" s="38" t="str">
        <f>IFERROR(INDEX(Mitarbeiter!$G$6:$G$35,MATCH(B43,Mitarbeiter!$A$6:$A$35,0)),"")</f>
        <v/>
      </c>
      <c r="S43" s="38" t="str">
        <f t="shared" si="14"/>
        <v/>
      </c>
      <c r="T43" s="38" t="str">
        <f>IF(M43="","",ROUND(((N43*Einstellungen!$B$15)+(O43*Einstellungen!$B$16)+(P43*Einstellungen!$B$17))*R43,2))</f>
        <v/>
      </c>
      <c r="U43" s="39"/>
      <c r="V43" s="38" t="str">
        <f t="shared" si="15"/>
        <v/>
      </c>
      <c r="W43" s="34" t="str">
        <f t="shared" si="16"/>
        <v/>
      </c>
      <c r="X43" s="34" t="str">
        <f>IF(M43="","",IF(M43&gt;Einstellungen!$B$12,"kritisch &gt;10 Std.",IF(M43&gt;Einstellungen!$B$11,"prüfen &gt;8 Std.","OK")))</f>
        <v/>
      </c>
      <c r="Y43" s="37" t="str">
        <f t="shared" si="17"/>
        <v/>
      </c>
      <c r="Z43" s="34" t="str">
        <f>IF(Y43="","",IF(Y43&lt;Einstellungen!$B$14,"kritisch &lt;10 Std.",IF(Y43&lt;Einstellungen!$B$13,"prüfen &lt;11 Std.","OK")))</f>
        <v/>
      </c>
      <c r="AA43" s="33"/>
      <c r="AB43" s="33"/>
      <c r="AC43" s="40" t="str">
        <f t="shared" si="18"/>
        <v/>
      </c>
      <c r="AD43" s="40" t="str">
        <f t="shared" si="19"/>
        <v/>
      </c>
      <c r="AE43" s="41" t="str">
        <f>IF(B43="","",IF(COUNTIF($B$6:B42,B43)=0,"",_xludf.MAXIFS($AD$6:AD42,$B$6:B42,B43)))</f>
        <v/>
      </c>
    </row>
    <row r="44" spans="1:31" ht="21.95" customHeight="1" x14ac:dyDescent="0.25">
      <c r="A44" s="32"/>
      <c r="B44" s="33"/>
      <c r="C44" s="34" t="str">
        <f>IFERROR(INDEX(Mitarbeiter!$B$6:$B$35,MATCH(B44,Mitarbeiter!$A$6:$A$35,0)),"")</f>
        <v/>
      </c>
      <c r="D44" s="74"/>
      <c r="E44" s="34" t="str">
        <f t="shared" si="10"/>
        <v/>
      </c>
      <c r="F44" s="33"/>
      <c r="G44" s="33"/>
      <c r="H44" s="35"/>
      <c r="I44" s="35"/>
      <c r="J44" s="33"/>
      <c r="K44" s="36" t="str">
        <f>IF(L44="","",IF(L44&gt;9,Einstellungen!$B$10,IF(L44&gt;6,Einstellungen!$B$9,0)))</f>
        <v/>
      </c>
      <c r="L44" s="37" t="str">
        <f t="shared" si="11"/>
        <v/>
      </c>
      <c r="M44" s="37" t="str">
        <f t="shared" si="12"/>
        <v/>
      </c>
      <c r="N44" s="37" t="str">
        <f>IF(OR(D44="",H44="",I44=""),"",ROUND((MAX(0,MIN(AD44,D44+1+Einstellungen!$B$8)-MAX(AC44,D44+Einstellungen!$B$7))*24)+(MAX(0,MIN(AD44,D44+Einstellungen!$B$8)-MAX(AC44,D44-1+Einstellungen!$B$7))*24),2))</f>
        <v/>
      </c>
      <c r="O44" s="37" t="str">
        <f t="shared" si="13"/>
        <v/>
      </c>
      <c r="P44" s="37" t="str">
        <f>IF(OR(D44="",H44="",I44=""),"",ROUND(IF(COUNTIF(Einstellungen!$A$21:$A$45,D44)&gt;0,MAX(0,MIN(AD44,D44+1)-MAX(AC44,D44))*24,0)+IF(AD44&gt;D44+1,IF(COUNTIF(Einstellungen!$A$21:$A$45,D44+1)&gt;0,MAX(0,MIN(AD44,D44+2)-MAX(AC44,D44+1))*24,0),0),2))</f>
        <v/>
      </c>
      <c r="Q44" s="34" t="str">
        <f>IF(D44="","",TRIM(IFERROR(VLOOKUP(D44,Einstellungen!$A$21:$B$45,2,FALSE)&amp;" ","")&amp;IF(I44&lt;=H44,IFERROR(VLOOKUP(D44+1,Einstellungen!$A$21:$B$45,2,FALSE),""),"")))</f>
        <v/>
      </c>
      <c r="R44" s="38" t="str">
        <f>IFERROR(INDEX(Mitarbeiter!$G$6:$G$35,MATCH(B44,Mitarbeiter!$A$6:$A$35,0)),"")</f>
        <v/>
      </c>
      <c r="S44" s="38" t="str">
        <f t="shared" si="14"/>
        <v/>
      </c>
      <c r="T44" s="38" t="str">
        <f>IF(M44="","",ROUND(((N44*Einstellungen!$B$15)+(O44*Einstellungen!$B$16)+(P44*Einstellungen!$B$17))*R44,2))</f>
        <v/>
      </c>
      <c r="U44" s="39"/>
      <c r="V44" s="38" t="str">
        <f t="shared" si="15"/>
        <v/>
      </c>
      <c r="W44" s="34" t="str">
        <f t="shared" si="16"/>
        <v/>
      </c>
      <c r="X44" s="34" t="str">
        <f>IF(M44="","",IF(M44&gt;Einstellungen!$B$12,"kritisch &gt;10 Std.",IF(M44&gt;Einstellungen!$B$11,"prüfen &gt;8 Std.","OK")))</f>
        <v/>
      </c>
      <c r="Y44" s="37" t="str">
        <f t="shared" si="17"/>
        <v/>
      </c>
      <c r="Z44" s="34" t="str">
        <f>IF(Y44="","",IF(Y44&lt;Einstellungen!$B$14,"kritisch &lt;10 Std.",IF(Y44&lt;Einstellungen!$B$13,"prüfen &lt;11 Std.","OK")))</f>
        <v/>
      </c>
      <c r="AA44" s="33"/>
      <c r="AB44" s="33"/>
      <c r="AC44" s="40" t="str">
        <f t="shared" si="18"/>
        <v/>
      </c>
      <c r="AD44" s="40" t="str">
        <f t="shared" si="19"/>
        <v/>
      </c>
      <c r="AE44" s="41" t="str">
        <f>IF(B44="","",IF(COUNTIF($B$6:B43,B44)=0,"",_xludf.MAXIFS($AD$6:AD43,$B$6:B43,B44)))</f>
        <v/>
      </c>
    </row>
    <row r="45" spans="1:31" ht="21.95" customHeight="1" x14ac:dyDescent="0.25">
      <c r="A45" s="32"/>
      <c r="B45" s="33"/>
      <c r="C45" s="34" t="str">
        <f>IFERROR(INDEX(Mitarbeiter!$B$6:$B$35,MATCH(B45,Mitarbeiter!$A$6:$A$35,0)),"")</f>
        <v/>
      </c>
      <c r="D45" s="74"/>
      <c r="E45" s="34" t="str">
        <f t="shared" si="10"/>
        <v/>
      </c>
      <c r="F45" s="33"/>
      <c r="G45" s="33"/>
      <c r="H45" s="35"/>
      <c r="I45" s="35"/>
      <c r="J45" s="33"/>
      <c r="K45" s="36" t="str">
        <f>IF(L45="","",IF(L45&gt;9,Einstellungen!$B$10,IF(L45&gt;6,Einstellungen!$B$9,0)))</f>
        <v/>
      </c>
      <c r="L45" s="37" t="str">
        <f t="shared" si="11"/>
        <v/>
      </c>
      <c r="M45" s="37" t="str">
        <f t="shared" si="12"/>
        <v/>
      </c>
      <c r="N45" s="37" t="str">
        <f>IF(OR(D45="",H45="",I45=""),"",ROUND((MAX(0,MIN(AD45,D45+1+Einstellungen!$B$8)-MAX(AC45,D45+Einstellungen!$B$7))*24)+(MAX(0,MIN(AD45,D45+Einstellungen!$B$8)-MAX(AC45,D45-1+Einstellungen!$B$7))*24),2))</f>
        <v/>
      </c>
      <c r="O45" s="37" t="str">
        <f t="shared" si="13"/>
        <v/>
      </c>
      <c r="P45" s="37" t="str">
        <f>IF(OR(D45="",H45="",I45=""),"",ROUND(IF(COUNTIF(Einstellungen!$A$21:$A$45,D45)&gt;0,MAX(0,MIN(AD45,D45+1)-MAX(AC45,D45))*24,0)+IF(AD45&gt;D45+1,IF(COUNTIF(Einstellungen!$A$21:$A$45,D45+1)&gt;0,MAX(0,MIN(AD45,D45+2)-MAX(AC45,D45+1))*24,0),0),2))</f>
        <v/>
      </c>
      <c r="Q45" s="34" t="str">
        <f>IF(D45="","",TRIM(IFERROR(VLOOKUP(D45,Einstellungen!$A$21:$B$45,2,FALSE)&amp;" ","")&amp;IF(I45&lt;=H45,IFERROR(VLOOKUP(D45+1,Einstellungen!$A$21:$B$45,2,FALSE),""),"")))</f>
        <v/>
      </c>
      <c r="R45" s="38" t="str">
        <f>IFERROR(INDEX(Mitarbeiter!$G$6:$G$35,MATCH(B45,Mitarbeiter!$A$6:$A$35,0)),"")</f>
        <v/>
      </c>
      <c r="S45" s="38" t="str">
        <f t="shared" si="14"/>
        <v/>
      </c>
      <c r="T45" s="38" t="str">
        <f>IF(M45="","",ROUND(((N45*Einstellungen!$B$15)+(O45*Einstellungen!$B$16)+(P45*Einstellungen!$B$17))*R45,2))</f>
        <v/>
      </c>
      <c r="U45" s="39"/>
      <c r="V45" s="38" t="str">
        <f t="shared" si="15"/>
        <v/>
      </c>
      <c r="W45" s="34" t="str">
        <f t="shared" si="16"/>
        <v/>
      </c>
      <c r="X45" s="34" t="str">
        <f>IF(M45="","",IF(M45&gt;Einstellungen!$B$12,"kritisch &gt;10 Std.",IF(M45&gt;Einstellungen!$B$11,"prüfen &gt;8 Std.","OK")))</f>
        <v/>
      </c>
      <c r="Y45" s="37" t="str">
        <f t="shared" si="17"/>
        <v/>
      </c>
      <c r="Z45" s="34" t="str">
        <f>IF(Y45="","",IF(Y45&lt;Einstellungen!$B$14,"kritisch &lt;10 Std.",IF(Y45&lt;Einstellungen!$B$13,"prüfen &lt;11 Std.","OK")))</f>
        <v/>
      </c>
      <c r="AA45" s="33"/>
      <c r="AB45" s="33"/>
      <c r="AC45" s="40" t="str">
        <f t="shared" si="18"/>
        <v/>
      </c>
      <c r="AD45" s="40" t="str">
        <f t="shared" si="19"/>
        <v/>
      </c>
      <c r="AE45" s="41" t="str">
        <f>IF(B45="","",IF(COUNTIF($B$6:B44,B45)=0,"",_xludf.MAXIFS($AD$6:AD44,$B$6:B44,B45)))</f>
        <v/>
      </c>
    </row>
    <row r="46" spans="1:31" ht="21.95" customHeight="1" x14ac:dyDescent="0.25">
      <c r="A46" s="32"/>
      <c r="B46" s="33"/>
      <c r="C46" s="34" t="str">
        <f>IFERROR(INDEX(Mitarbeiter!$B$6:$B$35,MATCH(B46,Mitarbeiter!$A$6:$A$35,0)),"")</f>
        <v/>
      </c>
      <c r="D46" s="74"/>
      <c r="E46" s="34" t="str">
        <f t="shared" si="10"/>
        <v/>
      </c>
      <c r="F46" s="33"/>
      <c r="G46" s="33"/>
      <c r="H46" s="35"/>
      <c r="I46" s="35"/>
      <c r="J46" s="33"/>
      <c r="K46" s="36" t="str">
        <f>IF(L46="","",IF(L46&gt;9,Einstellungen!$B$10,IF(L46&gt;6,Einstellungen!$B$9,0)))</f>
        <v/>
      </c>
      <c r="L46" s="37" t="str">
        <f t="shared" si="11"/>
        <v/>
      </c>
      <c r="M46" s="37" t="str">
        <f t="shared" si="12"/>
        <v/>
      </c>
      <c r="N46" s="37" t="str">
        <f>IF(OR(D46="",H46="",I46=""),"",ROUND((MAX(0,MIN(AD46,D46+1+Einstellungen!$B$8)-MAX(AC46,D46+Einstellungen!$B$7))*24)+(MAX(0,MIN(AD46,D46+Einstellungen!$B$8)-MAX(AC46,D46-1+Einstellungen!$B$7))*24),2))</f>
        <v/>
      </c>
      <c r="O46" s="37" t="str">
        <f t="shared" si="13"/>
        <v/>
      </c>
      <c r="P46" s="37" t="str">
        <f>IF(OR(D46="",H46="",I46=""),"",ROUND(IF(COUNTIF(Einstellungen!$A$21:$A$45,D46)&gt;0,MAX(0,MIN(AD46,D46+1)-MAX(AC46,D46))*24,0)+IF(AD46&gt;D46+1,IF(COUNTIF(Einstellungen!$A$21:$A$45,D46+1)&gt;0,MAX(0,MIN(AD46,D46+2)-MAX(AC46,D46+1))*24,0),0),2))</f>
        <v/>
      </c>
      <c r="Q46" s="34" t="str">
        <f>IF(D46="","",TRIM(IFERROR(VLOOKUP(D46,Einstellungen!$A$21:$B$45,2,FALSE)&amp;" ","")&amp;IF(I46&lt;=H46,IFERROR(VLOOKUP(D46+1,Einstellungen!$A$21:$B$45,2,FALSE),""),"")))</f>
        <v/>
      </c>
      <c r="R46" s="38" t="str">
        <f>IFERROR(INDEX(Mitarbeiter!$G$6:$G$35,MATCH(B46,Mitarbeiter!$A$6:$A$35,0)),"")</f>
        <v/>
      </c>
      <c r="S46" s="38" t="str">
        <f t="shared" si="14"/>
        <v/>
      </c>
      <c r="T46" s="38" t="str">
        <f>IF(M46="","",ROUND(((N46*Einstellungen!$B$15)+(O46*Einstellungen!$B$16)+(P46*Einstellungen!$B$17))*R46,2))</f>
        <v/>
      </c>
      <c r="U46" s="39"/>
      <c r="V46" s="38" t="str">
        <f t="shared" si="15"/>
        <v/>
      </c>
      <c r="W46" s="34" t="str">
        <f t="shared" si="16"/>
        <v/>
      </c>
      <c r="X46" s="34" t="str">
        <f>IF(M46="","",IF(M46&gt;Einstellungen!$B$12,"kritisch &gt;10 Std.",IF(M46&gt;Einstellungen!$B$11,"prüfen &gt;8 Std.","OK")))</f>
        <v/>
      </c>
      <c r="Y46" s="37" t="str">
        <f t="shared" si="17"/>
        <v/>
      </c>
      <c r="Z46" s="34" t="str">
        <f>IF(Y46="","",IF(Y46&lt;Einstellungen!$B$14,"kritisch &lt;10 Std.",IF(Y46&lt;Einstellungen!$B$13,"prüfen &lt;11 Std.","OK")))</f>
        <v/>
      </c>
      <c r="AA46" s="33"/>
      <c r="AB46" s="33"/>
      <c r="AC46" s="40" t="str">
        <f t="shared" si="18"/>
        <v/>
      </c>
      <c r="AD46" s="40" t="str">
        <f t="shared" si="19"/>
        <v/>
      </c>
      <c r="AE46" s="41" t="str">
        <f>IF(B46="","",IF(COUNTIF($B$6:B45,B46)=0,"",_xludf.MAXIFS($AD$6:AD45,$B$6:B45,B46)))</f>
        <v/>
      </c>
    </row>
    <row r="47" spans="1:31" ht="21.95" customHeight="1" x14ac:dyDescent="0.25">
      <c r="A47" s="32"/>
      <c r="B47" s="33"/>
      <c r="C47" s="34" t="str">
        <f>IFERROR(INDEX(Mitarbeiter!$B$6:$B$35,MATCH(B47,Mitarbeiter!$A$6:$A$35,0)),"")</f>
        <v/>
      </c>
      <c r="D47" s="74"/>
      <c r="E47" s="34" t="str">
        <f t="shared" si="10"/>
        <v/>
      </c>
      <c r="F47" s="33"/>
      <c r="G47" s="33"/>
      <c r="H47" s="35"/>
      <c r="I47" s="35"/>
      <c r="J47" s="33"/>
      <c r="K47" s="36" t="str">
        <f>IF(L47="","",IF(L47&gt;9,Einstellungen!$B$10,IF(L47&gt;6,Einstellungen!$B$9,0)))</f>
        <v/>
      </c>
      <c r="L47" s="37" t="str">
        <f t="shared" si="11"/>
        <v/>
      </c>
      <c r="M47" s="37" t="str">
        <f t="shared" si="12"/>
        <v/>
      </c>
      <c r="N47" s="37" t="str">
        <f>IF(OR(D47="",H47="",I47=""),"",ROUND((MAX(0,MIN(AD47,D47+1+Einstellungen!$B$8)-MAX(AC47,D47+Einstellungen!$B$7))*24)+(MAX(0,MIN(AD47,D47+Einstellungen!$B$8)-MAX(AC47,D47-1+Einstellungen!$B$7))*24),2))</f>
        <v/>
      </c>
      <c r="O47" s="37" t="str">
        <f t="shared" si="13"/>
        <v/>
      </c>
      <c r="P47" s="37" t="str">
        <f>IF(OR(D47="",H47="",I47=""),"",ROUND(IF(COUNTIF(Einstellungen!$A$21:$A$45,D47)&gt;0,MAX(0,MIN(AD47,D47+1)-MAX(AC47,D47))*24,0)+IF(AD47&gt;D47+1,IF(COUNTIF(Einstellungen!$A$21:$A$45,D47+1)&gt;0,MAX(0,MIN(AD47,D47+2)-MAX(AC47,D47+1))*24,0),0),2))</f>
        <v/>
      </c>
      <c r="Q47" s="34" t="str">
        <f>IF(D47="","",TRIM(IFERROR(VLOOKUP(D47,Einstellungen!$A$21:$B$45,2,FALSE)&amp;" ","")&amp;IF(I47&lt;=H47,IFERROR(VLOOKUP(D47+1,Einstellungen!$A$21:$B$45,2,FALSE),""),"")))</f>
        <v/>
      </c>
      <c r="R47" s="38" t="str">
        <f>IFERROR(INDEX(Mitarbeiter!$G$6:$G$35,MATCH(B47,Mitarbeiter!$A$6:$A$35,0)),"")</f>
        <v/>
      </c>
      <c r="S47" s="38" t="str">
        <f t="shared" si="14"/>
        <v/>
      </c>
      <c r="T47" s="38" t="str">
        <f>IF(M47="","",ROUND(((N47*Einstellungen!$B$15)+(O47*Einstellungen!$B$16)+(P47*Einstellungen!$B$17))*R47,2))</f>
        <v/>
      </c>
      <c r="U47" s="39"/>
      <c r="V47" s="38" t="str">
        <f t="shared" si="15"/>
        <v/>
      </c>
      <c r="W47" s="34" t="str">
        <f t="shared" si="16"/>
        <v/>
      </c>
      <c r="X47" s="34" t="str">
        <f>IF(M47="","",IF(M47&gt;Einstellungen!$B$12,"kritisch &gt;10 Std.",IF(M47&gt;Einstellungen!$B$11,"prüfen &gt;8 Std.","OK")))</f>
        <v/>
      </c>
      <c r="Y47" s="37" t="str">
        <f t="shared" si="17"/>
        <v/>
      </c>
      <c r="Z47" s="34" t="str">
        <f>IF(Y47="","",IF(Y47&lt;Einstellungen!$B$14,"kritisch &lt;10 Std.",IF(Y47&lt;Einstellungen!$B$13,"prüfen &lt;11 Std.","OK")))</f>
        <v/>
      </c>
      <c r="AA47" s="33"/>
      <c r="AB47" s="33"/>
      <c r="AC47" s="40" t="str">
        <f t="shared" si="18"/>
        <v/>
      </c>
      <c r="AD47" s="40" t="str">
        <f t="shared" si="19"/>
        <v/>
      </c>
      <c r="AE47" s="41" t="str">
        <f>IF(B47="","",IF(COUNTIF($B$6:B46,B47)=0,"",_xludf.MAXIFS($AD$6:AD46,$B$6:B46,B47)))</f>
        <v/>
      </c>
    </row>
    <row r="48" spans="1:31" ht="21.95" customHeight="1" x14ac:dyDescent="0.25">
      <c r="A48" s="32"/>
      <c r="B48" s="33"/>
      <c r="C48" s="34" t="str">
        <f>IFERROR(INDEX(Mitarbeiter!$B$6:$B$35,MATCH(B48,Mitarbeiter!$A$6:$A$35,0)),"")</f>
        <v/>
      </c>
      <c r="D48" s="74"/>
      <c r="E48" s="34" t="str">
        <f t="shared" si="10"/>
        <v/>
      </c>
      <c r="F48" s="33"/>
      <c r="G48" s="33"/>
      <c r="H48" s="35"/>
      <c r="I48" s="35"/>
      <c r="J48" s="33"/>
      <c r="K48" s="36" t="str">
        <f>IF(L48="","",IF(L48&gt;9,Einstellungen!$B$10,IF(L48&gt;6,Einstellungen!$B$9,0)))</f>
        <v/>
      </c>
      <c r="L48" s="37" t="str">
        <f t="shared" si="11"/>
        <v/>
      </c>
      <c r="M48" s="37" t="str">
        <f t="shared" si="12"/>
        <v/>
      </c>
      <c r="N48" s="37" t="str">
        <f>IF(OR(D48="",H48="",I48=""),"",ROUND((MAX(0,MIN(AD48,D48+1+Einstellungen!$B$8)-MAX(AC48,D48+Einstellungen!$B$7))*24)+(MAX(0,MIN(AD48,D48+Einstellungen!$B$8)-MAX(AC48,D48-1+Einstellungen!$B$7))*24),2))</f>
        <v/>
      </c>
      <c r="O48" s="37" t="str">
        <f t="shared" si="13"/>
        <v/>
      </c>
      <c r="P48" s="37" t="str">
        <f>IF(OR(D48="",H48="",I48=""),"",ROUND(IF(COUNTIF(Einstellungen!$A$21:$A$45,D48)&gt;0,MAX(0,MIN(AD48,D48+1)-MAX(AC48,D48))*24,0)+IF(AD48&gt;D48+1,IF(COUNTIF(Einstellungen!$A$21:$A$45,D48+1)&gt;0,MAX(0,MIN(AD48,D48+2)-MAX(AC48,D48+1))*24,0),0),2))</f>
        <v/>
      </c>
      <c r="Q48" s="34" t="str">
        <f>IF(D48="","",TRIM(IFERROR(VLOOKUP(D48,Einstellungen!$A$21:$B$45,2,FALSE)&amp;" ","")&amp;IF(I48&lt;=H48,IFERROR(VLOOKUP(D48+1,Einstellungen!$A$21:$B$45,2,FALSE),""),"")))</f>
        <v/>
      </c>
      <c r="R48" s="38" t="str">
        <f>IFERROR(INDEX(Mitarbeiter!$G$6:$G$35,MATCH(B48,Mitarbeiter!$A$6:$A$35,0)),"")</f>
        <v/>
      </c>
      <c r="S48" s="38" t="str">
        <f t="shared" si="14"/>
        <v/>
      </c>
      <c r="T48" s="38" t="str">
        <f>IF(M48="","",ROUND(((N48*Einstellungen!$B$15)+(O48*Einstellungen!$B$16)+(P48*Einstellungen!$B$17))*R48,2))</f>
        <v/>
      </c>
      <c r="U48" s="39"/>
      <c r="V48" s="38" t="str">
        <f t="shared" si="15"/>
        <v/>
      </c>
      <c r="W48" s="34" t="str">
        <f t="shared" si="16"/>
        <v/>
      </c>
      <c r="X48" s="34" t="str">
        <f>IF(M48="","",IF(M48&gt;Einstellungen!$B$12,"kritisch &gt;10 Std.",IF(M48&gt;Einstellungen!$B$11,"prüfen &gt;8 Std.","OK")))</f>
        <v/>
      </c>
      <c r="Y48" s="37" t="str">
        <f t="shared" si="17"/>
        <v/>
      </c>
      <c r="Z48" s="34" t="str">
        <f>IF(Y48="","",IF(Y48&lt;Einstellungen!$B$14,"kritisch &lt;10 Std.",IF(Y48&lt;Einstellungen!$B$13,"prüfen &lt;11 Std.","OK")))</f>
        <v/>
      </c>
      <c r="AA48" s="33"/>
      <c r="AB48" s="33"/>
      <c r="AC48" s="40" t="str">
        <f t="shared" si="18"/>
        <v/>
      </c>
      <c r="AD48" s="40" t="str">
        <f t="shared" si="19"/>
        <v/>
      </c>
      <c r="AE48" s="41" t="str">
        <f>IF(B48="","",IF(COUNTIF($B$6:B47,B48)=0,"",_xludf.MAXIFS($AD$6:AD47,$B$6:B47,B48)))</f>
        <v/>
      </c>
    </row>
    <row r="49" spans="1:31" ht="21.95" customHeight="1" x14ac:dyDescent="0.25">
      <c r="A49" s="32"/>
      <c r="B49" s="33"/>
      <c r="C49" s="34" t="str">
        <f>IFERROR(INDEX(Mitarbeiter!$B$6:$B$35,MATCH(B49,Mitarbeiter!$A$6:$A$35,0)),"")</f>
        <v/>
      </c>
      <c r="D49" s="74"/>
      <c r="E49" s="34" t="str">
        <f t="shared" si="10"/>
        <v/>
      </c>
      <c r="F49" s="33"/>
      <c r="G49" s="33"/>
      <c r="H49" s="35"/>
      <c r="I49" s="35"/>
      <c r="J49" s="33"/>
      <c r="K49" s="36" t="str">
        <f>IF(L49="","",IF(L49&gt;9,Einstellungen!$B$10,IF(L49&gt;6,Einstellungen!$B$9,0)))</f>
        <v/>
      </c>
      <c r="L49" s="37" t="str">
        <f t="shared" si="11"/>
        <v/>
      </c>
      <c r="M49" s="37" t="str">
        <f t="shared" si="12"/>
        <v/>
      </c>
      <c r="N49" s="37" t="str">
        <f>IF(OR(D49="",H49="",I49=""),"",ROUND((MAX(0,MIN(AD49,D49+1+Einstellungen!$B$8)-MAX(AC49,D49+Einstellungen!$B$7))*24)+(MAX(0,MIN(AD49,D49+Einstellungen!$B$8)-MAX(AC49,D49-1+Einstellungen!$B$7))*24),2))</f>
        <v/>
      </c>
      <c r="O49" s="37" t="str">
        <f t="shared" si="13"/>
        <v/>
      </c>
      <c r="P49" s="37" t="str">
        <f>IF(OR(D49="",H49="",I49=""),"",ROUND(IF(COUNTIF(Einstellungen!$A$21:$A$45,D49)&gt;0,MAX(0,MIN(AD49,D49+1)-MAX(AC49,D49))*24,0)+IF(AD49&gt;D49+1,IF(COUNTIF(Einstellungen!$A$21:$A$45,D49+1)&gt;0,MAX(0,MIN(AD49,D49+2)-MAX(AC49,D49+1))*24,0),0),2))</f>
        <v/>
      </c>
      <c r="Q49" s="34" t="str">
        <f>IF(D49="","",TRIM(IFERROR(VLOOKUP(D49,Einstellungen!$A$21:$B$45,2,FALSE)&amp;" ","")&amp;IF(I49&lt;=H49,IFERROR(VLOOKUP(D49+1,Einstellungen!$A$21:$B$45,2,FALSE),""),"")))</f>
        <v/>
      </c>
      <c r="R49" s="38" t="str">
        <f>IFERROR(INDEX(Mitarbeiter!$G$6:$G$35,MATCH(B49,Mitarbeiter!$A$6:$A$35,0)),"")</f>
        <v/>
      </c>
      <c r="S49" s="38" t="str">
        <f t="shared" si="14"/>
        <v/>
      </c>
      <c r="T49" s="38" t="str">
        <f>IF(M49="","",ROUND(((N49*Einstellungen!$B$15)+(O49*Einstellungen!$B$16)+(P49*Einstellungen!$B$17))*R49,2))</f>
        <v/>
      </c>
      <c r="U49" s="39"/>
      <c r="V49" s="38" t="str">
        <f t="shared" si="15"/>
        <v/>
      </c>
      <c r="W49" s="34" t="str">
        <f t="shared" si="16"/>
        <v/>
      </c>
      <c r="X49" s="34" t="str">
        <f>IF(M49="","",IF(M49&gt;Einstellungen!$B$12,"kritisch &gt;10 Std.",IF(M49&gt;Einstellungen!$B$11,"prüfen &gt;8 Std.","OK")))</f>
        <v/>
      </c>
      <c r="Y49" s="37" t="str">
        <f t="shared" si="17"/>
        <v/>
      </c>
      <c r="Z49" s="34" t="str">
        <f>IF(Y49="","",IF(Y49&lt;Einstellungen!$B$14,"kritisch &lt;10 Std.",IF(Y49&lt;Einstellungen!$B$13,"prüfen &lt;11 Std.","OK")))</f>
        <v/>
      </c>
      <c r="AA49" s="33"/>
      <c r="AB49" s="33"/>
      <c r="AC49" s="40" t="str">
        <f t="shared" si="18"/>
        <v/>
      </c>
      <c r="AD49" s="40" t="str">
        <f t="shared" si="19"/>
        <v/>
      </c>
      <c r="AE49" s="41" t="str">
        <f>IF(B49="","",IF(COUNTIF($B$6:B48,B49)=0,"",_xludf.MAXIFS($AD$6:AD48,$B$6:B48,B49)))</f>
        <v/>
      </c>
    </row>
    <row r="50" spans="1:31" ht="21.95" customHeight="1" x14ac:dyDescent="0.25">
      <c r="A50" s="32"/>
      <c r="B50" s="33"/>
      <c r="C50" s="34" t="str">
        <f>IFERROR(INDEX(Mitarbeiter!$B$6:$B$35,MATCH(B50,Mitarbeiter!$A$6:$A$35,0)),"")</f>
        <v/>
      </c>
      <c r="D50" s="74"/>
      <c r="E50" s="34" t="str">
        <f t="shared" si="10"/>
        <v/>
      </c>
      <c r="F50" s="33"/>
      <c r="G50" s="33"/>
      <c r="H50" s="35"/>
      <c r="I50" s="35"/>
      <c r="J50" s="33"/>
      <c r="K50" s="36" t="str">
        <f>IF(L50="","",IF(L50&gt;9,Einstellungen!$B$10,IF(L50&gt;6,Einstellungen!$B$9,0)))</f>
        <v/>
      </c>
      <c r="L50" s="37" t="str">
        <f t="shared" si="11"/>
        <v/>
      </c>
      <c r="M50" s="37" t="str">
        <f t="shared" si="12"/>
        <v/>
      </c>
      <c r="N50" s="37" t="str">
        <f>IF(OR(D50="",H50="",I50=""),"",ROUND((MAX(0,MIN(AD50,D50+1+Einstellungen!$B$8)-MAX(AC50,D50+Einstellungen!$B$7))*24)+(MAX(0,MIN(AD50,D50+Einstellungen!$B$8)-MAX(AC50,D50-1+Einstellungen!$B$7))*24),2))</f>
        <v/>
      </c>
      <c r="O50" s="37" t="str">
        <f t="shared" si="13"/>
        <v/>
      </c>
      <c r="P50" s="37" t="str">
        <f>IF(OR(D50="",H50="",I50=""),"",ROUND(IF(COUNTIF(Einstellungen!$A$21:$A$45,D50)&gt;0,MAX(0,MIN(AD50,D50+1)-MAX(AC50,D50))*24,0)+IF(AD50&gt;D50+1,IF(COUNTIF(Einstellungen!$A$21:$A$45,D50+1)&gt;0,MAX(0,MIN(AD50,D50+2)-MAX(AC50,D50+1))*24,0),0),2))</f>
        <v/>
      </c>
      <c r="Q50" s="34" t="str">
        <f>IF(D50="","",TRIM(IFERROR(VLOOKUP(D50,Einstellungen!$A$21:$B$45,2,FALSE)&amp;" ","")&amp;IF(I50&lt;=H50,IFERROR(VLOOKUP(D50+1,Einstellungen!$A$21:$B$45,2,FALSE),""),"")))</f>
        <v/>
      </c>
      <c r="R50" s="38" t="str">
        <f>IFERROR(INDEX(Mitarbeiter!$G$6:$G$35,MATCH(B50,Mitarbeiter!$A$6:$A$35,0)),"")</f>
        <v/>
      </c>
      <c r="S50" s="38" t="str">
        <f t="shared" si="14"/>
        <v/>
      </c>
      <c r="T50" s="38" t="str">
        <f>IF(M50="","",ROUND(((N50*Einstellungen!$B$15)+(O50*Einstellungen!$B$16)+(P50*Einstellungen!$B$17))*R50,2))</f>
        <v/>
      </c>
      <c r="U50" s="39"/>
      <c r="V50" s="38" t="str">
        <f t="shared" si="15"/>
        <v/>
      </c>
      <c r="W50" s="34" t="str">
        <f t="shared" si="16"/>
        <v/>
      </c>
      <c r="X50" s="34" t="str">
        <f>IF(M50="","",IF(M50&gt;Einstellungen!$B$12,"kritisch &gt;10 Std.",IF(M50&gt;Einstellungen!$B$11,"prüfen &gt;8 Std.","OK")))</f>
        <v/>
      </c>
      <c r="Y50" s="37" t="str">
        <f t="shared" si="17"/>
        <v/>
      </c>
      <c r="Z50" s="34" t="str">
        <f>IF(Y50="","",IF(Y50&lt;Einstellungen!$B$14,"kritisch &lt;10 Std.",IF(Y50&lt;Einstellungen!$B$13,"prüfen &lt;11 Std.","OK")))</f>
        <v/>
      </c>
      <c r="AA50" s="33"/>
      <c r="AB50" s="33"/>
      <c r="AC50" s="40" t="str">
        <f t="shared" si="18"/>
        <v/>
      </c>
      <c r="AD50" s="40" t="str">
        <f t="shared" si="19"/>
        <v/>
      </c>
      <c r="AE50" s="41" t="str">
        <f>IF(B50="","",IF(COUNTIF($B$6:B49,B50)=0,"",_xludf.MAXIFS($AD$6:AD49,$B$6:B49,B50)))</f>
        <v/>
      </c>
    </row>
    <row r="51" spans="1:31" ht="21.95" customHeight="1" x14ac:dyDescent="0.25">
      <c r="A51" s="32"/>
      <c r="B51" s="33"/>
      <c r="C51" s="34" t="str">
        <f>IFERROR(INDEX(Mitarbeiter!$B$6:$B$35,MATCH(B51,Mitarbeiter!$A$6:$A$35,0)),"")</f>
        <v/>
      </c>
      <c r="D51" s="74"/>
      <c r="E51" s="34" t="str">
        <f t="shared" si="10"/>
        <v/>
      </c>
      <c r="F51" s="33"/>
      <c r="G51" s="33"/>
      <c r="H51" s="35"/>
      <c r="I51" s="35"/>
      <c r="J51" s="33"/>
      <c r="K51" s="36" t="str">
        <f>IF(L51="","",IF(L51&gt;9,Einstellungen!$B$10,IF(L51&gt;6,Einstellungen!$B$9,0)))</f>
        <v/>
      </c>
      <c r="L51" s="37" t="str">
        <f t="shared" si="11"/>
        <v/>
      </c>
      <c r="M51" s="37" t="str">
        <f t="shared" si="12"/>
        <v/>
      </c>
      <c r="N51" s="37" t="str">
        <f>IF(OR(D51="",H51="",I51=""),"",ROUND((MAX(0,MIN(AD51,D51+1+Einstellungen!$B$8)-MAX(AC51,D51+Einstellungen!$B$7))*24)+(MAX(0,MIN(AD51,D51+Einstellungen!$B$8)-MAX(AC51,D51-1+Einstellungen!$B$7))*24),2))</f>
        <v/>
      </c>
      <c r="O51" s="37" t="str">
        <f t="shared" si="13"/>
        <v/>
      </c>
      <c r="P51" s="37" t="str">
        <f>IF(OR(D51="",H51="",I51=""),"",ROUND(IF(COUNTIF(Einstellungen!$A$21:$A$45,D51)&gt;0,MAX(0,MIN(AD51,D51+1)-MAX(AC51,D51))*24,0)+IF(AD51&gt;D51+1,IF(COUNTIF(Einstellungen!$A$21:$A$45,D51+1)&gt;0,MAX(0,MIN(AD51,D51+2)-MAX(AC51,D51+1))*24,0),0),2))</f>
        <v/>
      </c>
      <c r="Q51" s="34" t="str">
        <f>IF(D51="","",TRIM(IFERROR(VLOOKUP(D51,Einstellungen!$A$21:$B$45,2,FALSE)&amp;" ","")&amp;IF(I51&lt;=H51,IFERROR(VLOOKUP(D51+1,Einstellungen!$A$21:$B$45,2,FALSE),""),"")))</f>
        <v/>
      </c>
      <c r="R51" s="38" t="str">
        <f>IFERROR(INDEX(Mitarbeiter!$G$6:$G$35,MATCH(B51,Mitarbeiter!$A$6:$A$35,0)),"")</f>
        <v/>
      </c>
      <c r="S51" s="38" t="str">
        <f t="shared" si="14"/>
        <v/>
      </c>
      <c r="T51" s="38" t="str">
        <f>IF(M51="","",ROUND(((N51*Einstellungen!$B$15)+(O51*Einstellungen!$B$16)+(P51*Einstellungen!$B$17))*R51,2))</f>
        <v/>
      </c>
      <c r="U51" s="39"/>
      <c r="V51" s="38" t="str">
        <f t="shared" si="15"/>
        <v/>
      </c>
      <c r="W51" s="34" t="str">
        <f t="shared" si="16"/>
        <v/>
      </c>
      <c r="X51" s="34" t="str">
        <f>IF(M51="","",IF(M51&gt;Einstellungen!$B$12,"kritisch &gt;10 Std.",IF(M51&gt;Einstellungen!$B$11,"prüfen &gt;8 Std.","OK")))</f>
        <v/>
      </c>
      <c r="Y51" s="37" t="str">
        <f t="shared" si="17"/>
        <v/>
      </c>
      <c r="Z51" s="34" t="str">
        <f>IF(Y51="","",IF(Y51&lt;Einstellungen!$B$14,"kritisch &lt;10 Std.",IF(Y51&lt;Einstellungen!$B$13,"prüfen &lt;11 Std.","OK")))</f>
        <v/>
      </c>
      <c r="AA51" s="33"/>
      <c r="AB51" s="33"/>
      <c r="AC51" s="40" t="str">
        <f t="shared" si="18"/>
        <v/>
      </c>
      <c r="AD51" s="40" t="str">
        <f t="shared" si="19"/>
        <v/>
      </c>
      <c r="AE51" s="41" t="str">
        <f>IF(B51="","",IF(COUNTIF($B$6:B50,B51)=0,"",_xludf.MAXIFS($AD$6:AD50,$B$6:B50,B51)))</f>
        <v/>
      </c>
    </row>
    <row r="52" spans="1:31" ht="21.95" customHeight="1" x14ac:dyDescent="0.25">
      <c r="A52" s="32"/>
      <c r="B52" s="33"/>
      <c r="C52" s="34" t="str">
        <f>IFERROR(INDEX(Mitarbeiter!$B$6:$B$35,MATCH(B52,Mitarbeiter!$A$6:$A$35,0)),"")</f>
        <v/>
      </c>
      <c r="D52" s="74"/>
      <c r="E52" s="34" t="str">
        <f t="shared" si="10"/>
        <v/>
      </c>
      <c r="F52" s="33"/>
      <c r="G52" s="33"/>
      <c r="H52" s="35"/>
      <c r="I52" s="35"/>
      <c r="J52" s="33"/>
      <c r="K52" s="36" t="str">
        <f>IF(L52="","",IF(L52&gt;9,Einstellungen!$B$10,IF(L52&gt;6,Einstellungen!$B$9,0)))</f>
        <v/>
      </c>
      <c r="L52" s="37" t="str">
        <f t="shared" si="11"/>
        <v/>
      </c>
      <c r="M52" s="37" t="str">
        <f t="shared" si="12"/>
        <v/>
      </c>
      <c r="N52" s="37" t="str">
        <f>IF(OR(D52="",H52="",I52=""),"",ROUND((MAX(0,MIN(AD52,D52+1+Einstellungen!$B$8)-MAX(AC52,D52+Einstellungen!$B$7))*24)+(MAX(0,MIN(AD52,D52+Einstellungen!$B$8)-MAX(AC52,D52-1+Einstellungen!$B$7))*24),2))</f>
        <v/>
      </c>
      <c r="O52" s="37" t="str">
        <f t="shared" si="13"/>
        <v/>
      </c>
      <c r="P52" s="37" t="str">
        <f>IF(OR(D52="",H52="",I52=""),"",ROUND(IF(COUNTIF(Einstellungen!$A$21:$A$45,D52)&gt;0,MAX(0,MIN(AD52,D52+1)-MAX(AC52,D52))*24,0)+IF(AD52&gt;D52+1,IF(COUNTIF(Einstellungen!$A$21:$A$45,D52+1)&gt;0,MAX(0,MIN(AD52,D52+2)-MAX(AC52,D52+1))*24,0),0),2))</f>
        <v/>
      </c>
      <c r="Q52" s="34" t="str">
        <f>IF(D52="","",TRIM(IFERROR(VLOOKUP(D52,Einstellungen!$A$21:$B$45,2,FALSE)&amp;" ","")&amp;IF(I52&lt;=H52,IFERROR(VLOOKUP(D52+1,Einstellungen!$A$21:$B$45,2,FALSE),""),"")))</f>
        <v/>
      </c>
      <c r="R52" s="38" t="str">
        <f>IFERROR(INDEX(Mitarbeiter!$G$6:$G$35,MATCH(B52,Mitarbeiter!$A$6:$A$35,0)),"")</f>
        <v/>
      </c>
      <c r="S52" s="38" t="str">
        <f t="shared" si="14"/>
        <v/>
      </c>
      <c r="T52" s="38" t="str">
        <f>IF(M52="","",ROUND(((N52*Einstellungen!$B$15)+(O52*Einstellungen!$B$16)+(P52*Einstellungen!$B$17))*R52,2))</f>
        <v/>
      </c>
      <c r="U52" s="39"/>
      <c r="V52" s="38" t="str">
        <f t="shared" si="15"/>
        <v/>
      </c>
      <c r="W52" s="34" t="str">
        <f t="shared" si="16"/>
        <v/>
      </c>
      <c r="X52" s="34" t="str">
        <f>IF(M52="","",IF(M52&gt;Einstellungen!$B$12,"kritisch &gt;10 Std.",IF(M52&gt;Einstellungen!$B$11,"prüfen &gt;8 Std.","OK")))</f>
        <v/>
      </c>
      <c r="Y52" s="37" t="str">
        <f t="shared" si="17"/>
        <v/>
      </c>
      <c r="Z52" s="34" t="str">
        <f>IF(Y52="","",IF(Y52&lt;Einstellungen!$B$14,"kritisch &lt;10 Std.",IF(Y52&lt;Einstellungen!$B$13,"prüfen &lt;11 Std.","OK")))</f>
        <v/>
      </c>
      <c r="AA52" s="33"/>
      <c r="AB52" s="33"/>
      <c r="AC52" s="40" t="str">
        <f t="shared" si="18"/>
        <v/>
      </c>
      <c r="AD52" s="40" t="str">
        <f t="shared" si="19"/>
        <v/>
      </c>
      <c r="AE52" s="41" t="str">
        <f>IF(B52="","",IF(COUNTIF($B$6:B51,B52)=0,"",_xludf.MAXIFS($AD$6:AD51,$B$6:B51,B52)))</f>
        <v/>
      </c>
    </row>
    <row r="53" spans="1:31" ht="21.95" customHeight="1" x14ac:dyDescent="0.25">
      <c r="A53" s="32"/>
      <c r="B53" s="33"/>
      <c r="C53" s="34" t="str">
        <f>IFERROR(INDEX(Mitarbeiter!$B$6:$B$35,MATCH(B53,Mitarbeiter!$A$6:$A$35,0)),"")</f>
        <v/>
      </c>
      <c r="D53" s="74"/>
      <c r="E53" s="34" t="str">
        <f t="shared" si="10"/>
        <v/>
      </c>
      <c r="F53" s="33"/>
      <c r="G53" s="33"/>
      <c r="H53" s="35"/>
      <c r="I53" s="35"/>
      <c r="J53" s="33"/>
      <c r="K53" s="36" t="str">
        <f>IF(L53="","",IF(L53&gt;9,Einstellungen!$B$10,IF(L53&gt;6,Einstellungen!$B$9,0)))</f>
        <v/>
      </c>
      <c r="L53" s="37" t="str">
        <f t="shared" si="11"/>
        <v/>
      </c>
      <c r="M53" s="37" t="str">
        <f t="shared" si="12"/>
        <v/>
      </c>
      <c r="N53" s="37" t="str">
        <f>IF(OR(D53="",H53="",I53=""),"",ROUND((MAX(0,MIN(AD53,D53+1+Einstellungen!$B$8)-MAX(AC53,D53+Einstellungen!$B$7))*24)+(MAX(0,MIN(AD53,D53+Einstellungen!$B$8)-MAX(AC53,D53-1+Einstellungen!$B$7))*24),2))</f>
        <v/>
      </c>
      <c r="O53" s="37" t="str">
        <f t="shared" si="13"/>
        <v/>
      </c>
      <c r="P53" s="37" t="str">
        <f>IF(OR(D53="",H53="",I53=""),"",ROUND(IF(COUNTIF(Einstellungen!$A$21:$A$45,D53)&gt;0,MAX(0,MIN(AD53,D53+1)-MAX(AC53,D53))*24,0)+IF(AD53&gt;D53+1,IF(COUNTIF(Einstellungen!$A$21:$A$45,D53+1)&gt;0,MAX(0,MIN(AD53,D53+2)-MAX(AC53,D53+1))*24,0),0),2))</f>
        <v/>
      </c>
      <c r="Q53" s="34" t="str">
        <f>IF(D53="","",TRIM(IFERROR(VLOOKUP(D53,Einstellungen!$A$21:$B$45,2,FALSE)&amp;" ","")&amp;IF(I53&lt;=H53,IFERROR(VLOOKUP(D53+1,Einstellungen!$A$21:$B$45,2,FALSE),""),"")))</f>
        <v/>
      </c>
      <c r="R53" s="38" t="str">
        <f>IFERROR(INDEX(Mitarbeiter!$G$6:$G$35,MATCH(B53,Mitarbeiter!$A$6:$A$35,0)),"")</f>
        <v/>
      </c>
      <c r="S53" s="38" t="str">
        <f t="shared" si="14"/>
        <v/>
      </c>
      <c r="T53" s="38" t="str">
        <f>IF(M53="","",ROUND(((N53*Einstellungen!$B$15)+(O53*Einstellungen!$B$16)+(P53*Einstellungen!$B$17))*R53,2))</f>
        <v/>
      </c>
      <c r="U53" s="39"/>
      <c r="V53" s="38" t="str">
        <f t="shared" si="15"/>
        <v/>
      </c>
      <c r="W53" s="34" t="str">
        <f t="shared" si="16"/>
        <v/>
      </c>
      <c r="X53" s="34" t="str">
        <f>IF(M53="","",IF(M53&gt;Einstellungen!$B$12,"kritisch &gt;10 Std.",IF(M53&gt;Einstellungen!$B$11,"prüfen &gt;8 Std.","OK")))</f>
        <v/>
      </c>
      <c r="Y53" s="37" t="str">
        <f t="shared" si="17"/>
        <v/>
      </c>
      <c r="Z53" s="34" t="str">
        <f>IF(Y53="","",IF(Y53&lt;Einstellungen!$B$14,"kritisch &lt;10 Std.",IF(Y53&lt;Einstellungen!$B$13,"prüfen &lt;11 Std.","OK")))</f>
        <v/>
      </c>
      <c r="AA53" s="33"/>
      <c r="AB53" s="33"/>
      <c r="AC53" s="40" t="str">
        <f t="shared" si="18"/>
        <v/>
      </c>
      <c r="AD53" s="40" t="str">
        <f t="shared" si="19"/>
        <v/>
      </c>
      <c r="AE53" s="41" t="str">
        <f>IF(B53="","",IF(COUNTIF($B$6:B52,B53)=0,"",_xludf.MAXIFS($AD$6:AD52,$B$6:B52,B53)))</f>
        <v/>
      </c>
    </row>
    <row r="54" spans="1:31" ht="21.95" customHeight="1" x14ac:dyDescent="0.25">
      <c r="A54" s="32"/>
      <c r="B54" s="33"/>
      <c r="C54" s="34" t="str">
        <f>IFERROR(INDEX(Mitarbeiter!$B$6:$B$35,MATCH(B54,Mitarbeiter!$A$6:$A$35,0)),"")</f>
        <v/>
      </c>
      <c r="D54" s="74"/>
      <c r="E54" s="34" t="str">
        <f t="shared" si="10"/>
        <v/>
      </c>
      <c r="F54" s="33"/>
      <c r="G54" s="33"/>
      <c r="H54" s="35"/>
      <c r="I54" s="35"/>
      <c r="J54" s="33"/>
      <c r="K54" s="36" t="str">
        <f>IF(L54="","",IF(L54&gt;9,Einstellungen!$B$10,IF(L54&gt;6,Einstellungen!$B$9,0)))</f>
        <v/>
      </c>
      <c r="L54" s="37" t="str">
        <f t="shared" si="11"/>
        <v/>
      </c>
      <c r="M54" s="37" t="str">
        <f t="shared" si="12"/>
        <v/>
      </c>
      <c r="N54" s="37" t="str">
        <f>IF(OR(D54="",H54="",I54=""),"",ROUND((MAX(0,MIN(AD54,D54+1+Einstellungen!$B$8)-MAX(AC54,D54+Einstellungen!$B$7))*24)+(MAX(0,MIN(AD54,D54+Einstellungen!$B$8)-MAX(AC54,D54-1+Einstellungen!$B$7))*24),2))</f>
        <v/>
      </c>
      <c r="O54" s="37" t="str">
        <f t="shared" si="13"/>
        <v/>
      </c>
      <c r="P54" s="37" t="str">
        <f>IF(OR(D54="",H54="",I54=""),"",ROUND(IF(COUNTIF(Einstellungen!$A$21:$A$45,D54)&gt;0,MAX(0,MIN(AD54,D54+1)-MAX(AC54,D54))*24,0)+IF(AD54&gt;D54+1,IF(COUNTIF(Einstellungen!$A$21:$A$45,D54+1)&gt;0,MAX(0,MIN(AD54,D54+2)-MAX(AC54,D54+1))*24,0),0),2))</f>
        <v/>
      </c>
      <c r="Q54" s="34" t="str">
        <f>IF(D54="","",TRIM(IFERROR(VLOOKUP(D54,Einstellungen!$A$21:$B$45,2,FALSE)&amp;" ","")&amp;IF(I54&lt;=H54,IFERROR(VLOOKUP(D54+1,Einstellungen!$A$21:$B$45,2,FALSE),""),"")))</f>
        <v/>
      </c>
      <c r="R54" s="38" t="str">
        <f>IFERROR(INDEX(Mitarbeiter!$G$6:$G$35,MATCH(B54,Mitarbeiter!$A$6:$A$35,0)),"")</f>
        <v/>
      </c>
      <c r="S54" s="38" t="str">
        <f t="shared" si="14"/>
        <v/>
      </c>
      <c r="T54" s="38" t="str">
        <f>IF(M54="","",ROUND(((N54*Einstellungen!$B$15)+(O54*Einstellungen!$B$16)+(P54*Einstellungen!$B$17))*R54,2))</f>
        <v/>
      </c>
      <c r="U54" s="39"/>
      <c r="V54" s="38" t="str">
        <f t="shared" si="15"/>
        <v/>
      </c>
      <c r="W54" s="34" t="str">
        <f t="shared" si="16"/>
        <v/>
      </c>
      <c r="X54" s="34" t="str">
        <f>IF(M54="","",IF(M54&gt;Einstellungen!$B$12,"kritisch &gt;10 Std.",IF(M54&gt;Einstellungen!$B$11,"prüfen &gt;8 Std.","OK")))</f>
        <v/>
      </c>
      <c r="Y54" s="37" t="str">
        <f t="shared" si="17"/>
        <v/>
      </c>
      <c r="Z54" s="34" t="str">
        <f>IF(Y54="","",IF(Y54&lt;Einstellungen!$B$14,"kritisch &lt;10 Std.",IF(Y54&lt;Einstellungen!$B$13,"prüfen &lt;11 Std.","OK")))</f>
        <v/>
      </c>
      <c r="AA54" s="33"/>
      <c r="AB54" s="33"/>
      <c r="AC54" s="40" t="str">
        <f t="shared" si="18"/>
        <v/>
      </c>
      <c r="AD54" s="40" t="str">
        <f t="shared" si="19"/>
        <v/>
      </c>
      <c r="AE54" s="41" t="str">
        <f>IF(B54="","",IF(COUNTIF($B$6:B53,B54)=0,"",_xludf.MAXIFS($AD$6:AD53,$B$6:B53,B54)))</f>
        <v/>
      </c>
    </row>
    <row r="55" spans="1:31" ht="21.95" customHeight="1" x14ac:dyDescent="0.25">
      <c r="A55" s="32"/>
      <c r="B55" s="33"/>
      <c r="C55" s="34" t="str">
        <f>IFERROR(INDEX(Mitarbeiter!$B$6:$B$35,MATCH(B55,Mitarbeiter!$A$6:$A$35,0)),"")</f>
        <v/>
      </c>
      <c r="D55" s="74"/>
      <c r="E55" s="34" t="str">
        <f t="shared" si="10"/>
        <v/>
      </c>
      <c r="F55" s="33"/>
      <c r="G55" s="33"/>
      <c r="H55" s="35"/>
      <c r="I55" s="35"/>
      <c r="J55" s="33"/>
      <c r="K55" s="36" t="str">
        <f>IF(L55="","",IF(L55&gt;9,Einstellungen!$B$10,IF(L55&gt;6,Einstellungen!$B$9,0)))</f>
        <v/>
      </c>
      <c r="L55" s="37" t="str">
        <f t="shared" si="11"/>
        <v/>
      </c>
      <c r="M55" s="37" t="str">
        <f t="shared" si="12"/>
        <v/>
      </c>
      <c r="N55" s="37" t="str">
        <f>IF(OR(D55="",H55="",I55=""),"",ROUND((MAX(0,MIN(AD55,D55+1+Einstellungen!$B$8)-MAX(AC55,D55+Einstellungen!$B$7))*24)+(MAX(0,MIN(AD55,D55+Einstellungen!$B$8)-MAX(AC55,D55-1+Einstellungen!$B$7))*24),2))</f>
        <v/>
      </c>
      <c r="O55" s="37" t="str">
        <f t="shared" si="13"/>
        <v/>
      </c>
      <c r="P55" s="37" t="str">
        <f>IF(OR(D55="",H55="",I55=""),"",ROUND(IF(COUNTIF(Einstellungen!$A$21:$A$45,D55)&gt;0,MAX(0,MIN(AD55,D55+1)-MAX(AC55,D55))*24,0)+IF(AD55&gt;D55+1,IF(COUNTIF(Einstellungen!$A$21:$A$45,D55+1)&gt;0,MAX(0,MIN(AD55,D55+2)-MAX(AC55,D55+1))*24,0),0),2))</f>
        <v/>
      </c>
      <c r="Q55" s="34" t="str">
        <f>IF(D55="","",TRIM(IFERROR(VLOOKUP(D55,Einstellungen!$A$21:$B$45,2,FALSE)&amp;" ","")&amp;IF(I55&lt;=H55,IFERROR(VLOOKUP(D55+1,Einstellungen!$A$21:$B$45,2,FALSE),""),"")))</f>
        <v/>
      </c>
      <c r="R55" s="38" t="str">
        <f>IFERROR(INDEX(Mitarbeiter!$G$6:$G$35,MATCH(B55,Mitarbeiter!$A$6:$A$35,0)),"")</f>
        <v/>
      </c>
      <c r="S55" s="38" t="str">
        <f t="shared" si="14"/>
        <v/>
      </c>
      <c r="T55" s="38" t="str">
        <f>IF(M55="","",ROUND(((N55*Einstellungen!$B$15)+(O55*Einstellungen!$B$16)+(P55*Einstellungen!$B$17))*R55,2))</f>
        <v/>
      </c>
      <c r="U55" s="39"/>
      <c r="V55" s="38" t="str">
        <f t="shared" si="15"/>
        <v/>
      </c>
      <c r="W55" s="34" t="str">
        <f t="shared" si="16"/>
        <v/>
      </c>
      <c r="X55" s="34" t="str">
        <f>IF(M55="","",IF(M55&gt;Einstellungen!$B$12,"kritisch &gt;10 Std.",IF(M55&gt;Einstellungen!$B$11,"prüfen &gt;8 Std.","OK")))</f>
        <v/>
      </c>
      <c r="Y55" s="37" t="str">
        <f t="shared" si="17"/>
        <v/>
      </c>
      <c r="Z55" s="34" t="str">
        <f>IF(Y55="","",IF(Y55&lt;Einstellungen!$B$14,"kritisch &lt;10 Std.",IF(Y55&lt;Einstellungen!$B$13,"prüfen &lt;11 Std.","OK")))</f>
        <v/>
      </c>
      <c r="AA55" s="33"/>
      <c r="AB55" s="33"/>
      <c r="AC55" s="40" t="str">
        <f t="shared" si="18"/>
        <v/>
      </c>
      <c r="AD55" s="40" t="str">
        <f t="shared" si="19"/>
        <v/>
      </c>
      <c r="AE55" s="41" t="str">
        <f>IF(B55="","",IF(COUNTIF($B$6:B54,B55)=0,"",_xludf.MAXIFS($AD$6:AD54,$B$6:B54,B55)))</f>
        <v/>
      </c>
    </row>
    <row r="56" spans="1:31" ht="21.95" customHeight="1" x14ac:dyDescent="0.25">
      <c r="A56" s="32"/>
      <c r="B56" s="33"/>
      <c r="C56" s="34" t="str">
        <f>IFERROR(INDEX(Mitarbeiter!$B$6:$B$35,MATCH(B56,Mitarbeiter!$A$6:$A$35,0)),"")</f>
        <v/>
      </c>
      <c r="D56" s="74"/>
      <c r="E56" s="34" t="str">
        <f t="shared" si="10"/>
        <v/>
      </c>
      <c r="F56" s="33"/>
      <c r="G56" s="33"/>
      <c r="H56" s="35"/>
      <c r="I56" s="35"/>
      <c r="J56" s="33"/>
      <c r="K56" s="36" t="str">
        <f>IF(L56="","",IF(L56&gt;9,Einstellungen!$B$10,IF(L56&gt;6,Einstellungen!$B$9,0)))</f>
        <v/>
      </c>
      <c r="L56" s="37" t="str">
        <f t="shared" si="11"/>
        <v/>
      </c>
      <c r="M56" s="37" t="str">
        <f t="shared" si="12"/>
        <v/>
      </c>
      <c r="N56" s="37" t="str">
        <f>IF(OR(D56="",H56="",I56=""),"",ROUND((MAX(0,MIN(AD56,D56+1+Einstellungen!$B$8)-MAX(AC56,D56+Einstellungen!$B$7))*24)+(MAX(0,MIN(AD56,D56+Einstellungen!$B$8)-MAX(AC56,D56-1+Einstellungen!$B$7))*24),2))</f>
        <v/>
      </c>
      <c r="O56" s="37" t="str">
        <f t="shared" si="13"/>
        <v/>
      </c>
      <c r="P56" s="37" t="str">
        <f>IF(OR(D56="",H56="",I56=""),"",ROUND(IF(COUNTIF(Einstellungen!$A$21:$A$45,D56)&gt;0,MAX(0,MIN(AD56,D56+1)-MAX(AC56,D56))*24,0)+IF(AD56&gt;D56+1,IF(COUNTIF(Einstellungen!$A$21:$A$45,D56+1)&gt;0,MAX(0,MIN(AD56,D56+2)-MAX(AC56,D56+1))*24,0),0),2))</f>
        <v/>
      </c>
      <c r="Q56" s="34" t="str">
        <f>IF(D56="","",TRIM(IFERROR(VLOOKUP(D56,Einstellungen!$A$21:$B$45,2,FALSE)&amp;" ","")&amp;IF(I56&lt;=H56,IFERROR(VLOOKUP(D56+1,Einstellungen!$A$21:$B$45,2,FALSE),""),"")))</f>
        <v/>
      </c>
      <c r="R56" s="38" t="str">
        <f>IFERROR(INDEX(Mitarbeiter!$G$6:$G$35,MATCH(B56,Mitarbeiter!$A$6:$A$35,0)),"")</f>
        <v/>
      </c>
      <c r="S56" s="38" t="str">
        <f t="shared" si="14"/>
        <v/>
      </c>
      <c r="T56" s="38" t="str">
        <f>IF(M56="","",ROUND(((N56*Einstellungen!$B$15)+(O56*Einstellungen!$B$16)+(P56*Einstellungen!$B$17))*R56,2))</f>
        <v/>
      </c>
      <c r="U56" s="39"/>
      <c r="V56" s="38" t="str">
        <f t="shared" si="15"/>
        <v/>
      </c>
      <c r="W56" s="34" t="str">
        <f t="shared" si="16"/>
        <v/>
      </c>
      <c r="X56" s="34" t="str">
        <f>IF(M56="","",IF(M56&gt;Einstellungen!$B$12,"kritisch &gt;10 Std.",IF(M56&gt;Einstellungen!$B$11,"prüfen &gt;8 Std.","OK")))</f>
        <v/>
      </c>
      <c r="Y56" s="37" t="str">
        <f t="shared" si="17"/>
        <v/>
      </c>
      <c r="Z56" s="34" t="str">
        <f>IF(Y56="","",IF(Y56&lt;Einstellungen!$B$14,"kritisch &lt;10 Std.",IF(Y56&lt;Einstellungen!$B$13,"prüfen &lt;11 Std.","OK")))</f>
        <v/>
      </c>
      <c r="AA56" s="33"/>
      <c r="AB56" s="33"/>
      <c r="AC56" s="40" t="str">
        <f t="shared" si="18"/>
        <v/>
      </c>
      <c r="AD56" s="40" t="str">
        <f t="shared" si="19"/>
        <v/>
      </c>
      <c r="AE56" s="41" t="str">
        <f>IF(B56="","",IF(COUNTIF($B$6:B55,B56)=0,"",_xludf.MAXIFS($AD$6:AD55,$B$6:B55,B56)))</f>
        <v/>
      </c>
    </row>
    <row r="57" spans="1:31" ht="21.95" customHeight="1" x14ac:dyDescent="0.25">
      <c r="A57" s="32"/>
      <c r="B57" s="33"/>
      <c r="C57" s="34" t="str">
        <f>IFERROR(INDEX(Mitarbeiter!$B$6:$B$35,MATCH(B57,Mitarbeiter!$A$6:$A$35,0)),"")</f>
        <v/>
      </c>
      <c r="D57" s="74"/>
      <c r="E57" s="34" t="str">
        <f t="shared" si="10"/>
        <v/>
      </c>
      <c r="F57" s="33"/>
      <c r="G57" s="33"/>
      <c r="H57" s="35"/>
      <c r="I57" s="35"/>
      <c r="J57" s="33"/>
      <c r="K57" s="36" t="str">
        <f>IF(L57="","",IF(L57&gt;9,Einstellungen!$B$10,IF(L57&gt;6,Einstellungen!$B$9,0)))</f>
        <v/>
      </c>
      <c r="L57" s="37" t="str">
        <f t="shared" si="11"/>
        <v/>
      </c>
      <c r="M57" s="37" t="str">
        <f t="shared" si="12"/>
        <v/>
      </c>
      <c r="N57" s="37" t="str">
        <f>IF(OR(D57="",H57="",I57=""),"",ROUND((MAX(0,MIN(AD57,D57+1+Einstellungen!$B$8)-MAX(AC57,D57+Einstellungen!$B$7))*24)+(MAX(0,MIN(AD57,D57+Einstellungen!$B$8)-MAX(AC57,D57-1+Einstellungen!$B$7))*24),2))</f>
        <v/>
      </c>
      <c r="O57" s="37" t="str">
        <f t="shared" si="13"/>
        <v/>
      </c>
      <c r="P57" s="37" t="str">
        <f>IF(OR(D57="",H57="",I57=""),"",ROUND(IF(COUNTIF(Einstellungen!$A$21:$A$45,D57)&gt;0,MAX(0,MIN(AD57,D57+1)-MAX(AC57,D57))*24,0)+IF(AD57&gt;D57+1,IF(COUNTIF(Einstellungen!$A$21:$A$45,D57+1)&gt;0,MAX(0,MIN(AD57,D57+2)-MAX(AC57,D57+1))*24,0),0),2))</f>
        <v/>
      </c>
      <c r="Q57" s="34" t="str">
        <f>IF(D57="","",TRIM(IFERROR(VLOOKUP(D57,Einstellungen!$A$21:$B$45,2,FALSE)&amp;" ","")&amp;IF(I57&lt;=H57,IFERROR(VLOOKUP(D57+1,Einstellungen!$A$21:$B$45,2,FALSE),""),"")))</f>
        <v/>
      </c>
      <c r="R57" s="38" t="str">
        <f>IFERROR(INDEX(Mitarbeiter!$G$6:$G$35,MATCH(B57,Mitarbeiter!$A$6:$A$35,0)),"")</f>
        <v/>
      </c>
      <c r="S57" s="38" t="str">
        <f t="shared" si="14"/>
        <v/>
      </c>
      <c r="T57" s="38" t="str">
        <f>IF(M57="","",ROUND(((N57*Einstellungen!$B$15)+(O57*Einstellungen!$B$16)+(P57*Einstellungen!$B$17))*R57,2))</f>
        <v/>
      </c>
      <c r="U57" s="39"/>
      <c r="V57" s="38" t="str">
        <f t="shared" si="15"/>
        <v/>
      </c>
      <c r="W57" s="34" t="str">
        <f t="shared" si="16"/>
        <v/>
      </c>
      <c r="X57" s="34" t="str">
        <f>IF(M57="","",IF(M57&gt;Einstellungen!$B$12,"kritisch &gt;10 Std.",IF(M57&gt;Einstellungen!$B$11,"prüfen &gt;8 Std.","OK")))</f>
        <v/>
      </c>
      <c r="Y57" s="37" t="str">
        <f t="shared" si="17"/>
        <v/>
      </c>
      <c r="Z57" s="34" t="str">
        <f>IF(Y57="","",IF(Y57&lt;Einstellungen!$B$14,"kritisch &lt;10 Std.",IF(Y57&lt;Einstellungen!$B$13,"prüfen &lt;11 Std.","OK")))</f>
        <v/>
      </c>
      <c r="AA57" s="33"/>
      <c r="AB57" s="33"/>
      <c r="AC57" s="40" t="str">
        <f t="shared" si="18"/>
        <v/>
      </c>
      <c r="AD57" s="40" t="str">
        <f t="shared" si="19"/>
        <v/>
      </c>
      <c r="AE57" s="41" t="str">
        <f>IF(B57="","",IF(COUNTIF($B$6:B56,B57)=0,"",_xludf.MAXIFS($AD$6:AD56,$B$6:B56,B57)))</f>
        <v/>
      </c>
    </row>
    <row r="58" spans="1:31" ht="21.95" customHeight="1" x14ac:dyDescent="0.25">
      <c r="A58" s="32"/>
      <c r="B58" s="33"/>
      <c r="C58" s="34" t="str">
        <f>IFERROR(INDEX(Mitarbeiter!$B$6:$B$35,MATCH(B58,Mitarbeiter!$A$6:$A$35,0)),"")</f>
        <v/>
      </c>
      <c r="D58" s="74"/>
      <c r="E58" s="34" t="str">
        <f t="shared" si="10"/>
        <v/>
      </c>
      <c r="F58" s="33"/>
      <c r="G58" s="33"/>
      <c r="H58" s="35"/>
      <c r="I58" s="35"/>
      <c r="J58" s="33"/>
      <c r="K58" s="36" t="str">
        <f>IF(L58="","",IF(L58&gt;9,Einstellungen!$B$10,IF(L58&gt;6,Einstellungen!$B$9,0)))</f>
        <v/>
      </c>
      <c r="L58" s="37" t="str">
        <f t="shared" si="11"/>
        <v/>
      </c>
      <c r="M58" s="37" t="str">
        <f t="shared" si="12"/>
        <v/>
      </c>
      <c r="N58" s="37" t="str">
        <f>IF(OR(D58="",H58="",I58=""),"",ROUND((MAX(0,MIN(AD58,D58+1+Einstellungen!$B$8)-MAX(AC58,D58+Einstellungen!$B$7))*24)+(MAX(0,MIN(AD58,D58+Einstellungen!$B$8)-MAX(AC58,D58-1+Einstellungen!$B$7))*24),2))</f>
        <v/>
      </c>
      <c r="O58" s="37" t="str">
        <f t="shared" si="13"/>
        <v/>
      </c>
      <c r="P58" s="37" t="str">
        <f>IF(OR(D58="",H58="",I58=""),"",ROUND(IF(COUNTIF(Einstellungen!$A$21:$A$45,D58)&gt;0,MAX(0,MIN(AD58,D58+1)-MAX(AC58,D58))*24,0)+IF(AD58&gt;D58+1,IF(COUNTIF(Einstellungen!$A$21:$A$45,D58+1)&gt;0,MAX(0,MIN(AD58,D58+2)-MAX(AC58,D58+1))*24,0),0),2))</f>
        <v/>
      </c>
      <c r="Q58" s="34" t="str">
        <f>IF(D58="","",TRIM(IFERROR(VLOOKUP(D58,Einstellungen!$A$21:$B$45,2,FALSE)&amp;" ","")&amp;IF(I58&lt;=H58,IFERROR(VLOOKUP(D58+1,Einstellungen!$A$21:$B$45,2,FALSE),""),"")))</f>
        <v/>
      </c>
      <c r="R58" s="38" t="str">
        <f>IFERROR(INDEX(Mitarbeiter!$G$6:$G$35,MATCH(B58,Mitarbeiter!$A$6:$A$35,0)),"")</f>
        <v/>
      </c>
      <c r="S58" s="38" t="str">
        <f t="shared" si="14"/>
        <v/>
      </c>
      <c r="T58" s="38" t="str">
        <f>IF(M58="","",ROUND(((N58*Einstellungen!$B$15)+(O58*Einstellungen!$B$16)+(P58*Einstellungen!$B$17))*R58,2))</f>
        <v/>
      </c>
      <c r="U58" s="39"/>
      <c r="V58" s="38" t="str">
        <f t="shared" si="15"/>
        <v/>
      </c>
      <c r="W58" s="34" t="str">
        <f t="shared" si="16"/>
        <v/>
      </c>
      <c r="X58" s="34" t="str">
        <f>IF(M58="","",IF(M58&gt;Einstellungen!$B$12,"kritisch &gt;10 Std.",IF(M58&gt;Einstellungen!$B$11,"prüfen &gt;8 Std.","OK")))</f>
        <v/>
      </c>
      <c r="Y58" s="37" t="str">
        <f t="shared" si="17"/>
        <v/>
      </c>
      <c r="Z58" s="34" t="str">
        <f>IF(Y58="","",IF(Y58&lt;Einstellungen!$B$14,"kritisch &lt;10 Std.",IF(Y58&lt;Einstellungen!$B$13,"prüfen &lt;11 Std.","OK")))</f>
        <v/>
      </c>
      <c r="AA58" s="33"/>
      <c r="AB58" s="33"/>
      <c r="AC58" s="40" t="str">
        <f t="shared" si="18"/>
        <v/>
      </c>
      <c r="AD58" s="40" t="str">
        <f t="shared" si="19"/>
        <v/>
      </c>
      <c r="AE58" s="41" t="str">
        <f>IF(B58="","",IF(COUNTIF($B$6:B57,B58)=0,"",_xludf.MAXIFS($AD$6:AD57,$B$6:B57,B58)))</f>
        <v/>
      </c>
    </row>
    <row r="59" spans="1:31" ht="21.95" customHeight="1" x14ac:dyDescent="0.25">
      <c r="A59" s="32"/>
      <c r="B59" s="33"/>
      <c r="C59" s="34" t="str">
        <f>IFERROR(INDEX(Mitarbeiter!$B$6:$B$35,MATCH(B59,Mitarbeiter!$A$6:$A$35,0)),"")</f>
        <v/>
      </c>
      <c r="D59" s="74"/>
      <c r="E59" s="34" t="str">
        <f t="shared" si="10"/>
        <v/>
      </c>
      <c r="F59" s="33"/>
      <c r="G59" s="33"/>
      <c r="H59" s="35"/>
      <c r="I59" s="35"/>
      <c r="J59" s="33"/>
      <c r="K59" s="36" t="str">
        <f>IF(L59="","",IF(L59&gt;9,Einstellungen!$B$10,IF(L59&gt;6,Einstellungen!$B$9,0)))</f>
        <v/>
      </c>
      <c r="L59" s="37" t="str">
        <f t="shared" si="11"/>
        <v/>
      </c>
      <c r="M59" s="37" t="str">
        <f t="shared" si="12"/>
        <v/>
      </c>
      <c r="N59" s="37" t="str">
        <f>IF(OR(D59="",H59="",I59=""),"",ROUND((MAX(0,MIN(AD59,D59+1+Einstellungen!$B$8)-MAX(AC59,D59+Einstellungen!$B$7))*24)+(MAX(0,MIN(AD59,D59+Einstellungen!$B$8)-MAX(AC59,D59-1+Einstellungen!$B$7))*24),2))</f>
        <v/>
      </c>
      <c r="O59" s="37" t="str">
        <f t="shared" si="13"/>
        <v/>
      </c>
      <c r="P59" s="37" t="str">
        <f>IF(OR(D59="",H59="",I59=""),"",ROUND(IF(COUNTIF(Einstellungen!$A$21:$A$45,D59)&gt;0,MAX(0,MIN(AD59,D59+1)-MAX(AC59,D59))*24,0)+IF(AD59&gt;D59+1,IF(COUNTIF(Einstellungen!$A$21:$A$45,D59+1)&gt;0,MAX(0,MIN(AD59,D59+2)-MAX(AC59,D59+1))*24,0),0),2))</f>
        <v/>
      </c>
      <c r="Q59" s="34" t="str">
        <f>IF(D59="","",TRIM(IFERROR(VLOOKUP(D59,Einstellungen!$A$21:$B$45,2,FALSE)&amp;" ","")&amp;IF(I59&lt;=H59,IFERROR(VLOOKUP(D59+1,Einstellungen!$A$21:$B$45,2,FALSE),""),"")))</f>
        <v/>
      </c>
      <c r="R59" s="38" t="str">
        <f>IFERROR(INDEX(Mitarbeiter!$G$6:$G$35,MATCH(B59,Mitarbeiter!$A$6:$A$35,0)),"")</f>
        <v/>
      </c>
      <c r="S59" s="38" t="str">
        <f t="shared" si="14"/>
        <v/>
      </c>
      <c r="T59" s="38" t="str">
        <f>IF(M59="","",ROUND(((N59*Einstellungen!$B$15)+(O59*Einstellungen!$B$16)+(P59*Einstellungen!$B$17))*R59,2))</f>
        <v/>
      </c>
      <c r="U59" s="39"/>
      <c r="V59" s="38" t="str">
        <f t="shared" si="15"/>
        <v/>
      </c>
      <c r="W59" s="34" t="str">
        <f t="shared" si="16"/>
        <v/>
      </c>
      <c r="X59" s="34" t="str">
        <f>IF(M59="","",IF(M59&gt;Einstellungen!$B$12,"kritisch &gt;10 Std.",IF(M59&gt;Einstellungen!$B$11,"prüfen &gt;8 Std.","OK")))</f>
        <v/>
      </c>
      <c r="Y59" s="37" t="str">
        <f t="shared" si="17"/>
        <v/>
      </c>
      <c r="Z59" s="34" t="str">
        <f>IF(Y59="","",IF(Y59&lt;Einstellungen!$B$14,"kritisch &lt;10 Std.",IF(Y59&lt;Einstellungen!$B$13,"prüfen &lt;11 Std.","OK")))</f>
        <v/>
      </c>
      <c r="AA59" s="33"/>
      <c r="AB59" s="33"/>
      <c r="AC59" s="40" t="str">
        <f t="shared" si="18"/>
        <v/>
      </c>
      <c r="AD59" s="40" t="str">
        <f t="shared" si="19"/>
        <v/>
      </c>
      <c r="AE59" s="41" t="str">
        <f>IF(B59="","",IF(COUNTIF($B$6:B58,B59)=0,"",_xludf.MAXIFS($AD$6:AD58,$B$6:B58,B59)))</f>
        <v/>
      </c>
    </row>
    <row r="60" spans="1:31" ht="21.95" customHeight="1" x14ac:dyDescent="0.25">
      <c r="A60" s="32"/>
      <c r="B60" s="33"/>
      <c r="C60" s="34" t="str">
        <f>IFERROR(INDEX(Mitarbeiter!$B$6:$B$35,MATCH(B60,Mitarbeiter!$A$6:$A$35,0)),"")</f>
        <v/>
      </c>
      <c r="D60" s="74"/>
      <c r="E60" s="34" t="str">
        <f t="shared" si="10"/>
        <v/>
      </c>
      <c r="F60" s="33"/>
      <c r="G60" s="33"/>
      <c r="H60" s="35"/>
      <c r="I60" s="35"/>
      <c r="J60" s="33"/>
      <c r="K60" s="36" t="str">
        <f>IF(L60="","",IF(L60&gt;9,Einstellungen!$B$10,IF(L60&gt;6,Einstellungen!$B$9,0)))</f>
        <v/>
      </c>
      <c r="L60" s="37" t="str">
        <f t="shared" si="11"/>
        <v/>
      </c>
      <c r="M60" s="37" t="str">
        <f t="shared" si="12"/>
        <v/>
      </c>
      <c r="N60" s="37" t="str">
        <f>IF(OR(D60="",H60="",I60=""),"",ROUND((MAX(0,MIN(AD60,D60+1+Einstellungen!$B$8)-MAX(AC60,D60+Einstellungen!$B$7))*24)+(MAX(0,MIN(AD60,D60+Einstellungen!$B$8)-MAX(AC60,D60-1+Einstellungen!$B$7))*24),2))</f>
        <v/>
      </c>
      <c r="O60" s="37" t="str">
        <f t="shared" si="13"/>
        <v/>
      </c>
      <c r="P60" s="37" t="str">
        <f>IF(OR(D60="",H60="",I60=""),"",ROUND(IF(COUNTIF(Einstellungen!$A$21:$A$45,D60)&gt;0,MAX(0,MIN(AD60,D60+1)-MAX(AC60,D60))*24,0)+IF(AD60&gt;D60+1,IF(COUNTIF(Einstellungen!$A$21:$A$45,D60+1)&gt;0,MAX(0,MIN(AD60,D60+2)-MAX(AC60,D60+1))*24,0),0),2))</f>
        <v/>
      </c>
      <c r="Q60" s="34" t="str">
        <f>IF(D60="","",TRIM(IFERROR(VLOOKUP(D60,Einstellungen!$A$21:$B$45,2,FALSE)&amp;" ","")&amp;IF(I60&lt;=H60,IFERROR(VLOOKUP(D60+1,Einstellungen!$A$21:$B$45,2,FALSE),""),"")))</f>
        <v/>
      </c>
      <c r="R60" s="38" t="str">
        <f>IFERROR(INDEX(Mitarbeiter!$G$6:$G$35,MATCH(B60,Mitarbeiter!$A$6:$A$35,0)),"")</f>
        <v/>
      </c>
      <c r="S60" s="38" t="str">
        <f t="shared" si="14"/>
        <v/>
      </c>
      <c r="T60" s="38" t="str">
        <f>IF(M60="","",ROUND(((N60*Einstellungen!$B$15)+(O60*Einstellungen!$B$16)+(P60*Einstellungen!$B$17))*R60,2))</f>
        <v/>
      </c>
      <c r="U60" s="39"/>
      <c r="V60" s="38" t="str">
        <f t="shared" si="15"/>
        <v/>
      </c>
      <c r="W60" s="34" t="str">
        <f t="shared" si="16"/>
        <v/>
      </c>
      <c r="X60" s="34" t="str">
        <f>IF(M60="","",IF(M60&gt;Einstellungen!$B$12,"kritisch &gt;10 Std.",IF(M60&gt;Einstellungen!$B$11,"prüfen &gt;8 Std.","OK")))</f>
        <v/>
      </c>
      <c r="Y60" s="37" t="str">
        <f t="shared" si="17"/>
        <v/>
      </c>
      <c r="Z60" s="34" t="str">
        <f>IF(Y60="","",IF(Y60&lt;Einstellungen!$B$14,"kritisch &lt;10 Std.",IF(Y60&lt;Einstellungen!$B$13,"prüfen &lt;11 Std.","OK")))</f>
        <v/>
      </c>
      <c r="AA60" s="33"/>
      <c r="AB60" s="33"/>
      <c r="AC60" s="40" t="str">
        <f t="shared" si="18"/>
        <v/>
      </c>
      <c r="AD60" s="40" t="str">
        <f t="shared" si="19"/>
        <v/>
      </c>
      <c r="AE60" s="41" t="str">
        <f>IF(B60="","",IF(COUNTIF($B$6:B59,B60)=0,"",_xludf.MAXIFS($AD$6:AD59,$B$6:B59,B60)))</f>
        <v/>
      </c>
    </row>
    <row r="61" spans="1:31" ht="21.95" customHeight="1" x14ac:dyDescent="0.25">
      <c r="A61" s="32"/>
      <c r="B61" s="33"/>
      <c r="C61" s="34" t="str">
        <f>IFERROR(INDEX(Mitarbeiter!$B$6:$B$35,MATCH(B61,Mitarbeiter!$A$6:$A$35,0)),"")</f>
        <v/>
      </c>
      <c r="D61" s="74"/>
      <c r="E61" s="34" t="str">
        <f t="shared" si="10"/>
        <v/>
      </c>
      <c r="F61" s="33"/>
      <c r="G61" s="33"/>
      <c r="H61" s="35"/>
      <c r="I61" s="35"/>
      <c r="J61" s="33"/>
      <c r="K61" s="36" t="str">
        <f>IF(L61="","",IF(L61&gt;9,Einstellungen!$B$10,IF(L61&gt;6,Einstellungen!$B$9,0)))</f>
        <v/>
      </c>
      <c r="L61" s="37" t="str">
        <f t="shared" si="11"/>
        <v/>
      </c>
      <c r="M61" s="37" t="str">
        <f t="shared" si="12"/>
        <v/>
      </c>
      <c r="N61" s="37" t="str">
        <f>IF(OR(D61="",H61="",I61=""),"",ROUND((MAX(0,MIN(AD61,D61+1+Einstellungen!$B$8)-MAX(AC61,D61+Einstellungen!$B$7))*24)+(MAX(0,MIN(AD61,D61+Einstellungen!$B$8)-MAX(AC61,D61-1+Einstellungen!$B$7))*24),2))</f>
        <v/>
      </c>
      <c r="O61" s="37" t="str">
        <f t="shared" si="13"/>
        <v/>
      </c>
      <c r="P61" s="37" t="str">
        <f>IF(OR(D61="",H61="",I61=""),"",ROUND(IF(COUNTIF(Einstellungen!$A$21:$A$45,D61)&gt;0,MAX(0,MIN(AD61,D61+1)-MAX(AC61,D61))*24,0)+IF(AD61&gt;D61+1,IF(COUNTIF(Einstellungen!$A$21:$A$45,D61+1)&gt;0,MAX(0,MIN(AD61,D61+2)-MAX(AC61,D61+1))*24,0),0),2))</f>
        <v/>
      </c>
      <c r="Q61" s="34" t="str">
        <f>IF(D61="","",TRIM(IFERROR(VLOOKUP(D61,Einstellungen!$A$21:$B$45,2,FALSE)&amp;" ","")&amp;IF(I61&lt;=H61,IFERROR(VLOOKUP(D61+1,Einstellungen!$A$21:$B$45,2,FALSE),""),"")))</f>
        <v/>
      </c>
      <c r="R61" s="38" t="str">
        <f>IFERROR(INDEX(Mitarbeiter!$G$6:$G$35,MATCH(B61,Mitarbeiter!$A$6:$A$35,0)),"")</f>
        <v/>
      </c>
      <c r="S61" s="38" t="str">
        <f t="shared" si="14"/>
        <v/>
      </c>
      <c r="T61" s="38" t="str">
        <f>IF(M61="","",ROUND(((N61*Einstellungen!$B$15)+(O61*Einstellungen!$B$16)+(P61*Einstellungen!$B$17))*R61,2))</f>
        <v/>
      </c>
      <c r="U61" s="39"/>
      <c r="V61" s="38" t="str">
        <f t="shared" si="15"/>
        <v/>
      </c>
      <c r="W61" s="34" t="str">
        <f t="shared" si="16"/>
        <v/>
      </c>
      <c r="X61" s="34" t="str">
        <f>IF(M61="","",IF(M61&gt;Einstellungen!$B$12,"kritisch &gt;10 Std.",IF(M61&gt;Einstellungen!$B$11,"prüfen &gt;8 Std.","OK")))</f>
        <v/>
      </c>
      <c r="Y61" s="37" t="str">
        <f t="shared" si="17"/>
        <v/>
      </c>
      <c r="Z61" s="34" t="str">
        <f>IF(Y61="","",IF(Y61&lt;Einstellungen!$B$14,"kritisch &lt;10 Std.",IF(Y61&lt;Einstellungen!$B$13,"prüfen &lt;11 Std.","OK")))</f>
        <v/>
      </c>
      <c r="AA61" s="33"/>
      <c r="AB61" s="33"/>
      <c r="AC61" s="40" t="str">
        <f t="shared" si="18"/>
        <v/>
      </c>
      <c r="AD61" s="40" t="str">
        <f t="shared" si="19"/>
        <v/>
      </c>
      <c r="AE61" s="41" t="str">
        <f>IF(B61="","",IF(COUNTIF($B$6:B60,B61)=0,"",_xludf.MAXIFS($AD$6:AD60,$B$6:B60,B61)))</f>
        <v/>
      </c>
    </row>
    <row r="62" spans="1:31" ht="21.95" customHeight="1" x14ac:dyDescent="0.25">
      <c r="A62" s="32"/>
      <c r="B62" s="33"/>
      <c r="C62" s="34" t="str">
        <f>IFERROR(INDEX(Mitarbeiter!$B$6:$B$35,MATCH(B62,Mitarbeiter!$A$6:$A$35,0)),"")</f>
        <v/>
      </c>
      <c r="D62" s="74"/>
      <c r="E62" s="34" t="str">
        <f t="shared" si="10"/>
        <v/>
      </c>
      <c r="F62" s="33"/>
      <c r="G62" s="33"/>
      <c r="H62" s="35"/>
      <c r="I62" s="35"/>
      <c r="J62" s="33"/>
      <c r="K62" s="36" t="str">
        <f>IF(L62="","",IF(L62&gt;9,Einstellungen!$B$10,IF(L62&gt;6,Einstellungen!$B$9,0)))</f>
        <v/>
      </c>
      <c r="L62" s="37" t="str">
        <f t="shared" si="11"/>
        <v/>
      </c>
      <c r="M62" s="37" t="str">
        <f t="shared" si="12"/>
        <v/>
      </c>
      <c r="N62" s="37" t="str">
        <f>IF(OR(D62="",H62="",I62=""),"",ROUND((MAX(0,MIN(AD62,D62+1+Einstellungen!$B$8)-MAX(AC62,D62+Einstellungen!$B$7))*24)+(MAX(0,MIN(AD62,D62+Einstellungen!$B$8)-MAX(AC62,D62-1+Einstellungen!$B$7))*24),2))</f>
        <v/>
      </c>
      <c r="O62" s="37" t="str">
        <f t="shared" si="13"/>
        <v/>
      </c>
      <c r="P62" s="37" t="str">
        <f>IF(OR(D62="",H62="",I62=""),"",ROUND(IF(COUNTIF(Einstellungen!$A$21:$A$45,D62)&gt;0,MAX(0,MIN(AD62,D62+1)-MAX(AC62,D62))*24,0)+IF(AD62&gt;D62+1,IF(COUNTIF(Einstellungen!$A$21:$A$45,D62+1)&gt;0,MAX(0,MIN(AD62,D62+2)-MAX(AC62,D62+1))*24,0),0),2))</f>
        <v/>
      </c>
      <c r="Q62" s="34" t="str">
        <f>IF(D62="","",TRIM(IFERROR(VLOOKUP(D62,Einstellungen!$A$21:$B$45,2,FALSE)&amp;" ","")&amp;IF(I62&lt;=H62,IFERROR(VLOOKUP(D62+1,Einstellungen!$A$21:$B$45,2,FALSE),""),"")))</f>
        <v/>
      </c>
      <c r="R62" s="38" t="str">
        <f>IFERROR(INDEX(Mitarbeiter!$G$6:$G$35,MATCH(B62,Mitarbeiter!$A$6:$A$35,0)),"")</f>
        <v/>
      </c>
      <c r="S62" s="38" t="str">
        <f t="shared" si="14"/>
        <v/>
      </c>
      <c r="T62" s="38" t="str">
        <f>IF(M62="","",ROUND(((N62*Einstellungen!$B$15)+(O62*Einstellungen!$B$16)+(P62*Einstellungen!$B$17))*R62,2))</f>
        <v/>
      </c>
      <c r="U62" s="39"/>
      <c r="V62" s="38" t="str">
        <f t="shared" si="15"/>
        <v/>
      </c>
      <c r="W62" s="34" t="str">
        <f t="shared" si="16"/>
        <v/>
      </c>
      <c r="X62" s="34" t="str">
        <f>IF(M62="","",IF(M62&gt;Einstellungen!$B$12,"kritisch &gt;10 Std.",IF(M62&gt;Einstellungen!$B$11,"prüfen &gt;8 Std.","OK")))</f>
        <v/>
      </c>
      <c r="Y62" s="37" t="str">
        <f t="shared" si="17"/>
        <v/>
      </c>
      <c r="Z62" s="34" t="str">
        <f>IF(Y62="","",IF(Y62&lt;Einstellungen!$B$14,"kritisch &lt;10 Std.",IF(Y62&lt;Einstellungen!$B$13,"prüfen &lt;11 Std.","OK")))</f>
        <v/>
      </c>
      <c r="AA62" s="33"/>
      <c r="AB62" s="33"/>
      <c r="AC62" s="40" t="str">
        <f t="shared" si="18"/>
        <v/>
      </c>
      <c r="AD62" s="40" t="str">
        <f t="shared" si="19"/>
        <v/>
      </c>
      <c r="AE62" s="41" t="str">
        <f>IF(B62="","",IF(COUNTIF($B$6:B61,B62)=0,"",_xludf.MAXIFS($AD$6:AD61,$B$6:B61,B62)))</f>
        <v/>
      </c>
    </row>
    <row r="63" spans="1:31" ht="21.95" customHeight="1" x14ac:dyDescent="0.25">
      <c r="A63" s="32"/>
      <c r="B63" s="33"/>
      <c r="C63" s="34" t="str">
        <f>IFERROR(INDEX(Mitarbeiter!$B$6:$B$35,MATCH(B63,Mitarbeiter!$A$6:$A$35,0)),"")</f>
        <v/>
      </c>
      <c r="D63" s="74"/>
      <c r="E63" s="34" t="str">
        <f t="shared" si="10"/>
        <v/>
      </c>
      <c r="F63" s="33"/>
      <c r="G63" s="33"/>
      <c r="H63" s="35"/>
      <c r="I63" s="35"/>
      <c r="J63" s="33"/>
      <c r="K63" s="36" t="str">
        <f>IF(L63="","",IF(L63&gt;9,Einstellungen!$B$10,IF(L63&gt;6,Einstellungen!$B$9,0)))</f>
        <v/>
      </c>
      <c r="L63" s="37" t="str">
        <f t="shared" si="11"/>
        <v/>
      </c>
      <c r="M63" s="37" t="str">
        <f t="shared" si="12"/>
        <v/>
      </c>
      <c r="N63" s="37" t="str">
        <f>IF(OR(D63="",H63="",I63=""),"",ROUND((MAX(0,MIN(AD63,D63+1+Einstellungen!$B$8)-MAX(AC63,D63+Einstellungen!$B$7))*24)+(MAX(0,MIN(AD63,D63+Einstellungen!$B$8)-MAX(AC63,D63-1+Einstellungen!$B$7))*24),2))</f>
        <v/>
      </c>
      <c r="O63" s="37" t="str">
        <f t="shared" si="13"/>
        <v/>
      </c>
      <c r="P63" s="37" t="str">
        <f>IF(OR(D63="",H63="",I63=""),"",ROUND(IF(COUNTIF(Einstellungen!$A$21:$A$45,D63)&gt;0,MAX(0,MIN(AD63,D63+1)-MAX(AC63,D63))*24,0)+IF(AD63&gt;D63+1,IF(COUNTIF(Einstellungen!$A$21:$A$45,D63+1)&gt;0,MAX(0,MIN(AD63,D63+2)-MAX(AC63,D63+1))*24,0),0),2))</f>
        <v/>
      </c>
      <c r="Q63" s="34" t="str">
        <f>IF(D63="","",TRIM(IFERROR(VLOOKUP(D63,Einstellungen!$A$21:$B$45,2,FALSE)&amp;" ","")&amp;IF(I63&lt;=H63,IFERROR(VLOOKUP(D63+1,Einstellungen!$A$21:$B$45,2,FALSE),""),"")))</f>
        <v/>
      </c>
      <c r="R63" s="38" t="str">
        <f>IFERROR(INDEX(Mitarbeiter!$G$6:$G$35,MATCH(B63,Mitarbeiter!$A$6:$A$35,0)),"")</f>
        <v/>
      </c>
      <c r="S63" s="38" t="str">
        <f t="shared" si="14"/>
        <v/>
      </c>
      <c r="T63" s="38" t="str">
        <f>IF(M63="","",ROUND(((N63*Einstellungen!$B$15)+(O63*Einstellungen!$B$16)+(P63*Einstellungen!$B$17))*R63,2))</f>
        <v/>
      </c>
      <c r="U63" s="39"/>
      <c r="V63" s="38" t="str">
        <f t="shared" si="15"/>
        <v/>
      </c>
      <c r="W63" s="34" t="str">
        <f t="shared" si="16"/>
        <v/>
      </c>
      <c r="X63" s="34" t="str">
        <f>IF(M63="","",IF(M63&gt;Einstellungen!$B$12,"kritisch &gt;10 Std.",IF(M63&gt;Einstellungen!$B$11,"prüfen &gt;8 Std.","OK")))</f>
        <v/>
      </c>
      <c r="Y63" s="37" t="str">
        <f t="shared" si="17"/>
        <v/>
      </c>
      <c r="Z63" s="34" t="str">
        <f>IF(Y63="","",IF(Y63&lt;Einstellungen!$B$14,"kritisch &lt;10 Std.",IF(Y63&lt;Einstellungen!$B$13,"prüfen &lt;11 Std.","OK")))</f>
        <v/>
      </c>
      <c r="AA63" s="33"/>
      <c r="AB63" s="33"/>
      <c r="AC63" s="40" t="str">
        <f t="shared" si="18"/>
        <v/>
      </c>
      <c r="AD63" s="40" t="str">
        <f t="shared" si="19"/>
        <v/>
      </c>
      <c r="AE63" s="41" t="str">
        <f>IF(B63="","",IF(COUNTIF($B$6:B62,B63)=0,"",_xludf.MAXIFS($AD$6:AD62,$B$6:B62,B63)))</f>
        <v/>
      </c>
    </row>
    <row r="64" spans="1:31" ht="21.95" customHeight="1" x14ac:dyDescent="0.25">
      <c r="A64" s="32"/>
      <c r="B64" s="33"/>
      <c r="C64" s="34" t="str">
        <f>IFERROR(INDEX(Mitarbeiter!$B$6:$B$35,MATCH(B64,Mitarbeiter!$A$6:$A$35,0)),"")</f>
        <v/>
      </c>
      <c r="D64" s="74"/>
      <c r="E64" s="34" t="str">
        <f t="shared" si="10"/>
        <v/>
      </c>
      <c r="F64" s="33"/>
      <c r="G64" s="33"/>
      <c r="H64" s="35"/>
      <c r="I64" s="35"/>
      <c r="J64" s="33"/>
      <c r="K64" s="36" t="str">
        <f>IF(L64="","",IF(L64&gt;9,Einstellungen!$B$10,IF(L64&gt;6,Einstellungen!$B$9,0)))</f>
        <v/>
      </c>
      <c r="L64" s="37" t="str">
        <f t="shared" si="11"/>
        <v/>
      </c>
      <c r="M64" s="37" t="str">
        <f t="shared" si="12"/>
        <v/>
      </c>
      <c r="N64" s="37" t="str">
        <f>IF(OR(D64="",H64="",I64=""),"",ROUND((MAX(0,MIN(AD64,D64+1+Einstellungen!$B$8)-MAX(AC64,D64+Einstellungen!$B$7))*24)+(MAX(0,MIN(AD64,D64+Einstellungen!$B$8)-MAX(AC64,D64-1+Einstellungen!$B$7))*24),2))</f>
        <v/>
      </c>
      <c r="O64" s="37" t="str">
        <f t="shared" si="13"/>
        <v/>
      </c>
      <c r="P64" s="37" t="str">
        <f>IF(OR(D64="",H64="",I64=""),"",ROUND(IF(COUNTIF(Einstellungen!$A$21:$A$45,D64)&gt;0,MAX(0,MIN(AD64,D64+1)-MAX(AC64,D64))*24,0)+IF(AD64&gt;D64+1,IF(COUNTIF(Einstellungen!$A$21:$A$45,D64+1)&gt;0,MAX(0,MIN(AD64,D64+2)-MAX(AC64,D64+1))*24,0),0),2))</f>
        <v/>
      </c>
      <c r="Q64" s="34" t="str">
        <f>IF(D64="","",TRIM(IFERROR(VLOOKUP(D64,Einstellungen!$A$21:$B$45,2,FALSE)&amp;" ","")&amp;IF(I64&lt;=H64,IFERROR(VLOOKUP(D64+1,Einstellungen!$A$21:$B$45,2,FALSE),""),"")))</f>
        <v/>
      </c>
      <c r="R64" s="38" t="str">
        <f>IFERROR(INDEX(Mitarbeiter!$G$6:$G$35,MATCH(B64,Mitarbeiter!$A$6:$A$35,0)),"")</f>
        <v/>
      </c>
      <c r="S64" s="38" t="str">
        <f t="shared" si="14"/>
        <v/>
      </c>
      <c r="T64" s="38" t="str">
        <f>IF(M64="","",ROUND(((N64*Einstellungen!$B$15)+(O64*Einstellungen!$B$16)+(P64*Einstellungen!$B$17))*R64,2))</f>
        <v/>
      </c>
      <c r="U64" s="39"/>
      <c r="V64" s="38" t="str">
        <f t="shared" si="15"/>
        <v/>
      </c>
      <c r="W64" s="34" t="str">
        <f t="shared" si="16"/>
        <v/>
      </c>
      <c r="X64" s="34" t="str">
        <f>IF(M64="","",IF(M64&gt;Einstellungen!$B$12,"kritisch &gt;10 Std.",IF(M64&gt;Einstellungen!$B$11,"prüfen &gt;8 Std.","OK")))</f>
        <v/>
      </c>
      <c r="Y64" s="37" t="str">
        <f t="shared" si="17"/>
        <v/>
      </c>
      <c r="Z64" s="34" t="str">
        <f>IF(Y64="","",IF(Y64&lt;Einstellungen!$B$14,"kritisch &lt;10 Std.",IF(Y64&lt;Einstellungen!$B$13,"prüfen &lt;11 Std.","OK")))</f>
        <v/>
      </c>
      <c r="AA64" s="33"/>
      <c r="AB64" s="33"/>
      <c r="AC64" s="40" t="str">
        <f t="shared" si="18"/>
        <v/>
      </c>
      <c r="AD64" s="40" t="str">
        <f t="shared" si="19"/>
        <v/>
      </c>
      <c r="AE64" s="41" t="str">
        <f>IF(B64="","",IF(COUNTIF($B$6:B63,B64)=0,"",_xludf.MAXIFS($AD$6:AD63,$B$6:B63,B64)))</f>
        <v/>
      </c>
    </row>
    <row r="65" spans="1:31" ht="21.95" customHeight="1" x14ac:dyDescent="0.25">
      <c r="A65" s="32"/>
      <c r="B65" s="33"/>
      <c r="C65" s="34" t="str">
        <f>IFERROR(INDEX(Mitarbeiter!$B$6:$B$35,MATCH(B65,Mitarbeiter!$A$6:$A$35,0)),"")</f>
        <v/>
      </c>
      <c r="D65" s="74"/>
      <c r="E65" s="34" t="str">
        <f t="shared" si="10"/>
        <v/>
      </c>
      <c r="F65" s="33"/>
      <c r="G65" s="33"/>
      <c r="H65" s="35"/>
      <c r="I65" s="35"/>
      <c r="J65" s="33"/>
      <c r="K65" s="36" t="str">
        <f>IF(L65="","",IF(L65&gt;9,Einstellungen!$B$10,IF(L65&gt;6,Einstellungen!$B$9,0)))</f>
        <v/>
      </c>
      <c r="L65" s="37" t="str">
        <f t="shared" si="11"/>
        <v/>
      </c>
      <c r="M65" s="37" t="str">
        <f t="shared" si="12"/>
        <v/>
      </c>
      <c r="N65" s="37" t="str">
        <f>IF(OR(D65="",H65="",I65=""),"",ROUND((MAX(0,MIN(AD65,D65+1+Einstellungen!$B$8)-MAX(AC65,D65+Einstellungen!$B$7))*24)+(MAX(0,MIN(AD65,D65+Einstellungen!$B$8)-MAX(AC65,D65-1+Einstellungen!$B$7))*24),2))</f>
        <v/>
      </c>
      <c r="O65" s="37" t="str">
        <f t="shared" si="13"/>
        <v/>
      </c>
      <c r="P65" s="37" t="str">
        <f>IF(OR(D65="",H65="",I65=""),"",ROUND(IF(COUNTIF(Einstellungen!$A$21:$A$45,D65)&gt;0,MAX(0,MIN(AD65,D65+1)-MAX(AC65,D65))*24,0)+IF(AD65&gt;D65+1,IF(COUNTIF(Einstellungen!$A$21:$A$45,D65+1)&gt;0,MAX(0,MIN(AD65,D65+2)-MAX(AC65,D65+1))*24,0),0),2))</f>
        <v/>
      </c>
      <c r="Q65" s="34" t="str">
        <f>IF(D65="","",TRIM(IFERROR(VLOOKUP(D65,Einstellungen!$A$21:$B$45,2,FALSE)&amp;" ","")&amp;IF(I65&lt;=H65,IFERROR(VLOOKUP(D65+1,Einstellungen!$A$21:$B$45,2,FALSE),""),"")))</f>
        <v/>
      </c>
      <c r="R65" s="38" t="str">
        <f>IFERROR(INDEX(Mitarbeiter!$G$6:$G$35,MATCH(B65,Mitarbeiter!$A$6:$A$35,0)),"")</f>
        <v/>
      </c>
      <c r="S65" s="38" t="str">
        <f t="shared" si="14"/>
        <v/>
      </c>
      <c r="T65" s="38" t="str">
        <f>IF(M65="","",ROUND(((N65*Einstellungen!$B$15)+(O65*Einstellungen!$B$16)+(P65*Einstellungen!$B$17))*R65,2))</f>
        <v/>
      </c>
      <c r="U65" s="39"/>
      <c r="V65" s="38" t="str">
        <f t="shared" si="15"/>
        <v/>
      </c>
      <c r="W65" s="34" t="str">
        <f t="shared" si="16"/>
        <v/>
      </c>
      <c r="X65" s="34" t="str">
        <f>IF(M65="","",IF(M65&gt;Einstellungen!$B$12,"kritisch &gt;10 Std.",IF(M65&gt;Einstellungen!$B$11,"prüfen &gt;8 Std.","OK")))</f>
        <v/>
      </c>
      <c r="Y65" s="37" t="str">
        <f t="shared" si="17"/>
        <v/>
      </c>
      <c r="Z65" s="34" t="str">
        <f>IF(Y65="","",IF(Y65&lt;Einstellungen!$B$14,"kritisch &lt;10 Std.",IF(Y65&lt;Einstellungen!$B$13,"prüfen &lt;11 Std.","OK")))</f>
        <v/>
      </c>
      <c r="AA65" s="33"/>
      <c r="AB65" s="33"/>
      <c r="AC65" s="40" t="str">
        <f t="shared" si="18"/>
        <v/>
      </c>
      <c r="AD65" s="40" t="str">
        <f t="shared" si="19"/>
        <v/>
      </c>
      <c r="AE65" s="41" t="str">
        <f>IF(B65="","",IF(COUNTIF($B$6:B64,B65)=0,"",_xludf.MAXIFS($AD$6:AD64,$B$6:B64,B65)))</f>
        <v/>
      </c>
    </row>
    <row r="66" spans="1:31" ht="21.95" customHeight="1" x14ac:dyDescent="0.25">
      <c r="A66" s="32"/>
      <c r="B66" s="33"/>
      <c r="C66" s="34" t="str">
        <f>IFERROR(INDEX(Mitarbeiter!$B$6:$B$35,MATCH(B66,Mitarbeiter!$A$6:$A$35,0)),"")</f>
        <v/>
      </c>
      <c r="D66" s="74"/>
      <c r="E66" s="34" t="str">
        <f t="shared" si="10"/>
        <v/>
      </c>
      <c r="F66" s="33"/>
      <c r="G66" s="33"/>
      <c r="H66" s="35"/>
      <c r="I66" s="35"/>
      <c r="J66" s="33"/>
      <c r="K66" s="36" t="str">
        <f>IF(L66="","",IF(L66&gt;9,Einstellungen!$B$10,IF(L66&gt;6,Einstellungen!$B$9,0)))</f>
        <v/>
      </c>
      <c r="L66" s="37" t="str">
        <f t="shared" si="11"/>
        <v/>
      </c>
      <c r="M66" s="37" t="str">
        <f t="shared" si="12"/>
        <v/>
      </c>
      <c r="N66" s="37" t="str">
        <f>IF(OR(D66="",H66="",I66=""),"",ROUND((MAX(0,MIN(AD66,D66+1+Einstellungen!$B$8)-MAX(AC66,D66+Einstellungen!$B$7))*24)+(MAX(0,MIN(AD66,D66+Einstellungen!$B$8)-MAX(AC66,D66-1+Einstellungen!$B$7))*24),2))</f>
        <v/>
      </c>
      <c r="O66" s="37" t="str">
        <f t="shared" si="13"/>
        <v/>
      </c>
      <c r="P66" s="37" t="str">
        <f>IF(OR(D66="",H66="",I66=""),"",ROUND(IF(COUNTIF(Einstellungen!$A$21:$A$45,D66)&gt;0,MAX(0,MIN(AD66,D66+1)-MAX(AC66,D66))*24,0)+IF(AD66&gt;D66+1,IF(COUNTIF(Einstellungen!$A$21:$A$45,D66+1)&gt;0,MAX(0,MIN(AD66,D66+2)-MAX(AC66,D66+1))*24,0),0),2))</f>
        <v/>
      </c>
      <c r="Q66" s="34" t="str">
        <f>IF(D66="","",TRIM(IFERROR(VLOOKUP(D66,Einstellungen!$A$21:$B$45,2,FALSE)&amp;" ","")&amp;IF(I66&lt;=H66,IFERROR(VLOOKUP(D66+1,Einstellungen!$A$21:$B$45,2,FALSE),""),"")))</f>
        <v/>
      </c>
      <c r="R66" s="38" t="str">
        <f>IFERROR(INDEX(Mitarbeiter!$G$6:$G$35,MATCH(B66,Mitarbeiter!$A$6:$A$35,0)),"")</f>
        <v/>
      </c>
      <c r="S66" s="38" t="str">
        <f t="shared" si="14"/>
        <v/>
      </c>
      <c r="T66" s="38" t="str">
        <f>IF(M66="","",ROUND(((N66*Einstellungen!$B$15)+(O66*Einstellungen!$B$16)+(P66*Einstellungen!$B$17))*R66,2))</f>
        <v/>
      </c>
      <c r="U66" s="39"/>
      <c r="V66" s="38" t="str">
        <f t="shared" si="15"/>
        <v/>
      </c>
      <c r="W66" s="34" t="str">
        <f t="shared" si="16"/>
        <v/>
      </c>
      <c r="X66" s="34" t="str">
        <f>IF(M66="","",IF(M66&gt;Einstellungen!$B$12,"kritisch &gt;10 Std.",IF(M66&gt;Einstellungen!$B$11,"prüfen &gt;8 Std.","OK")))</f>
        <v/>
      </c>
      <c r="Y66" s="37" t="str">
        <f t="shared" si="17"/>
        <v/>
      </c>
      <c r="Z66" s="34" t="str">
        <f>IF(Y66="","",IF(Y66&lt;Einstellungen!$B$14,"kritisch &lt;10 Std.",IF(Y66&lt;Einstellungen!$B$13,"prüfen &lt;11 Std.","OK")))</f>
        <v/>
      </c>
      <c r="AA66" s="33"/>
      <c r="AB66" s="33"/>
      <c r="AC66" s="40" t="str">
        <f t="shared" si="18"/>
        <v/>
      </c>
      <c r="AD66" s="40" t="str">
        <f t="shared" si="19"/>
        <v/>
      </c>
      <c r="AE66" s="41" t="str">
        <f>IF(B66="","",IF(COUNTIF($B$6:B65,B66)=0,"",_xludf.MAXIFS($AD$6:AD65,$B$6:B65,B66)))</f>
        <v/>
      </c>
    </row>
    <row r="67" spans="1:31" ht="21.95" customHeight="1" x14ac:dyDescent="0.25">
      <c r="A67" s="32"/>
      <c r="B67" s="33"/>
      <c r="C67" s="34" t="str">
        <f>IFERROR(INDEX(Mitarbeiter!$B$6:$B$35,MATCH(B67,Mitarbeiter!$A$6:$A$35,0)),"")</f>
        <v/>
      </c>
      <c r="D67" s="74"/>
      <c r="E67" s="34" t="str">
        <f t="shared" si="10"/>
        <v/>
      </c>
      <c r="F67" s="33"/>
      <c r="G67" s="33"/>
      <c r="H67" s="35"/>
      <c r="I67" s="35"/>
      <c r="J67" s="33"/>
      <c r="K67" s="36" t="str">
        <f>IF(L67="","",IF(L67&gt;9,Einstellungen!$B$10,IF(L67&gt;6,Einstellungen!$B$9,0)))</f>
        <v/>
      </c>
      <c r="L67" s="37" t="str">
        <f t="shared" si="11"/>
        <v/>
      </c>
      <c r="M67" s="37" t="str">
        <f t="shared" si="12"/>
        <v/>
      </c>
      <c r="N67" s="37" t="str">
        <f>IF(OR(D67="",H67="",I67=""),"",ROUND((MAX(0,MIN(AD67,D67+1+Einstellungen!$B$8)-MAX(AC67,D67+Einstellungen!$B$7))*24)+(MAX(0,MIN(AD67,D67+Einstellungen!$B$8)-MAX(AC67,D67-1+Einstellungen!$B$7))*24),2))</f>
        <v/>
      </c>
      <c r="O67" s="37" t="str">
        <f t="shared" si="13"/>
        <v/>
      </c>
      <c r="P67" s="37" t="str">
        <f>IF(OR(D67="",H67="",I67=""),"",ROUND(IF(COUNTIF(Einstellungen!$A$21:$A$45,D67)&gt;0,MAX(0,MIN(AD67,D67+1)-MAX(AC67,D67))*24,0)+IF(AD67&gt;D67+1,IF(COUNTIF(Einstellungen!$A$21:$A$45,D67+1)&gt;0,MAX(0,MIN(AD67,D67+2)-MAX(AC67,D67+1))*24,0),0),2))</f>
        <v/>
      </c>
      <c r="Q67" s="34" t="str">
        <f>IF(D67="","",TRIM(IFERROR(VLOOKUP(D67,Einstellungen!$A$21:$B$45,2,FALSE)&amp;" ","")&amp;IF(I67&lt;=H67,IFERROR(VLOOKUP(D67+1,Einstellungen!$A$21:$B$45,2,FALSE),""),"")))</f>
        <v/>
      </c>
      <c r="R67" s="38" t="str">
        <f>IFERROR(INDEX(Mitarbeiter!$G$6:$G$35,MATCH(B67,Mitarbeiter!$A$6:$A$35,0)),"")</f>
        <v/>
      </c>
      <c r="S67" s="38" t="str">
        <f t="shared" si="14"/>
        <v/>
      </c>
      <c r="T67" s="38" t="str">
        <f>IF(M67="","",ROUND(((N67*Einstellungen!$B$15)+(O67*Einstellungen!$B$16)+(P67*Einstellungen!$B$17))*R67,2))</f>
        <v/>
      </c>
      <c r="U67" s="39"/>
      <c r="V67" s="38" t="str">
        <f t="shared" si="15"/>
        <v/>
      </c>
      <c r="W67" s="34" t="str">
        <f t="shared" si="16"/>
        <v/>
      </c>
      <c r="X67" s="34" t="str">
        <f>IF(M67="","",IF(M67&gt;Einstellungen!$B$12,"kritisch &gt;10 Std.",IF(M67&gt;Einstellungen!$B$11,"prüfen &gt;8 Std.","OK")))</f>
        <v/>
      </c>
      <c r="Y67" s="37" t="str">
        <f t="shared" si="17"/>
        <v/>
      </c>
      <c r="Z67" s="34" t="str">
        <f>IF(Y67="","",IF(Y67&lt;Einstellungen!$B$14,"kritisch &lt;10 Std.",IF(Y67&lt;Einstellungen!$B$13,"prüfen &lt;11 Std.","OK")))</f>
        <v/>
      </c>
      <c r="AA67" s="33"/>
      <c r="AB67" s="33"/>
      <c r="AC67" s="40" t="str">
        <f t="shared" si="18"/>
        <v/>
      </c>
      <c r="AD67" s="40" t="str">
        <f t="shared" si="19"/>
        <v/>
      </c>
      <c r="AE67" s="41" t="str">
        <f>IF(B67="","",IF(COUNTIF($B$6:B66,B67)=0,"",_xludf.MAXIFS($AD$6:AD66,$B$6:B66,B67)))</f>
        <v/>
      </c>
    </row>
    <row r="68" spans="1:31" ht="21.95" customHeight="1" x14ac:dyDescent="0.25">
      <c r="A68" s="32"/>
      <c r="B68" s="33"/>
      <c r="C68" s="34" t="str">
        <f>IFERROR(INDEX(Mitarbeiter!$B$6:$B$35,MATCH(B68,Mitarbeiter!$A$6:$A$35,0)),"")</f>
        <v/>
      </c>
      <c r="D68" s="74"/>
      <c r="E68" s="34" t="str">
        <f t="shared" si="10"/>
        <v/>
      </c>
      <c r="F68" s="33"/>
      <c r="G68" s="33"/>
      <c r="H68" s="35"/>
      <c r="I68" s="35"/>
      <c r="J68" s="33"/>
      <c r="K68" s="36" t="str">
        <f>IF(L68="","",IF(L68&gt;9,Einstellungen!$B$10,IF(L68&gt;6,Einstellungen!$B$9,0)))</f>
        <v/>
      </c>
      <c r="L68" s="37" t="str">
        <f t="shared" si="11"/>
        <v/>
      </c>
      <c r="M68" s="37" t="str">
        <f t="shared" si="12"/>
        <v/>
      </c>
      <c r="N68" s="37" t="str">
        <f>IF(OR(D68="",H68="",I68=""),"",ROUND((MAX(0,MIN(AD68,D68+1+Einstellungen!$B$8)-MAX(AC68,D68+Einstellungen!$B$7))*24)+(MAX(0,MIN(AD68,D68+Einstellungen!$B$8)-MAX(AC68,D68-1+Einstellungen!$B$7))*24),2))</f>
        <v/>
      </c>
      <c r="O68" s="37" t="str">
        <f t="shared" si="13"/>
        <v/>
      </c>
      <c r="P68" s="37" t="str">
        <f>IF(OR(D68="",H68="",I68=""),"",ROUND(IF(COUNTIF(Einstellungen!$A$21:$A$45,D68)&gt;0,MAX(0,MIN(AD68,D68+1)-MAX(AC68,D68))*24,0)+IF(AD68&gt;D68+1,IF(COUNTIF(Einstellungen!$A$21:$A$45,D68+1)&gt;0,MAX(0,MIN(AD68,D68+2)-MAX(AC68,D68+1))*24,0),0),2))</f>
        <v/>
      </c>
      <c r="Q68" s="34" t="str">
        <f>IF(D68="","",TRIM(IFERROR(VLOOKUP(D68,Einstellungen!$A$21:$B$45,2,FALSE)&amp;" ","")&amp;IF(I68&lt;=H68,IFERROR(VLOOKUP(D68+1,Einstellungen!$A$21:$B$45,2,FALSE),""),"")))</f>
        <v/>
      </c>
      <c r="R68" s="38" t="str">
        <f>IFERROR(INDEX(Mitarbeiter!$G$6:$G$35,MATCH(B68,Mitarbeiter!$A$6:$A$35,0)),"")</f>
        <v/>
      </c>
      <c r="S68" s="38" t="str">
        <f t="shared" si="14"/>
        <v/>
      </c>
      <c r="T68" s="38" t="str">
        <f>IF(M68="","",ROUND(((N68*Einstellungen!$B$15)+(O68*Einstellungen!$B$16)+(P68*Einstellungen!$B$17))*R68,2))</f>
        <v/>
      </c>
      <c r="U68" s="39"/>
      <c r="V68" s="38" t="str">
        <f t="shared" si="15"/>
        <v/>
      </c>
      <c r="W68" s="34" t="str">
        <f t="shared" si="16"/>
        <v/>
      </c>
      <c r="X68" s="34" t="str">
        <f>IF(M68="","",IF(M68&gt;Einstellungen!$B$12,"kritisch &gt;10 Std.",IF(M68&gt;Einstellungen!$B$11,"prüfen &gt;8 Std.","OK")))</f>
        <v/>
      </c>
      <c r="Y68" s="37" t="str">
        <f t="shared" si="17"/>
        <v/>
      </c>
      <c r="Z68" s="34" t="str">
        <f>IF(Y68="","",IF(Y68&lt;Einstellungen!$B$14,"kritisch &lt;10 Std.",IF(Y68&lt;Einstellungen!$B$13,"prüfen &lt;11 Std.","OK")))</f>
        <v/>
      </c>
      <c r="AA68" s="33"/>
      <c r="AB68" s="33"/>
      <c r="AC68" s="40" t="str">
        <f t="shared" si="18"/>
        <v/>
      </c>
      <c r="AD68" s="40" t="str">
        <f t="shared" si="19"/>
        <v/>
      </c>
      <c r="AE68" s="41" t="str">
        <f>IF(B68="","",IF(COUNTIF($B$6:B67,B68)=0,"",_xludf.MAXIFS($AD$6:AD67,$B$6:B67,B68)))</f>
        <v/>
      </c>
    </row>
    <row r="69" spans="1:31" ht="21.95" customHeight="1" x14ac:dyDescent="0.25">
      <c r="A69" s="32"/>
      <c r="B69" s="33"/>
      <c r="C69" s="34" t="str">
        <f>IFERROR(INDEX(Mitarbeiter!$B$6:$B$35,MATCH(B69,Mitarbeiter!$A$6:$A$35,0)),"")</f>
        <v/>
      </c>
      <c r="D69" s="74"/>
      <c r="E69" s="34" t="str">
        <f t="shared" si="10"/>
        <v/>
      </c>
      <c r="F69" s="33"/>
      <c r="G69" s="33"/>
      <c r="H69" s="35"/>
      <c r="I69" s="35"/>
      <c r="J69" s="33"/>
      <c r="K69" s="36" t="str">
        <f>IF(L69="","",IF(L69&gt;9,Einstellungen!$B$10,IF(L69&gt;6,Einstellungen!$B$9,0)))</f>
        <v/>
      </c>
      <c r="L69" s="37" t="str">
        <f t="shared" si="11"/>
        <v/>
      </c>
      <c r="M69" s="37" t="str">
        <f t="shared" si="12"/>
        <v/>
      </c>
      <c r="N69" s="37" t="str">
        <f>IF(OR(D69="",H69="",I69=""),"",ROUND((MAX(0,MIN(AD69,D69+1+Einstellungen!$B$8)-MAX(AC69,D69+Einstellungen!$B$7))*24)+(MAX(0,MIN(AD69,D69+Einstellungen!$B$8)-MAX(AC69,D69-1+Einstellungen!$B$7))*24),2))</f>
        <v/>
      </c>
      <c r="O69" s="37" t="str">
        <f t="shared" si="13"/>
        <v/>
      </c>
      <c r="P69" s="37" t="str">
        <f>IF(OR(D69="",H69="",I69=""),"",ROUND(IF(COUNTIF(Einstellungen!$A$21:$A$45,D69)&gt;0,MAX(0,MIN(AD69,D69+1)-MAX(AC69,D69))*24,0)+IF(AD69&gt;D69+1,IF(COUNTIF(Einstellungen!$A$21:$A$45,D69+1)&gt;0,MAX(0,MIN(AD69,D69+2)-MAX(AC69,D69+1))*24,0),0),2))</f>
        <v/>
      </c>
      <c r="Q69" s="34" t="str">
        <f>IF(D69="","",TRIM(IFERROR(VLOOKUP(D69,Einstellungen!$A$21:$B$45,2,FALSE)&amp;" ","")&amp;IF(I69&lt;=H69,IFERROR(VLOOKUP(D69+1,Einstellungen!$A$21:$B$45,2,FALSE),""),"")))</f>
        <v/>
      </c>
      <c r="R69" s="38" t="str">
        <f>IFERROR(INDEX(Mitarbeiter!$G$6:$G$35,MATCH(B69,Mitarbeiter!$A$6:$A$35,0)),"")</f>
        <v/>
      </c>
      <c r="S69" s="38" t="str">
        <f t="shared" si="14"/>
        <v/>
      </c>
      <c r="T69" s="38" t="str">
        <f>IF(M69="","",ROUND(((N69*Einstellungen!$B$15)+(O69*Einstellungen!$B$16)+(P69*Einstellungen!$B$17))*R69,2))</f>
        <v/>
      </c>
      <c r="U69" s="39"/>
      <c r="V69" s="38" t="str">
        <f t="shared" si="15"/>
        <v/>
      </c>
      <c r="W69" s="34" t="str">
        <f t="shared" si="16"/>
        <v/>
      </c>
      <c r="X69" s="34" t="str">
        <f>IF(M69="","",IF(M69&gt;Einstellungen!$B$12,"kritisch &gt;10 Std.",IF(M69&gt;Einstellungen!$B$11,"prüfen &gt;8 Std.","OK")))</f>
        <v/>
      </c>
      <c r="Y69" s="37" t="str">
        <f t="shared" si="17"/>
        <v/>
      </c>
      <c r="Z69" s="34" t="str">
        <f>IF(Y69="","",IF(Y69&lt;Einstellungen!$B$14,"kritisch &lt;10 Std.",IF(Y69&lt;Einstellungen!$B$13,"prüfen &lt;11 Std.","OK")))</f>
        <v/>
      </c>
      <c r="AA69" s="33"/>
      <c r="AB69" s="33"/>
      <c r="AC69" s="40" t="str">
        <f t="shared" si="18"/>
        <v/>
      </c>
      <c r="AD69" s="40" t="str">
        <f t="shared" si="19"/>
        <v/>
      </c>
      <c r="AE69" s="41" t="str">
        <f>IF(B69="","",IF(COUNTIF($B$6:B68,B69)=0,"",_xludf.MAXIFS($AD$6:AD68,$B$6:B68,B69)))</f>
        <v/>
      </c>
    </row>
    <row r="70" spans="1:31" ht="21.95" customHeight="1" x14ac:dyDescent="0.25">
      <c r="A70" s="32"/>
      <c r="B70" s="33"/>
      <c r="C70" s="34" t="str">
        <f>IFERROR(INDEX(Mitarbeiter!$B$6:$B$35,MATCH(B70,Mitarbeiter!$A$6:$A$35,0)),"")</f>
        <v/>
      </c>
      <c r="D70" s="74"/>
      <c r="E70" s="34" t="str">
        <f t="shared" ref="E70:E101" si="20">IF(D70="","",CHOOSE(WEEKDAY(D70,2),"Mo","Di","Mi","Do","Fr","Sa","So"))</f>
        <v/>
      </c>
      <c r="F70" s="33"/>
      <c r="G70" s="33"/>
      <c r="H70" s="35"/>
      <c r="I70" s="35"/>
      <c r="J70" s="33"/>
      <c r="K70" s="36" t="str">
        <f>IF(L70="","",IF(L70&gt;9,Einstellungen!$B$10,IF(L70&gt;6,Einstellungen!$B$9,0)))</f>
        <v/>
      </c>
      <c r="L70" s="37" t="str">
        <f t="shared" ref="L70:L101" si="21">IF(OR(H70="",I70=""),"",MOD(I70-H70,1)*24)</f>
        <v/>
      </c>
      <c r="M70" s="37" t="str">
        <f t="shared" ref="M70:M101" si="22">IF(L70="","",MAX(0,L70-J70/60))</f>
        <v/>
      </c>
      <c r="N70" s="37" t="str">
        <f>IF(OR(D70="",H70="",I70=""),"",ROUND((MAX(0,MIN(AD70,D70+1+Einstellungen!$B$8)-MAX(AC70,D70+Einstellungen!$B$7))*24)+(MAX(0,MIN(AD70,D70+Einstellungen!$B$8)-MAX(AC70,D70-1+Einstellungen!$B$7))*24),2))</f>
        <v/>
      </c>
      <c r="O70" s="37" t="str">
        <f t="shared" ref="O70:O101" si="23">IF(OR(D70="",H70="",I70=""),"",ROUND(IF(WEEKDAY(D70,2)=7,MAX(0,MIN(AD70,D70+1)-MAX(AC70,D70))*24,0)+IF(AD70&gt;D70+1,IF(WEEKDAY(D70+1,2)=7,MAX(0,MIN(AD70,D70+2)-MAX(AC70,D70+1))*24,0),0),2))</f>
        <v/>
      </c>
      <c r="P70" s="37" t="str">
        <f>IF(OR(D70="",H70="",I70=""),"",ROUND(IF(COUNTIF(Einstellungen!$A$21:$A$45,D70)&gt;0,MAX(0,MIN(AD70,D70+1)-MAX(AC70,D70))*24,0)+IF(AD70&gt;D70+1,IF(COUNTIF(Einstellungen!$A$21:$A$45,D70+1)&gt;0,MAX(0,MIN(AD70,D70+2)-MAX(AC70,D70+1))*24,0),0),2))</f>
        <v/>
      </c>
      <c r="Q70" s="34" t="str">
        <f>IF(D70="","",TRIM(IFERROR(VLOOKUP(D70,Einstellungen!$A$21:$B$45,2,FALSE)&amp;" ","")&amp;IF(I70&lt;=H70,IFERROR(VLOOKUP(D70+1,Einstellungen!$A$21:$B$45,2,FALSE),""),"")))</f>
        <v/>
      </c>
      <c r="R70" s="38" t="str">
        <f>IFERROR(INDEX(Mitarbeiter!$G$6:$G$35,MATCH(B70,Mitarbeiter!$A$6:$A$35,0)),"")</f>
        <v/>
      </c>
      <c r="S70" s="38" t="str">
        <f t="shared" ref="S70:S101" si="24">IF(M70="","",ROUND(M70*R70,2))</f>
        <v/>
      </c>
      <c r="T70" s="38" t="str">
        <f>IF(M70="","",ROUND(((N70*Einstellungen!$B$15)+(O70*Einstellungen!$B$16)+(P70*Einstellungen!$B$17))*R70,2))</f>
        <v/>
      </c>
      <c r="U70" s="39"/>
      <c r="V70" s="38" t="str">
        <f t="shared" ref="V70:V101" si="25">IF(M70="","",ROUND(S70+T70+U70,2))</f>
        <v/>
      </c>
      <c r="W70" s="34" t="str">
        <f t="shared" ref="W70:W101" si="26">IF(B70="","",IF(J70&lt;K70,"Pause prüfen","OK"))</f>
        <v/>
      </c>
      <c r="X70" s="34" t="str">
        <f>IF(M70="","",IF(M70&gt;Einstellungen!$B$12,"kritisch &gt;10 Std.",IF(M70&gt;Einstellungen!$B$11,"prüfen &gt;8 Std.","OK")))</f>
        <v/>
      </c>
      <c r="Y70" s="37" t="str">
        <f t="shared" ref="Y70:Y101" si="27">IF(AE70="","",ROUND((AC70-AE70)*24,2))</f>
        <v/>
      </c>
      <c r="Z70" s="34" t="str">
        <f>IF(Y70="","",IF(Y70&lt;Einstellungen!$B$14,"kritisch &lt;10 Std.",IF(Y70&lt;Einstellungen!$B$13,"prüfen &lt;11 Std.","OK")))</f>
        <v/>
      </c>
      <c r="AA70" s="33"/>
      <c r="AB70" s="33"/>
      <c r="AC70" s="40" t="str">
        <f t="shared" ref="AC70:AC101" si="28">IF(OR(D70="",H70=""),"",D70+H70)</f>
        <v/>
      </c>
      <c r="AD70" s="40" t="str">
        <f t="shared" ref="AD70:AD101" si="29">IF(OR(D70="",I70=""),"",D70+I70+IF(I70&lt;=H70,1,0))</f>
        <v/>
      </c>
      <c r="AE70" s="41" t="str">
        <f>IF(B70="","",IF(COUNTIF($B$6:B69,B70)=0,"",_xludf.MAXIFS($AD$6:AD69,$B$6:B69,B70)))</f>
        <v/>
      </c>
    </row>
    <row r="71" spans="1:31" ht="21.95" customHeight="1" x14ac:dyDescent="0.25">
      <c r="A71" s="32"/>
      <c r="B71" s="33"/>
      <c r="C71" s="34" t="str">
        <f>IFERROR(INDEX(Mitarbeiter!$B$6:$B$35,MATCH(B71,Mitarbeiter!$A$6:$A$35,0)),"")</f>
        <v/>
      </c>
      <c r="D71" s="74"/>
      <c r="E71" s="34" t="str">
        <f t="shared" si="20"/>
        <v/>
      </c>
      <c r="F71" s="33"/>
      <c r="G71" s="33"/>
      <c r="H71" s="35"/>
      <c r="I71" s="35"/>
      <c r="J71" s="33"/>
      <c r="K71" s="36" t="str">
        <f>IF(L71="","",IF(L71&gt;9,Einstellungen!$B$10,IF(L71&gt;6,Einstellungen!$B$9,0)))</f>
        <v/>
      </c>
      <c r="L71" s="37" t="str">
        <f t="shared" si="21"/>
        <v/>
      </c>
      <c r="M71" s="37" t="str">
        <f t="shared" si="22"/>
        <v/>
      </c>
      <c r="N71" s="37" t="str">
        <f>IF(OR(D71="",H71="",I71=""),"",ROUND((MAX(0,MIN(AD71,D71+1+Einstellungen!$B$8)-MAX(AC71,D71+Einstellungen!$B$7))*24)+(MAX(0,MIN(AD71,D71+Einstellungen!$B$8)-MAX(AC71,D71-1+Einstellungen!$B$7))*24),2))</f>
        <v/>
      </c>
      <c r="O71" s="37" t="str">
        <f t="shared" si="23"/>
        <v/>
      </c>
      <c r="P71" s="37" t="str">
        <f>IF(OR(D71="",H71="",I71=""),"",ROUND(IF(COUNTIF(Einstellungen!$A$21:$A$45,D71)&gt;0,MAX(0,MIN(AD71,D71+1)-MAX(AC71,D71))*24,0)+IF(AD71&gt;D71+1,IF(COUNTIF(Einstellungen!$A$21:$A$45,D71+1)&gt;0,MAX(0,MIN(AD71,D71+2)-MAX(AC71,D71+1))*24,0),0),2))</f>
        <v/>
      </c>
      <c r="Q71" s="34" t="str">
        <f>IF(D71="","",TRIM(IFERROR(VLOOKUP(D71,Einstellungen!$A$21:$B$45,2,FALSE)&amp;" ","")&amp;IF(I71&lt;=H71,IFERROR(VLOOKUP(D71+1,Einstellungen!$A$21:$B$45,2,FALSE),""),"")))</f>
        <v/>
      </c>
      <c r="R71" s="38" t="str">
        <f>IFERROR(INDEX(Mitarbeiter!$G$6:$G$35,MATCH(B71,Mitarbeiter!$A$6:$A$35,0)),"")</f>
        <v/>
      </c>
      <c r="S71" s="38" t="str">
        <f t="shared" si="24"/>
        <v/>
      </c>
      <c r="T71" s="38" t="str">
        <f>IF(M71="","",ROUND(((N71*Einstellungen!$B$15)+(O71*Einstellungen!$B$16)+(P71*Einstellungen!$B$17))*R71,2))</f>
        <v/>
      </c>
      <c r="U71" s="39"/>
      <c r="V71" s="38" t="str">
        <f t="shared" si="25"/>
        <v/>
      </c>
      <c r="W71" s="34" t="str">
        <f t="shared" si="26"/>
        <v/>
      </c>
      <c r="X71" s="34" t="str">
        <f>IF(M71="","",IF(M71&gt;Einstellungen!$B$12,"kritisch &gt;10 Std.",IF(M71&gt;Einstellungen!$B$11,"prüfen &gt;8 Std.","OK")))</f>
        <v/>
      </c>
      <c r="Y71" s="37" t="str">
        <f t="shared" si="27"/>
        <v/>
      </c>
      <c r="Z71" s="34" t="str">
        <f>IF(Y71="","",IF(Y71&lt;Einstellungen!$B$14,"kritisch &lt;10 Std.",IF(Y71&lt;Einstellungen!$B$13,"prüfen &lt;11 Std.","OK")))</f>
        <v/>
      </c>
      <c r="AA71" s="33"/>
      <c r="AB71" s="33"/>
      <c r="AC71" s="40" t="str">
        <f t="shared" si="28"/>
        <v/>
      </c>
      <c r="AD71" s="40" t="str">
        <f t="shared" si="29"/>
        <v/>
      </c>
      <c r="AE71" s="41" t="str">
        <f>IF(B71="","",IF(COUNTIF($B$6:B70,B71)=0,"",_xludf.MAXIFS($AD$6:AD70,$B$6:B70,B71)))</f>
        <v/>
      </c>
    </row>
    <row r="72" spans="1:31" ht="21.95" customHeight="1" x14ac:dyDescent="0.25">
      <c r="A72" s="32"/>
      <c r="B72" s="33"/>
      <c r="C72" s="34" t="str">
        <f>IFERROR(INDEX(Mitarbeiter!$B$6:$B$35,MATCH(B72,Mitarbeiter!$A$6:$A$35,0)),"")</f>
        <v/>
      </c>
      <c r="D72" s="74"/>
      <c r="E72" s="34" t="str">
        <f t="shared" si="20"/>
        <v/>
      </c>
      <c r="F72" s="33"/>
      <c r="G72" s="33"/>
      <c r="H72" s="35"/>
      <c r="I72" s="35"/>
      <c r="J72" s="33"/>
      <c r="K72" s="36" t="str">
        <f>IF(L72="","",IF(L72&gt;9,Einstellungen!$B$10,IF(L72&gt;6,Einstellungen!$B$9,0)))</f>
        <v/>
      </c>
      <c r="L72" s="37" t="str">
        <f t="shared" si="21"/>
        <v/>
      </c>
      <c r="M72" s="37" t="str">
        <f t="shared" si="22"/>
        <v/>
      </c>
      <c r="N72" s="37" t="str">
        <f>IF(OR(D72="",H72="",I72=""),"",ROUND((MAX(0,MIN(AD72,D72+1+Einstellungen!$B$8)-MAX(AC72,D72+Einstellungen!$B$7))*24)+(MAX(0,MIN(AD72,D72+Einstellungen!$B$8)-MAX(AC72,D72-1+Einstellungen!$B$7))*24),2))</f>
        <v/>
      </c>
      <c r="O72" s="37" t="str">
        <f t="shared" si="23"/>
        <v/>
      </c>
      <c r="P72" s="37" t="str">
        <f>IF(OR(D72="",H72="",I72=""),"",ROUND(IF(COUNTIF(Einstellungen!$A$21:$A$45,D72)&gt;0,MAX(0,MIN(AD72,D72+1)-MAX(AC72,D72))*24,0)+IF(AD72&gt;D72+1,IF(COUNTIF(Einstellungen!$A$21:$A$45,D72+1)&gt;0,MAX(0,MIN(AD72,D72+2)-MAX(AC72,D72+1))*24,0),0),2))</f>
        <v/>
      </c>
      <c r="Q72" s="34" t="str">
        <f>IF(D72="","",TRIM(IFERROR(VLOOKUP(D72,Einstellungen!$A$21:$B$45,2,FALSE)&amp;" ","")&amp;IF(I72&lt;=H72,IFERROR(VLOOKUP(D72+1,Einstellungen!$A$21:$B$45,2,FALSE),""),"")))</f>
        <v/>
      </c>
      <c r="R72" s="38" t="str">
        <f>IFERROR(INDEX(Mitarbeiter!$G$6:$G$35,MATCH(B72,Mitarbeiter!$A$6:$A$35,0)),"")</f>
        <v/>
      </c>
      <c r="S72" s="38" t="str">
        <f t="shared" si="24"/>
        <v/>
      </c>
      <c r="T72" s="38" t="str">
        <f>IF(M72="","",ROUND(((N72*Einstellungen!$B$15)+(O72*Einstellungen!$B$16)+(P72*Einstellungen!$B$17))*R72,2))</f>
        <v/>
      </c>
      <c r="U72" s="39"/>
      <c r="V72" s="38" t="str">
        <f t="shared" si="25"/>
        <v/>
      </c>
      <c r="W72" s="34" t="str">
        <f t="shared" si="26"/>
        <v/>
      </c>
      <c r="X72" s="34" t="str">
        <f>IF(M72="","",IF(M72&gt;Einstellungen!$B$12,"kritisch &gt;10 Std.",IF(M72&gt;Einstellungen!$B$11,"prüfen &gt;8 Std.","OK")))</f>
        <v/>
      </c>
      <c r="Y72" s="37" t="str">
        <f t="shared" si="27"/>
        <v/>
      </c>
      <c r="Z72" s="34" t="str">
        <f>IF(Y72="","",IF(Y72&lt;Einstellungen!$B$14,"kritisch &lt;10 Std.",IF(Y72&lt;Einstellungen!$B$13,"prüfen &lt;11 Std.","OK")))</f>
        <v/>
      </c>
      <c r="AA72" s="33"/>
      <c r="AB72" s="33"/>
      <c r="AC72" s="40" t="str">
        <f t="shared" si="28"/>
        <v/>
      </c>
      <c r="AD72" s="40" t="str">
        <f t="shared" si="29"/>
        <v/>
      </c>
      <c r="AE72" s="41" t="str">
        <f>IF(B72="","",IF(COUNTIF($B$6:B71,B72)=0,"",_xludf.MAXIFS($AD$6:AD71,$B$6:B71,B72)))</f>
        <v/>
      </c>
    </row>
    <row r="73" spans="1:31" ht="21.95" customHeight="1" x14ac:dyDescent="0.25">
      <c r="A73" s="32"/>
      <c r="B73" s="33"/>
      <c r="C73" s="34" t="str">
        <f>IFERROR(INDEX(Mitarbeiter!$B$6:$B$35,MATCH(B73,Mitarbeiter!$A$6:$A$35,0)),"")</f>
        <v/>
      </c>
      <c r="D73" s="74"/>
      <c r="E73" s="34" t="str">
        <f t="shared" si="20"/>
        <v/>
      </c>
      <c r="F73" s="33"/>
      <c r="G73" s="33"/>
      <c r="H73" s="35"/>
      <c r="I73" s="35"/>
      <c r="J73" s="33"/>
      <c r="K73" s="36" t="str">
        <f>IF(L73="","",IF(L73&gt;9,Einstellungen!$B$10,IF(L73&gt;6,Einstellungen!$B$9,0)))</f>
        <v/>
      </c>
      <c r="L73" s="37" t="str">
        <f t="shared" si="21"/>
        <v/>
      </c>
      <c r="M73" s="37" t="str">
        <f t="shared" si="22"/>
        <v/>
      </c>
      <c r="N73" s="37" t="str">
        <f>IF(OR(D73="",H73="",I73=""),"",ROUND((MAX(0,MIN(AD73,D73+1+Einstellungen!$B$8)-MAX(AC73,D73+Einstellungen!$B$7))*24)+(MAX(0,MIN(AD73,D73+Einstellungen!$B$8)-MAX(AC73,D73-1+Einstellungen!$B$7))*24),2))</f>
        <v/>
      </c>
      <c r="O73" s="37" t="str">
        <f t="shared" si="23"/>
        <v/>
      </c>
      <c r="P73" s="37" t="str">
        <f>IF(OR(D73="",H73="",I73=""),"",ROUND(IF(COUNTIF(Einstellungen!$A$21:$A$45,D73)&gt;0,MAX(0,MIN(AD73,D73+1)-MAX(AC73,D73))*24,0)+IF(AD73&gt;D73+1,IF(COUNTIF(Einstellungen!$A$21:$A$45,D73+1)&gt;0,MAX(0,MIN(AD73,D73+2)-MAX(AC73,D73+1))*24,0),0),2))</f>
        <v/>
      </c>
      <c r="Q73" s="34" t="str">
        <f>IF(D73="","",TRIM(IFERROR(VLOOKUP(D73,Einstellungen!$A$21:$B$45,2,FALSE)&amp;" ","")&amp;IF(I73&lt;=H73,IFERROR(VLOOKUP(D73+1,Einstellungen!$A$21:$B$45,2,FALSE),""),"")))</f>
        <v/>
      </c>
      <c r="R73" s="38" t="str">
        <f>IFERROR(INDEX(Mitarbeiter!$G$6:$G$35,MATCH(B73,Mitarbeiter!$A$6:$A$35,0)),"")</f>
        <v/>
      </c>
      <c r="S73" s="38" t="str">
        <f t="shared" si="24"/>
        <v/>
      </c>
      <c r="T73" s="38" t="str">
        <f>IF(M73="","",ROUND(((N73*Einstellungen!$B$15)+(O73*Einstellungen!$B$16)+(P73*Einstellungen!$B$17))*R73,2))</f>
        <v/>
      </c>
      <c r="U73" s="39"/>
      <c r="V73" s="38" t="str">
        <f t="shared" si="25"/>
        <v/>
      </c>
      <c r="W73" s="34" t="str">
        <f t="shared" si="26"/>
        <v/>
      </c>
      <c r="X73" s="34" t="str">
        <f>IF(M73="","",IF(M73&gt;Einstellungen!$B$12,"kritisch &gt;10 Std.",IF(M73&gt;Einstellungen!$B$11,"prüfen &gt;8 Std.","OK")))</f>
        <v/>
      </c>
      <c r="Y73" s="37" t="str">
        <f t="shared" si="27"/>
        <v/>
      </c>
      <c r="Z73" s="34" t="str">
        <f>IF(Y73="","",IF(Y73&lt;Einstellungen!$B$14,"kritisch &lt;10 Std.",IF(Y73&lt;Einstellungen!$B$13,"prüfen &lt;11 Std.","OK")))</f>
        <v/>
      </c>
      <c r="AA73" s="33"/>
      <c r="AB73" s="33"/>
      <c r="AC73" s="40" t="str">
        <f t="shared" si="28"/>
        <v/>
      </c>
      <c r="AD73" s="40" t="str">
        <f t="shared" si="29"/>
        <v/>
      </c>
      <c r="AE73" s="41" t="str">
        <f>IF(B73="","",IF(COUNTIF($B$6:B72,B73)=0,"",_xludf.MAXIFS($AD$6:AD72,$B$6:B72,B73)))</f>
        <v/>
      </c>
    </row>
    <row r="74" spans="1:31" ht="21.95" customHeight="1" x14ac:dyDescent="0.25">
      <c r="A74" s="32"/>
      <c r="B74" s="33"/>
      <c r="C74" s="34" t="str">
        <f>IFERROR(INDEX(Mitarbeiter!$B$6:$B$35,MATCH(B74,Mitarbeiter!$A$6:$A$35,0)),"")</f>
        <v/>
      </c>
      <c r="D74" s="74"/>
      <c r="E74" s="34" t="str">
        <f t="shared" si="20"/>
        <v/>
      </c>
      <c r="F74" s="33"/>
      <c r="G74" s="33"/>
      <c r="H74" s="35"/>
      <c r="I74" s="35"/>
      <c r="J74" s="33"/>
      <c r="K74" s="36" t="str">
        <f>IF(L74="","",IF(L74&gt;9,Einstellungen!$B$10,IF(L74&gt;6,Einstellungen!$B$9,0)))</f>
        <v/>
      </c>
      <c r="L74" s="37" t="str">
        <f t="shared" si="21"/>
        <v/>
      </c>
      <c r="M74" s="37" t="str">
        <f t="shared" si="22"/>
        <v/>
      </c>
      <c r="N74" s="37" t="str">
        <f>IF(OR(D74="",H74="",I74=""),"",ROUND((MAX(0,MIN(AD74,D74+1+Einstellungen!$B$8)-MAX(AC74,D74+Einstellungen!$B$7))*24)+(MAX(0,MIN(AD74,D74+Einstellungen!$B$8)-MAX(AC74,D74-1+Einstellungen!$B$7))*24),2))</f>
        <v/>
      </c>
      <c r="O74" s="37" t="str">
        <f t="shared" si="23"/>
        <v/>
      </c>
      <c r="P74" s="37" t="str">
        <f>IF(OR(D74="",H74="",I74=""),"",ROUND(IF(COUNTIF(Einstellungen!$A$21:$A$45,D74)&gt;0,MAX(0,MIN(AD74,D74+1)-MAX(AC74,D74))*24,0)+IF(AD74&gt;D74+1,IF(COUNTIF(Einstellungen!$A$21:$A$45,D74+1)&gt;0,MAX(0,MIN(AD74,D74+2)-MAX(AC74,D74+1))*24,0),0),2))</f>
        <v/>
      </c>
      <c r="Q74" s="34" t="str">
        <f>IF(D74="","",TRIM(IFERROR(VLOOKUP(D74,Einstellungen!$A$21:$B$45,2,FALSE)&amp;" ","")&amp;IF(I74&lt;=H74,IFERROR(VLOOKUP(D74+1,Einstellungen!$A$21:$B$45,2,FALSE),""),"")))</f>
        <v/>
      </c>
      <c r="R74" s="38" t="str">
        <f>IFERROR(INDEX(Mitarbeiter!$G$6:$G$35,MATCH(B74,Mitarbeiter!$A$6:$A$35,0)),"")</f>
        <v/>
      </c>
      <c r="S74" s="38" t="str">
        <f t="shared" si="24"/>
        <v/>
      </c>
      <c r="T74" s="38" t="str">
        <f>IF(M74="","",ROUND(((N74*Einstellungen!$B$15)+(O74*Einstellungen!$B$16)+(P74*Einstellungen!$B$17))*R74,2))</f>
        <v/>
      </c>
      <c r="U74" s="39"/>
      <c r="V74" s="38" t="str">
        <f t="shared" si="25"/>
        <v/>
      </c>
      <c r="W74" s="34" t="str">
        <f t="shared" si="26"/>
        <v/>
      </c>
      <c r="X74" s="34" t="str">
        <f>IF(M74="","",IF(M74&gt;Einstellungen!$B$12,"kritisch &gt;10 Std.",IF(M74&gt;Einstellungen!$B$11,"prüfen &gt;8 Std.","OK")))</f>
        <v/>
      </c>
      <c r="Y74" s="37" t="str">
        <f t="shared" si="27"/>
        <v/>
      </c>
      <c r="Z74" s="34" t="str">
        <f>IF(Y74="","",IF(Y74&lt;Einstellungen!$B$14,"kritisch &lt;10 Std.",IF(Y74&lt;Einstellungen!$B$13,"prüfen &lt;11 Std.","OK")))</f>
        <v/>
      </c>
      <c r="AA74" s="33"/>
      <c r="AB74" s="33"/>
      <c r="AC74" s="40" t="str">
        <f t="shared" si="28"/>
        <v/>
      </c>
      <c r="AD74" s="40" t="str">
        <f t="shared" si="29"/>
        <v/>
      </c>
      <c r="AE74" s="41" t="str">
        <f>IF(B74="","",IF(COUNTIF($B$6:B73,B74)=0,"",_xludf.MAXIFS($AD$6:AD73,$B$6:B73,B74)))</f>
        <v/>
      </c>
    </row>
    <row r="75" spans="1:31" ht="21.95" customHeight="1" x14ac:dyDescent="0.25">
      <c r="A75" s="32"/>
      <c r="B75" s="33"/>
      <c r="C75" s="34" t="str">
        <f>IFERROR(INDEX(Mitarbeiter!$B$6:$B$35,MATCH(B75,Mitarbeiter!$A$6:$A$35,0)),"")</f>
        <v/>
      </c>
      <c r="D75" s="74"/>
      <c r="E75" s="34" t="str">
        <f t="shared" si="20"/>
        <v/>
      </c>
      <c r="F75" s="33"/>
      <c r="G75" s="33"/>
      <c r="H75" s="35"/>
      <c r="I75" s="35"/>
      <c r="J75" s="33"/>
      <c r="K75" s="36" t="str">
        <f>IF(L75="","",IF(L75&gt;9,Einstellungen!$B$10,IF(L75&gt;6,Einstellungen!$B$9,0)))</f>
        <v/>
      </c>
      <c r="L75" s="37" t="str">
        <f t="shared" si="21"/>
        <v/>
      </c>
      <c r="M75" s="37" t="str">
        <f t="shared" si="22"/>
        <v/>
      </c>
      <c r="N75" s="37" t="str">
        <f>IF(OR(D75="",H75="",I75=""),"",ROUND((MAX(0,MIN(AD75,D75+1+Einstellungen!$B$8)-MAX(AC75,D75+Einstellungen!$B$7))*24)+(MAX(0,MIN(AD75,D75+Einstellungen!$B$8)-MAX(AC75,D75-1+Einstellungen!$B$7))*24),2))</f>
        <v/>
      </c>
      <c r="O75" s="37" t="str">
        <f t="shared" si="23"/>
        <v/>
      </c>
      <c r="P75" s="37" t="str">
        <f>IF(OR(D75="",H75="",I75=""),"",ROUND(IF(COUNTIF(Einstellungen!$A$21:$A$45,D75)&gt;0,MAX(0,MIN(AD75,D75+1)-MAX(AC75,D75))*24,0)+IF(AD75&gt;D75+1,IF(COUNTIF(Einstellungen!$A$21:$A$45,D75+1)&gt;0,MAX(0,MIN(AD75,D75+2)-MAX(AC75,D75+1))*24,0),0),2))</f>
        <v/>
      </c>
      <c r="Q75" s="34" t="str">
        <f>IF(D75="","",TRIM(IFERROR(VLOOKUP(D75,Einstellungen!$A$21:$B$45,2,FALSE)&amp;" ","")&amp;IF(I75&lt;=H75,IFERROR(VLOOKUP(D75+1,Einstellungen!$A$21:$B$45,2,FALSE),""),"")))</f>
        <v/>
      </c>
      <c r="R75" s="38" t="str">
        <f>IFERROR(INDEX(Mitarbeiter!$G$6:$G$35,MATCH(B75,Mitarbeiter!$A$6:$A$35,0)),"")</f>
        <v/>
      </c>
      <c r="S75" s="38" t="str">
        <f t="shared" si="24"/>
        <v/>
      </c>
      <c r="T75" s="38" t="str">
        <f>IF(M75="","",ROUND(((N75*Einstellungen!$B$15)+(O75*Einstellungen!$B$16)+(P75*Einstellungen!$B$17))*R75,2))</f>
        <v/>
      </c>
      <c r="U75" s="39"/>
      <c r="V75" s="38" t="str">
        <f t="shared" si="25"/>
        <v/>
      </c>
      <c r="W75" s="34" t="str">
        <f t="shared" si="26"/>
        <v/>
      </c>
      <c r="X75" s="34" t="str">
        <f>IF(M75="","",IF(M75&gt;Einstellungen!$B$12,"kritisch &gt;10 Std.",IF(M75&gt;Einstellungen!$B$11,"prüfen &gt;8 Std.","OK")))</f>
        <v/>
      </c>
      <c r="Y75" s="37" t="str">
        <f t="shared" si="27"/>
        <v/>
      </c>
      <c r="Z75" s="34" t="str">
        <f>IF(Y75="","",IF(Y75&lt;Einstellungen!$B$14,"kritisch &lt;10 Std.",IF(Y75&lt;Einstellungen!$B$13,"prüfen &lt;11 Std.","OK")))</f>
        <v/>
      </c>
      <c r="AA75" s="33"/>
      <c r="AB75" s="33"/>
      <c r="AC75" s="40" t="str">
        <f t="shared" si="28"/>
        <v/>
      </c>
      <c r="AD75" s="40" t="str">
        <f t="shared" si="29"/>
        <v/>
      </c>
      <c r="AE75" s="41" t="str">
        <f>IF(B75="","",IF(COUNTIF($B$6:B74,B75)=0,"",_xludf.MAXIFS($AD$6:AD74,$B$6:B74,B75)))</f>
        <v/>
      </c>
    </row>
    <row r="76" spans="1:31" ht="21.95" customHeight="1" x14ac:dyDescent="0.25">
      <c r="A76" s="32"/>
      <c r="B76" s="33"/>
      <c r="C76" s="34" t="str">
        <f>IFERROR(INDEX(Mitarbeiter!$B$6:$B$35,MATCH(B76,Mitarbeiter!$A$6:$A$35,0)),"")</f>
        <v/>
      </c>
      <c r="D76" s="74"/>
      <c r="E76" s="34" t="str">
        <f t="shared" si="20"/>
        <v/>
      </c>
      <c r="F76" s="33"/>
      <c r="G76" s="33"/>
      <c r="H76" s="35"/>
      <c r="I76" s="35"/>
      <c r="J76" s="33"/>
      <c r="K76" s="36" t="str">
        <f>IF(L76="","",IF(L76&gt;9,Einstellungen!$B$10,IF(L76&gt;6,Einstellungen!$B$9,0)))</f>
        <v/>
      </c>
      <c r="L76" s="37" t="str">
        <f t="shared" si="21"/>
        <v/>
      </c>
      <c r="M76" s="37" t="str">
        <f t="shared" si="22"/>
        <v/>
      </c>
      <c r="N76" s="37" t="str">
        <f>IF(OR(D76="",H76="",I76=""),"",ROUND((MAX(0,MIN(AD76,D76+1+Einstellungen!$B$8)-MAX(AC76,D76+Einstellungen!$B$7))*24)+(MAX(0,MIN(AD76,D76+Einstellungen!$B$8)-MAX(AC76,D76-1+Einstellungen!$B$7))*24),2))</f>
        <v/>
      </c>
      <c r="O76" s="37" t="str">
        <f t="shared" si="23"/>
        <v/>
      </c>
      <c r="P76" s="37" t="str">
        <f>IF(OR(D76="",H76="",I76=""),"",ROUND(IF(COUNTIF(Einstellungen!$A$21:$A$45,D76)&gt;0,MAX(0,MIN(AD76,D76+1)-MAX(AC76,D76))*24,0)+IF(AD76&gt;D76+1,IF(COUNTIF(Einstellungen!$A$21:$A$45,D76+1)&gt;0,MAX(0,MIN(AD76,D76+2)-MAX(AC76,D76+1))*24,0),0),2))</f>
        <v/>
      </c>
      <c r="Q76" s="34" t="str">
        <f>IF(D76="","",TRIM(IFERROR(VLOOKUP(D76,Einstellungen!$A$21:$B$45,2,FALSE)&amp;" ","")&amp;IF(I76&lt;=H76,IFERROR(VLOOKUP(D76+1,Einstellungen!$A$21:$B$45,2,FALSE),""),"")))</f>
        <v/>
      </c>
      <c r="R76" s="38" t="str">
        <f>IFERROR(INDEX(Mitarbeiter!$G$6:$G$35,MATCH(B76,Mitarbeiter!$A$6:$A$35,0)),"")</f>
        <v/>
      </c>
      <c r="S76" s="38" t="str">
        <f t="shared" si="24"/>
        <v/>
      </c>
      <c r="T76" s="38" t="str">
        <f>IF(M76="","",ROUND(((N76*Einstellungen!$B$15)+(O76*Einstellungen!$B$16)+(P76*Einstellungen!$B$17))*R76,2))</f>
        <v/>
      </c>
      <c r="U76" s="39"/>
      <c r="V76" s="38" t="str">
        <f t="shared" si="25"/>
        <v/>
      </c>
      <c r="W76" s="34" t="str">
        <f t="shared" si="26"/>
        <v/>
      </c>
      <c r="X76" s="34" t="str">
        <f>IF(M76="","",IF(M76&gt;Einstellungen!$B$12,"kritisch &gt;10 Std.",IF(M76&gt;Einstellungen!$B$11,"prüfen &gt;8 Std.","OK")))</f>
        <v/>
      </c>
      <c r="Y76" s="37" t="str">
        <f t="shared" si="27"/>
        <v/>
      </c>
      <c r="Z76" s="34" t="str">
        <f>IF(Y76="","",IF(Y76&lt;Einstellungen!$B$14,"kritisch &lt;10 Std.",IF(Y76&lt;Einstellungen!$B$13,"prüfen &lt;11 Std.","OK")))</f>
        <v/>
      </c>
      <c r="AA76" s="33"/>
      <c r="AB76" s="33"/>
      <c r="AC76" s="40" t="str">
        <f t="shared" si="28"/>
        <v/>
      </c>
      <c r="AD76" s="40" t="str">
        <f t="shared" si="29"/>
        <v/>
      </c>
      <c r="AE76" s="41" t="str">
        <f>IF(B76="","",IF(COUNTIF($B$6:B75,B76)=0,"",_xludf.MAXIFS($AD$6:AD75,$B$6:B75,B76)))</f>
        <v/>
      </c>
    </row>
    <row r="77" spans="1:31" ht="21.95" customHeight="1" x14ac:dyDescent="0.25">
      <c r="A77" s="32"/>
      <c r="B77" s="33"/>
      <c r="C77" s="34" t="str">
        <f>IFERROR(INDEX(Mitarbeiter!$B$6:$B$35,MATCH(B77,Mitarbeiter!$A$6:$A$35,0)),"")</f>
        <v/>
      </c>
      <c r="D77" s="74"/>
      <c r="E77" s="34" t="str">
        <f t="shared" si="20"/>
        <v/>
      </c>
      <c r="F77" s="33"/>
      <c r="G77" s="33"/>
      <c r="H77" s="35"/>
      <c r="I77" s="35"/>
      <c r="J77" s="33"/>
      <c r="K77" s="36" t="str">
        <f>IF(L77="","",IF(L77&gt;9,Einstellungen!$B$10,IF(L77&gt;6,Einstellungen!$B$9,0)))</f>
        <v/>
      </c>
      <c r="L77" s="37" t="str">
        <f t="shared" si="21"/>
        <v/>
      </c>
      <c r="M77" s="37" t="str">
        <f t="shared" si="22"/>
        <v/>
      </c>
      <c r="N77" s="37" t="str">
        <f>IF(OR(D77="",H77="",I77=""),"",ROUND((MAX(0,MIN(AD77,D77+1+Einstellungen!$B$8)-MAX(AC77,D77+Einstellungen!$B$7))*24)+(MAX(0,MIN(AD77,D77+Einstellungen!$B$8)-MAX(AC77,D77-1+Einstellungen!$B$7))*24),2))</f>
        <v/>
      </c>
      <c r="O77" s="37" t="str">
        <f t="shared" si="23"/>
        <v/>
      </c>
      <c r="P77" s="37" t="str">
        <f>IF(OR(D77="",H77="",I77=""),"",ROUND(IF(COUNTIF(Einstellungen!$A$21:$A$45,D77)&gt;0,MAX(0,MIN(AD77,D77+1)-MAX(AC77,D77))*24,0)+IF(AD77&gt;D77+1,IF(COUNTIF(Einstellungen!$A$21:$A$45,D77+1)&gt;0,MAX(0,MIN(AD77,D77+2)-MAX(AC77,D77+1))*24,0),0),2))</f>
        <v/>
      </c>
      <c r="Q77" s="34" t="str">
        <f>IF(D77="","",TRIM(IFERROR(VLOOKUP(D77,Einstellungen!$A$21:$B$45,2,FALSE)&amp;" ","")&amp;IF(I77&lt;=H77,IFERROR(VLOOKUP(D77+1,Einstellungen!$A$21:$B$45,2,FALSE),""),"")))</f>
        <v/>
      </c>
      <c r="R77" s="38" t="str">
        <f>IFERROR(INDEX(Mitarbeiter!$G$6:$G$35,MATCH(B77,Mitarbeiter!$A$6:$A$35,0)),"")</f>
        <v/>
      </c>
      <c r="S77" s="38" t="str">
        <f t="shared" si="24"/>
        <v/>
      </c>
      <c r="T77" s="38" t="str">
        <f>IF(M77="","",ROUND(((N77*Einstellungen!$B$15)+(O77*Einstellungen!$B$16)+(P77*Einstellungen!$B$17))*R77,2))</f>
        <v/>
      </c>
      <c r="U77" s="39"/>
      <c r="V77" s="38" t="str">
        <f t="shared" si="25"/>
        <v/>
      </c>
      <c r="W77" s="34" t="str">
        <f t="shared" si="26"/>
        <v/>
      </c>
      <c r="X77" s="34" t="str">
        <f>IF(M77="","",IF(M77&gt;Einstellungen!$B$12,"kritisch &gt;10 Std.",IF(M77&gt;Einstellungen!$B$11,"prüfen &gt;8 Std.","OK")))</f>
        <v/>
      </c>
      <c r="Y77" s="37" t="str">
        <f t="shared" si="27"/>
        <v/>
      </c>
      <c r="Z77" s="34" t="str">
        <f>IF(Y77="","",IF(Y77&lt;Einstellungen!$B$14,"kritisch &lt;10 Std.",IF(Y77&lt;Einstellungen!$B$13,"prüfen &lt;11 Std.","OK")))</f>
        <v/>
      </c>
      <c r="AA77" s="33"/>
      <c r="AB77" s="33"/>
      <c r="AC77" s="40" t="str">
        <f t="shared" si="28"/>
        <v/>
      </c>
      <c r="AD77" s="40" t="str">
        <f t="shared" si="29"/>
        <v/>
      </c>
      <c r="AE77" s="41" t="str">
        <f>IF(B77="","",IF(COUNTIF($B$6:B76,B77)=0,"",_xludf.MAXIFS($AD$6:AD76,$B$6:B76,B77)))</f>
        <v/>
      </c>
    </row>
    <row r="78" spans="1:31" ht="21.95" customHeight="1" x14ac:dyDescent="0.25">
      <c r="A78" s="32"/>
      <c r="B78" s="33"/>
      <c r="C78" s="34" t="str">
        <f>IFERROR(INDEX(Mitarbeiter!$B$6:$B$35,MATCH(B78,Mitarbeiter!$A$6:$A$35,0)),"")</f>
        <v/>
      </c>
      <c r="D78" s="74"/>
      <c r="E78" s="34" t="str">
        <f t="shared" si="20"/>
        <v/>
      </c>
      <c r="F78" s="33"/>
      <c r="G78" s="33"/>
      <c r="H78" s="35"/>
      <c r="I78" s="35"/>
      <c r="J78" s="33"/>
      <c r="K78" s="36" t="str">
        <f>IF(L78="","",IF(L78&gt;9,Einstellungen!$B$10,IF(L78&gt;6,Einstellungen!$B$9,0)))</f>
        <v/>
      </c>
      <c r="L78" s="37" t="str">
        <f t="shared" si="21"/>
        <v/>
      </c>
      <c r="M78" s="37" t="str">
        <f t="shared" si="22"/>
        <v/>
      </c>
      <c r="N78" s="37" t="str">
        <f>IF(OR(D78="",H78="",I78=""),"",ROUND((MAX(0,MIN(AD78,D78+1+Einstellungen!$B$8)-MAX(AC78,D78+Einstellungen!$B$7))*24)+(MAX(0,MIN(AD78,D78+Einstellungen!$B$8)-MAX(AC78,D78-1+Einstellungen!$B$7))*24),2))</f>
        <v/>
      </c>
      <c r="O78" s="37" t="str">
        <f t="shared" si="23"/>
        <v/>
      </c>
      <c r="P78" s="37" t="str">
        <f>IF(OR(D78="",H78="",I78=""),"",ROUND(IF(COUNTIF(Einstellungen!$A$21:$A$45,D78)&gt;0,MAX(0,MIN(AD78,D78+1)-MAX(AC78,D78))*24,0)+IF(AD78&gt;D78+1,IF(COUNTIF(Einstellungen!$A$21:$A$45,D78+1)&gt;0,MAX(0,MIN(AD78,D78+2)-MAX(AC78,D78+1))*24,0),0),2))</f>
        <v/>
      </c>
      <c r="Q78" s="34" t="str">
        <f>IF(D78="","",TRIM(IFERROR(VLOOKUP(D78,Einstellungen!$A$21:$B$45,2,FALSE)&amp;" ","")&amp;IF(I78&lt;=H78,IFERROR(VLOOKUP(D78+1,Einstellungen!$A$21:$B$45,2,FALSE),""),"")))</f>
        <v/>
      </c>
      <c r="R78" s="38" t="str">
        <f>IFERROR(INDEX(Mitarbeiter!$G$6:$G$35,MATCH(B78,Mitarbeiter!$A$6:$A$35,0)),"")</f>
        <v/>
      </c>
      <c r="S78" s="38" t="str">
        <f t="shared" si="24"/>
        <v/>
      </c>
      <c r="T78" s="38" t="str">
        <f>IF(M78="","",ROUND(((N78*Einstellungen!$B$15)+(O78*Einstellungen!$B$16)+(P78*Einstellungen!$B$17))*R78,2))</f>
        <v/>
      </c>
      <c r="U78" s="39"/>
      <c r="V78" s="38" t="str">
        <f t="shared" si="25"/>
        <v/>
      </c>
      <c r="W78" s="34" t="str">
        <f t="shared" si="26"/>
        <v/>
      </c>
      <c r="X78" s="34" t="str">
        <f>IF(M78="","",IF(M78&gt;Einstellungen!$B$12,"kritisch &gt;10 Std.",IF(M78&gt;Einstellungen!$B$11,"prüfen &gt;8 Std.","OK")))</f>
        <v/>
      </c>
      <c r="Y78" s="37" t="str">
        <f t="shared" si="27"/>
        <v/>
      </c>
      <c r="Z78" s="34" t="str">
        <f>IF(Y78="","",IF(Y78&lt;Einstellungen!$B$14,"kritisch &lt;10 Std.",IF(Y78&lt;Einstellungen!$B$13,"prüfen &lt;11 Std.","OK")))</f>
        <v/>
      </c>
      <c r="AA78" s="33"/>
      <c r="AB78" s="33"/>
      <c r="AC78" s="40" t="str">
        <f t="shared" si="28"/>
        <v/>
      </c>
      <c r="AD78" s="40" t="str">
        <f t="shared" si="29"/>
        <v/>
      </c>
      <c r="AE78" s="41" t="str">
        <f>IF(B78="","",IF(COUNTIF($B$6:B77,B78)=0,"",_xludf.MAXIFS($AD$6:AD77,$B$6:B77,B78)))</f>
        <v/>
      </c>
    </row>
    <row r="79" spans="1:31" ht="21.95" customHeight="1" x14ac:dyDescent="0.25">
      <c r="A79" s="32"/>
      <c r="B79" s="33"/>
      <c r="C79" s="34" t="str">
        <f>IFERROR(INDEX(Mitarbeiter!$B$6:$B$35,MATCH(B79,Mitarbeiter!$A$6:$A$35,0)),"")</f>
        <v/>
      </c>
      <c r="D79" s="74"/>
      <c r="E79" s="34" t="str">
        <f t="shared" si="20"/>
        <v/>
      </c>
      <c r="F79" s="33"/>
      <c r="G79" s="33"/>
      <c r="H79" s="35"/>
      <c r="I79" s="35"/>
      <c r="J79" s="33"/>
      <c r="K79" s="36" t="str">
        <f>IF(L79="","",IF(L79&gt;9,Einstellungen!$B$10,IF(L79&gt;6,Einstellungen!$B$9,0)))</f>
        <v/>
      </c>
      <c r="L79" s="37" t="str">
        <f t="shared" si="21"/>
        <v/>
      </c>
      <c r="M79" s="37" t="str">
        <f t="shared" si="22"/>
        <v/>
      </c>
      <c r="N79" s="37" t="str">
        <f>IF(OR(D79="",H79="",I79=""),"",ROUND((MAX(0,MIN(AD79,D79+1+Einstellungen!$B$8)-MAX(AC79,D79+Einstellungen!$B$7))*24)+(MAX(0,MIN(AD79,D79+Einstellungen!$B$8)-MAX(AC79,D79-1+Einstellungen!$B$7))*24),2))</f>
        <v/>
      </c>
      <c r="O79" s="37" t="str">
        <f t="shared" si="23"/>
        <v/>
      </c>
      <c r="P79" s="37" t="str">
        <f>IF(OR(D79="",H79="",I79=""),"",ROUND(IF(COUNTIF(Einstellungen!$A$21:$A$45,D79)&gt;0,MAX(0,MIN(AD79,D79+1)-MAX(AC79,D79))*24,0)+IF(AD79&gt;D79+1,IF(COUNTIF(Einstellungen!$A$21:$A$45,D79+1)&gt;0,MAX(0,MIN(AD79,D79+2)-MAX(AC79,D79+1))*24,0),0),2))</f>
        <v/>
      </c>
      <c r="Q79" s="34" t="str">
        <f>IF(D79="","",TRIM(IFERROR(VLOOKUP(D79,Einstellungen!$A$21:$B$45,2,FALSE)&amp;" ","")&amp;IF(I79&lt;=H79,IFERROR(VLOOKUP(D79+1,Einstellungen!$A$21:$B$45,2,FALSE),""),"")))</f>
        <v/>
      </c>
      <c r="R79" s="38" t="str">
        <f>IFERROR(INDEX(Mitarbeiter!$G$6:$G$35,MATCH(B79,Mitarbeiter!$A$6:$A$35,0)),"")</f>
        <v/>
      </c>
      <c r="S79" s="38" t="str">
        <f t="shared" si="24"/>
        <v/>
      </c>
      <c r="T79" s="38" t="str">
        <f>IF(M79="","",ROUND(((N79*Einstellungen!$B$15)+(O79*Einstellungen!$B$16)+(P79*Einstellungen!$B$17))*R79,2))</f>
        <v/>
      </c>
      <c r="U79" s="39"/>
      <c r="V79" s="38" t="str">
        <f t="shared" si="25"/>
        <v/>
      </c>
      <c r="W79" s="34" t="str">
        <f t="shared" si="26"/>
        <v/>
      </c>
      <c r="X79" s="34" t="str">
        <f>IF(M79="","",IF(M79&gt;Einstellungen!$B$12,"kritisch &gt;10 Std.",IF(M79&gt;Einstellungen!$B$11,"prüfen &gt;8 Std.","OK")))</f>
        <v/>
      </c>
      <c r="Y79" s="37" t="str">
        <f t="shared" si="27"/>
        <v/>
      </c>
      <c r="Z79" s="34" t="str">
        <f>IF(Y79="","",IF(Y79&lt;Einstellungen!$B$14,"kritisch &lt;10 Std.",IF(Y79&lt;Einstellungen!$B$13,"prüfen &lt;11 Std.","OK")))</f>
        <v/>
      </c>
      <c r="AA79" s="33"/>
      <c r="AB79" s="33"/>
      <c r="AC79" s="40" t="str">
        <f t="shared" si="28"/>
        <v/>
      </c>
      <c r="AD79" s="40" t="str">
        <f t="shared" si="29"/>
        <v/>
      </c>
      <c r="AE79" s="41" t="str">
        <f>IF(B79="","",IF(COUNTIF($B$6:B78,B79)=0,"",_xludf.MAXIFS($AD$6:AD78,$B$6:B78,B79)))</f>
        <v/>
      </c>
    </row>
    <row r="80" spans="1:31" ht="21.95" customHeight="1" x14ac:dyDescent="0.25">
      <c r="A80" s="32"/>
      <c r="B80" s="33"/>
      <c r="C80" s="34" t="str">
        <f>IFERROR(INDEX(Mitarbeiter!$B$6:$B$35,MATCH(B80,Mitarbeiter!$A$6:$A$35,0)),"")</f>
        <v/>
      </c>
      <c r="D80" s="74"/>
      <c r="E80" s="34" t="str">
        <f t="shared" si="20"/>
        <v/>
      </c>
      <c r="F80" s="33"/>
      <c r="G80" s="33"/>
      <c r="H80" s="35"/>
      <c r="I80" s="35"/>
      <c r="J80" s="33"/>
      <c r="K80" s="36" t="str">
        <f>IF(L80="","",IF(L80&gt;9,Einstellungen!$B$10,IF(L80&gt;6,Einstellungen!$B$9,0)))</f>
        <v/>
      </c>
      <c r="L80" s="37" t="str">
        <f t="shared" si="21"/>
        <v/>
      </c>
      <c r="M80" s="37" t="str">
        <f t="shared" si="22"/>
        <v/>
      </c>
      <c r="N80" s="37" t="str">
        <f>IF(OR(D80="",H80="",I80=""),"",ROUND((MAX(0,MIN(AD80,D80+1+Einstellungen!$B$8)-MAX(AC80,D80+Einstellungen!$B$7))*24)+(MAX(0,MIN(AD80,D80+Einstellungen!$B$8)-MAX(AC80,D80-1+Einstellungen!$B$7))*24),2))</f>
        <v/>
      </c>
      <c r="O80" s="37" t="str">
        <f t="shared" si="23"/>
        <v/>
      </c>
      <c r="P80" s="37" t="str">
        <f>IF(OR(D80="",H80="",I80=""),"",ROUND(IF(COUNTIF(Einstellungen!$A$21:$A$45,D80)&gt;0,MAX(0,MIN(AD80,D80+1)-MAX(AC80,D80))*24,0)+IF(AD80&gt;D80+1,IF(COUNTIF(Einstellungen!$A$21:$A$45,D80+1)&gt;0,MAX(0,MIN(AD80,D80+2)-MAX(AC80,D80+1))*24,0),0),2))</f>
        <v/>
      </c>
      <c r="Q80" s="34" t="str">
        <f>IF(D80="","",TRIM(IFERROR(VLOOKUP(D80,Einstellungen!$A$21:$B$45,2,FALSE)&amp;" ","")&amp;IF(I80&lt;=H80,IFERROR(VLOOKUP(D80+1,Einstellungen!$A$21:$B$45,2,FALSE),""),"")))</f>
        <v/>
      </c>
      <c r="R80" s="38" t="str">
        <f>IFERROR(INDEX(Mitarbeiter!$G$6:$G$35,MATCH(B80,Mitarbeiter!$A$6:$A$35,0)),"")</f>
        <v/>
      </c>
      <c r="S80" s="38" t="str">
        <f t="shared" si="24"/>
        <v/>
      </c>
      <c r="T80" s="38" t="str">
        <f>IF(M80="","",ROUND(((N80*Einstellungen!$B$15)+(O80*Einstellungen!$B$16)+(P80*Einstellungen!$B$17))*R80,2))</f>
        <v/>
      </c>
      <c r="U80" s="39"/>
      <c r="V80" s="38" t="str">
        <f t="shared" si="25"/>
        <v/>
      </c>
      <c r="W80" s="34" t="str">
        <f t="shared" si="26"/>
        <v/>
      </c>
      <c r="X80" s="34" t="str">
        <f>IF(M80="","",IF(M80&gt;Einstellungen!$B$12,"kritisch &gt;10 Std.",IF(M80&gt;Einstellungen!$B$11,"prüfen &gt;8 Std.","OK")))</f>
        <v/>
      </c>
      <c r="Y80" s="37" t="str">
        <f t="shared" si="27"/>
        <v/>
      </c>
      <c r="Z80" s="34" t="str">
        <f>IF(Y80="","",IF(Y80&lt;Einstellungen!$B$14,"kritisch &lt;10 Std.",IF(Y80&lt;Einstellungen!$B$13,"prüfen &lt;11 Std.","OK")))</f>
        <v/>
      </c>
      <c r="AA80" s="33"/>
      <c r="AB80" s="33"/>
      <c r="AC80" s="40" t="str">
        <f t="shared" si="28"/>
        <v/>
      </c>
      <c r="AD80" s="40" t="str">
        <f t="shared" si="29"/>
        <v/>
      </c>
      <c r="AE80" s="41" t="str">
        <f>IF(B80="","",IF(COUNTIF($B$6:B79,B80)=0,"",_xludf.MAXIFS($AD$6:AD79,$B$6:B79,B80)))</f>
        <v/>
      </c>
    </row>
    <row r="81" spans="1:31" ht="21.95" customHeight="1" x14ac:dyDescent="0.25">
      <c r="A81" s="32"/>
      <c r="B81" s="33"/>
      <c r="C81" s="34" t="str">
        <f>IFERROR(INDEX(Mitarbeiter!$B$6:$B$35,MATCH(B81,Mitarbeiter!$A$6:$A$35,0)),"")</f>
        <v/>
      </c>
      <c r="D81" s="74"/>
      <c r="E81" s="34" t="str">
        <f t="shared" si="20"/>
        <v/>
      </c>
      <c r="F81" s="33"/>
      <c r="G81" s="33"/>
      <c r="H81" s="35"/>
      <c r="I81" s="35"/>
      <c r="J81" s="33"/>
      <c r="K81" s="36" t="str">
        <f>IF(L81="","",IF(L81&gt;9,Einstellungen!$B$10,IF(L81&gt;6,Einstellungen!$B$9,0)))</f>
        <v/>
      </c>
      <c r="L81" s="37" t="str">
        <f t="shared" si="21"/>
        <v/>
      </c>
      <c r="M81" s="37" t="str">
        <f t="shared" si="22"/>
        <v/>
      </c>
      <c r="N81" s="37" t="str">
        <f>IF(OR(D81="",H81="",I81=""),"",ROUND((MAX(0,MIN(AD81,D81+1+Einstellungen!$B$8)-MAX(AC81,D81+Einstellungen!$B$7))*24)+(MAX(0,MIN(AD81,D81+Einstellungen!$B$8)-MAX(AC81,D81-1+Einstellungen!$B$7))*24),2))</f>
        <v/>
      </c>
      <c r="O81" s="37" t="str">
        <f t="shared" si="23"/>
        <v/>
      </c>
      <c r="P81" s="37" t="str">
        <f>IF(OR(D81="",H81="",I81=""),"",ROUND(IF(COUNTIF(Einstellungen!$A$21:$A$45,D81)&gt;0,MAX(0,MIN(AD81,D81+1)-MAX(AC81,D81))*24,0)+IF(AD81&gt;D81+1,IF(COUNTIF(Einstellungen!$A$21:$A$45,D81+1)&gt;0,MAX(0,MIN(AD81,D81+2)-MAX(AC81,D81+1))*24,0),0),2))</f>
        <v/>
      </c>
      <c r="Q81" s="34" t="str">
        <f>IF(D81="","",TRIM(IFERROR(VLOOKUP(D81,Einstellungen!$A$21:$B$45,2,FALSE)&amp;" ","")&amp;IF(I81&lt;=H81,IFERROR(VLOOKUP(D81+1,Einstellungen!$A$21:$B$45,2,FALSE),""),"")))</f>
        <v/>
      </c>
      <c r="R81" s="38" t="str">
        <f>IFERROR(INDEX(Mitarbeiter!$G$6:$G$35,MATCH(B81,Mitarbeiter!$A$6:$A$35,0)),"")</f>
        <v/>
      </c>
      <c r="S81" s="38" t="str">
        <f t="shared" si="24"/>
        <v/>
      </c>
      <c r="T81" s="38" t="str">
        <f>IF(M81="","",ROUND(((N81*Einstellungen!$B$15)+(O81*Einstellungen!$B$16)+(P81*Einstellungen!$B$17))*R81,2))</f>
        <v/>
      </c>
      <c r="U81" s="39"/>
      <c r="V81" s="38" t="str">
        <f t="shared" si="25"/>
        <v/>
      </c>
      <c r="W81" s="34" t="str">
        <f t="shared" si="26"/>
        <v/>
      </c>
      <c r="X81" s="34" t="str">
        <f>IF(M81="","",IF(M81&gt;Einstellungen!$B$12,"kritisch &gt;10 Std.",IF(M81&gt;Einstellungen!$B$11,"prüfen &gt;8 Std.","OK")))</f>
        <v/>
      </c>
      <c r="Y81" s="37" t="str">
        <f t="shared" si="27"/>
        <v/>
      </c>
      <c r="Z81" s="34" t="str">
        <f>IF(Y81="","",IF(Y81&lt;Einstellungen!$B$14,"kritisch &lt;10 Std.",IF(Y81&lt;Einstellungen!$B$13,"prüfen &lt;11 Std.","OK")))</f>
        <v/>
      </c>
      <c r="AA81" s="33"/>
      <c r="AB81" s="33"/>
      <c r="AC81" s="40" t="str">
        <f t="shared" si="28"/>
        <v/>
      </c>
      <c r="AD81" s="40" t="str">
        <f t="shared" si="29"/>
        <v/>
      </c>
      <c r="AE81" s="41" t="str">
        <f>IF(B81="","",IF(COUNTIF($B$6:B80,B81)=0,"",_xludf.MAXIFS($AD$6:AD80,$B$6:B80,B81)))</f>
        <v/>
      </c>
    </row>
    <row r="82" spans="1:31" ht="21.95" customHeight="1" x14ac:dyDescent="0.25">
      <c r="A82" s="32"/>
      <c r="B82" s="33"/>
      <c r="C82" s="34" t="str">
        <f>IFERROR(INDEX(Mitarbeiter!$B$6:$B$35,MATCH(B82,Mitarbeiter!$A$6:$A$35,0)),"")</f>
        <v/>
      </c>
      <c r="D82" s="74"/>
      <c r="E82" s="34" t="str">
        <f t="shared" si="20"/>
        <v/>
      </c>
      <c r="F82" s="33"/>
      <c r="G82" s="33"/>
      <c r="H82" s="35"/>
      <c r="I82" s="35"/>
      <c r="J82" s="33"/>
      <c r="K82" s="36" t="str">
        <f>IF(L82="","",IF(L82&gt;9,Einstellungen!$B$10,IF(L82&gt;6,Einstellungen!$B$9,0)))</f>
        <v/>
      </c>
      <c r="L82" s="37" t="str">
        <f t="shared" si="21"/>
        <v/>
      </c>
      <c r="M82" s="37" t="str">
        <f t="shared" si="22"/>
        <v/>
      </c>
      <c r="N82" s="37" t="str">
        <f>IF(OR(D82="",H82="",I82=""),"",ROUND((MAX(0,MIN(AD82,D82+1+Einstellungen!$B$8)-MAX(AC82,D82+Einstellungen!$B$7))*24)+(MAX(0,MIN(AD82,D82+Einstellungen!$B$8)-MAX(AC82,D82-1+Einstellungen!$B$7))*24),2))</f>
        <v/>
      </c>
      <c r="O82" s="37" t="str">
        <f t="shared" si="23"/>
        <v/>
      </c>
      <c r="P82" s="37" t="str">
        <f>IF(OR(D82="",H82="",I82=""),"",ROUND(IF(COUNTIF(Einstellungen!$A$21:$A$45,D82)&gt;0,MAX(0,MIN(AD82,D82+1)-MAX(AC82,D82))*24,0)+IF(AD82&gt;D82+1,IF(COUNTIF(Einstellungen!$A$21:$A$45,D82+1)&gt;0,MAX(0,MIN(AD82,D82+2)-MAX(AC82,D82+1))*24,0),0),2))</f>
        <v/>
      </c>
      <c r="Q82" s="34" t="str">
        <f>IF(D82="","",TRIM(IFERROR(VLOOKUP(D82,Einstellungen!$A$21:$B$45,2,FALSE)&amp;" ","")&amp;IF(I82&lt;=H82,IFERROR(VLOOKUP(D82+1,Einstellungen!$A$21:$B$45,2,FALSE),""),"")))</f>
        <v/>
      </c>
      <c r="R82" s="38" t="str">
        <f>IFERROR(INDEX(Mitarbeiter!$G$6:$G$35,MATCH(B82,Mitarbeiter!$A$6:$A$35,0)),"")</f>
        <v/>
      </c>
      <c r="S82" s="38" t="str">
        <f t="shared" si="24"/>
        <v/>
      </c>
      <c r="T82" s="38" t="str">
        <f>IF(M82="","",ROUND(((N82*Einstellungen!$B$15)+(O82*Einstellungen!$B$16)+(P82*Einstellungen!$B$17))*R82,2))</f>
        <v/>
      </c>
      <c r="U82" s="39"/>
      <c r="V82" s="38" t="str">
        <f t="shared" si="25"/>
        <v/>
      </c>
      <c r="W82" s="34" t="str">
        <f t="shared" si="26"/>
        <v/>
      </c>
      <c r="X82" s="34" t="str">
        <f>IF(M82="","",IF(M82&gt;Einstellungen!$B$12,"kritisch &gt;10 Std.",IF(M82&gt;Einstellungen!$B$11,"prüfen &gt;8 Std.","OK")))</f>
        <v/>
      </c>
      <c r="Y82" s="37" t="str">
        <f t="shared" si="27"/>
        <v/>
      </c>
      <c r="Z82" s="34" t="str">
        <f>IF(Y82="","",IF(Y82&lt;Einstellungen!$B$14,"kritisch &lt;10 Std.",IF(Y82&lt;Einstellungen!$B$13,"prüfen &lt;11 Std.","OK")))</f>
        <v/>
      </c>
      <c r="AA82" s="33"/>
      <c r="AB82" s="33"/>
      <c r="AC82" s="40" t="str">
        <f t="shared" si="28"/>
        <v/>
      </c>
      <c r="AD82" s="40" t="str">
        <f t="shared" si="29"/>
        <v/>
      </c>
      <c r="AE82" s="41" t="str">
        <f>IF(B82="","",IF(COUNTIF($B$6:B81,B82)=0,"",_xludf.MAXIFS($AD$6:AD81,$B$6:B81,B82)))</f>
        <v/>
      </c>
    </row>
    <row r="83" spans="1:31" ht="21.95" customHeight="1" x14ac:dyDescent="0.25">
      <c r="A83" s="32"/>
      <c r="B83" s="33"/>
      <c r="C83" s="34" t="str">
        <f>IFERROR(INDEX(Mitarbeiter!$B$6:$B$35,MATCH(B83,Mitarbeiter!$A$6:$A$35,0)),"")</f>
        <v/>
      </c>
      <c r="D83" s="74"/>
      <c r="E83" s="34" t="str">
        <f t="shared" si="20"/>
        <v/>
      </c>
      <c r="F83" s="33"/>
      <c r="G83" s="33"/>
      <c r="H83" s="35"/>
      <c r="I83" s="35"/>
      <c r="J83" s="33"/>
      <c r="K83" s="36" t="str">
        <f>IF(L83="","",IF(L83&gt;9,Einstellungen!$B$10,IF(L83&gt;6,Einstellungen!$B$9,0)))</f>
        <v/>
      </c>
      <c r="L83" s="37" t="str">
        <f t="shared" si="21"/>
        <v/>
      </c>
      <c r="M83" s="37" t="str">
        <f t="shared" si="22"/>
        <v/>
      </c>
      <c r="N83" s="37" t="str">
        <f>IF(OR(D83="",H83="",I83=""),"",ROUND((MAX(0,MIN(AD83,D83+1+Einstellungen!$B$8)-MAX(AC83,D83+Einstellungen!$B$7))*24)+(MAX(0,MIN(AD83,D83+Einstellungen!$B$8)-MAX(AC83,D83-1+Einstellungen!$B$7))*24),2))</f>
        <v/>
      </c>
      <c r="O83" s="37" t="str">
        <f t="shared" si="23"/>
        <v/>
      </c>
      <c r="P83" s="37" t="str">
        <f>IF(OR(D83="",H83="",I83=""),"",ROUND(IF(COUNTIF(Einstellungen!$A$21:$A$45,D83)&gt;0,MAX(0,MIN(AD83,D83+1)-MAX(AC83,D83))*24,0)+IF(AD83&gt;D83+1,IF(COUNTIF(Einstellungen!$A$21:$A$45,D83+1)&gt;0,MAX(0,MIN(AD83,D83+2)-MAX(AC83,D83+1))*24,0),0),2))</f>
        <v/>
      </c>
      <c r="Q83" s="34" t="str">
        <f>IF(D83="","",TRIM(IFERROR(VLOOKUP(D83,Einstellungen!$A$21:$B$45,2,FALSE)&amp;" ","")&amp;IF(I83&lt;=H83,IFERROR(VLOOKUP(D83+1,Einstellungen!$A$21:$B$45,2,FALSE),""),"")))</f>
        <v/>
      </c>
      <c r="R83" s="38" t="str">
        <f>IFERROR(INDEX(Mitarbeiter!$G$6:$G$35,MATCH(B83,Mitarbeiter!$A$6:$A$35,0)),"")</f>
        <v/>
      </c>
      <c r="S83" s="38" t="str">
        <f t="shared" si="24"/>
        <v/>
      </c>
      <c r="T83" s="38" t="str">
        <f>IF(M83="","",ROUND(((N83*Einstellungen!$B$15)+(O83*Einstellungen!$B$16)+(P83*Einstellungen!$B$17))*R83,2))</f>
        <v/>
      </c>
      <c r="U83" s="39"/>
      <c r="V83" s="38" t="str">
        <f t="shared" si="25"/>
        <v/>
      </c>
      <c r="W83" s="34" t="str">
        <f t="shared" si="26"/>
        <v/>
      </c>
      <c r="X83" s="34" t="str">
        <f>IF(M83="","",IF(M83&gt;Einstellungen!$B$12,"kritisch &gt;10 Std.",IF(M83&gt;Einstellungen!$B$11,"prüfen &gt;8 Std.","OK")))</f>
        <v/>
      </c>
      <c r="Y83" s="37" t="str">
        <f t="shared" si="27"/>
        <v/>
      </c>
      <c r="Z83" s="34" t="str">
        <f>IF(Y83="","",IF(Y83&lt;Einstellungen!$B$14,"kritisch &lt;10 Std.",IF(Y83&lt;Einstellungen!$B$13,"prüfen &lt;11 Std.","OK")))</f>
        <v/>
      </c>
      <c r="AA83" s="33"/>
      <c r="AB83" s="33"/>
      <c r="AC83" s="40" t="str">
        <f t="shared" si="28"/>
        <v/>
      </c>
      <c r="AD83" s="40" t="str">
        <f t="shared" si="29"/>
        <v/>
      </c>
      <c r="AE83" s="41" t="str">
        <f>IF(B83="","",IF(COUNTIF($B$6:B82,B83)=0,"",_xludf.MAXIFS($AD$6:AD82,$B$6:B82,B83)))</f>
        <v/>
      </c>
    </row>
    <row r="84" spans="1:31" ht="21.95" customHeight="1" x14ac:dyDescent="0.25">
      <c r="A84" s="32"/>
      <c r="B84" s="33"/>
      <c r="C84" s="34" t="str">
        <f>IFERROR(INDEX(Mitarbeiter!$B$6:$B$35,MATCH(B84,Mitarbeiter!$A$6:$A$35,0)),"")</f>
        <v/>
      </c>
      <c r="D84" s="74"/>
      <c r="E84" s="34" t="str">
        <f t="shared" si="20"/>
        <v/>
      </c>
      <c r="F84" s="33"/>
      <c r="G84" s="33"/>
      <c r="H84" s="35"/>
      <c r="I84" s="35"/>
      <c r="J84" s="33"/>
      <c r="K84" s="36" t="str">
        <f>IF(L84="","",IF(L84&gt;9,Einstellungen!$B$10,IF(L84&gt;6,Einstellungen!$B$9,0)))</f>
        <v/>
      </c>
      <c r="L84" s="37" t="str">
        <f t="shared" si="21"/>
        <v/>
      </c>
      <c r="M84" s="37" t="str">
        <f t="shared" si="22"/>
        <v/>
      </c>
      <c r="N84" s="37" t="str">
        <f>IF(OR(D84="",H84="",I84=""),"",ROUND((MAX(0,MIN(AD84,D84+1+Einstellungen!$B$8)-MAX(AC84,D84+Einstellungen!$B$7))*24)+(MAX(0,MIN(AD84,D84+Einstellungen!$B$8)-MAX(AC84,D84-1+Einstellungen!$B$7))*24),2))</f>
        <v/>
      </c>
      <c r="O84" s="37" t="str">
        <f t="shared" si="23"/>
        <v/>
      </c>
      <c r="P84" s="37" t="str">
        <f>IF(OR(D84="",H84="",I84=""),"",ROUND(IF(COUNTIF(Einstellungen!$A$21:$A$45,D84)&gt;0,MAX(0,MIN(AD84,D84+1)-MAX(AC84,D84))*24,0)+IF(AD84&gt;D84+1,IF(COUNTIF(Einstellungen!$A$21:$A$45,D84+1)&gt;0,MAX(0,MIN(AD84,D84+2)-MAX(AC84,D84+1))*24,0),0),2))</f>
        <v/>
      </c>
      <c r="Q84" s="34" t="str">
        <f>IF(D84="","",TRIM(IFERROR(VLOOKUP(D84,Einstellungen!$A$21:$B$45,2,FALSE)&amp;" ","")&amp;IF(I84&lt;=H84,IFERROR(VLOOKUP(D84+1,Einstellungen!$A$21:$B$45,2,FALSE),""),"")))</f>
        <v/>
      </c>
      <c r="R84" s="38" t="str">
        <f>IFERROR(INDEX(Mitarbeiter!$G$6:$G$35,MATCH(B84,Mitarbeiter!$A$6:$A$35,0)),"")</f>
        <v/>
      </c>
      <c r="S84" s="38" t="str">
        <f t="shared" si="24"/>
        <v/>
      </c>
      <c r="T84" s="38" t="str">
        <f>IF(M84="","",ROUND(((N84*Einstellungen!$B$15)+(O84*Einstellungen!$B$16)+(P84*Einstellungen!$B$17))*R84,2))</f>
        <v/>
      </c>
      <c r="U84" s="39"/>
      <c r="V84" s="38" t="str">
        <f t="shared" si="25"/>
        <v/>
      </c>
      <c r="W84" s="34" t="str">
        <f t="shared" si="26"/>
        <v/>
      </c>
      <c r="X84" s="34" t="str">
        <f>IF(M84="","",IF(M84&gt;Einstellungen!$B$12,"kritisch &gt;10 Std.",IF(M84&gt;Einstellungen!$B$11,"prüfen &gt;8 Std.","OK")))</f>
        <v/>
      </c>
      <c r="Y84" s="37" t="str">
        <f t="shared" si="27"/>
        <v/>
      </c>
      <c r="Z84" s="34" t="str">
        <f>IF(Y84="","",IF(Y84&lt;Einstellungen!$B$14,"kritisch &lt;10 Std.",IF(Y84&lt;Einstellungen!$B$13,"prüfen &lt;11 Std.","OK")))</f>
        <v/>
      </c>
      <c r="AA84" s="33"/>
      <c r="AB84" s="33"/>
      <c r="AC84" s="40" t="str">
        <f t="shared" si="28"/>
        <v/>
      </c>
      <c r="AD84" s="40" t="str">
        <f t="shared" si="29"/>
        <v/>
      </c>
      <c r="AE84" s="41" t="str">
        <f>IF(B84="","",IF(COUNTIF($B$6:B83,B84)=0,"",_xludf.MAXIFS($AD$6:AD83,$B$6:B83,B84)))</f>
        <v/>
      </c>
    </row>
    <row r="85" spans="1:31" ht="21.95" customHeight="1" x14ac:dyDescent="0.25">
      <c r="A85" s="32"/>
      <c r="B85" s="33"/>
      <c r="C85" s="34" t="str">
        <f>IFERROR(INDEX(Mitarbeiter!$B$6:$B$35,MATCH(B85,Mitarbeiter!$A$6:$A$35,0)),"")</f>
        <v/>
      </c>
      <c r="D85" s="74"/>
      <c r="E85" s="34" t="str">
        <f t="shared" si="20"/>
        <v/>
      </c>
      <c r="F85" s="33"/>
      <c r="G85" s="33"/>
      <c r="H85" s="35"/>
      <c r="I85" s="35"/>
      <c r="J85" s="33"/>
      <c r="K85" s="36" t="str">
        <f>IF(L85="","",IF(L85&gt;9,Einstellungen!$B$10,IF(L85&gt;6,Einstellungen!$B$9,0)))</f>
        <v/>
      </c>
      <c r="L85" s="37" t="str">
        <f t="shared" si="21"/>
        <v/>
      </c>
      <c r="M85" s="37" t="str">
        <f t="shared" si="22"/>
        <v/>
      </c>
      <c r="N85" s="37" t="str">
        <f>IF(OR(D85="",H85="",I85=""),"",ROUND((MAX(0,MIN(AD85,D85+1+Einstellungen!$B$8)-MAX(AC85,D85+Einstellungen!$B$7))*24)+(MAX(0,MIN(AD85,D85+Einstellungen!$B$8)-MAX(AC85,D85-1+Einstellungen!$B$7))*24),2))</f>
        <v/>
      </c>
      <c r="O85" s="37" t="str">
        <f t="shared" si="23"/>
        <v/>
      </c>
      <c r="P85" s="37" t="str">
        <f>IF(OR(D85="",H85="",I85=""),"",ROUND(IF(COUNTIF(Einstellungen!$A$21:$A$45,D85)&gt;0,MAX(0,MIN(AD85,D85+1)-MAX(AC85,D85))*24,0)+IF(AD85&gt;D85+1,IF(COUNTIF(Einstellungen!$A$21:$A$45,D85+1)&gt;0,MAX(0,MIN(AD85,D85+2)-MAX(AC85,D85+1))*24,0),0),2))</f>
        <v/>
      </c>
      <c r="Q85" s="34" t="str">
        <f>IF(D85="","",TRIM(IFERROR(VLOOKUP(D85,Einstellungen!$A$21:$B$45,2,FALSE)&amp;" ","")&amp;IF(I85&lt;=H85,IFERROR(VLOOKUP(D85+1,Einstellungen!$A$21:$B$45,2,FALSE),""),"")))</f>
        <v/>
      </c>
      <c r="R85" s="38" t="str">
        <f>IFERROR(INDEX(Mitarbeiter!$G$6:$G$35,MATCH(B85,Mitarbeiter!$A$6:$A$35,0)),"")</f>
        <v/>
      </c>
      <c r="S85" s="38" t="str">
        <f t="shared" si="24"/>
        <v/>
      </c>
      <c r="T85" s="38" t="str">
        <f>IF(M85="","",ROUND(((N85*Einstellungen!$B$15)+(O85*Einstellungen!$B$16)+(P85*Einstellungen!$B$17))*R85,2))</f>
        <v/>
      </c>
      <c r="U85" s="39"/>
      <c r="V85" s="38" t="str">
        <f t="shared" si="25"/>
        <v/>
      </c>
      <c r="W85" s="34" t="str">
        <f t="shared" si="26"/>
        <v/>
      </c>
      <c r="X85" s="34" t="str">
        <f>IF(M85="","",IF(M85&gt;Einstellungen!$B$12,"kritisch &gt;10 Std.",IF(M85&gt;Einstellungen!$B$11,"prüfen &gt;8 Std.","OK")))</f>
        <v/>
      </c>
      <c r="Y85" s="37" t="str">
        <f t="shared" si="27"/>
        <v/>
      </c>
      <c r="Z85" s="34" t="str">
        <f>IF(Y85="","",IF(Y85&lt;Einstellungen!$B$14,"kritisch &lt;10 Std.",IF(Y85&lt;Einstellungen!$B$13,"prüfen &lt;11 Std.","OK")))</f>
        <v/>
      </c>
      <c r="AA85" s="33"/>
      <c r="AB85" s="33"/>
      <c r="AC85" s="40" t="str">
        <f t="shared" si="28"/>
        <v/>
      </c>
      <c r="AD85" s="40" t="str">
        <f t="shared" si="29"/>
        <v/>
      </c>
      <c r="AE85" s="41" t="str">
        <f>IF(B85="","",IF(COUNTIF($B$6:B84,B85)=0,"",_xludf.MAXIFS($AD$6:AD84,$B$6:B84,B85)))</f>
        <v/>
      </c>
    </row>
    <row r="86" spans="1:31" ht="21.95" customHeight="1" x14ac:dyDescent="0.25">
      <c r="A86" s="32"/>
      <c r="B86" s="33"/>
      <c r="C86" s="34" t="str">
        <f>IFERROR(INDEX(Mitarbeiter!$B$6:$B$35,MATCH(B86,Mitarbeiter!$A$6:$A$35,0)),"")</f>
        <v/>
      </c>
      <c r="D86" s="74"/>
      <c r="E86" s="34" t="str">
        <f t="shared" si="20"/>
        <v/>
      </c>
      <c r="F86" s="33"/>
      <c r="G86" s="33"/>
      <c r="H86" s="35"/>
      <c r="I86" s="35"/>
      <c r="J86" s="33"/>
      <c r="K86" s="36" t="str">
        <f>IF(L86="","",IF(L86&gt;9,Einstellungen!$B$10,IF(L86&gt;6,Einstellungen!$B$9,0)))</f>
        <v/>
      </c>
      <c r="L86" s="37" t="str">
        <f t="shared" si="21"/>
        <v/>
      </c>
      <c r="M86" s="37" t="str">
        <f t="shared" si="22"/>
        <v/>
      </c>
      <c r="N86" s="37" t="str">
        <f>IF(OR(D86="",H86="",I86=""),"",ROUND((MAX(0,MIN(AD86,D86+1+Einstellungen!$B$8)-MAX(AC86,D86+Einstellungen!$B$7))*24)+(MAX(0,MIN(AD86,D86+Einstellungen!$B$8)-MAX(AC86,D86-1+Einstellungen!$B$7))*24),2))</f>
        <v/>
      </c>
      <c r="O86" s="37" t="str">
        <f t="shared" si="23"/>
        <v/>
      </c>
      <c r="P86" s="37" t="str">
        <f>IF(OR(D86="",H86="",I86=""),"",ROUND(IF(COUNTIF(Einstellungen!$A$21:$A$45,D86)&gt;0,MAX(0,MIN(AD86,D86+1)-MAX(AC86,D86))*24,0)+IF(AD86&gt;D86+1,IF(COUNTIF(Einstellungen!$A$21:$A$45,D86+1)&gt;0,MAX(0,MIN(AD86,D86+2)-MAX(AC86,D86+1))*24,0),0),2))</f>
        <v/>
      </c>
      <c r="Q86" s="34" t="str">
        <f>IF(D86="","",TRIM(IFERROR(VLOOKUP(D86,Einstellungen!$A$21:$B$45,2,FALSE)&amp;" ","")&amp;IF(I86&lt;=H86,IFERROR(VLOOKUP(D86+1,Einstellungen!$A$21:$B$45,2,FALSE),""),"")))</f>
        <v/>
      </c>
      <c r="R86" s="38" t="str">
        <f>IFERROR(INDEX(Mitarbeiter!$G$6:$G$35,MATCH(B86,Mitarbeiter!$A$6:$A$35,0)),"")</f>
        <v/>
      </c>
      <c r="S86" s="38" t="str">
        <f t="shared" si="24"/>
        <v/>
      </c>
      <c r="T86" s="38" t="str">
        <f>IF(M86="","",ROUND(((N86*Einstellungen!$B$15)+(O86*Einstellungen!$B$16)+(P86*Einstellungen!$B$17))*R86,2))</f>
        <v/>
      </c>
      <c r="U86" s="39"/>
      <c r="V86" s="38" t="str">
        <f t="shared" si="25"/>
        <v/>
      </c>
      <c r="W86" s="34" t="str">
        <f t="shared" si="26"/>
        <v/>
      </c>
      <c r="X86" s="34" t="str">
        <f>IF(M86="","",IF(M86&gt;Einstellungen!$B$12,"kritisch &gt;10 Std.",IF(M86&gt;Einstellungen!$B$11,"prüfen &gt;8 Std.","OK")))</f>
        <v/>
      </c>
      <c r="Y86" s="37" t="str">
        <f t="shared" si="27"/>
        <v/>
      </c>
      <c r="Z86" s="34" t="str">
        <f>IF(Y86="","",IF(Y86&lt;Einstellungen!$B$14,"kritisch &lt;10 Std.",IF(Y86&lt;Einstellungen!$B$13,"prüfen &lt;11 Std.","OK")))</f>
        <v/>
      </c>
      <c r="AA86" s="33"/>
      <c r="AB86" s="33"/>
      <c r="AC86" s="40" t="str">
        <f t="shared" si="28"/>
        <v/>
      </c>
      <c r="AD86" s="40" t="str">
        <f t="shared" si="29"/>
        <v/>
      </c>
      <c r="AE86" s="41" t="str">
        <f>IF(B86="","",IF(COUNTIF($B$6:B85,B86)=0,"",_xludf.MAXIFS($AD$6:AD85,$B$6:B85,B86)))</f>
        <v/>
      </c>
    </row>
    <row r="87" spans="1:31" ht="21.95" customHeight="1" x14ac:dyDescent="0.25">
      <c r="A87" s="32"/>
      <c r="B87" s="33"/>
      <c r="C87" s="34" t="str">
        <f>IFERROR(INDEX(Mitarbeiter!$B$6:$B$35,MATCH(B87,Mitarbeiter!$A$6:$A$35,0)),"")</f>
        <v/>
      </c>
      <c r="D87" s="74"/>
      <c r="E87" s="34" t="str">
        <f t="shared" si="20"/>
        <v/>
      </c>
      <c r="F87" s="33"/>
      <c r="G87" s="33"/>
      <c r="H87" s="35"/>
      <c r="I87" s="35"/>
      <c r="J87" s="33"/>
      <c r="K87" s="36" t="str">
        <f>IF(L87="","",IF(L87&gt;9,Einstellungen!$B$10,IF(L87&gt;6,Einstellungen!$B$9,0)))</f>
        <v/>
      </c>
      <c r="L87" s="37" t="str">
        <f t="shared" si="21"/>
        <v/>
      </c>
      <c r="M87" s="37" t="str">
        <f t="shared" si="22"/>
        <v/>
      </c>
      <c r="N87" s="37" t="str">
        <f>IF(OR(D87="",H87="",I87=""),"",ROUND((MAX(0,MIN(AD87,D87+1+Einstellungen!$B$8)-MAX(AC87,D87+Einstellungen!$B$7))*24)+(MAX(0,MIN(AD87,D87+Einstellungen!$B$8)-MAX(AC87,D87-1+Einstellungen!$B$7))*24),2))</f>
        <v/>
      </c>
      <c r="O87" s="37" t="str">
        <f t="shared" si="23"/>
        <v/>
      </c>
      <c r="P87" s="37" t="str">
        <f>IF(OR(D87="",H87="",I87=""),"",ROUND(IF(COUNTIF(Einstellungen!$A$21:$A$45,D87)&gt;0,MAX(0,MIN(AD87,D87+1)-MAX(AC87,D87))*24,0)+IF(AD87&gt;D87+1,IF(COUNTIF(Einstellungen!$A$21:$A$45,D87+1)&gt;0,MAX(0,MIN(AD87,D87+2)-MAX(AC87,D87+1))*24,0),0),2))</f>
        <v/>
      </c>
      <c r="Q87" s="34" t="str">
        <f>IF(D87="","",TRIM(IFERROR(VLOOKUP(D87,Einstellungen!$A$21:$B$45,2,FALSE)&amp;" ","")&amp;IF(I87&lt;=H87,IFERROR(VLOOKUP(D87+1,Einstellungen!$A$21:$B$45,2,FALSE),""),"")))</f>
        <v/>
      </c>
      <c r="R87" s="38" t="str">
        <f>IFERROR(INDEX(Mitarbeiter!$G$6:$G$35,MATCH(B87,Mitarbeiter!$A$6:$A$35,0)),"")</f>
        <v/>
      </c>
      <c r="S87" s="38" t="str">
        <f t="shared" si="24"/>
        <v/>
      </c>
      <c r="T87" s="38" t="str">
        <f>IF(M87="","",ROUND(((N87*Einstellungen!$B$15)+(O87*Einstellungen!$B$16)+(P87*Einstellungen!$B$17))*R87,2))</f>
        <v/>
      </c>
      <c r="U87" s="39"/>
      <c r="V87" s="38" t="str">
        <f t="shared" si="25"/>
        <v/>
      </c>
      <c r="W87" s="34" t="str">
        <f t="shared" si="26"/>
        <v/>
      </c>
      <c r="X87" s="34" t="str">
        <f>IF(M87="","",IF(M87&gt;Einstellungen!$B$12,"kritisch &gt;10 Std.",IF(M87&gt;Einstellungen!$B$11,"prüfen &gt;8 Std.","OK")))</f>
        <v/>
      </c>
      <c r="Y87" s="37" t="str">
        <f t="shared" si="27"/>
        <v/>
      </c>
      <c r="Z87" s="34" t="str">
        <f>IF(Y87="","",IF(Y87&lt;Einstellungen!$B$14,"kritisch &lt;10 Std.",IF(Y87&lt;Einstellungen!$B$13,"prüfen &lt;11 Std.","OK")))</f>
        <v/>
      </c>
      <c r="AA87" s="33"/>
      <c r="AB87" s="33"/>
      <c r="AC87" s="40" t="str">
        <f t="shared" si="28"/>
        <v/>
      </c>
      <c r="AD87" s="40" t="str">
        <f t="shared" si="29"/>
        <v/>
      </c>
      <c r="AE87" s="41" t="str">
        <f>IF(B87="","",IF(COUNTIF($B$6:B86,B87)=0,"",_xludf.MAXIFS($AD$6:AD86,$B$6:B86,B87)))</f>
        <v/>
      </c>
    </row>
    <row r="88" spans="1:31" ht="21.95" customHeight="1" x14ac:dyDescent="0.25">
      <c r="A88" s="32"/>
      <c r="B88" s="33"/>
      <c r="C88" s="34" t="str">
        <f>IFERROR(INDEX(Mitarbeiter!$B$6:$B$35,MATCH(B88,Mitarbeiter!$A$6:$A$35,0)),"")</f>
        <v/>
      </c>
      <c r="D88" s="74"/>
      <c r="E88" s="34" t="str">
        <f t="shared" si="20"/>
        <v/>
      </c>
      <c r="F88" s="33"/>
      <c r="G88" s="33"/>
      <c r="H88" s="35"/>
      <c r="I88" s="35"/>
      <c r="J88" s="33"/>
      <c r="K88" s="36" t="str">
        <f>IF(L88="","",IF(L88&gt;9,Einstellungen!$B$10,IF(L88&gt;6,Einstellungen!$B$9,0)))</f>
        <v/>
      </c>
      <c r="L88" s="37" t="str">
        <f t="shared" si="21"/>
        <v/>
      </c>
      <c r="M88" s="37" t="str">
        <f t="shared" si="22"/>
        <v/>
      </c>
      <c r="N88" s="37" t="str">
        <f>IF(OR(D88="",H88="",I88=""),"",ROUND((MAX(0,MIN(AD88,D88+1+Einstellungen!$B$8)-MAX(AC88,D88+Einstellungen!$B$7))*24)+(MAX(0,MIN(AD88,D88+Einstellungen!$B$8)-MAX(AC88,D88-1+Einstellungen!$B$7))*24),2))</f>
        <v/>
      </c>
      <c r="O88" s="37" t="str">
        <f t="shared" si="23"/>
        <v/>
      </c>
      <c r="P88" s="37" t="str">
        <f>IF(OR(D88="",H88="",I88=""),"",ROUND(IF(COUNTIF(Einstellungen!$A$21:$A$45,D88)&gt;0,MAX(0,MIN(AD88,D88+1)-MAX(AC88,D88))*24,0)+IF(AD88&gt;D88+1,IF(COUNTIF(Einstellungen!$A$21:$A$45,D88+1)&gt;0,MAX(0,MIN(AD88,D88+2)-MAX(AC88,D88+1))*24,0),0),2))</f>
        <v/>
      </c>
      <c r="Q88" s="34" t="str">
        <f>IF(D88="","",TRIM(IFERROR(VLOOKUP(D88,Einstellungen!$A$21:$B$45,2,FALSE)&amp;" ","")&amp;IF(I88&lt;=H88,IFERROR(VLOOKUP(D88+1,Einstellungen!$A$21:$B$45,2,FALSE),""),"")))</f>
        <v/>
      </c>
      <c r="R88" s="38" t="str">
        <f>IFERROR(INDEX(Mitarbeiter!$G$6:$G$35,MATCH(B88,Mitarbeiter!$A$6:$A$35,0)),"")</f>
        <v/>
      </c>
      <c r="S88" s="38" t="str">
        <f t="shared" si="24"/>
        <v/>
      </c>
      <c r="T88" s="38" t="str">
        <f>IF(M88="","",ROUND(((N88*Einstellungen!$B$15)+(O88*Einstellungen!$B$16)+(P88*Einstellungen!$B$17))*R88,2))</f>
        <v/>
      </c>
      <c r="U88" s="39"/>
      <c r="V88" s="38" t="str">
        <f t="shared" si="25"/>
        <v/>
      </c>
      <c r="W88" s="34" t="str">
        <f t="shared" si="26"/>
        <v/>
      </c>
      <c r="X88" s="34" t="str">
        <f>IF(M88="","",IF(M88&gt;Einstellungen!$B$12,"kritisch &gt;10 Std.",IF(M88&gt;Einstellungen!$B$11,"prüfen &gt;8 Std.","OK")))</f>
        <v/>
      </c>
      <c r="Y88" s="37" t="str">
        <f t="shared" si="27"/>
        <v/>
      </c>
      <c r="Z88" s="34" t="str">
        <f>IF(Y88="","",IF(Y88&lt;Einstellungen!$B$14,"kritisch &lt;10 Std.",IF(Y88&lt;Einstellungen!$B$13,"prüfen &lt;11 Std.","OK")))</f>
        <v/>
      </c>
      <c r="AA88" s="33"/>
      <c r="AB88" s="33"/>
      <c r="AC88" s="40" t="str">
        <f t="shared" si="28"/>
        <v/>
      </c>
      <c r="AD88" s="40" t="str">
        <f t="shared" si="29"/>
        <v/>
      </c>
      <c r="AE88" s="41" t="str">
        <f>IF(B88="","",IF(COUNTIF($B$6:B87,B88)=0,"",_xludf.MAXIFS($AD$6:AD87,$B$6:B87,B88)))</f>
        <v/>
      </c>
    </row>
    <row r="89" spans="1:31" ht="21.95" customHeight="1" x14ac:dyDescent="0.25">
      <c r="A89" s="32"/>
      <c r="B89" s="33"/>
      <c r="C89" s="34" t="str">
        <f>IFERROR(INDEX(Mitarbeiter!$B$6:$B$35,MATCH(B89,Mitarbeiter!$A$6:$A$35,0)),"")</f>
        <v/>
      </c>
      <c r="D89" s="74"/>
      <c r="E89" s="34" t="str">
        <f t="shared" si="20"/>
        <v/>
      </c>
      <c r="F89" s="33"/>
      <c r="G89" s="33"/>
      <c r="H89" s="35"/>
      <c r="I89" s="35"/>
      <c r="J89" s="33"/>
      <c r="K89" s="36" t="str">
        <f>IF(L89="","",IF(L89&gt;9,Einstellungen!$B$10,IF(L89&gt;6,Einstellungen!$B$9,0)))</f>
        <v/>
      </c>
      <c r="L89" s="37" t="str">
        <f t="shared" si="21"/>
        <v/>
      </c>
      <c r="M89" s="37" t="str">
        <f t="shared" si="22"/>
        <v/>
      </c>
      <c r="N89" s="37" t="str">
        <f>IF(OR(D89="",H89="",I89=""),"",ROUND((MAX(0,MIN(AD89,D89+1+Einstellungen!$B$8)-MAX(AC89,D89+Einstellungen!$B$7))*24)+(MAX(0,MIN(AD89,D89+Einstellungen!$B$8)-MAX(AC89,D89-1+Einstellungen!$B$7))*24),2))</f>
        <v/>
      </c>
      <c r="O89" s="37" t="str">
        <f t="shared" si="23"/>
        <v/>
      </c>
      <c r="P89" s="37" t="str">
        <f>IF(OR(D89="",H89="",I89=""),"",ROUND(IF(COUNTIF(Einstellungen!$A$21:$A$45,D89)&gt;0,MAX(0,MIN(AD89,D89+1)-MAX(AC89,D89))*24,0)+IF(AD89&gt;D89+1,IF(COUNTIF(Einstellungen!$A$21:$A$45,D89+1)&gt;0,MAX(0,MIN(AD89,D89+2)-MAX(AC89,D89+1))*24,0),0),2))</f>
        <v/>
      </c>
      <c r="Q89" s="34" t="str">
        <f>IF(D89="","",TRIM(IFERROR(VLOOKUP(D89,Einstellungen!$A$21:$B$45,2,FALSE)&amp;" ","")&amp;IF(I89&lt;=H89,IFERROR(VLOOKUP(D89+1,Einstellungen!$A$21:$B$45,2,FALSE),""),"")))</f>
        <v/>
      </c>
      <c r="R89" s="38" t="str">
        <f>IFERROR(INDEX(Mitarbeiter!$G$6:$G$35,MATCH(B89,Mitarbeiter!$A$6:$A$35,0)),"")</f>
        <v/>
      </c>
      <c r="S89" s="38" t="str">
        <f t="shared" si="24"/>
        <v/>
      </c>
      <c r="T89" s="38" t="str">
        <f>IF(M89="","",ROUND(((N89*Einstellungen!$B$15)+(O89*Einstellungen!$B$16)+(P89*Einstellungen!$B$17))*R89,2))</f>
        <v/>
      </c>
      <c r="U89" s="39"/>
      <c r="V89" s="38" t="str">
        <f t="shared" si="25"/>
        <v/>
      </c>
      <c r="W89" s="34" t="str">
        <f t="shared" si="26"/>
        <v/>
      </c>
      <c r="X89" s="34" t="str">
        <f>IF(M89="","",IF(M89&gt;Einstellungen!$B$12,"kritisch &gt;10 Std.",IF(M89&gt;Einstellungen!$B$11,"prüfen &gt;8 Std.","OK")))</f>
        <v/>
      </c>
      <c r="Y89" s="37" t="str">
        <f t="shared" si="27"/>
        <v/>
      </c>
      <c r="Z89" s="34" t="str">
        <f>IF(Y89="","",IF(Y89&lt;Einstellungen!$B$14,"kritisch &lt;10 Std.",IF(Y89&lt;Einstellungen!$B$13,"prüfen &lt;11 Std.","OK")))</f>
        <v/>
      </c>
      <c r="AA89" s="33"/>
      <c r="AB89" s="33"/>
      <c r="AC89" s="40" t="str">
        <f t="shared" si="28"/>
        <v/>
      </c>
      <c r="AD89" s="40" t="str">
        <f t="shared" si="29"/>
        <v/>
      </c>
      <c r="AE89" s="41" t="str">
        <f>IF(B89="","",IF(COUNTIF($B$6:B88,B89)=0,"",_xludf.MAXIFS($AD$6:AD88,$B$6:B88,B89)))</f>
        <v/>
      </c>
    </row>
    <row r="90" spans="1:31" ht="21.95" customHeight="1" x14ac:dyDescent="0.25">
      <c r="A90" s="32"/>
      <c r="B90" s="33"/>
      <c r="C90" s="34" t="str">
        <f>IFERROR(INDEX(Mitarbeiter!$B$6:$B$35,MATCH(B90,Mitarbeiter!$A$6:$A$35,0)),"")</f>
        <v/>
      </c>
      <c r="D90" s="74"/>
      <c r="E90" s="34" t="str">
        <f t="shared" si="20"/>
        <v/>
      </c>
      <c r="F90" s="33"/>
      <c r="G90" s="33"/>
      <c r="H90" s="35"/>
      <c r="I90" s="35"/>
      <c r="J90" s="33"/>
      <c r="K90" s="36" t="str">
        <f>IF(L90="","",IF(L90&gt;9,Einstellungen!$B$10,IF(L90&gt;6,Einstellungen!$B$9,0)))</f>
        <v/>
      </c>
      <c r="L90" s="37" t="str">
        <f t="shared" si="21"/>
        <v/>
      </c>
      <c r="M90" s="37" t="str">
        <f t="shared" si="22"/>
        <v/>
      </c>
      <c r="N90" s="37" t="str">
        <f>IF(OR(D90="",H90="",I90=""),"",ROUND((MAX(0,MIN(AD90,D90+1+Einstellungen!$B$8)-MAX(AC90,D90+Einstellungen!$B$7))*24)+(MAX(0,MIN(AD90,D90+Einstellungen!$B$8)-MAX(AC90,D90-1+Einstellungen!$B$7))*24),2))</f>
        <v/>
      </c>
      <c r="O90" s="37" t="str">
        <f t="shared" si="23"/>
        <v/>
      </c>
      <c r="P90" s="37" t="str">
        <f>IF(OR(D90="",H90="",I90=""),"",ROUND(IF(COUNTIF(Einstellungen!$A$21:$A$45,D90)&gt;0,MAX(0,MIN(AD90,D90+1)-MAX(AC90,D90))*24,0)+IF(AD90&gt;D90+1,IF(COUNTIF(Einstellungen!$A$21:$A$45,D90+1)&gt;0,MAX(0,MIN(AD90,D90+2)-MAX(AC90,D90+1))*24,0),0),2))</f>
        <v/>
      </c>
      <c r="Q90" s="34" t="str">
        <f>IF(D90="","",TRIM(IFERROR(VLOOKUP(D90,Einstellungen!$A$21:$B$45,2,FALSE)&amp;" ","")&amp;IF(I90&lt;=H90,IFERROR(VLOOKUP(D90+1,Einstellungen!$A$21:$B$45,2,FALSE),""),"")))</f>
        <v/>
      </c>
      <c r="R90" s="38" t="str">
        <f>IFERROR(INDEX(Mitarbeiter!$G$6:$G$35,MATCH(B90,Mitarbeiter!$A$6:$A$35,0)),"")</f>
        <v/>
      </c>
      <c r="S90" s="38" t="str">
        <f t="shared" si="24"/>
        <v/>
      </c>
      <c r="T90" s="38" t="str">
        <f>IF(M90="","",ROUND(((N90*Einstellungen!$B$15)+(O90*Einstellungen!$B$16)+(P90*Einstellungen!$B$17))*R90,2))</f>
        <v/>
      </c>
      <c r="U90" s="39"/>
      <c r="V90" s="38" t="str">
        <f t="shared" si="25"/>
        <v/>
      </c>
      <c r="W90" s="34" t="str">
        <f t="shared" si="26"/>
        <v/>
      </c>
      <c r="X90" s="34" t="str">
        <f>IF(M90="","",IF(M90&gt;Einstellungen!$B$12,"kritisch &gt;10 Std.",IF(M90&gt;Einstellungen!$B$11,"prüfen &gt;8 Std.","OK")))</f>
        <v/>
      </c>
      <c r="Y90" s="37" t="str">
        <f t="shared" si="27"/>
        <v/>
      </c>
      <c r="Z90" s="34" t="str">
        <f>IF(Y90="","",IF(Y90&lt;Einstellungen!$B$14,"kritisch &lt;10 Std.",IF(Y90&lt;Einstellungen!$B$13,"prüfen &lt;11 Std.","OK")))</f>
        <v/>
      </c>
      <c r="AA90" s="33"/>
      <c r="AB90" s="33"/>
      <c r="AC90" s="40" t="str">
        <f t="shared" si="28"/>
        <v/>
      </c>
      <c r="AD90" s="40" t="str">
        <f t="shared" si="29"/>
        <v/>
      </c>
      <c r="AE90" s="41" t="str">
        <f>IF(B90="","",IF(COUNTIF($B$6:B89,B90)=0,"",_xludf.MAXIFS($AD$6:AD89,$B$6:B89,B90)))</f>
        <v/>
      </c>
    </row>
    <row r="91" spans="1:31" ht="21.95" customHeight="1" x14ac:dyDescent="0.25">
      <c r="A91" s="32"/>
      <c r="B91" s="33"/>
      <c r="C91" s="34" t="str">
        <f>IFERROR(INDEX(Mitarbeiter!$B$6:$B$35,MATCH(B91,Mitarbeiter!$A$6:$A$35,0)),"")</f>
        <v/>
      </c>
      <c r="D91" s="74"/>
      <c r="E91" s="34" t="str">
        <f t="shared" si="20"/>
        <v/>
      </c>
      <c r="F91" s="33"/>
      <c r="G91" s="33"/>
      <c r="H91" s="35"/>
      <c r="I91" s="35"/>
      <c r="J91" s="33"/>
      <c r="K91" s="36" t="str">
        <f>IF(L91="","",IF(L91&gt;9,Einstellungen!$B$10,IF(L91&gt;6,Einstellungen!$B$9,0)))</f>
        <v/>
      </c>
      <c r="L91" s="37" t="str">
        <f t="shared" si="21"/>
        <v/>
      </c>
      <c r="M91" s="37" t="str">
        <f t="shared" si="22"/>
        <v/>
      </c>
      <c r="N91" s="37" t="str">
        <f>IF(OR(D91="",H91="",I91=""),"",ROUND((MAX(0,MIN(AD91,D91+1+Einstellungen!$B$8)-MAX(AC91,D91+Einstellungen!$B$7))*24)+(MAX(0,MIN(AD91,D91+Einstellungen!$B$8)-MAX(AC91,D91-1+Einstellungen!$B$7))*24),2))</f>
        <v/>
      </c>
      <c r="O91" s="37" t="str">
        <f t="shared" si="23"/>
        <v/>
      </c>
      <c r="P91" s="37" t="str">
        <f>IF(OR(D91="",H91="",I91=""),"",ROUND(IF(COUNTIF(Einstellungen!$A$21:$A$45,D91)&gt;0,MAX(0,MIN(AD91,D91+1)-MAX(AC91,D91))*24,0)+IF(AD91&gt;D91+1,IF(COUNTIF(Einstellungen!$A$21:$A$45,D91+1)&gt;0,MAX(0,MIN(AD91,D91+2)-MAX(AC91,D91+1))*24,0),0),2))</f>
        <v/>
      </c>
      <c r="Q91" s="34" t="str">
        <f>IF(D91="","",TRIM(IFERROR(VLOOKUP(D91,Einstellungen!$A$21:$B$45,2,FALSE)&amp;" ","")&amp;IF(I91&lt;=H91,IFERROR(VLOOKUP(D91+1,Einstellungen!$A$21:$B$45,2,FALSE),""),"")))</f>
        <v/>
      </c>
      <c r="R91" s="38" t="str">
        <f>IFERROR(INDEX(Mitarbeiter!$G$6:$G$35,MATCH(B91,Mitarbeiter!$A$6:$A$35,0)),"")</f>
        <v/>
      </c>
      <c r="S91" s="38" t="str">
        <f t="shared" si="24"/>
        <v/>
      </c>
      <c r="T91" s="38" t="str">
        <f>IF(M91="","",ROUND(((N91*Einstellungen!$B$15)+(O91*Einstellungen!$B$16)+(P91*Einstellungen!$B$17))*R91,2))</f>
        <v/>
      </c>
      <c r="U91" s="39"/>
      <c r="V91" s="38" t="str">
        <f t="shared" si="25"/>
        <v/>
      </c>
      <c r="W91" s="34" t="str">
        <f t="shared" si="26"/>
        <v/>
      </c>
      <c r="X91" s="34" t="str">
        <f>IF(M91="","",IF(M91&gt;Einstellungen!$B$12,"kritisch &gt;10 Std.",IF(M91&gt;Einstellungen!$B$11,"prüfen &gt;8 Std.","OK")))</f>
        <v/>
      </c>
      <c r="Y91" s="37" t="str">
        <f t="shared" si="27"/>
        <v/>
      </c>
      <c r="Z91" s="34" t="str">
        <f>IF(Y91="","",IF(Y91&lt;Einstellungen!$B$14,"kritisch &lt;10 Std.",IF(Y91&lt;Einstellungen!$B$13,"prüfen &lt;11 Std.","OK")))</f>
        <v/>
      </c>
      <c r="AA91" s="33"/>
      <c r="AB91" s="33"/>
      <c r="AC91" s="40" t="str">
        <f t="shared" si="28"/>
        <v/>
      </c>
      <c r="AD91" s="40" t="str">
        <f t="shared" si="29"/>
        <v/>
      </c>
      <c r="AE91" s="41" t="str">
        <f>IF(B91="","",IF(COUNTIF($B$6:B90,B91)=0,"",_xludf.MAXIFS($AD$6:AD90,$B$6:B90,B91)))</f>
        <v/>
      </c>
    </row>
    <row r="92" spans="1:31" ht="21.95" customHeight="1" x14ac:dyDescent="0.25">
      <c r="A92" s="32"/>
      <c r="B92" s="33"/>
      <c r="C92" s="34" t="str">
        <f>IFERROR(INDEX(Mitarbeiter!$B$6:$B$35,MATCH(B92,Mitarbeiter!$A$6:$A$35,0)),"")</f>
        <v/>
      </c>
      <c r="D92" s="74"/>
      <c r="E92" s="34" t="str">
        <f t="shared" si="20"/>
        <v/>
      </c>
      <c r="F92" s="33"/>
      <c r="G92" s="33"/>
      <c r="H92" s="35"/>
      <c r="I92" s="35"/>
      <c r="J92" s="33"/>
      <c r="K92" s="36" t="str">
        <f>IF(L92="","",IF(L92&gt;9,Einstellungen!$B$10,IF(L92&gt;6,Einstellungen!$B$9,0)))</f>
        <v/>
      </c>
      <c r="L92" s="37" t="str">
        <f t="shared" si="21"/>
        <v/>
      </c>
      <c r="M92" s="37" t="str">
        <f t="shared" si="22"/>
        <v/>
      </c>
      <c r="N92" s="37" t="str">
        <f>IF(OR(D92="",H92="",I92=""),"",ROUND((MAX(0,MIN(AD92,D92+1+Einstellungen!$B$8)-MAX(AC92,D92+Einstellungen!$B$7))*24)+(MAX(0,MIN(AD92,D92+Einstellungen!$B$8)-MAX(AC92,D92-1+Einstellungen!$B$7))*24),2))</f>
        <v/>
      </c>
      <c r="O92" s="37" t="str">
        <f t="shared" si="23"/>
        <v/>
      </c>
      <c r="P92" s="37" t="str">
        <f>IF(OR(D92="",H92="",I92=""),"",ROUND(IF(COUNTIF(Einstellungen!$A$21:$A$45,D92)&gt;0,MAX(0,MIN(AD92,D92+1)-MAX(AC92,D92))*24,0)+IF(AD92&gt;D92+1,IF(COUNTIF(Einstellungen!$A$21:$A$45,D92+1)&gt;0,MAX(0,MIN(AD92,D92+2)-MAX(AC92,D92+1))*24,0),0),2))</f>
        <v/>
      </c>
      <c r="Q92" s="34" t="str">
        <f>IF(D92="","",TRIM(IFERROR(VLOOKUP(D92,Einstellungen!$A$21:$B$45,2,FALSE)&amp;" ","")&amp;IF(I92&lt;=H92,IFERROR(VLOOKUP(D92+1,Einstellungen!$A$21:$B$45,2,FALSE),""),"")))</f>
        <v/>
      </c>
      <c r="R92" s="38" t="str">
        <f>IFERROR(INDEX(Mitarbeiter!$G$6:$G$35,MATCH(B92,Mitarbeiter!$A$6:$A$35,0)),"")</f>
        <v/>
      </c>
      <c r="S92" s="38" t="str">
        <f t="shared" si="24"/>
        <v/>
      </c>
      <c r="T92" s="38" t="str">
        <f>IF(M92="","",ROUND(((N92*Einstellungen!$B$15)+(O92*Einstellungen!$B$16)+(P92*Einstellungen!$B$17))*R92,2))</f>
        <v/>
      </c>
      <c r="U92" s="39"/>
      <c r="V92" s="38" t="str">
        <f t="shared" si="25"/>
        <v/>
      </c>
      <c r="W92" s="34" t="str">
        <f t="shared" si="26"/>
        <v/>
      </c>
      <c r="X92" s="34" t="str">
        <f>IF(M92="","",IF(M92&gt;Einstellungen!$B$12,"kritisch &gt;10 Std.",IF(M92&gt;Einstellungen!$B$11,"prüfen &gt;8 Std.","OK")))</f>
        <v/>
      </c>
      <c r="Y92" s="37" t="str">
        <f t="shared" si="27"/>
        <v/>
      </c>
      <c r="Z92" s="34" t="str">
        <f>IF(Y92="","",IF(Y92&lt;Einstellungen!$B$14,"kritisch &lt;10 Std.",IF(Y92&lt;Einstellungen!$B$13,"prüfen &lt;11 Std.","OK")))</f>
        <v/>
      </c>
      <c r="AA92" s="33"/>
      <c r="AB92" s="33"/>
      <c r="AC92" s="40" t="str">
        <f t="shared" si="28"/>
        <v/>
      </c>
      <c r="AD92" s="40" t="str">
        <f t="shared" si="29"/>
        <v/>
      </c>
      <c r="AE92" s="41" t="str">
        <f>IF(B92="","",IF(COUNTIF($B$6:B91,B92)=0,"",_xludf.MAXIFS($AD$6:AD91,$B$6:B91,B92)))</f>
        <v/>
      </c>
    </row>
    <row r="93" spans="1:31" ht="21.95" customHeight="1" x14ac:dyDescent="0.25">
      <c r="A93" s="32"/>
      <c r="B93" s="33"/>
      <c r="C93" s="34" t="str">
        <f>IFERROR(INDEX(Mitarbeiter!$B$6:$B$35,MATCH(B93,Mitarbeiter!$A$6:$A$35,0)),"")</f>
        <v/>
      </c>
      <c r="D93" s="74"/>
      <c r="E93" s="34" t="str">
        <f t="shared" si="20"/>
        <v/>
      </c>
      <c r="F93" s="33"/>
      <c r="G93" s="33"/>
      <c r="H93" s="35"/>
      <c r="I93" s="35"/>
      <c r="J93" s="33"/>
      <c r="K93" s="36" t="str">
        <f>IF(L93="","",IF(L93&gt;9,Einstellungen!$B$10,IF(L93&gt;6,Einstellungen!$B$9,0)))</f>
        <v/>
      </c>
      <c r="L93" s="37" t="str">
        <f t="shared" si="21"/>
        <v/>
      </c>
      <c r="M93" s="37" t="str">
        <f t="shared" si="22"/>
        <v/>
      </c>
      <c r="N93" s="37" t="str">
        <f>IF(OR(D93="",H93="",I93=""),"",ROUND((MAX(0,MIN(AD93,D93+1+Einstellungen!$B$8)-MAX(AC93,D93+Einstellungen!$B$7))*24)+(MAX(0,MIN(AD93,D93+Einstellungen!$B$8)-MAX(AC93,D93-1+Einstellungen!$B$7))*24),2))</f>
        <v/>
      </c>
      <c r="O93" s="37" t="str">
        <f t="shared" si="23"/>
        <v/>
      </c>
      <c r="P93" s="37" t="str">
        <f>IF(OR(D93="",H93="",I93=""),"",ROUND(IF(COUNTIF(Einstellungen!$A$21:$A$45,D93)&gt;0,MAX(0,MIN(AD93,D93+1)-MAX(AC93,D93))*24,0)+IF(AD93&gt;D93+1,IF(COUNTIF(Einstellungen!$A$21:$A$45,D93+1)&gt;0,MAX(0,MIN(AD93,D93+2)-MAX(AC93,D93+1))*24,0),0),2))</f>
        <v/>
      </c>
      <c r="Q93" s="34" t="str">
        <f>IF(D93="","",TRIM(IFERROR(VLOOKUP(D93,Einstellungen!$A$21:$B$45,2,FALSE)&amp;" ","")&amp;IF(I93&lt;=H93,IFERROR(VLOOKUP(D93+1,Einstellungen!$A$21:$B$45,2,FALSE),""),"")))</f>
        <v/>
      </c>
      <c r="R93" s="38" t="str">
        <f>IFERROR(INDEX(Mitarbeiter!$G$6:$G$35,MATCH(B93,Mitarbeiter!$A$6:$A$35,0)),"")</f>
        <v/>
      </c>
      <c r="S93" s="38" t="str">
        <f t="shared" si="24"/>
        <v/>
      </c>
      <c r="T93" s="38" t="str">
        <f>IF(M93="","",ROUND(((N93*Einstellungen!$B$15)+(O93*Einstellungen!$B$16)+(P93*Einstellungen!$B$17))*R93,2))</f>
        <v/>
      </c>
      <c r="U93" s="39"/>
      <c r="V93" s="38" t="str">
        <f t="shared" si="25"/>
        <v/>
      </c>
      <c r="W93" s="34" t="str">
        <f t="shared" si="26"/>
        <v/>
      </c>
      <c r="X93" s="34" t="str">
        <f>IF(M93="","",IF(M93&gt;Einstellungen!$B$12,"kritisch &gt;10 Std.",IF(M93&gt;Einstellungen!$B$11,"prüfen &gt;8 Std.","OK")))</f>
        <v/>
      </c>
      <c r="Y93" s="37" t="str">
        <f t="shared" si="27"/>
        <v/>
      </c>
      <c r="Z93" s="34" t="str">
        <f>IF(Y93="","",IF(Y93&lt;Einstellungen!$B$14,"kritisch &lt;10 Std.",IF(Y93&lt;Einstellungen!$B$13,"prüfen &lt;11 Std.","OK")))</f>
        <v/>
      </c>
      <c r="AA93" s="33"/>
      <c r="AB93" s="33"/>
      <c r="AC93" s="40" t="str">
        <f t="shared" si="28"/>
        <v/>
      </c>
      <c r="AD93" s="40" t="str">
        <f t="shared" si="29"/>
        <v/>
      </c>
      <c r="AE93" s="41" t="str">
        <f>IF(B93="","",IF(COUNTIF($B$6:B92,B93)=0,"",_xludf.MAXIFS($AD$6:AD92,$B$6:B92,B93)))</f>
        <v/>
      </c>
    </row>
    <row r="94" spans="1:31" ht="21.95" customHeight="1" x14ac:dyDescent="0.25">
      <c r="A94" s="32"/>
      <c r="B94" s="33"/>
      <c r="C94" s="34" t="str">
        <f>IFERROR(INDEX(Mitarbeiter!$B$6:$B$35,MATCH(B94,Mitarbeiter!$A$6:$A$35,0)),"")</f>
        <v/>
      </c>
      <c r="D94" s="74"/>
      <c r="E94" s="34" t="str">
        <f t="shared" si="20"/>
        <v/>
      </c>
      <c r="F94" s="33"/>
      <c r="G94" s="33"/>
      <c r="H94" s="35"/>
      <c r="I94" s="35"/>
      <c r="J94" s="33"/>
      <c r="K94" s="36" t="str">
        <f>IF(L94="","",IF(L94&gt;9,Einstellungen!$B$10,IF(L94&gt;6,Einstellungen!$B$9,0)))</f>
        <v/>
      </c>
      <c r="L94" s="37" t="str">
        <f t="shared" si="21"/>
        <v/>
      </c>
      <c r="M94" s="37" t="str">
        <f t="shared" si="22"/>
        <v/>
      </c>
      <c r="N94" s="37" t="str">
        <f>IF(OR(D94="",H94="",I94=""),"",ROUND((MAX(0,MIN(AD94,D94+1+Einstellungen!$B$8)-MAX(AC94,D94+Einstellungen!$B$7))*24)+(MAX(0,MIN(AD94,D94+Einstellungen!$B$8)-MAX(AC94,D94-1+Einstellungen!$B$7))*24),2))</f>
        <v/>
      </c>
      <c r="O94" s="37" t="str">
        <f t="shared" si="23"/>
        <v/>
      </c>
      <c r="P94" s="37" t="str">
        <f>IF(OR(D94="",H94="",I94=""),"",ROUND(IF(COUNTIF(Einstellungen!$A$21:$A$45,D94)&gt;0,MAX(0,MIN(AD94,D94+1)-MAX(AC94,D94))*24,0)+IF(AD94&gt;D94+1,IF(COUNTIF(Einstellungen!$A$21:$A$45,D94+1)&gt;0,MAX(0,MIN(AD94,D94+2)-MAX(AC94,D94+1))*24,0),0),2))</f>
        <v/>
      </c>
      <c r="Q94" s="34" t="str">
        <f>IF(D94="","",TRIM(IFERROR(VLOOKUP(D94,Einstellungen!$A$21:$B$45,2,FALSE)&amp;" ","")&amp;IF(I94&lt;=H94,IFERROR(VLOOKUP(D94+1,Einstellungen!$A$21:$B$45,2,FALSE),""),"")))</f>
        <v/>
      </c>
      <c r="R94" s="38" t="str">
        <f>IFERROR(INDEX(Mitarbeiter!$G$6:$G$35,MATCH(B94,Mitarbeiter!$A$6:$A$35,0)),"")</f>
        <v/>
      </c>
      <c r="S94" s="38" t="str">
        <f t="shared" si="24"/>
        <v/>
      </c>
      <c r="T94" s="38" t="str">
        <f>IF(M94="","",ROUND(((N94*Einstellungen!$B$15)+(O94*Einstellungen!$B$16)+(P94*Einstellungen!$B$17))*R94,2))</f>
        <v/>
      </c>
      <c r="U94" s="39"/>
      <c r="V94" s="38" t="str">
        <f t="shared" si="25"/>
        <v/>
      </c>
      <c r="W94" s="34" t="str">
        <f t="shared" si="26"/>
        <v/>
      </c>
      <c r="X94" s="34" t="str">
        <f>IF(M94="","",IF(M94&gt;Einstellungen!$B$12,"kritisch &gt;10 Std.",IF(M94&gt;Einstellungen!$B$11,"prüfen &gt;8 Std.","OK")))</f>
        <v/>
      </c>
      <c r="Y94" s="37" t="str">
        <f t="shared" si="27"/>
        <v/>
      </c>
      <c r="Z94" s="34" t="str">
        <f>IF(Y94="","",IF(Y94&lt;Einstellungen!$B$14,"kritisch &lt;10 Std.",IF(Y94&lt;Einstellungen!$B$13,"prüfen &lt;11 Std.","OK")))</f>
        <v/>
      </c>
      <c r="AA94" s="33"/>
      <c r="AB94" s="33"/>
      <c r="AC94" s="40" t="str">
        <f t="shared" si="28"/>
        <v/>
      </c>
      <c r="AD94" s="40" t="str">
        <f t="shared" si="29"/>
        <v/>
      </c>
      <c r="AE94" s="41" t="str">
        <f>IF(B94="","",IF(COUNTIF($B$6:B93,B94)=0,"",_xludf.MAXIFS($AD$6:AD93,$B$6:B93,B94)))</f>
        <v/>
      </c>
    </row>
    <row r="95" spans="1:31" ht="21.95" customHeight="1" x14ac:dyDescent="0.25">
      <c r="A95" s="32"/>
      <c r="B95" s="33"/>
      <c r="C95" s="34" t="str">
        <f>IFERROR(INDEX(Mitarbeiter!$B$6:$B$35,MATCH(B95,Mitarbeiter!$A$6:$A$35,0)),"")</f>
        <v/>
      </c>
      <c r="D95" s="74"/>
      <c r="E95" s="34" t="str">
        <f t="shared" si="20"/>
        <v/>
      </c>
      <c r="F95" s="33"/>
      <c r="G95" s="33"/>
      <c r="H95" s="35"/>
      <c r="I95" s="35"/>
      <c r="J95" s="33"/>
      <c r="K95" s="36" t="str">
        <f>IF(L95="","",IF(L95&gt;9,Einstellungen!$B$10,IF(L95&gt;6,Einstellungen!$B$9,0)))</f>
        <v/>
      </c>
      <c r="L95" s="37" t="str">
        <f t="shared" si="21"/>
        <v/>
      </c>
      <c r="M95" s="37" t="str">
        <f t="shared" si="22"/>
        <v/>
      </c>
      <c r="N95" s="37" t="str">
        <f>IF(OR(D95="",H95="",I95=""),"",ROUND((MAX(0,MIN(AD95,D95+1+Einstellungen!$B$8)-MAX(AC95,D95+Einstellungen!$B$7))*24)+(MAX(0,MIN(AD95,D95+Einstellungen!$B$8)-MAX(AC95,D95-1+Einstellungen!$B$7))*24),2))</f>
        <v/>
      </c>
      <c r="O95" s="37" t="str">
        <f t="shared" si="23"/>
        <v/>
      </c>
      <c r="P95" s="37" t="str">
        <f>IF(OR(D95="",H95="",I95=""),"",ROUND(IF(COUNTIF(Einstellungen!$A$21:$A$45,D95)&gt;0,MAX(0,MIN(AD95,D95+1)-MAX(AC95,D95))*24,0)+IF(AD95&gt;D95+1,IF(COUNTIF(Einstellungen!$A$21:$A$45,D95+1)&gt;0,MAX(0,MIN(AD95,D95+2)-MAX(AC95,D95+1))*24,0),0),2))</f>
        <v/>
      </c>
      <c r="Q95" s="34" t="str">
        <f>IF(D95="","",TRIM(IFERROR(VLOOKUP(D95,Einstellungen!$A$21:$B$45,2,FALSE)&amp;" ","")&amp;IF(I95&lt;=H95,IFERROR(VLOOKUP(D95+1,Einstellungen!$A$21:$B$45,2,FALSE),""),"")))</f>
        <v/>
      </c>
      <c r="R95" s="38" t="str">
        <f>IFERROR(INDEX(Mitarbeiter!$G$6:$G$35,MATCH(B95,Mitarbeiter!$A$6:$A$35,0)),"")</f>
        <v/>
      </c>
      <c r="S95" s="38" t="str">
        <f t="shared" si="24"/>
        <v/>
      </c>
      <c r="T95" s="38" t="str">
        <f>IF(M95="","",ROUND(((N95*Einstellungen!$B$15)+(O95*Einstellungen!$B$16)+(P95*Einstellungen!$B$17))*R95,2))</f>
        <v/>
      </c>
      <c r="U95" s="39"/>
      <c r="V95" s="38" t="str">
        <f t="shared" si="25"/>
        <v/>
      </c>
      <c r="W95" s="34" t="str">
        <f t="shared" si="26"/>
        <v/>
      </c>
      <c r="X95" s="34" t="str">
        <f>IF(M95="","",IF(M95&gt;Einstellungen!$B$12,"kritisch &gt;10 Std.",IF(M95&gt;Einstellungen!$B$11,"prüfen &gt;8 Std.","OK")))</f>
        <v/>
      </c>
      <c r="Y95" s="37" t="str">
        <f t="shared" si="27"/>
        <v/>
      </c>
      <c r="Z95" s="34" t="str">
        <f>IF(Y95="","",IF(Y95&lt;Einstellungen!$B$14,"kritisch &lt;10 Std.",IF(Y95&lt;Einstellungen!$B$13,"prüfen &lt;11 Std.","OK")))</f>
        <v/>
      </c>
      <c r="AA95" s="33"/>
      <c r="AB95" s="33"/>
      <c r="AC95" s="40" t="str">
        <f t="shared" si="28"/>
        <v/>
      </c>
      <c r="AD95" s="40" t="str">
        <f t="shared" si="29"/>
        <v/>
      </c>
      <c r="AE95" s="41" t="str">
        <f>IF(B95="","",IF(COUNTIF($B$6:B94,B95)=0,"",_xludf.MAXIFS($AD$6:AD94,$B$6:B94,B95)))</f>
        <v/>
      </c>
    </row>
    <row r="96" spans="1:31" ht="21.95" customHeight="1" x14ac:dyDescent="0.25">
      <c r="A96" s="32"/>
      <c r="B96" s="33"/>
      <c r="C96" s="34" t="str">
        <f>IFERROR(INDEX(Mitarbeiter!$B$6:$B$35,MATCH(B96,Mitarbeiter!$A$6:$A$35,0)),"")</f>
        <v/>
      </c>
      <c r="D96" s="74"/>
      <c r="E96" s="34" t="str">
        <f t="shared" si="20"/>
        <v/>
      </c>
      <c r="F96" s="33"/>
      <c r="G96" s="33"/>
      <c r="H96" s="35"/>
      <c r="I96" s="35"/>
      <c r="J96" s="33"/>
      <c r="K96" s="36" t="str">
        <f>IF(L96="","",IF(L96&gt;9,Einstellungen!$B$10,IF(L96&gt;6,Einstellungen!$B$9,0)))</f>
        <v/>
      </c>
      <c r="L96" s="37" t="str">
        <f t="shared" si="21"/>
        <v/>
      </c>
      <c r="M96" s="37" t="str">
        <f t="shared" si="22"/>
        <v/>
      </c>
      <c r="N96" s="37" t="str">
        <f>IF(OR(D96="",H96="",I96=""),"",ROUND((MAX(0,MIN(AD96,D96+1+Einstellungen!$B$8)-MAX(AC96,D96+Einstellungen!$B$7))*24)+(MAX(0,MIN(AD96,D96+Einstellungen!$B$8)-MAX(AC96,D96-1+Einstellungen!$B$7))*24),2))</f>
        <v/>
      </c>
      <c r="O96" s="37" t="str">
        <f t="shared" si="23"/>
        <v/>
      </c>
      <c r="P96" s="37" t="str">
        <f>IF(OR(D96="",H96="",I96=""),"",ROUND(IF(COUNTIF(Einstellungen!$A$21:$A$45,D96)&gt;0,MAX(0,MIN(AD96,D96+1)-MAX(AC96,D96))*24,0)+IF(AD96&gt;D96+1,IF(COUNTIF(Einstellungen!$A$21:$A$45,D96+1)&gt;0,MAX(0,MIN(AD96,D96+2)-MAX(AC96,D96+1))*24,0),0),2))</f>
        <v/>
      </c>
      <c r="Q96" s="34" t="str">
        <f>IF(D96="","",TRIM(IFERROR(VLOOKUP(D96,Einstellungen!$A$21:$B$45,2,FALSE)&amp;" ","")&amp;IF(I96&lt;=H96,IFERROR(VLOOKUP(D96+1,Einstellungen!$A$21:$B$45,2,FALSE),""),"")))</f>
        <v/>
      </c>
      <c r="R96" s="38" t="str">
        <f>IFERROR(INDEX(Mitarbeiter!$G$6:$G$35,MATCH(B96,Mitarbeiter!$A$6:$A$35,0)),"")</f>
        <v/>
      </c>
      <c r="S96" s="38" t="str">
        <f t="shared" si="24"/>
        <v/>
      </c>
      <c r="T96" s="38" t="str">
        <f>IF(M96="","",ROUND(((N96*Einstellungen!$B$15)+(O96*Einstellungen!$B$16)+(P96*Einstellungen!$B$17))*R96,2))</f>
        <v/>
      </c>
      <c r="U96" s="39"/>
      <c r="V96" s="38" t="str">
        <f t="shared" si="25"/>
        <v/>
      </c>
      <c r="W96" s="34" t="str">
        <f t="shared" si="26"/>
        <v/>
      </c>
      <c r="X96" s="34" t="str">
        <f>IF(M96="","",IF(M96&gt;Einstellungen!$B$12,"kritisch &gt;10 Std.",IF(M96&gt;Einstellungen!$B$11,"prüfen &gt;8 Std.","OK")))</f>
        <v/>
      </c>
      <c r="Y96" s="37" t="str">
        <f t="shared" si="27"/>
        <v/>
      </c>
      <c r="Z96" s="34" t="str">
        <f>IF(Y96="","",IF(Y96&lt;Einstellungen!$B$14,"kritisch &lt;10 Std.",IF(Y96&lt;Einstellungen!$B$13,"prüfen &lt;11 Std.","OK")))</f>
        <v/>
      </c>
      <c r="AA96" s="33"/>
      <c r="AB96" s="33"/>
      <c r="AC96" s="40" t="str">
        <f t="shared" si="28"/>
        <v/>
      </c>
      <c r="AD96" s="40" t="str">
        <f t="shared" si="29"/>
        <v/>
      </c>
      <c r="AE96" s="41" t="str">
        <f>IF(B96="","",IF(COUNTIF($B$6:B95,B96)=0,"",_xludf.MAXIFS($AD$6:AD95,$B$6:B95,B96)))</f>
        <v/>
      </c>
    </row>
    <row r="97" spans="1:31" ht="21.95" customHeight="1" x14ac:dyDescent="0.25">
      <c r="A97" s="32"/>
      <c r="B97" s="33"/>
      <c r="C97" s="34" t="str">
        <f>IFERROR(INDEX(Mitarbeiter!$B$6:$B$35,MATCH(B97,Mitarbeiter!$A$6:$A$35,0)),"")</f>
        <v/>
      </c>
      <c r="D97" s="74"/>
      <c r="E97" s="34" t="str">
        <f t="shared" si="20"/>
        <v/>
      </c>
      <c r="F97" s="33"/>
      <c r="G97" s="33"/>
      <c r="H97" s="35"/>
      <c r="I97" s="35"/>
      <c r="J97" s="33"/>
      <c r="K97" s="36" t="str">
        <f>IF(L97="","",IF(L97&gt;9,Einstellungen!$B$10,IF(L97&gt;6,Einstellungen!$B$9,0)))</f>
        <v/>
      </c>
      <c r="L97" s="37" t="str">
        <f t="shared" si="21"/>
        <v/>
      </c>
      <c r="M97" s="37" t="str">
        <f t="shared" si="22"/>
        <v/>
      </c>
      <c r="N97" s="37" t="str">
        <f>IF(OR(D97="",H97="",I97=""),"",ROUND((MAX(0,MIN(AD97,D97+1+Einstellungen!$B$8)-MAX(AC97,D97+Einstellungen!$B$7))*24)+(MAX(0,MIN(AD97,D97+Einstellungen!$B$8)-MAX(AC97,D97-1+Einstellungen!$B$7))*24),2))</f>
        <v/>
      </c>
      <c r="O97" s="37" t="str">
        <f t="shared" si="23"/>
        <v/>
      </c>
      <c r="P97" s="37" t="str">
        <f>IF(OR(D97="",H97="",I97=""),"",ROUND(IF(COUNTIF(Einstellungen!$A$21:$A$45,D97)&gt;0,MAX(0,MIN(AD97,D97+1)-MAX(AC97,D97))*24,0)+IF(AD97&gt;D97+1,IF(COUNTIF(Einstellungen!$A$21:$A$45,D97+1)&gt;0,MAX(0,MIN(AD97,D97+2)-MAX(AC97,D97+1))*24,0),0),2))</f>
        <v/>
      </c>
      <c r="Q97" s="34" t="str">
        <f>IF(D97="","",TRIM(IFERROR(VLOOKUP(D97,Einstellungen!$A$21:$B$45,2,FALSE)&amp;" ","")&amp;IF(I97&lt;=H97,IFERROR(VLOOKUP(D97+1,Einstellungen!$A$21:$B$45,2,FALSE),""),"")))</f>
        <v/>
      </c>
      <c r="R97" s="38" t="str">
        <f>IFERROR(INDEX(Mitarbeiter!$G$6:$G$35,MATCH(B97,Mitarbeiter!$A$6:$A$35,0)),"")</f>
        <v/>
      </c>
      <c r="S97" s="38" t="str">
        <f t="shared" si="24"/>
        <v/>
      </c>
      <c r="T97" s="38" t="str">
        <f>IF(M97="","",ROUND(((N97*Einstellungen!$B$15)+(O97*Einstellungen!$B$16)+(P97*Einstellungen!$B$17))*R97,2))</f>
        <v/>
      </c>
      <c r="U97" s="39"/>
      <c r="V97" s="38" t="str">
        <f t="shared" si="25"/>
        <v/>
      </c>
      <c r="W97" s="34" t="str">
        <f t="shared" si="26"/>
        <v/>
      </c>
      <c r="X97" s="34" t="str">
        <f>IF(M97="","",IF(M97&gt;Einstellungen!$B$12,"kritisch &gt;10 Std.",IF(M97&gt;Einstellungen!$B$11,"prüfen &gt;8 Std.","OK")))</f>
        <v/>
      </c>
      <c r="Y97" s="37" t="str">
        <f t="shared" si="27"/>
        <v/>
      </c>
      <c r="Z97" s="34" t="str">
        <f>IF(Y97="","",IF(Y97&lt;Einstellungen!$B$14,"kritisch &lt;10 Std.",IF(Y97&lt;Einstellungen!$B$13,"prüfen &lt;11 Std.","OK")))</f>
        <v/>
      </c>
      <c r="AA97" s="33"/>
      <c r="AB97" s="33"/>
      <c r="AC97" s="40" t="str">
        <f t="shared" si="28"/>
        <v/>
      </c>
      <c r="AD97" s="40" t="str">
        <f t="shared" si="29"/>
        <v/>
      </c>
      <c r="AE97" s="41" t="str">
        <f>IF(B97="","",IF(COUNTIF($B$6:B96,B97)=0,"",_xludf.MAXIFS($AD$6:AD96,$B$6:B96,B97)))</f>
        <v/>
      </c>
    </row>
    <row r="98" spans="1:31" ht="21.95" customHeight="1" x14ac:dyDescent="0.25">
      <c r="A98" s="32"/>
      <c r="B98" s="33"/>
      <c r="C98" s="34" t="str">
        <f>IFERROR(INDEX(Mitarbeiter!$B$6:$B$35,MATCH(B98,Mitarbeiter!$A$6:$A$35,0)),"")</f>
        <v/>
      </c>
      <c r="D98" s="74"/>
      <c r="E98" s="34" t="str">
        <f t="shared" si="20"/>
        <v/>
      </c>
      <c r="F98" s="33"/>
      <c r="G98" s="33"/>
      <c r="H98" s="35"/>
      <c r="I98" s="35"/>
      <c r="J98" s="33"/>
      <c r="K98" s="36" t="str">
        <f>IF(L98="","",IF(L98&gt;9,Einstellungen!$B$10,IF(L98&gt;6,Einstellungen!$B$9,0)))</f>
        <v/>
      </c>
      <c r="L98" s="37" t="str">
        <f t="shared" si="21"/>
        <v/>
      </c>
      <c r="M98" s="37" t="str">
        <f t="shared" si="22"/>
        <v/>
      </c>
      <c r="N98" s="37" t="str">
        <f>IF(OR(D98="",H98="",I98=""),"",ROUND((MAX(0,MIN(AD98,D98+1+Einstellungen!$B$8)-MAX(AC98,D98+Einstellungen!$B$7))*24)+(MAX(0,MIN(AD98,D98+Einstellungen!$B$8)-MAX(AC98,D98-1+Einstellungen!$B$7))*24),2))</f>
        <v/>
      </c>
      <c r="O98" s="37" t="str">
        <f t="shared" si="23"/>
        <v/>
      </c>
      <c r="P98" s="37" t="str">
        <f>IF(OR(D98="",H98="",I98=""),"",ROUND(IF(COUNTIF(Einstellungen!$A$21:$A$45,D98)&gt;0,MAX(0,MIN(AD98,D98+1)-MAX(AC98,D98))*24,0)+IF(AD98&gt;D98+1,IF(COUNTIF(Einstellungen!$A$21:$A$45,D98+1)&gt;0,MAX(0,MIN(AD98,D98+2)-MAX(AC98,D98+1))*24,0),0),2))</f>
        <v/>
      </c>
      <c r="Q98" s="34" t="str">
        <f>IF(D98="","",TRIM(IFERROR(VLOOKUP(D98,Einstellungen!$A$21:$B$45,2,FALSE)&amp;" ","")&amp;IF(I98&lt;=H98,IFERROR(VLOOKUP(D98+1,Einstellungen!$A$21:$B$45,2,FALSE),""),"")))</f>
        <v/>
      </c>
      <c r="R98" s="38" t="str">
        <f>IFERROR(INDEX(Mitarbeiter!$G$6:$G$35,MATCH(B98,Mitarbeiter!$A$6:$A$35,0)),"")</f>
        <v/>
      </c>
      <c r="S98" s="38" t="str">
        <f t="shared" si="24"/>
        <v/>
      </c>
      <c r="T98" s="38" t="str">
        <f>IF(M98="","",ROUND(((N98*Einstellungen!$B$15)+(O98*Einstellungen!$B$16)+(P98*Einstellungen!$B$17))*R98,2))</f>
        <v/>
      </c>
      <c r="U98" s="39"/>
      <c r="V98" s="38" t="str">
        <f t="shared" si="25"/>
        <v/>
      </c>
      <c r="W98" s="34" t="str">
        <f t="shared" si="26"/>
        <v/>
      </c>
      <c r="X98" s="34" t="str">
        <f>IF(M98="","",IF(M98&gt;Einstellungen!$B$12,"kritisch &gt;10 Std.",IF(M98&gt;Einstellungen!$B$11,"prüfen &gt;8 Std.","OK")))</f>
        <v/>
      </c>
      <c r="Y98" s="37" t="str">
        <f t="shared" si="27"/>
        <v/>
      </c>
      <c r="Z98" s="34" t="str">
        <f>IF(Y98="","",IF(Y98&lt;Einstellungen!$B$14,"kritisch &lt;10 Std.",IF(Y98&lt;Einstellungen!$B$13,"prüfen &lt;11 Std.","OK")))</f>
        <v/>
      </c>
      <c r="AA98" s="33"/>
      <c r="AB98" s="33"/>
      <c r="AC98" s="40" t="str">
        <f t="shared" si="28"/>
        <v/>
      </c>
      <c r="AD98" s="40" t="str">
        <f t="shared" si="29"/>
        <v/>
      </c>
      <c r="AE98" s="41" t="str">
        <f>IF(B98="","",IF(COUNTIF($B$6:B97,B98)=0,"",_xludf.MAXIFS($AD$6:AD97,$B$6:B97,B98)))</f>
        <v/>
      </c>
    </row>
    <row r="99" spans="1:31" ht="21.95" customHeight="1" x14ac:dyDescent="0.25">
      <c r="A99" s="32"/>
      <c r="B99" s="33"/>
      <c r="C99" s="34" t="str">
        <f>IFERROR(INDEX(Mitarbeiter!$B$6:$B$35,MATCH(B99,Mitarbeiter!$A$6:$A$35,0)),"")</f>
        <v/>
      </c>
      <c r="D99" s="74"/>
      <c r="E99" s="34" t="str">
        <f t="shared" si="20"/>
        <v/>
      </c>
      <c r="F99" s="33"/>
      <c r="G99" s="33"/>
      <c r="H99" s="35"/>
      <c r="I99" s="35"/>
      <c r="J99" s="33"/>
      <c r="K99" s="36" t="str">
        <f>IF(L99="","",IF(L99&gt;9,Einstellungen!$B$10,IF(L99&gt;6,Einstellungen!$B$9,0)))</f>
        <v/>
      </c>
      <c r="L99" s="37" t="str">
        <f t="shared" si="21"/>
        <v/>
      </c>
      <c r="M99" s="37" t="str">
        <f t="shared" si="22"/>
        <v/>
      </c>
      <c r="N99" s="37" t="str">
        <f>IF(OR(D99="",H99="",I99=""),"",ROUND((MAX(0,MIN(AD99,D99+1+Einstellungen!$B$8)-MAX(AC99,D99+Einstellungen!$B$7))*24)+(MAX(0,MIN(AD99,D99+Einstellungen!$B$8)-MAX(AC99,D99-1+Einstellungen!$B$7))*24),2))</f>
        <v/>
      </c>
      <c r="O99" s="37" t="str">
        <f t="shared" si="23"/>
        <v/>
      </c>
      <c r="P99" s="37" t="str">
        <f>IF(OR(D99="",H99="",I99=""),"",ROUND(IF(COUNTIF(Einstellungen!$A$21:$A$45,D99)&gt;0,MAX(0,MIN(AD99,D99+1)-MAX(AC99,D99))*24,0)+IF(AD99&gt;D99+1,IF(COUNTIF(Einstellungen!$A$21:$A$45,D99+1)&gt;0,MAX(0,MIN(AD99,D99+2)-MAX(AC99,D99+1))*24,0),0),2))</f>
        <v/>
      </c>
      <c r="Q99" s="34" t="str">
        <f>IF(D99="","",TRIM(IFERROR(VLOOKUP(D99,Einstellungen!$A$21:$B$45,2,FALSE)&amp;" ","")&amp;IF(I99&lt;=H99,IFERROR(VLOOKUP(D99+1,Einstellungen!$A$21:$B$45,2,FALSE),""),"")))</f>
        <v/>
      </c>
      <c r="R99" s="38" t="str">
        <f>IFERROR(INDEX(Mitarbeiter!$G$6:$G$35,MATCH(B99,Mitarbeiter!$A$6:$A$35,0)),"")</f>
        <v/>
      </c>
      <c r="S99" s="38" t="str">
        <f t="shared" si="24"/>
        <v/>
      </c>
      <c r="T99" s="38" t="str">
        <f>IF(M99="","",ROUND(((N99*Einstellungen!$B$15)+(O99*Einstellungen!$B$16)+(P99*Einstellungen!$B$17))*R99,2))</f>
        <v/>
      </c>
      <c r="U99" s="39"/>
      <c r="V99" s="38" t="str">
        <f t="shared" si="25"/>
        <v/>
      </c>
      <c r="W99" s="34" t="str">
        <f t="shared" si="26"/>
        <v/>
      </c>
      <c r="X99" s="34" t="str">
        <f>IF(M99="","",IF(M99&gt;Einstellungen!$B$12,"kritisch &gt;10 Std.",IF(M99&gt;Einstellungen!$B$11,"prüfen &gt;8 Std.","OK")))</f>
        <v/>
      </c>
      <c r="Y99" s="37" t="str">
        <f t="shared" si="27"/>
        <v/>
      </c>
      <c r="Z99" s="34" t="str">
        <f>IF(Y99="","",IF(Y99&lt;Einstellungen!$B$14,"kritisch &lt;10 Std.",IF(Y99&lt;Einstellungen!$B$13,"prüfen &lt;11 Std.","OK")))</f>
        <v/>
      </c>
      <c r="AA99" s="33"/>
      <c r="AB99" s="33"/>
      <c r="AC99" s="40" t="str">
        <f t="shared" si="28"/>
        <v/>
      </c>
      <c r="AD99" s="40" t="str">
        <f t="shared" si="29"/>
        <v/>
      </c>
      <c r="AE99" s="41" t="str">
        <f>IF(B99="","",IF(COUNTIF($B$6:B98,B99)=0,"",_xludf.MAXIFS($AD$6:AD98,$B$6:B98,B99)))</f>
        <v/>
      </c>
    </row>
    <row r="100" spans="1:31" ht="21.95" customHeight="1" x14ac:dyDescent="0.25">
      <c r="A100" s="32"/>
      <c r="B100" s="33"/>
      <c r="C100" s="34" t="str">
        <f>IFERROR(INDEX(Mitarbeiter!$B$6:$B$35,MATCH(B100,Mitarbeiter!$A$6:$A$35,0)),"")</f>
        <v/>
      </c>
      <c r="D100" s="74"/>
      <c r="E100" s="34" t="str">
        <f t="shared" si="20"/>
        <v/>
      </c>
      <c r="F100" s="33"/>
      <c r="G100" s="33"/>
      <c r="H100" s="35"/>
      <c r="I100" s="35"/>
      <c r="J100" s="33"/>
      <c r="K100" s="36" t="str">
        <f>IF(L100="","",IF(L100&gt;9,Einstellungen!$B$10,IF(L100&gt;6,Einstellungen!$B$9,0)))</f>
        <v/>
      </c>
      <c r="L100" s="37" t="str">
        <f t="shared" si="21"/>
        <v/>
      </c>
      <c r="M100" s="37" t="str">
        <f t="shared" si="22"/>
        <v/>
      </c>
      <c r="N100" s="37" t="str">
        <f>IF(OR(D100="",H100="",I100=""),"",ROUND((MAX(0,MIN(AD100,D100+1+Einstellungen!$B$8)-MAX(AC100,D100+Einstellungen!$B$7))*24)+(MAX(0,MIN(AD100,D100+Einstellungen!$B$8)-MAX(AC100,D100-1+Einstellungen!$B$7))*24),2))</f>
        <v/>
      </c>
      <c r="O100" s="37" t="str">
        <f t="shared" si="23"/>
        <v/>
      </c>
      <c r="P100" s="37" t="str">
        <f>IF(OR(D100="",H100="",I100=""),"",ROUND(IF(COUNTIF(Einstellungen!$A$21:$A$45,D100)&gt;0,MAX(0,MIN(AD100,D100+1)-MAX(AC100,D100))*24,0)+IF(AD100&gt;D100+1,IF(COUNTIF(Einstellungen!$A$21:$A$45,D100+1)&gt;0,MAX(0,MIN(AD100,D100+2)-MAX(AC100,D100+1))*24,0),0),2))</f>
        <v/>
      </c>
      <c r="Q100" s="34" t="str">
        <f>IF(D100="","",TRIM(IFERROR(VLOOKUP(D100,Einstellungen!$A$21:$B$45,2,FALSE)&amp;" ","")&amp;IF(I100&lt;=H100,IFERROR(VLOOKUP(D100+1,Einstellungen!$A$21:$B$45,2,FALSE),""),"")))</f>
        <v/>
      </c>
      <c r="R100" s="38" t="str">
        <f>IFERROR(INDEX(Mitarbeiter!$G$6:$G$35,MATCH(B100,Mitarbeiter!$A$6:$A$35,0)),"")</f>
        <v/>
      </c>
      <c r="S100" s="38" t="str">
        <f t="shared" si="24"/>
        <v/>
      </c>
      <c r="T100" s="38" t="str">
        <f>IF(M100="","",ROUND(((N100*Einstellungen!$B$15)+(O100*Einstellungen!$B$16)+(P100*Einstellungen!$B$17))*R100,2))</f>
        <v/>
      </c>
      <c r="U100" s="39"/>
      <c r="V100" s="38" t="str">
        <f t="shared" si="25"/>
        <v/>
      </c>
      <c r="W100" s="34" t="str">
        <f t="shared" si="26"/>
        <v/>
      </c>
      <c r="X100" s="34" t="str">
        <f>IF(M100="","",IF(M100&gt;Einstellungen!$B$12,"kritisch &gt;10 Std.",IF(M100&gt;Einstellungen!$B$11,"prüfen &gt;8 Std.","OK")))</f>
        <v/>
      </c>
      <c r="Y100" s="37" t="str">
        <f t="shared" si="27"/>
        <v/>
      </c>
      <c r="Z100" s="34" t="str">
        <f>IF(Y100="","",IF(Y100&lt;Einstellungen!$B$14,"kritisch &lt;10 Std.",IF(Y100&lt;Einstellungen!$B$13,"prüfen &lt;11 Std.","OK")))</f>
        <v/>
      </c>
      <c r="AA100" s="33"/>
      <c r="AB100" s="33"/>
      <c r="AC100" s="40" t="str">
        <f t="shared" si="28"/>
        <v/>
      </c>
      <c r="AD100" s="40" t="str">
        <f t="shared" si="29"/>
        <v/>
      </c>
      <c r="AE100" s="41" t="str">
        <f>IF(B100="","",IF(COUNTIF($B$6:B99,B100)=0,"",_xludf.MAXIFS($AD$6:AD99,$B$6:B99,B100)))</f>
        <v/>
      </c>
    </row>
    <row r="101" spans="1:31" ht="21.95" customHeight="1" x14ac:dyDescent="0.25">
      <c r="A101" s="32"/>
      <c r="B101" s="33"/>
      <c r="C101" s="34" t="str">
        <f>IFERROR(INDEX(Mitarbeiter!$B$6:$B$35,MATCH(B101,Mitarbeiter!$A$6:$A$35,0)),"")</f>
        <v/>
      </c>
      <c r="D101" s="74"/>
      <c r="E101" s="34" t="str">
        <f t="shared" si="20"/>
        <v/>
      </c>
      <c r="F101" s="33"/>
      <c r="G101" s="33"/>
      <c r="H101" s="35"/>
      <c r="I101" s="35"/>
      <c r="J101" s="33"/>
      <c r="K101" s="36" t="str">
        <f>IF(L101="","",IF(L101&gt;9,Einstellungen!$B$10,IF(L101&gt;6,Einstellungen!$B$9,0)))</f>
        <v/>
      </c>
      <c r="L101" s="37" t="str">
        <f t="shared" si="21"/>
        <v/>
      </c>
      <c r="M101" s="37" t="str">
        <f t="shared" si="22"/>
        <v/>
      </c>
      <c r="N101" s="37" t="str">
        <f>IF(OR(D101="",H101="",I101=""),"",ROUND((MAX(0,MIN(AD101,D101+1+Einstellungen!$B$8)-MAX(AC101,D101+Einstellungen!$B$7))*24)+(MAX(0,MIN(AD101,D101+Einstellungen!$B$8)-MAX(AC101,D101-1+Einstellungen!$B$7))*24),2))</f>
        <v/>
      </c>
      <c r="O101" s="37" t="str">
        <f t="shared" si="23"/>
        <v/>
      </c>
      <c r="P101" s="37" t="str">
        <f>IF(OR(D101="",H101="",I101=""),"",ROUND(IF(COUNTIF(Einstellungen!$A$21:$A$45,D101)&gt;0,MAX(0,MIN(AD101,D101+1)-MAX(AC101,D101))*24,0)+IF(AD101&gt;D101+1,IF(COUNTIF(Einstellungen!$A$21:$A$45,D101+1)&gt;0,MAX(0,MIN(AD101,D101+2)-MAX(AC101,D101+1))*24,0),0),2))</f>
        <v/>
      </c>
      <c r="Q101" s="34" t="str">
        <f>IF(D101="","",TRIM(IFERROR(VLOOKUP(D101,Einstellungen!$A$21:$B$45,2,FALSE)&amp;" ","")&amp;IF(I101&lt;=H101,IFERROR(VLOOKUP(D101+1,Einstellungen!$A$21:$B$45,2,FALSE),""),"")))</f>
        <v/>
      </c>
      <c r="R101" s="38" t="str">
        <f>IFERROR(INDEX(Mitarbeiter!$G$6:$G$35,MATCH(B101,Mitarbeiter!$A$6:$A$35,0)),"")</f>
        <v/>
      </c>
      <c r="S101" s="38" t="str">
        <f t="shared" si="24"/>
        <v/>
      </c>
      <c r="T101" s="38" t="str">
        <f>IF(M101="","",ROUND(((N101*Einstellungen!$B$15)+(O101*Einstellungen!$B$16)+(P101*Einstellungen!$B$17))*R101,2))</f>
        <v/>
      </c>
      <c r="U101" s="39"/>
      <c r="V101" s="38" t="str">
        <f t="shared" si="25"/>
        <v/>
      </c>
      <c r="W101" s="34" t="str">
        <f t="shared" si="26"/>
        <v/>
      </c>
      <c r="X101" s="34" t="str">
        <f>IF(M101="","",IF(M101&gt;Einstellungen!$B$12,"kritisch &gt;10 Std.",IF(M101&gt;Einstellungen!$B$11,"prüfen &gt;8 Std.","OK")))</f>
        <v/>
      </c>
      <c r="Y101" s="37" t="str">
        <f t="shared" si="27"/>
        <v/>
      </c>
      <c r="Z101" s="34" t="str">
        <f>IF(Y101="","",IF(Y101&lt;Einstellungen!$B$14,"kritisch &lt;10 Std.",IF(Y101&lt;Einstellungen!$B$13,"prüfen &lt;11 Std.","OK")))</f>
        <v/>
      </c>
      <c r="AA101" s="33"/>
      <c r="AB101" s="33"/>
      <c r="AC101" s="40" t="str">
        <f t="shared" si="28"/>
        <v/>
      </c>
      <c r="AD101" s="40" t="str">
        <f t="shared" si="29"/>
        <v/>
      </c>
      <c r="AE101" s="41" t="str">
        <f>IF(B101="","",IF(COUNTIF($B$6:B100,B101)=0,"",_xludf.MAXIFS($AD$6:AD100,$B$6:B100,B101)))</f>
        <v/>
      </c>
    </row>
    <row r="102" spans="1:31" ht="21.95" customHeight="1" x14ac:dyDescent="0.25">
      <c r="A102" s="32"/>
      <c r="B102" s="33"/>
      <c r="C102" s="34" t="str">
        <f>IFERROR(INDEX(Mitarbeiter!$B$6:$B$35,MATCH(B102,Mitarbeiter!$A$6:$A$35,0)),"")</f>
        <v/>
      </c>
      <c r="D102" s="74"/>
      <c r="E102" s="34" t="str">
        <f t="shared" ref="E102:E133" si="30">IF(D102="","",CHOOSE(WEEKDAY(D102,2),"Mo","Di","Mi","Do","Fr","Sa","So"))</f>
        <v/>
      </c>
      <c r="F102" s="33"/>
      <c r="G102" s="33"/>
      <c r="H102" s="35"/>
      <c r="I102" s="35"/>
      <c r="J102" s="33"/>
      <c r="K102" s="36" t="str">
        <f>IF(L102="","",IF(L102&gt;9,Einstellungen!$B$10,IF(L102&gt;6,Einstellungen!$B$9,0)))</f>
        <v/>
      </c>
      <c r="L102" s="37" t="str">
        <f t="shared" ref="L102:L133" si="31">IF(OR(H102="",I102=""),"",MOD(I102-H102,1)*24)</f>
        <v/>
      </c>
      <c r="M102" s="37" t="str">
        <f t="shared" ref="M102:M133" si="32">IF(L102="","",MAX(0,L102-J102/60))</f>
        <v/>
      </c>
      <c r="N102" s="37" t="str">
        <f>IF(OR(D102="",H102="",I102=""),"",ROUND((MAX(0,MIN(AD102,D102+1+Einstellungen!$B$8)-MAX(AC102,D102+Einstellungen!$B$7))*24)+(MAX(0,MIN(AD102,D102+Einstellungen!$B$8)-MAX(AC102,D102-1+Einstellungen!$B$7))*24),2))</f>
        <v/>
      </c>
      <c r="O102" s="37" t="str">
        <f t="shared" ref="O102:O133" si="33">IF(OR(D102="",H102="",I102=""),"",ROUND(IF(WEEKDAY(D102,2)=7,MAX(0,MIN(AD102,D102+1)-MAX(AC102,D102))*24,0)+IF(AD102&gt;D102+1,IF(WEEKDAY(D102+1,2)=7,MAX(0,MIN(AD102,D102+2)-MAX(AC102,D102+1))*24,0),0),2))</f>
        <v/>
      </c>
      <c r="P102" s="37" t="str">
        <f>IF(OR(D102="",H102="",I102=""),"",ROUND(IF(COUNTIF(Einstellungen!$A$21:$A$45,D102)&gt;0,MAX(0,MIN(AD102,D102+1)-MAX(AC102,D102))*24,0)+IF(AD102&gt;D102+1,IF(COUNTIF(Einstellungen!$A$21:$A$45,D102+1)&gt;0,MAX(0,MIN(AD102,D102+2)-MAX(AC102,D102+1))*24,0),0),2))</f>
        <v/>
      </c>
      <c r="Q102" s="34" t="str">
        <f>IF(D102="","",TRIM(IFERROR(VLOOKUP(D102,Einstellungen!$A$21:$B$45,2,FALSE)&amp;" ","")&amp;IF(I102&lt;=H102,IFERROR(VLOOKUP(D102+1,Einstellungen!$A$21:$B$45,2,FALSE),""),"")))</f>
        <v/>
      </c>
      <c r="R102" s="38" t="str">
        <f>IFERROR(INDEX(Mitarbeiter!$G$6:$G$35,MATCH(B102,Mitarbeiter!$A$6:$A$35,0)),"")</f>
        <v/>
      </c>
      <c r="S102" s="38" t="str">
        <f t="shared" ref="S102:S133" si="34">IF(M102="","",ROUND(M102*R102,2))</f>
        <v/>
      </c>
      <c r="T102" s="38" t="str">
        <f>IF(M102="","",ROUND(((N102*Einstellungen!$B$15)+(O102*Einstellungen!$B$16)+(P102*Einstellungen!$B$17))*R102,2))</f>
        <v/>
      </c>
      <c r="U102" s="39"/>
      <c r="V102" s="38" t="str">
        <f t="shared" ref="V102:V133" si="35">IF(M102="","",ROUND(S102+T102+U102,2))</f>
        <v/>
      </c>
      <c r="W102" s="34" t="str">
        <f t="shared" ref="W102:W133" si="36">IF(B102="","",IF(J102&lt;K102,"Pause prüfen","OK"))</f>
        <v/>
      </c>
      <c r="X102" s="34" t="str">
        <f>IF(M102="","",IF(M102&gt;Einstellungen!$B$12,"kritisch &gt;10 Std.",IF(M102&gt;Einstellungen!$B$11,"prüfen &gt;8 Std.","OK")))</f>
        <v/>
      </c>
      <c r="Y102" s="37" t="str">
        <f t="shared" ref="Y102:Y133" si="37">IF(AE102="","",ROUND((AC102-AE102)*24,2))</f>
        <v/>
      </c>
      <c r="Z102" s="34" t="str">
        <f>IF(Y102="","",IF(Y102&lt;Einstellungen!$B$14,"kritisch &lt;10 Std.",IF(Y102&lt;Einstellungen!$B$13,"prüfen &lt;11 Std.","OK")))</f>
        <v/>
      </c>
      <c r="AA102" s="33"/>
      <c r="AB102" s="33"/>
      <c r="AC102" s="40" t="str">
        <f t="shared" ref="AC102:AC133" si="38">IF(OR(D102="",H102=""),"",D102+H102)</f>
        <v/>
      </c>
      <c r="AD102" s="40" t="str">
        <f t="shared" ref="AD102:AD133" si="39">IF(OR(D102="",I102=""),"",D102+I102+IF(I102&lt;=H102,1,0))</f>
        <v/>
      </c>
      <c r="AE102" s="41" t="str">
        <f>IF(B102="","",IF(COUNTIF($B$6:B101,B102)=0,"",_xludf.MAXIFS($AD$6:AD101,$B$6:B101,B102)))</f>
        <v/>
      </c>
    </row>
    <row r="103" spans="1:31" ht="21.95" customHeight="1" x14ac:dyDescent="0.25">
      <c r="A103" s="32"/>
      <c r="B103" s="33"/>
      <c r="C103" s="34" t="str">
        <f>IFERROR(INDEX(Mitarbeiter!$B$6:$B$35,MATCH(B103,Mitarbeiter!$A$6:$A$35,0)),"")</f>
        <v/>
      </c>
      <c r="D103" s="74"/>
      <c r="E103" s="34" t="str">
        <f t="shared" si="30"/>
        <v/>
      </c>
      <c r="F103" s="33"/>
      <c r="G103" s="33"/>
      <c r="H103" s="35"/>
      <c r="I103" s="35"/>
      <c r="J103" s="33"/>
      <c r="K103" s="36" t="str">
        <f>IF(L103="","",IF(L103&gt;9,Einstellungen!$B$10,IF(L103&gt;6,Einstellungen!$B$9,0)))</f>
        <v/>
      </c>
      <c r="L103" s="37" t="str">
        <f t="shared" si="31"/>
        <v/>
      </c>
      <c r="M103" s="37" t="str">
        <f t="shared" si="32"/>
        <v/>
      </c>
      <c r="N103" s="37" t="str">
        <f>IF(OR(D103="",H103="",I103=""),"",ROUND((MAX(0,MIN(AD103,D103+1+Einstellungen!$B$8)-MAX(AC103,D103+Einstellungen!$B$7))*24)+(MAX(0,MIN(AD103,D103+Einstellungen!$B$8)-MAX(AC103,D103-1+Einstellungen!$B$7))*24),2))</f>
        <v/>
      </c>
      <c r="O103" s="37" t="str">
        <f t="shared" si="33"/>
        <v/>
      </c>
      <c r="P103" s="37" t="str">
        <f>IF(OR(D103="",H103="",I103=""),"",ROUND(IF(COUNTIF(Einstellungen!$A$21:$A$45,D103)&gt;0,MAX(0,MIN(AD103,D103+1)-MAX(AC103,D103))*24,0)+IF(AD103&gt;D103+1,IF(COUNTIF(Einstellungen!$A$21:$A$45,D103+1)&gt;0,MAX(0,MIN(AD103,D103+2)-MAX(AC103,D103+1))*24,0),0),2))</f>
        <v/>
      </c>
      <c r="Q103" s="34" t="str">
        <f>IF(D103="","",TRIM(IFERROR(VLOOKUP(D103,Einstellungen!$A$21:$B$45,2,FALSE)&amp;" ","")&amp;IF(I103&lt;=H103,IFERROR(VLOOKUP(D103+1,Einstellungen!$A$21:$B$45,2,FALSE),""),"")))</f>
        <v/>
      </c>
      <c r="R103" s="38" t="str">
        <f>IFERROR(INDEX(Mitarbeiter!$G$6:$G$35,MATCH(B103,Mitarbeiter!$A$6:$A$35,0)),"")</f>
        <v/>
      </c>
      <c r="S103" s="38" t="str">
        <f t="shared" si="34"/>
        <v/>
      </c>
      <c r="T103" s="38" t="str">
        <f>IF(M103="","",ROUND(((N103*Einstellungen!$B$15)+(O103*Einstellungen!$B$16)+(P103*Einstellungen!$B$17))*R103,2))</f>
        <v/>
      </c>
      <c r="U103" s="39"/>
      <c r="V103" s="38" t="str">
        <f t="shared" si="35"/>
        <v/>
      </c>
      <c r="W103" s="34" t="str">
        <f t="shared" si="36"/>
        <v/>
      </c>
      <c r="X103" s="34" t="str">
        <f>IF(M103="","",IF(M103&gt;Einstellungen!$B$12,"kritisch &gt;10 Std.",IF(M103&gt;Einstellungen!$B$11,"prüfen &gt;8 Std.","OK")))</f>
        <v/>
      </c>
      <c r="Y103" s="37" t="str">
        <f t="shared" si="37"/>
        <v/>
      </c>
      <c r="Z103" s="34" t="str">
        <f>IF(Y103="","",IF(Y103&lt;Einstellungen!$B$14,"kritisch &lt;10 Std.",IF(Y103&lt;Einstellungen!$B$13,"prüfen &lt;11 Std.","OK")))</f>
        <v/>
      </c>
      <c r="AA103" s="33"/>
      <c r="AB103" s="33"/>
      <c r="AC103" s="40" t="str">
        <f t="shared" si="38"/>
        <v/>
      </c>
      <c r="AD103" s="40" t="str">
        <f t="shared" si="39"/>
        <v/>
      </c>
      <c r="AE103" s="41" t="str">
        <f>IF(B103="","",IF(COUNTIF($B$6:B102,B103)=0,"",_xludf.MAXIFS($AD$6:AD102,$B$6:B102,B103)))</f>
        <v/>
      </c>
    </row>
    <row r="104" spans="1:31" ht="21.95" customHeight="1" x14ac:dyDescent="0.25">
      <c r="A104" s="32"/>
      <c r="B104" s="33"/>
      <c r="C104" s="34" t="str">
        <f>IFERROR(INDEX(Mitarbeiter!$B$6:$B$35,MATCH(B104,Mitarbeiter!$A$6:$A$35,0)),"")</f>
        <v/>
      </c>
      <c r="D104" s="74"/>
      <c r="E104" s="34" t="str">
        <f t="shared" si="30"/>
        <v/>
      </c>
      <c r="F104" s="33"/>
      <c r="G104" s="33"/>
      <c r="H104" s="35"/>
      <c r="I104" s="35"/>
      <c r="J104" s="33"/>
      <c r="K104" s="36" t="str">
        <f>IF(L104="","",IF(L104&gt;9,Einstellungen!$B$10,IF(L104&gt;6,Einstellungen!$B$9,0)))</f>
        <v/>
      </c>
      <c r="L104" s="37" t="str">
        <f t="shared" si="31"/>
        <v/>
      </c>
      <c r="M104" s="37" t="str">
        <f t="shared" si="32"/>
        <v/>
      </c>
      <c r="N104" s="37" t="str">
        <f>IF(OR(D104="",H104="",I104=""),"",ROUND((MAX(0,MIN(AD104,D104+1+Einstellungen!$B$8)-MAX(AC104,D104+Einstellungen!$B$7))*24)+(MAX(0,MIN(AD104,D104+Einstellungen!$B$8)-MAX(AC104,D104-1+Einstellungen!$B$7))*24),2))</f>
        <v/>
      </c>
      <c r="O104" s="37" t="str">
        <f t="shared" si="33"/>
        <v/>
      </c>
      <c r="P104" s="37" t="str">
        <f>IF(OR(D104="",H104="",I104=""),"",ROUND(IF(COUNTIF(Einstellungen!$A$21:$A$45,D104)&gt;0,MAX(0,MIN(AD104,D104+1)-MAX(AC104,D104))*24,0)+IF(AD104&gt;D104+1,IF(COUNTIF(Einstellungen!$A$21:$A$45,D104+1)&gt;0,MAX(0,MIN(AD104,D104+2)-MAX(AC104,D104+1))*24,0),0),2))</f>
        <v/>
      </c>
      <c r="Q104" s="34" t="str">
        <f>IF(D104="","",TRIM(IFERROR(VLOOKUP(D104,Einstellungen!$A$21:$B$45,2,FALSE)&amp;" ","")&amp;IF(I104&lt;=H104,IFERROR(VLOOKUP(D104+1,Einstellungen!$A$21:$B$45,2,FALSE),""),"")))</f>
        <v/>
      </c>
      <c r="R104" s="38" t="str">
        <f>IFERROR(INDEX(Mitarbeiter!$G$6:$G$35,MATCH(B104,Mitarbeiter!$A$6:$A$35,0)),"")</f>
        <v/>
      </c>
      <c r="S104" s="38" t="str">
        <f t="shared" si="34"/>
        <v/>
      </c>
      <c r="T104" s="38" t="str">
        <f>IF(M104="","",ROUND(((N104*Einstellungen!$B$15)+(O104*Einstellungen!$B$16)+(P104*Einstellungen!$B$17))*R104,2))</f>
        <v/>
      </c>
      <c r="U104" s="39"/>
      <c r="V104" s="38" t="str">
        <f t="shared" si="35"/>
        <v/>
      </c>
      <c r="W104" s="34" t="str">
        <f t="shared" si="36"/>
        <v/>
      </c>
      <c r="X104" s="34" t="str">
        <f>IF(M104="","",IF(M104&gt;Einstellungen!$B$12,"kritisch &gt;10 Std.",IF(M104&gt;Einstellungen!$B$11,"prüfen &gt;8 Std.","OK")))</f>
        <v/>
      </c>
      <c r="Y104" s="37" t="str">
        <f t="shared" si="37"/>
        <v/>
      </c>
      <c r="Z104" s="34" t="str">
        <f>IF(Y104="","",IF(Y104&lt;Einstellungen!$B$14,"kritisch &lt;10 Std.",IF(Y104&lt;Einstellungen!$B$13,"prüfen &lt;11 Std.","OK")))</f>
        <v/>
      </c>
      <c r="AA104" s="33"/>
      <c r="AB104" s="33"/>
      <c r="AC104" s="40" t="str">
        <f t="shared" si="38"/>
        <v/>
      </c>
      <c r="AD104" s="40" t="str">
        <f t="shared" si="39"/>
        <v/>
      </c>
      <c r="AE104" s="41" t="str">
        <f>IF(B104="","",IF(COUNTIF($B$6:B103,B104)=0,"",_xludf.MAXIFS($AD$6:AD103,$B$6:B103,B104)))</f>
        <v/>
      </c>
    </row>
    <row r="105" spans="1:31" ht="21.95" customHeight="1" x14ac:dyDescent="0.25">
      <c r="A105" s="32"/>
      <c r="B105" s="33"/>
      <c r="C105" s="34" t="str">
        <f>IFERROR(INDEX(Mitarbeiter!$B$6:$B$35,MATCH(B105,Mitarbeiter!$A$6:$A$35,0)),"")</f>
        <v/>
      </c>
      <c r="D105" s="74"/>
      <c r="E105" s="34" t="str">
        <f t="shared" si="30"/>
        <v/>
      </c>
      <c r="F105" s="33"/>
      <c r="G105" s="33"/>
      <c r="H105" s="35"/>
      <c r="I105" s="35"/>
      <c r="J105" s="33"/>
      <c r="K105" s="36" t="str">
        <f>IF(L105="","",IF(L105&gt;9,Einstellungen!$B$10,IF(L105&gt;6,Einstellungen!$B$9,0)))</f>
        <v/>
      </c>
      <c r="L105" s="37" t="str">
        <f t="shared" si="31"/>
        <v/>
      </c>
      <c r="M105" s="37" t="str">
        <f t="shared" si="32"/>
        <v/>
      </c>
      <c r="N105" s="37" t="str">
        <f>IF(OR(D105="",H105="",I105=""),"",ROUND((MAX(0,MIN(AD105,D105+1+Einstellungen!$B$8)-MAX(AC105,D105+Einstellungen!$B$7))*24)+(MAX(0,MIN(AD105,D105+Einstellungen!$B$8)-MAX(AC105,D105-1+Einstellungen!$B$7))*24),2))</f>
        <v/>
      </c>
      <c r="O105" s="37" t="str">
        <f t="shared" si="33"/>
        <v/>
      </c>
      <c r="P105" s="37" t="str">
        <f>IF(OR(D105="",H105="",I105=""),"",ROUND(IF(COUNTIF(Einstellungen!$A$21:$A$45,D105)&gt;0,MAX(0,MIN(AD105,D105+1)-MAX(AC105,D105))*24,0)+IF(AD105&gt;D105+1,IF(COUNTIF(Einstellungen!$A$21:$A$45,D105+1)&gt;0,MAX(0,MIN(AD105,D105+2)-MAX(AC105,D105+1))*24,0),0),2))</f>
        <v/>
      </c>
      <c r="Q105" s="34" t="str">
        <f>IF(D105="","",TRIM(IFERROR(VLOOKUP(D105,Einstellungen!$A$21:$B$45,2,FALSE)&amp;" ","")&amp;IF(I105&lt;=H105,IFERROR(VLOOKUP(D105+1,Einstellungen!$A$21:$B$45,2,FALSE),""),"")))</f>
        <v/>
      </c>
      <c r="R105" s="38" t="str">
        <f>IFERROR(INDEX(Mitarbeiter!$G$6:$G$35,MATCH(B105,Mitarbeiter!$A$6:$A$35,0)),"")</f>
        <v/>
      </c>
      <c r="S105" s="38" t="str">
        <f t="shared" si="34"/>
        <v/>
      </c>
      <c r="T105" s="38" t="str">
        <f>IF(M105="","",ROUND(((N105*Einstellungen!$B$15)+(O105*Einstellungen!$B$16)+(P105*Einstellungen!$B$17))*R105,2))</f>
        <v/>
      </c>
      <c r="U105" s="39"/>
      <c r="V105" s="38" t="str">
        <f t="shared" si="35"/>
        <v/>
      </c>
      <c r="W105" s="34" t="str">
        <f t="shared" si="36"/>
        <v/>
      </c>
      <c r="X105" s="34" t="str">
        <f>IF(M105="","",IF(M105&gt;Einstellungen!$B$12,"kritisch &gt;10 Std.",IF(M105&gt;Einstellungen!$B$11,"prüfen &gt;8 Std.","OK")))</f>
        <v/>
      </c>
      <c r="Y105" s="37" t="str">
        <f t="shared" si="37"/>
        <v/>
      </c>
      <c r="Z105" s="34" t="str">
        <f>IF(Y105="","",IF(Y105&lt;Einstellungen!$B$14,"kritisch &lt;10 Std.",IF(Y105&lt;Einstellungen!$B$13,"prüfen &lt;11 Std.","OK")))</f>
        <v/>
      </c>
      <c r="AA105" s="33"/>
      <c r="AB105" s="33"/>
      <c r="AC105" s="40" t="str">
        <f t="shared" si="38"/>
        <v/>
      </c>
      <c r="AD105" s="40" t="str">
        <f t="shared" si="39"/>
        <v/>
      </c>
      <c r="AE105" s="41" t="str">
        <f>IF(B105="","",IF(COUNTIF($B$6:B104,B105)=0,"",_xludf.MAXIFS($AD$6:AD104,$B$6:B104,B105)))</f>
        <v/>
      </c>
    </row>
    <row r="106" spans="1:31" ht="21.95" customHeight="1" x14ac:dyDescent="0.25">
      <c r="A106" s="32"/>
      <c r="B106" s="33"/>
      <c r="C106" s="34" t="str">
        <f>IFERROR(INDEX(Mitarbeiter!$B$6:$B$35,MATCH(B106,Mitarbeiter!$A$6:$A$35,0)),"")</f>
        <v/>
      </c>
      <c r="D106" s="74"/>
      <c r="E106" s="34" t="str">
        <f t="shared" si="30"/>
        <v/>
      </c>
      <c r="F106" s="33"/>
      <c r="G106" s="33"/>
      <c r="H106" s="35"/>
      <c r="I106" s="35"/>
      <c r="J106" s="33"/>
      <c r="K106" s="36" t="str">
        <f>IF(L106="","",IF(L106&gt;9,Einstellungen!$B$10,IF(L106&gt;6,Einstellungen!$B$9,0)))</f>
        <v/>
      </c>
      <c r="L106" s="37" t="str">
        <f t="shared" si="31"/>
        <v/>
      </c>
      <c r="M106" s="37" t="str">
        <f t="shared" si="32"/>
        <v/>
      </c>
      <c r="N106" s="37" t="str">
        <f>IF(OR(D106="",H106="",I106=""),"",ROUND((MAX(0,MIN(AD106,D106+1+Einstellungen!$B$8)-MAX(AC106,D106+Einstellungen!$B$7))*24)+(MAX(0,MIN(AD106,D106+Einstellungen!$B$8)-MAX(AC106,D106-1+Einstellungen!$B$7))*24),2))</f>
        <v/>
      </c>
      <c r="O106" s="37" t="str">
        <f t="shared" si="33"/>
        <v/>
      </c>
      <c r="P106" s="37" t="str">
        <f>IF(OR(D106="",H106="",I106=""),"",ROUND(IF(COUNTIF(Einstellungen!$A$21:$A$45,D106)&gt;0,MAX(0,MIN(AD106,D106+1)-MAX(AC106,D106))*24,0)+IF(AD106&gt;D106+1,IF(COUNTIF(Einstellungen!$A$21:$A$45,D106+1)&gt;0,MAX(0,MIN(AD106,D106+2)-MAX(AC106,D106+1))*24,0),0),2))</f>
        <v/>
      </c>
      <c r="Q106" s="34" t="str">
        <f>IF(D106="","",TRIM(IFERROR(VLOOKUP(D106,Einstellungen!$A$21:$B$45,2,FALSE)&amp;" ","")&amp;IF(I106&lt;=H106,IFERROR(VLOOKUP(D106+1,Einstellungen!$A$21:$B$45,2,FALSE),""),"")))</f>
        <v/>
      </c>
      <c r="R106" s="38" t="str">
        <f>IFERROR(INDEX(Mitarbeiter!$G$6:$G$35,MATCH(B106,Mitarbeiter!$A$6:$A$35,0)),"")</f>
        <v/>
      </c>
      <c r="S106" s="38" t="str">
        <f t="shared" si="34"/>
        <v/>
      </c>
      <c r="T106" s="38" t="str">
        <f>IF(M106="","",ROUND(((N106*Einstellungen!$B$15)+(O106*Einstellungen!$B$16)+(P106*Einstellungen!$B$17))*R106,2))</f>
        <v/>
      </c>
      <c r="U106" s="39"/>
      <c r="V106" s="38" t="str">
        <f t="shared" si="35"/>
        <v/>
      </c>
      <c r="W106" s="34" t="str">
        <f t="shared" si="36"/>
        <v/>
      </c>
      <c r="X106" s="34" t="str">
        <f>IF(M106="","",IF(M106&gt;Einstellungen!$B$12,"kritisch &gt;10 Std.",IF(M106&gt;Einstellungen!$B$11,"prüfen &gt;8 Std.","OK")))</f>
        <v/>
      </c>
      <c r="Y106" s="37" t="str">
        <f t="shared" si="37"/>
        <v/>
      </c>
      <c r="Z106" s="34" t="str">
        <f>IF(Y106="","",IF(Y106&lt;Einstellungen!$B$14,"kritisch &lt;10 Std.",IF(Y106&lt;Einstellungen!$B$13,"prüfen &lt;11 Std.","OK")))</f>
        <v/>
      </c>
      <c r="AA106" s="33"/>
      <c r="AB106" s="33"/>
      <c r="AC106" s="40" t="str">
        <f t="shared" si="38"/>
        <v/>
      </c>
      <c r="AD106" s="40" t="str">
        <f t="shared" si="39"/>
        <v/>
      </c>
      <c r="AE106" s="41" t="str">
        <f>IF(B106="","",IF(COUNTIF($B$6:B105,B106)=0,"",_xludf.MAXIFS($AD$6:AD105,$B$6:B105,B106)))</f>
        <v/>
      </c>
    </row>
    <row r="107" spans="1:31" ht="21.95" customHeight="1" x14ac:dyDescent="0.25">
      <c r="A107" s="32"/>
      <c r="B107" s="33"/>
      <c r="C107" s="34" t="str">
        <f>IFERROR(INDEX(Mitarbeiter!$B$6:$B$35,MATCH(B107,Mitarbeiter!$A$6:$A$35,0)),"")</f>
        <v/>
      </c>
      <c r="D107" s="74"/>
      <c r="E107" s="34" t="str">
        <f t="shared" si="30"/>
        <v/>
      </c>
      <c r="F107" s="33"/>
      <c r="G107" s="33"/>
      <c r="H107" s="35"/>
      <c r="I107" s="35"/>
      <c r="J107" s="33"/>
      <c r="K107" s="36" t="str">
        <f>IF(L107="","",IF(L107&gt;9,Einstellungen!$B$10,IF(L107&gt;6,Einstellungen!$B$9,0)))</f>
        <v/>
      </c>
      <c r="L107" s="37" t="str">
        <f t="shared" si="31"/>
        <v/>
      </c>
      <c r="M107" s="37" t="str">
        <f t="shared" si="32"/>
        <v/>
      </c>
      <c r="N107" s="37" t="str">
        <f>IF(OR(D107="",H107="",I107=""),"",ROUND((MAX(0,MIN(AD107,D107+1+Einstellungen!$B$8)-MAX(AC107,D107+Einstellungen!$B$7))*24)+(MAX(0,MIN(AD107,D107+Einstellungen!$B$8)-MAX(AC107,D107-1+Einstellungen!$B$7))*24),2))</f>
        <v/>
      </c>
      <c r="O107" s="37" t="str">
        <f t="shared" si="33"/>
        <v/>
      </c>
      <c r="P107" s="37" t="str">
        <f>IF(OR(D107="",H107="",I107=""),"",ROUND(IF(COUNTIF(Einstellungen!$A$21:$A$45,D107)&gt;0,MAX(0,MIN(AD107,D107+1)-MAX(AC107,D107))*24,0)+IF(AD107&gt;D107+1,IF(COUNTIF(Einstellungen!$A$21:$A$45,D107+1)&gt;0,MAX(0,MIN(AD107,D107+2)-MAX(AC107,D107+1))*24,0),0),2))</f>
        <v/>
      </c>
      <c r="Q107" s="34" t="str">
        <f>IF(D107="","",TRIM(IFERROR(VLOOKUP(D107,Einstellungen!$A$21:$B$45,2,FALSE)&amp;" ","")&amp;IF(I107&lt;=H107,IFERROR(VLOOKUP(D107+1,Einstellungen!$A$21:$B$45,2,FALSE),""),"")))</f>
        <v/>
      </c>
      <c r="R107" s="38" t="str">
        <f>IFERROR(INDEX(Mitarbeiter!$G$6:$G$35,MATCH(B107,Mitarbeiter!$A$6:$A$35,0)),"")</f>
        <v/>
      </c>
      <c r="S107" s="38" t="str">
        <f t="shared" si="34"/>
        <v/>
      </c>
      <c r="T107" s="38" t="str">
        <f>IF(M107="","",ROUND(((N107*Einstellungen!$B$15)+(O107*Einstellungen!$B$16)+(P107*Einstellungen!$B$17))*R107,2))</f>
        <v/>
      </c>
      <c r="U107" s="39"/>
      <c r="V107" s="38" t="str">
        <f t="shared" si="35"/>
        <v/>
      </c>
      <c r="W107" s="34" t="str">
        <f t="shared" si="36"/>
        <v/>
      </c>
      <c r="X107" s="34" t="str">
        <f>IF(M107="","",IF(M107&gt;Einstellungen!$B$12,"kritisch &gt;10 Std.",IF(M107&gt;Einstellungen!$B$11,"prüfen &gt;8 Std.","OK")))</f>
        <v/>
      </c>
      <c r="Y107" s="37" t="str">
        <f t="shared" si="37"/>
        <v/>
      </c>
      <c r="Z107" s="34" t="str">
        <f>IF(Y107="","",IF(Y107&lt;Einstellungen!$B$14,"kritisch &lt;10 Std.",IF(Y107&lt;Einstellungen!$B$13,"prüfen &lt;11 Std.","OK")))</f>
        <v/>
      </c>
      <c r="AA107" s="33"/>
      <c r="AB107" s="33"/>
      <c r="AC107" s="40" t="str">
        <f t="shared" si="38"/>
        <v/>
      </c>
      <c r="AD107" s="40" t="str">
        <f t="shared" si="39"/>
        <v/>
      </c>
      <c r="AE107" s="41" t="str">
        <f>IF(B107="","",IF(COUNTIF($B$6:B106,B107)=0,"",_xludf.MAXIFS($AD$6:AD106,$B$6:B106,B107)))</f>
        <v/>
      </c>
    </row>
    <row r="108" spans="1:31" ht="21.95" customHeight="1" x14ac:dyDescent="0.25">
      <c r="A108" s="32"/>
      <c r="B108" s="33"/>
      <c r="C108" s="34" t="str">
        <f>IFERROR(INDEX(Mitarbeiter!$B$6:$B$35,MATCH(B108,Mitarbeiter!$A$6:$A$35,0)),"")</f>
        <v/>
      </c>
      <c r="D108" s="74"/>
      <c r="E108" s="34" t="str">
        <f t="shared" si="30"/>
        <v/>
      </c>
      <c r="F108" s="33"/>
      <c r="G108" s="33"/>
      <c r="H108" s="35"/>
      <c r="I108" s="35"/>
      <c r="J108" s="33"/>
      <c r="K108" s="36" t="str">
        <f>IF(L108="","",IF(L108&gt;9,Einstellungen!$B$10,IF(L108&gt;6,Einstellungen!$B$9,0)))</f>
        <v/>
      </c>
      <c r="L108" s="37" t="str">
        <f t="shared" si="31"/>
        <v/>
      </c>
      <c r="M108" s="37" t="str">
        <f t="shared" si="32"/>
        <v/>
      </c>
      <c r="N108" s="37" t="str">
        <f>IF(OR(D108="",H108="",I108=""),"",ROUND((MAX(0,MIN(AD108,D108+1+Einstellungen!$B$8)-MAX(AC108,D108+Einstellungen!$B$7))*24)+(MAX(0,MIN(AD108,D108+Einstellungen!$B$8)-MAX(AC108,D108-1+Einstellungen!$B$7))*24),2))</f>
        <v/>
      </c>
      <c r="O108" s="37" t="str">
        <f t="shared" si="33"/>
        <v/>
      </c>
      <c r="P108" s="37" t="str">
        <f>IF(OR(D108="",H108="",I108=""),"",ROUND(IF(COUNTIF(Einstellungen!$A$21:$A$45,D108)&gt;0,MAX(0,MIN(AD108,D108+1)-MAX(AC108,D108))*24,0)+IF(AD108&gt;D108+1,IF(COUNTIF(Einstellungen!$A$21:$A$45,D108+1)&gt;0,MAX(0,MIN(AD108,D108+2)-MAX(AC108,D108+1))*24,0),0),2))</f>
        <v/>
      </c>
      <c r="Q108" s="34" t="str">
        <f>IF(D108="","",TRIM(IFERROR(VLOOKUP(D108,Einstellungen!$A$21:$B$45,2,FALSE)&amp;" ","")&amp;IF(I108&lt;=H108,IFERROR(VLOOKUP(D108+1,Einstellungen!$A$21:$B$45,2,FALSE),""),"")))</f>
        <v/>
      </c>
      <c r="R108" s="38" t="str">
        <f>IFERROR(INDEX(Mitarbeiter!$G$6:$G$35,MATCH(B108,Mitarbeiter!$A$6:$A$35,0)),"")</f>
        <v/>
      </c>
      <c r="S108" s="38" t="str">
        <f t="shared" si="34"/>
        <v/>
      </c>
      <c r="T108" s="38" t="str">
        <f>IF(M108="","",ROUND(((N108*Einstellungen!$B$15)+(O108*Einstellungen!$B$16)+(P108*Einstellungen!$B$17))*R108,2))</f>
        <v/>
      </c>
      <c r="U108" s="39"/>
      <c r="V108" s="38" t="str">
        <f t="shared" si="35"/>
        <v/>
      </c>
      <c r="W108" s="34" t="str">
        <f t="shared" si="36"/>
        <v/>
      </c>
      <c r="X108" s="34" t="str">
        <f>IF(M108="","",IF(M108&gt;Einstellungen!$B$12,"kritisch &gt;10 Std.",IF(M108&gt;Einstellungen!$B$11,"prüfen &gt;8 Std.","OK")))</f>
        <v/>
      </c>
      <c r="Y108" s="37" t="str">
        <f t="shared" si="37"/>
        <v/>
      </c>
      <c r="Z108" s="34" t="str">
        <f>IF(Y108="","",IF(Y108&lt;Einstellungen!$B$14,"kritisch &lt;10 Std.",IF(Y108&lt;Einstellungen!$B$13,"prüfen &lt;11 Std.","OK")))</f>
        <v/>
      </c>
      <c r="AA108" s="33"/>
      <c r="AB108" s="33"/>
      <c r="AC108" s="40" t="str">
        <f t="shared" si="38"/>
        <v/>
      </c>
      <c r="AD108" s="40" t="str">
        <f t="shared" si="39"/>
        <v/>
      </c>
      <c r="AE108" s="41" t="str">
        <f>IF(B108="","",IF(COUNTIF($B$6:B107,B108)=0,"",_xludf.MAXIFS($AD$6:AD107,$B$6:B107,B108)))</f>
        <v/>
      </c>
    </row>
    <row r="109" spans="1:31" ht="21.95" customHeight="1" x14ac:dyDescent="0.25">
      <c r="A109" s="32"/>
      <c r="B109" s="33"/>
      <c r="C109" s="34" t="str">
        <f>IFERROR(INDEX(Mitarbeiter!$B$6:$B$35,MATCH(B109,Mitarbeiter!$A$6:$A$35,0)),"")</f>
        <v/>
      </c>
      <c r="D109" s="74"/>
      <c r="E109" s="34" t="str">
        <f t="shared" si="30"/>
        <v/>
      </c>
      <c r="F109" s="33"/>
      <c r="G109" s="33"/>
      <c r="H109" s="35"/>
      <c r="I109" s="35"/>
      <c r="J109" s="33"/>
      <c r="K109" s="36" t="str">
        <f>IF(L109="","",IF(L109&gt;9,Einstellungen!$B$10,IF(L109&gt;6,Einstellungen!$B$9,0)))</f>
        <v/>
      </c>
      <c r="L109" s="37" t="str">
        <f t="shared" si="31"/>
        <v/>
      </c>
      <c r="M109" s="37" t="str">
        <f t="shared" si="32"/>
        <v/>
      </c>
      <c r="N109" s="37" t="str">
        <f>IF(OR(D109="",H109="",I109=""),"",ROUND((MAX(0,MIN(AD109,D109+1+Einstellungen!$B$8)-MAX(AC109,D109+Einstellungen!$B$7))*24)+(MAX(0,MIN(AD109,D109+Einstellungen!$B$8)-MAX(AC109,D109-1+Einstellungen!$B$7))*24),2))</f>
        <v/>
      </c>
      <c r="O109" s="37" t="str">
        <f t="shared" si="33"/>
        <v/>
      </c>
      <c r="P109" s="37" t="str">
        <f>IF(OR(D109="",H109="",I109=""),"",ROUND(IF(COUNTIF(Einstellungen!$A$21:$A$45,D109)&gt;0,MAX(0,MIN(AD109,D109+1)-MAX(AC109,D109))*24,0)+IF(AD109&gt;D109+1,IF(COUNTIF(Einstellungen!$A$21:$A$45,D109+1)&gt;0,MAX(0,MIN(AD109,D109+2)-MAX(AC109,D109+1))*24,0),0),2))</f>
        <v/>
      </c>
      <c r="Q109" s="34" t="str">
        <f>IF(D109="","",TRIM(IFERROR(VLOOKUP(D109,Einstellungen!$A$21:$B$45,2,FALSE)&amp;" ","")&amp;IF(I109&lt;=H109,IFERROR(VLOOKUP(D109+1,Einstellungen!$A$21:$B$45,2,FALSE),""),"")))</f>
        <v/>
      </c>
      <c r="R109" s="38" t="str">
        <f>IFERROR(INDEX(Mitarbeiter!$G$6:$G$35,MATCH(B109,Mitarbeiter!$A$6:$A$35,0)),"")</f>
        <v/>
      </c>
      <c r="S109" s="38" t="str">
        <f t="shared" si="34"/>
        <v/>
      </c>
      <c r="T109" s="38" t="str">
        <f>IF(M109="","",ROUND(((N109*Einstellungen!$B$15)+(O109*Einstellungen!$B$16)+(P109*Einstellungen!$B$17))*R109,2))</f>
        <v/>
      </c>
      <c r="U109" s="39"/>
      <c r="V109" s="38" t="str">
        <f t="shared" si="35"/>
        <v/>
      </c>
      <c r="W109" s="34" t="str">
        <f t="shared" si="36"/>
        <v/>
      </c>
      <c r="X109" s="34" t="str">
        <f>IF(M109="","",IF(M109&gt;Einstellungen!$B$12,"kritisch &gt;10 Std.",IF(M109&gt;Einstellungen!$B$11,"prüfen &gt;8 Std.","OK")))</f>
        <v/>
      </c>
      <c r="Y109" s="37" t="str">
        <f t="shared" si="37"/>
        <v/>
      </c>
      <c r="Z109" s="34" t="str">
        <f>IF(Y109="","",IF(Y109&lt;Einstellungen!$B$14,"kritisch &lt;10 Std.",IF(Y109&lt;Einstellungen!$B$13,"prüfen &lt;11 Std.","OK")))</f>
        <v/>
      </c>
      <c r="AA109" s="33"/>
      <c r="AB109" s="33"/>
      <c r="AC109" s="40" t="str">
        <f t="shared" si="38"/>
        <v/>
      </c>
      <c r="AD109" s="40" t="str">
        <f t="shared" si="39"/>
        <v/>
      </c>
      <c r="AE109" s="41" t="str">
        <f>IF(B109="","",IF(COUNTIF($B$6:B108,B109)=0,"",_xludf.MAXIFS($AD$6:AD108,$B$6:B108,B109)))</f>
        <v/>
      </c>
    </row>
    <row r="110" spans="1:31" ht="21.95" customHeight="1" x14ac:dyDescent="0.25">
      <c r="A110" s="32"/>
      <c r="B110" s="33"/>
      <c r="C110" s="34" t="str">
        <f>IFERROR(INDEX(Mitarbeiter!$B$6:$B$35,MATCH(B110,Mitarbeiter!$A$6:$A$35,0)),"")</f>
        <v/>
      </c>
      <c r="D110" s="74"/>
      <c r="E110" s="34" t="str">
        <f t="shared" si="30"/>
        <v/>
      </c>
      <c r="F110" s="33"/>
      <c r="G110" s="33"/>
      <c r="H110" s="35"/>
      <c r="I110" s="35"/>
      <c r="J110" s="33"/>
      <c r="K110" s="36" t="str">
        <f>IF(L110="","",IF(L110&gt;9,Einstellungen!$B$10,IF(L110&gt;6,Einstellungen!$B$9,0)))</f>
        <v/>
      </c>
      <c r="L110" s="37" t="str">
        <f t="shared" si="31"/>
        <v/>
      </c>
      <c r="M110" s="37" t="str">
        <f t="shared" si="32"/>
        <v/>
      </c>
      <c r="N110" s="37" t="str">
        <f>IF(OR(D110="",H110="",I110=""),"",ROUND((MAX(0,MIN(AD110,D110+1+Einstellungen!$B$8)-MAX(AC110,D110+Einstellungen!$B$7))*24)+(MAX(0,MIN(AD110,D110+Einstellungen!$B$8)-MAX(AC110,D110-1+Einstellungen!$B$7))*24),2))</f>
        <v/>
      </c>
      <c r="O110" s="37" t="str">
        <f t="shared" si="33"/>
        <v/>
      </c>
      <c r="P110" s="37" t="str">
        <f>IF(OR(D110="",H110="",I110=""),"",ROUND(IF(COUNTIF(Einstellungen!$A$21:$A$45,D110)&gt;0,MAX(0,MIN(AD110,D110+1)-MAX(AC110,D110))*24,0)+IF(AD110&gt;D110+1,IF(COUNTIF(Einstellungen!$A$21:$A$45,D110+1)&gt;0,MAX(0,MIN(AD110,D110+2)-MAX(AC110,D110+1))*24,0),0),2))</f>
        <v/>
      </c>
      <c r="Q110" s="34" t="str">
        <f>IF(D110="","",TRIM(IFERROR(VLOOKUP(D110,Einstellungen!$A$21:$B$45,2,FALSE)&amp;" ","")&amp;IF(I110&lt;=H110,IFERROR(VLOOKUP(D110+1,Einstellungen!$A$21:$B$45,2,FALSE),""),"")))</f>
        <v/>
      </c>
      <c r="R110" s="38" t="str">
        <f>IFERROR(INDEX(Mitarbeiter!$G$6:$G$35,MATCH(B110,Mitarbeiter!$A$6:$A$35,0)),"")</f>
        <v/>
      </c>
      <c r="S110" s="38" t="str">
        <f t="shared" si="34"/>
        <v/>
      </c>
      <c r="T110" s="38" t="str">
        <f>IF(M110="","",ROUND(((N110*Einstellungen!$B$15)+(O110*Einstellungen!$B$16)+(P110*Einstellungen!$B$17))*R110,2))</f>
        <v/>
      </c>
      <c r="U110" s="39"/>
      <c r="V110" s="38" t="str">
        <f t="shared" si="35"/>
        <v/>
      </c>
      <c r="W110" s="34" t="str">
        <f t="shared" si="36"/>
        <v/>
      </c>
      <c r="X110" s="34" t="str">
        <f>IF(M110="","",IF(M110&gt;Einstellungen!$B$12,"kritisch &gt;10 Std.",IF(M110&gt;Einstellungen!$B$11,"prüfen &gt;8 Std.","OK")))</f>
        <v/>
      </c>
      <c r="Y110" s="37" t="str">
        <f t="shared" si="37"/>
        <v/>
      </c>
      <c r="Z110" s="34" t="str">
        <f>IF(Y110="","",IF(Y110&lt;Einstellungen!$B$14,"kritisch &lt;10 Std.",IF(Y110&lt;Einstellungen!$B$13,"prüfen &lt;11 Std.","OK")))</f>
        <v/>
      </c>
      <c r="AA110" s="33"/>
      <c r="AB110" s="33"/>
      <c r="AC110" s="40" t="str">
        <f t="shared" si="38"/>
        <v/>
      </c>
      <c r="AD110" s="40" t="str">
        <f t="shared" si="39"/>
        <v/>
      </c>
      <c r="AE110" s="41" t="str">
        <f>IF(B110="","",IF(COUNTIF($B$6:B109,B110)=0,"",_xludf.MAXIFS($AD$6:AD109,$B$6:B109,B110)))</f>
        <v/>
      </c>
    </row>
    <row r="111" spans="1:31" ht="21.95" customHeight="1" x14ac:dyDescent="0.25">
      <c r="A111" s="32"/>
      <c r="B111" s="33"/>
      <c r="C111" s="34" t="str">
        <f>IFERROR(INDEX(Mitarbeiter!$B$6:$B$35,MATCH(B111,Mitarbeiter!$A$6:$A$35,0)),"")</f>
        <v/>
      </c>
      <c r="D111" s="74"/>
      <c r="E111" s="34" t="str">
        <f t="shared" si="30"/>
        <v/>
      </c>
      <c r="F111" s="33"/>
      <c r="G111" s="33"/>
      <c r="H111" s="35"/>
      <c r="I111" s="35"/>
      <c r="J111" s="33"/>
      <c r="K111" s="36" t="str">
        <f>IF(L111="","",IF(L111&gt;9,Einstellungen!$B$10,IF(L111&gt;6,Einstellungen!$B$9,0)))</f>
        <v/>
      </c>
      <c r="L111" s="37" t="str">
        <f t="shared" si="31"/>
        <v/>
      </c>
      <c r="M111" s="37" t="str">
        <f t="shared" si="32"/>
        <v/>
      </c>
      <c r="N111" s="37" t="str">
        <f>IF(OR(D111="",H111="",I111=""),"",ROUND((MAX(0,MIN(AD111,D111+1+Einstellungen!$B$8)-MAX(AC111,D111+Einstellungen!$B$7))*24)+(MAX(0,MIN(AD111,D111+Einstellungen!$B$8)-MAX(AC111,D111-1+Einstellungen!$B$7))*24),2))</f>
        <v/>
      </c>
      <c r="O111" s="37" t="str">
        <f t="shared" si="33"/>
        <v/>
      </c>
      <c r="P111" s="37" t="str">
        <f>IF(OR(D111="",H111="",I111=""),"",ROUND(IF(COUNTIF(Einstellungen!$A$21:$A$45,D111)&gt;0,MAX(0,MIN(AD111,D111+1)-MAX(AC111,D111))*24,0)+IF(AD111&gt;D111+1,IF(COUNTIF(Einstellungen!$A$21:$A$45,D111+1)&gt;0,MAX(0,MIN(AD111,D111+2)-MAX(AC111,D111+1))*24,0),0),2))</f>
        <v/>
      </c>
      <c r="Q111" s="34" t="str">
        <f>IF(D111="","",TRIM(IFERROR(VLOOKUP(D111,Einstellungen!$A$21:$B$45,2,FALSE)&amp;" ","")&amp;IF(I111&lt;=H111,IFERROR(VLOOKUP(D111+1,Einstellungen!$A$21:$B$45,2,FALSE),""),"")))</f>
        <v/>
      </c>
      <c r="R111" s="38" t="str">
        <f>IFERROR(INDEX(Mitarbeiter!$G$6:$G$35,MATCH(B111,Mitarbeiter!$A$6:$A$35,0)),"")</f>
        <v/>
      </c>
      <c r="S111" s="38" t="str">
        <f t="shared" si="34"/>
        <v/>
      </c>
      <c r="T111" s="38" t="str">
        <f>IF(M111="","",ROUND(((N111*Einstellungen!$B$15)+(O111*Einstellungen!$B$16)+(P111*Einstellungen!$B$17))*R111,2))</f>
        <v/>
      </c>
      <c r="U111" s="39"/>
      <c r="V111" s="38" t="str">
        <f t="shared" si="35"/>
        <v/>
      </c>
      <c r="W111" s="34" t="str">
        <f t="shared" si="36"/>
        <v/>
      </c>
      <c r="X111" s="34" t="str">
        <f>IF(M111="","",IF(M111&gt;Einstellungen!$B$12,"kritisch &gt;10 Std.",IF(M111&gt;Einstellungen!$B$11,"prüfen &gt;8 Std.","OK")))</f>
        <v/>
      </c>
      <c r="Y111" s="37" t="str">
        <f t="shared" si="37"/>
        <v/>
      </c>
      <c r="Z111" s="34" t="str">
        <f>IF(Y111="","",IF(Y111&lt;Einstellungen!$B$14,"kritisch &lt;10 Std.",IF(Y111&lt;Einstellungen!$B$13,"prüfen &lt;11 Std.","OK")))</f>
        <v/>
      </c>
      <c r="AA111" s="33"/>
      <c r="AB111" s="33"/>
      <c r="AC111" s="40" t="str">
        <f t="shared" si="38"/>
        <v/>
      </c>
      <c r="AD111" s="40" t="str">
        <f t="shared" si="39"/>
        <v/>
      </c>
      <c r="AE111" s="41" t="str">
        <f>IF(B111="","",IF(COUNTIF($B$6:B110,B111)=0,"",_xludf.MAXIFS($AD$6:AD110,$B$6:B110,B111)))</f>
        <v/>
      </c>
    </row>
    <row r="112" spans="1:31" ht="21.95" customHeight="1" x14ac:dyDescent="0.25">
      <c r="A112" s="32"/>
      <c r="B112" s="33"/>
      <c r="C112" s="34" t="str">
        <f>IFERROR(INDEX(Mitarbeiter!$B$6:$B$35,MATCH(B112,Mitarbeiter!$A$6:$A$35,0)),"")</f>
        <v/>
      </c>
      <c r="D112" s="74"/>
      <c r="E112" s="34" t="str">
        <f t="shared" si="30"/>
        <v/>
      </c>
      <c r="F112" s="33"/>
      <c r="G112" s="33"/>
      <c r="H112" s="35"/>
      <c r="I112" s="35"/>
      <c r="J112" s="33"/>
      <c r="K112" s="36" t="str">
        <f>IF(L112="","",IF(L112&gt;9,Einstellungen!$B$10,IF(L112&gt;6,Einstellungen!$B$9,0)))</f>
        <v/>
      </c>
      <c r="L112" s="37" t="str">
        <f t="shared" si="31"/>
        <v/>
      </c>
      <c r="M112" s="37" t="str">
        <f t="shared" si="32"/>
        <v/>
      </c>
      <c r="N112" s="37" t="str">
        <f>IF(OR(D112="",H112="",I112=""),"",ROUND((MAX(0,MIN(AD112,D112+1+Einstellungen!$B$8)-MAX(AC112,D112+Einstellungen!$B$7))*24)+(MAX(0,MIN(AD112,D112+Einstellungen!$B$8)-MAX(AC112,D112-1+Einstellungen!$B$7))*24),2))</f>
        <v/>
      </c>
      <c r="O112" s="37" t="str">
        <f t="shared" si="33"/>
        <v/>
      </c>
      <c r="P112" s="37" t="str">
        <f>IF(OR(D112="",H112="",I112=""),"",ROUND(IF(COUNTIF(Einstellungen!$A$21:$A$45,D112)&gt;0,MAX(0,MIN(AD112,D112+1)-MAX(AC112,D112))*24,0)+IF(AD112&gt;D112+1,IF(COUNTIF(Einstellungen!$A$21:$A$45,D112+1)&gt;0,MAX(0,MIN(AD112,D112+2)-MAX(AC112,D112+1))*24,0),0),2))</f>
        <v/>
      </c>
      <c r="Q112" s="34" t="str">
        <f>IF(D112="","",TRIM(IFERROR(VLOOKUP(D112,Einstellungen!$A$21:$B$45,2,FALSE)&amp;" ","")&amp;IF(I112&lt;=H112,IFERROR(VLOOKUP(D112+1,Einstellungen!$A$21:$B$45,2,FALSE),""),"")))</f>
        <v/>
      </c>
      <c r="R112" s="38" t="str">
        <f>IFERROR(INDEX(Mitarbeiter!$G$6:$G$35,MATCH(B112,Mitarbeiter!$A$6:$A$35,0)),"")</f>
        <v/>
      </c>
      <c r="S112" s="38" t="str">
        <f t="shared" si="34"/>
        <v/>
      </c>
      <c r="T112" s="38" t="str">
        <f>IF(M112="","",ROUND(((N112*Einstellungen!$B$15)+(O112*Einstellungen!$B$16)+(P112*Einstellungen!$B$17))*R112,2))</f>
        <v/>
      </c>
      <c r="U112" s="39"/>
      <c r="V112" s="38" t="str">
        <f t="shared" si="35"/>
        <v/>
      </c>
      <c r="W112" s="34" t="str">
        <f t="shared" si="36"/>
        <v/>
      </c>
      <c r="X112" s="34" t="str">
        <f>IF(M112="","",IF(M112&gt;Einstellungen!$B$12,"kritisch &gt;10 Std.",IF(M112&gt;Einstellungen!$B$11,"prüfen &gt;8 Std.","OK")))</f>
        <v/>
      </c>
      <c r="Y112" s="37" t="str">
        <f t="shared" si="37"/>
        <v/>
      </c>
      <c r="Z112" s="34" t="str">
        <f>IF(Y112="","",IF(Y112&lt;Einstellungen!$B$14,"kritisch &lt;10 Std.",IF(Y112&lt;Einstellungen!$B$13,"prüfen &lt;11 Std.","OK")))</f>
        <v/>
      </c>
      <c r="AA112" s="33"/>
      <c r="AB112" s="33"/>
      <c r="AC112" s="40" t="str">
        <f t="shared" si="38"/>
        <v/>
      </c>
      <c r="AD112" s="40" t="str">
        <f t="shared" si="39"/>
        <v/>
      </c>
      <c r="AE112" s="41" t="str">
        <f>IF(B112="","",IF(COUNTIF($B$6:B111,B112)=0,"",_xludf.MAXIFS($AD$6:AD111,$B$6:B111,B112)))</f>
        <v/>
      </c>
    </row>
    <row r="113" spans="1:31" ht="21.95" customHeight="1" x14ac:dyDescent="0.25">
      <c r="A113" s="32"/>
      <c r="B113" s="33"/>
      <c r="C113" s="34" t="str">
        <f>IFERROR(INDEX(Mitarbeiter!$B$6:$B$35,MATCH(B113,Mitarbeiter!$A$6:$A$35,0)),"")</f>
        <v/>
      </c>
      <c r="D113" s="74"/>
      <c r="E113" s="34" t="str">
        <f t="shared" si="30"/>
        <v/>
      </c>
      <c r="F113" s="33"/>
      <c r="G113" s="33"/>
      <c r="H113" s="35"/>
      <c r="I113" s="35"/>
      <c r="J113" s="33"/>
      <c r="K113" s="36" t="str">
        <f>IF(L113="","",IF(L113&gt;9,Einstellungen!$B$10,IF(L113&gt;6,Einstellungen!$B$9,0)))</f>
        <v/>
      </c>
      <c r="L113" s="37" t="str">
        <f t="shared" si="31"/>
        <v/>
      </c>
      <c r="M113" s="37" t="str">
        <f t="shared" si="32"/>
        <v/>
      </c>
      <c r="N113" s="37" t="str">
        <f>IF(OR(D113="",H113="",I113=""),"",ROUND((MAX(0,MIN(AD113,D113+1+Einstellungen!$B$8)-MAX(AC113,D113+Einstellungen!$B$7))*24)+(MAX(0,MIN(AD113,D113+Einstellungen!$B$8)-MAX(AC113,D113-1+Einstellungen!$B$7))*24),2))</f>
        <v/>
      </c>
      <c r="O113" s="37" t="str">
        <f t="shared" si="33"/>
        <v/>
      </c>
      <c r="P113" s="37" t="str">
        <f>IF(OR(D113="",H113="",I113=""),"",ROUND(IF(COUNTIF(Einstellungen!$A$21:$A$45,D113)&gt;0,MAX(0,MIN(AD113,D113+1)-MAX(AC113,D113))*24,0)+IF(AD113&gt;D113+1,IF(COUNTIF(Einstellungen!$A$21:$A$45,D113+1)&gt;0,MAX(0,MIN(AD113,D113+2)-MAX(AC113,D113+1))*24,0),0),2))</f>
        <v/>
      </c>
      <c r="Q113" s="34" t="str">
        <f>IF(D113="","",TRIM(IFERROR(VLOOKUP(D113,Einstellungen!$A$21:$B$45,2,FALSE)&amp;" ","")&amp;IF(I113&lt;=H113,IFERROR(VLOOKUP(D113+1,Einstellungen!$A$21:$B$45,2,FALSE),""),"")))</f>
        <v/>
      </c>
      <c r="R113" s="38" t="str">
        <f>IFERROR(INDEX(Mitarbeiter!$G$6:$G$35,MATCH(B113,Mitarbeiter!$A$6:$A$35,0)),"")</f>
        <v/>
      </c>
      <c r="S113" s="38" t="str">
        <f t="shared" si="34"/>
        <v/>
      </c>
      <c r="T113" s="38" t="str">
        <f>IF(M113="","",ROUND(((N113*Einstellungen!$B$15)+(O113*Einstellungen!$B$16)+(P113*Einstellungen!$B$17))*R113,2))</f>
        <v/>
      </c>
      <c r="U113" s="39"/>
      <c r="V113" s="38" t="str">
        <f t="shared" si="35"/>
        <v/>
      </c>
      <c r="W113" s="34" t="str">
        <f t="shared" si="36"/>
        <v/>
      </c>
      <c r="X113" s="34" t="str">
        <f>IF(M113="","",IF(M113&gt;Einstellungen!$B$12,"kritisch &gt;10 Std.",IF(M113&gt;Einstellungen!$B$11,"prüfen &gt;8 Std.","OK")))</f>
        <v/>
      </c>
      <c r="Y113" s="37" t="str">
        <f t="shared" si="37"/>
        <v/>
      </c>
      <c r="Z113" s="34" t="str">
        <f>IF(Y113="","",IF(Y113&lt;Einstellungen!$B$14,"kritisch &lt;10 Std.",IF(Y113&lt;Einstellungen!$B$13,"prüfen &lt;11 Std.","OK")))</f>
        <v/>
      </c>
      <c r="AA113" s="33"/>
      <c r="AB113" s="33"/>
      <c r="AC113" s="40" t="str">
        <f t="shared" si="38"/>
        <v/>
      </c>
      <c r="AD113" s="40" t="str">
        <f t="shared" si="39"/>
        <v/>
      </c>
      <c r="AE113" s="41" t="str">
        <f>IF(B113="","",IF(COUNTIF($B$6:B112,B113)=0,"",_xludf.MAXIFS($AD$6:AD112,$B$6:B112,B113)))</f>
        <v/>
      </c>
    </row>
    <row r="114" spans="1:31" ht="21.95" customHeight="1" x14ac:dyDescent="0.25">
      <c r="A114" s="32"/>
      <c r="B114" s="33"/>
      <c r="C114" s="34" t="str">
        <f>IFERROR(INDEX(Mitarbeiter!$B$6:$B$35,MATCH(B114,Mitarbeiter!$A$6:$A$35,0)),"")</f>
        <v/>
      </c>
      <c r="D114" s="74"/>
      <c r="E114" s="34" t="str">
        <f t="shared" si="30"/>
        <v/>
      </c>
      <c r="F114" s="33"/>
      <c r="G114" s="33"/>
      <c r="H114" s="35"/>
      <c r="I114" s="35"/>
      <c r="J114" s="33"/>
      <c r="K114" s="36" t="str">
        <f>IF(L114="","",IF(L114&gt;9,Einstellungen!$B$10,IF(L114&gt;6,Einstellungen!$B$9,0)))</f>
        <v/>
      </c>
      <c r="L114" s="37" t="str">
        <f t="shared" si="31"/>
        <v/>
      </c>
      <c r="M114" s="37" t="str">
        <f t="shared" si="32"/>
        <v/>
      </c>
      <c r="N114" s="37" t="str">
        <f>IF(OR(D114="",H114="",I114=""),"",ROUND((MAX(0,MIN(AD114,D114+1+Einstellungen!$B$8)-MAX(AC114,D114+Einstellungen!$B$7))*24)+(MAX(0,MIN(AD114,D114+Einstellungen!$B$8)-MAX(AC114,D114-1+Einstellungen!$B$7))*24),2))</f>
        <v/>
      </c>
      <c r="O114" s="37" t="str">
        <f t="shared" si="33"/>
        <v/>
      </c>
      <c r="P114" s="37" t="str">
        <f>IF(OR(D114="",H114="",I114=""),"",ROUND(IF(COUNTIF(Einstellungen!$A$21:$A$45,D114)&gt;0,MAX(0,MIN(AD114,D114+1)-MAX(AC114,D114))*24,0)+IF(AD114&gt;D114+1,IF(COUNTIF(Einstellungen!$A$21:$A$45,D114+1)&gt;0,MAX(0,MIN(AD114,D114+2)-MAX(AC114,D114+1))*24,0),0),2))</f>
        <v/>
      </c>
      <c r="Q114" s="34" t="str">
        <f>IF(D114="","",TRIM(IFERROR(VLOOKUP(D114,Einstellungen!$A$21:$B$45,2,FALSE)&amp;" ","")&amp;IF(I114&lt;=H114,IFERROR(VLOOKUP(D114+1,Einstellungen!$A$21:$B$45,2,FALSE),""),"")))</f>
        <v/>
      </c>
      <c r="R114" s="38" t="str">
        <f>IFERROR(INDEX(Mitarbeiter!$G$6:$G$35,MATCH(B114,Mitarbeiter!$A$6:$A$35,0)),"")</f>
        <v/>
      </c>
      <c r="S114" s="38" t="str">
        <f t="shared" si="34"/>
        <v/>
      </c>
      <c r="T114" s="38" t="str">
        <f>IF(M114="","",ROUND(((N114*Einstellungen!$B$15)+(O114*Einstellungen!$B$16)+(P114*Einstellungen!$B$17))*R114,2))</f>
        <v/>
      </c>
      <c r="U114" s="39"/>
      <c r="V114" s="38" t="str">
        <f t="shared" si="35"/>
        <v/>
      </c>
      <c r="W114" s="34" t="str">
        <f t="shared" si="36"/>
        <v/>
      </c>
      <c r="X114" s="34" t="str">
        <f>IF(M114="","",IF(M114&gt;Einstellungen!$B$12,"kritisch &gt;10 Std.",IF(M114&gt;Einstellungen!$B$11,"prüfen &gt;8 Std.","OK")))</f>
        <v/>
      </c>
      <c r="Y114" s="37" t="str">
        <f t="shared" si="37"/>
        <v/>
      </c>
      <c r="Z114" s="34" t="str">
        <f>IF(Y114="","",IF(Y114&lt;Einstellungen!$B$14,"kritisch &lt;10 Std.",IF(Y114&lt;Einstellungen!$B$13,"prüfen &lt;11 Std.","OK")))</f>
        <v/>
      </c>
      <c r="AA114" s="33"/>
      <c r="AB114" s="33"/>
      <c r="AC114" s="40" t="str">
        <f t="shared" si="38"/>
        <v/>
      </c>
      <c r="AD114" s="40" t="str">
        <f t="shared" si="39"/>
        <v/>
      </c>
      <c r="AE114" s="41" t="str">
        <f>IF(B114="","",IF(COUNTIF($B$6:B113,B114)=0,"",_xludf.MAXIFS($AD$6:AD113,$B$6:B113,B114)))</f>
        <v/>
      </c>
    </row>
    <row r="115" spans="1:31" ht="21.95" customHeight="1" x14ac:dyDescent="0.25">
      <c r="A115" s="32"/>
      <c r="B115" s="33"/>
      <c r="C115" s="34" t="str">
        <f>IFERROR(INDEX(Mitarbeiter!$B$6:$B$35,MATCH(B115,Mitarbeiter!$A$6:$A$35,0)),"")</f>
        <v/>
      </c>
      <c r="D115" s="74"/>
      <c r="E115" s="34" t="str">
        <f t="shared" si="30"/>
        <v/>
      </c>
      <c r="F115" s="33"/>
      <c r="G115" s="33"/>
      <c r="H115" s="35"/>
      <c r="I115" s="35"/>
      <c r="J115" s="33"/>
      <c r="K115" s="36" t="str">
        <f>IF(L115="","",IF(L115&gt;9,Einstellungen!$B$10,IF(L115&gt;6,Einstellungen!$B$9,0)))</f>
        <v/>
      </c>
      <c r="L115" s="37" t="str">
        <f t="shared" si="31"/>
        <v/>
      </c>
      <c r="M115" s="37" t="str">
        <f t="shared" si="32"/>
        <v/>
      </c>
      <c r="N115" s="37" t="str">
        <f>IF(OR(D115="",H115="",I115=""),"",ROUND((MAX(0,MIN(AD115,D115+1+Einstellungen!$B$8)-MAX(AC115,D115+Einstellungen!$B$7))*24)+(MAX(0,MIN(AD115,D115+Einstellungen!$B$8)-MAX(AC115,D115-1+Einstellungen!$B$7))*24),2))</f>
        <v/>
      </c>
      <c r="O115" s="37" t="str">
        <f t="shared" si="33"/>
        <v/>
      </c>
      <c r="P115" s="37" t="str">
        <f>IF(OR(D115="",H115="",I115=""),"",ROUND(IF(COUNTIF(Einstellungen!$A$21:$A$45,D115)&gt;0,MAX(0,MIN(AD115,D115+1)-MAX(AC115,D115))*24,0)+IF(AD115&gt;D115+1,IF(COUNTIF(Einstellungen!$A$21:$A$45,D115+1)&gt;0,MAX(0,MIN(AD115,D115+2)-MAX(AC115,D115+1))*24,0),0),2))</f>
        <v/>
      </c>
      <c r="Q115" s="34" t="str">
        <f>IF(D115="","",TRIM(IFERROR(VLOOKUP(D115,Einstellungen!$A$21:$B$45,2,FALSE)&amp;" ","")&amp;IF(I115&lt;=H115,IFERROR(VLOOKUP(D115+1,Einstellungen!$A$21:$B$45,2,FALSE),""),"")))</f>
        <v/>
      </c>
      <c r="R115" s="38" t="str">
        <f>IFERROR(INDEX(Mitarbeiter!$G$6:$G$35,MATCH(B115,Mitarbeiter!$A$6:$A$35,0)),"")</f>
        <v/>
      </c>
      <c r="S115" s="38" t="str">
        <f t="shared" si="34"/>
        <v/>
      </c>
      <c r="T115" s="38" t="str">
        <f>IF(M115="","",ROUND(((N115*Einstellungen!$B$15)+(O115*Einstellungen!$B$16)+(P115*Einstellungen!$B$17))*R115,2))</f>
        <v/>
      </c>
      <c r="U115" s="39"/>
      <c r="V115" s="38" t="str">
        <f t="shared" si="35"/>
        <v/>
      </c>
      <c r="W115" s="34" t="str">
        <f t="shared" si="36"/>
        <v/>
      </c>
      <c r="X115" s="34" t="str">
        <f>IF(M115="","",IF(M115&gt;Einstellungen!$B$12,"kritisch &gt;10 Std.",IF(M115&gt;Einstellungen!$B$11,"prüfen &gt;8 Std.","OK")))</f>
        <v/>
      </c>
      <c r="Y115" s="37" t="str">
        <f t="shared" si="37"/>
        <v/>
      </c>
      <c r="Z115" s="34" t="str">
        <f>IF(Y115="","",IF(Y115&lt;Einstellungen!$B$14,"kritisch &lt;10 Std.",IF(Y115&lt;Einstellungen!$B$13,"prüfen &lt;11 Std.","OK")))</f>
        <v/>
      </c>
      <c r="AA115" s="33"/>
      <c r="AB115" s="33"/>
      <c r="AC115" s="40" t="str">
        <f t="shared" si="38"/>
        <v/>
      </c>
      <c r="AD115" s="40" t="str">
        <f t="shared" si="39"/>
        <v/>
      </c>
      <c r="AE115" s="41" t="str">
        <f>IF(B115="","",IF(COUNTIF($B$6:B114,B115)=0,"",_xludf.MAXIFS($AD$6:AD114,$B$6:B114,B115)))</f>
        <v/>
      </c>
    </row>
    <row r="116" spans="1:31" ht="21.95" customHeight="1" x14ac:dyDescent="0.25">
      <c r="A116" s="32"/>
      <c r="B116" s="33"/>
      <c r="C116" s="34" t="str">
        <f>IFERROR(INDEX(Mitarbeiter!$B$6:$B$35,MATCH(B116,Mitarbeiter!$A$6:$A$35,0)),"")</f>
        <v/>
      </c>
      <c r="D116" s="74"/>
      <c r="E116" s="34" t="str">
        <f t="shared" si="30"/>
        <v/>
      </c>
      <c r="F116" s="33"/>
      <c r="G116" s="33"/>
      <c r="H116" s="35"/>
      <c r="I116" s="35"/>
      <c r="J116" s="33"/>
      <c r="K116" s="36" t="str">
        <f>IF(L116="","",IF(L116&gt;9,Einstellungen!$B$10,IF(L116&gt;6,Einstellungen!$B$9,0)))</f>
        <v/>
      </c>
      <c r="L116" s="37" t="str">
        <f t="shared" si="31"/>
        <v/>
      </c>
      <c r="M116" s="37" t="str">
        <f t="shared" si="32"/>
        <v/>
      </c>
      <c r="N116" s="37" t="str">
        <f>IF(OR(D116="",H116="",I116=""),"",ROUND((MAX(0,MIN(AD116,D116+1+Einstellungen!$B$8)-MAX(AC116,D116+Einstellungen!$B$7))*24)+(MAX(0,MIN(AD116,D116+Einstellungen!$B$8)-MAX(AC116,D116-1+Einstellungen!$B$7))*24),2))</f>
        <v/>
      </c>
      <c r="O116" s="37" t="str">
        <f t="shared" si="33"/>
        <v/>
      </c>
      <c r="P116" s="37" t="str">
        <f>IF(OR(D116="",H116="",I116=""),"",ROUND(IF(COUNTIF(Einstellungen!$A$21:$A$45,D116)&gt;0,MAX(0,MIN(AD116,D116+1)-MAX(AC116,D116))*24,0)+IF(AD116&gt;D116+1,IF(COUNTIF(Einstellungen!$A$21:$A$45,D116+1)&gt;0,MAX(0,MIN(AD116,D116+2)-MAX(AC116,D116+1))*24,0),0),2))</f>
        <v/>
      </c>
      <c r="Q116" s="34" t="str">
        <f>IF(D116="","",TRIM(IFERROR(VLOOKUP(D116,Einstellungen!$A$21:$B$45,2,FALSE)&amp;" ","")&amp;IF(I116&lt;=H116,IFERROR(VLOOKUP(D116+1,Einstellungen!$A$21:$B$45,2,FALSE),""),"")))</f>
        <v/>
      </c>
      <c r="R116" s="38" t="str">
        <f>IFERROR(INDEX(Mitarbeiter!$G$6:$G$35,MATCH(B116,Mitarbeiter!$A$6:$A$35,0)),"")</f>
        <v/>
      </c>
      <c r="S116" s="38" t="str">
        <f t="shared" si="34"/>
        <v/>
      </c>
      <c r="T116" s="38" t="str">
        <f>IF(M116="","",ROUND(((N116*Einstellungen!$B$15)+(O116*Einstellungen!$B$16)+(P116*Einstellungen!$B$17))*R116,2))</f>
        <v/>
      </c>
      <c r="U116" s="39"/>
      <c r="V116" s="38" t="str">
        <f t="shared" si="35"/>
        <v/>
      </c>
      <c r="W116" s="34" t="str">
        <f t="shared" si="36"/>
        <v/>
      </c>
      <c r="X116" s="34" t="str">
        <f>IF(M116="","",IF(M116&gt;Einstellungen!$B$12,"kritisch &gt;10 Std.",IF(M116&gt;Einstellungen!$B$11,"prüfen &gt;8 Std.","OK")))</f>
        <v/>
      </c>
      <c r="Y116" s="37" t="str">
        <f t="shared" si="37"/>
        <v/>
      </c>
      <c r="Z116" s="34" t="str">
        <f>IF(Y116="","",IF(Y116&lt;Einstellungen!$B$14,"kritisch &lt;10 Std.",IF(Y116&lt;Einstellungen!$B$13,"prüfen &lt;11 Std.","OK")))</f>
        <v/>
      </c>
      <c r="AA116" s="33"/>
      <c r="AB116" s="33"/>
      <c r="AC116" s="40" t="str">
        <f t="shared" si="38"/>
        <v/>
      </c>
      <c r="AD116" s="40" t="str">
        <f t="shared" si="39"/>
        <v/>
      </c>
      <c r="AE116" s="41" t="str">
        <f>IF(B116="","",IF(COUNTIF($B$6:B115,B116)=0,"",_xludf.MAXIFS($AD$6:AD115,$B$6:B115,B116)))</f>
        <v/>
      </c>
    </row>
    <row r="117" spans="1:31" ht="21.95" customHeight="1" x14ac:dyDescent="0.25">
      <c r="A117" s="32"/>
      <c r="B117" s="33"/>
      <c r="C117" s="34" t="str">
        <f>IFERROR(INDEX(Mitarbeiter!$B$6:$B$35,MATCH(B117,Mitarbeiter!$A$6:$A$35,0)),"")</f>
        <v/>
      </c>
      <c r="D117" s="74"/>
      <c r="E117" s="34" t="str">
        <f t="shared" si="30"/>
        <v/>
      </c>
      <c r="F117" s="33"/>
      <c r="G117" s="33"/>
      <c r="H117" s="35"/>
      <c r="I117" s="35"/>
      <c r="J117" s="33"/>
      <c r="K117" s="36" t="str">
        <f>IF(L117="","",IF(L117&gt;9,Einstellungen!$B$10,IF(L117&gt;6,Einstellungen!$B$9,0)))</f>
        <v/>
      </c>
      <c r="L117" s="37" t="str">
        <f t="shared" si="31"/>
        <v/>
      </c>
      <c r="M117" s="37" t="str">
        <f t="shared" si="32"/>
        <v/>
      </c>
      <c r="N117" s="37" t="str">
        <f>IF(OR(D117="",H117="",I117=""),"",ROUND((MAX(0,MIN(AD117,D117+1+Einstellungen!$B$8)-MAX(AC117,D117+Einstellungen!$B$7))*24)+(MAX(0,MIN(AD117,D117+Einstellungen!$B$8)-MAX(AC117,D117-1+Einstellungen!$B$7))*24),2))</f>
        <v/>
      </c>
      <c r="O117" s="37" t="str">
        <f t="shared" si="33"/>
        <v/>
      </c>
      <c r="P117" s="37" t="str">
        <f>IF(OR(D117="",H117="",I117=""),"",ROUND(IF(COUNTIF(Einstellungen!$A$21:$A$45,D117)&gt;0,MAX(0,MIN(AD117,D117+1)-MAX(AC117,D117))*24,0)+IF(AD117&gt;D117+1,IF(COUNTIF(Einstellungen!$A$21:$A$45,D117+1)&gt;0,MAX(0,MIN(AD117,D117+2)-MAX(AC117,D117+1))*24,0),0),2))</f>
        <v/>
      </c>
      <c r="Q117" s="34" t="str">
        <f>IF(D117="","",TRIM(IFERROR(VLOOKUP(D117,Einstellungen!$A$21:$B$45,2,FALSE)&amp;" ","")&amp;IF(I117&lt;=H117,IFERROR(VLOOKUP(D117+1,Einstellungen!$A$21:$B$45,2,FALSE),""),"")))</f>
        <v/>
      </c>
      <c r="R117" s="38" t="str">
        <f>IFERROR(INDEX(Mitarbeiter!$G$6:$G$35,MATCH(B117,Mitarbeiter!$A$6:$A$35,0)),"")</f>
        <v/>
      </c>
      <c r="S117" s="38" t="str">
        <f t="shared" si="34"/>
        <v/>
      </c>
      <c r="T117" s="38" t="str">
        <f>IF(M117="","",ROUND(((N117*Einstellungen!$B$15)+(O117*Einstellungen!$B$16)+(P117*Einstellungen!$B$17))*R117,2))</f>
        <v/>
      </c>
      <c r="U117" s="39"/>
      <c r="V117" s="38" t="str">
        <f t="shared" si="35"/>
        <v/>
      </c>
      <c r="W117" s="34" t="str">
        <f t="shared" si="36"/>
        <v/>
      </c>
      <c r="X117" s="34" t="str">
        <f>IF(M117="","",IF(M117&gt;Einstellungen!$B$12,"kritisch &gt;10 Std.",IF(M117&gt;Einstellungen!$B$11,"prüfen &gt;8 Std.","OK")))</f>
        <v/>
      </c>
      <c r="Y117" s="37" t="str">
        <f t="shared" si="37"/>
        <v/>
      </c>
      <c r="Z117" s="34" t="str">
        <f>IF(Y117="","",IF(Y117&lt;Einstellungen!$B$14,"kritisch &lt;10 Std.",IF(Y117&lt;Einstellungen!$B$13,"prüfen &lt;11 Std.","OK")))</f>
        <v/>
      </c>
      <c r="AA117" s="33"/>
      <c r="AB117" s="33"/>
      <c r="AC117" s="40" t="str">
        <f t="shared" si="38"/>
        <v/>
      </c>
      <c r="AD117" s="40" t="str">
        <f t="shared" si="39"/>
        <v/>
      </c>
      <c r="AE117" s="41" t="str">
        <f>IF(B117="","",IF(COUNTIF($B$6:B116,B117)=0,"",_xludf.MAXIFS($AD$6:AD116,$B$6:B116,B117)))</f>
        <v/>
      </c>
    </row>
    <row r="118" spans="1:31" ht="21.95" customHeight="1" x14ac:dyDescent="0.25">
      <c r="A118" s="32"/>
      <c r="B118" s="33"/>
      <c r="C118" s="34" t="str">
        <f>IFERROR(INDEX(Mitarbeiter!$B$6:$B$35,MATCH(B118,Mitarbeiter!$A$6:$A$35,0)),"")</f>
        <v/>
      </c>
      <c r="D118" s="74"/>
      <c r="E118" s="34" t="str">
        <f t="shared" si="30"/>
        <v/>
      </c>
      <c r="F118" s="33"/>
      <c r="G118" s="33"/>
      <c r="H118" s="35"/>
      <c r="I118" s="35"/>
      <c r="J118" s="33"/>
      <c r="K118" s="36" t="str">
        <f>IF(L118="","",IF(L118&gt;9,Einstellungen!$B$10,IF(L118&gt;6,Einstellungen!$B$9,0)))</f>
        <v/>
      </c>
      <c r="L118" s="37" t="str">
        <f t="shared" si="31"/>
        <v/>
      </c>
      <c r="M118" s="37" t="str">
        <f t="shared" si="32"/>
        <v/>
      </c>
      <c r="N118" s="37" t="str">
        <f>IF(OR(D118="",H118="",I118=""),"",ROUND((MAX(0,MIN(AD118,D118+1+Einstellungen!$B$8)-MAX(AC118,D118+Einstellungen!$B$7))*24)+(MAX(0,MIN(AD118,D118+Einstellungen!$B$8)-MAX(AC118,D118-1+Einstellungen!$B$7))*24),2))</f>
        <v/>
      </c>
      <c r="O118" s="37" t="str">
        <f t="shared" si="33"/>
        <v/>
      </c>
      <c r="P118" s="37" t="str">
        <f>IF(OR(D118="",H118="",I118=""),"",ROUND(IF(COUNTIF(Einstellungen!$A$21:$A$45,D118)&gt;0,MAX(0,MIN(AD118,D118+1)-MAX(AC118,D118))*24,0)+IF(AD118&gt;D118+1,IF(COUNTIF(Einstellungen!$A$21:$A$45,D118+1)&gt;0,MAX(0,MIN(AD118,D118+2)-MAX(AC118,D118+1))*24,0),0),2))</f>
        <v/>
      </c>
      <c r="Q118" s="34" t="str">
        <f>IF(D118="","",TRIM(IFERROR(VLOOKUP(D118,Einstellungen!$A$21:$B$45,2,FALSE)&amp;" ","")&amp;IF(I118&lt;=H118,IFERROR(VLOOKUP(D118+1,Einstellungen!$A$21:$B$45,2,FALSE),""),"")))</f>
        <v/>
      </c>
      <c r="R118" s="38" t="str">
        <f>IFERROR(INDEX(Mitarbeiter!$G$6:$G$35,MATCH(B118,Mitarbeiter!$A$6:$A$35,0)),"")</f>
        <v/>
      </c>
      <c r="S118" s="38" t="str">
        <f t="shared" si="34"/>
        <v/>
      </c>
      <c r="T118" s="38" t="str">
        <f>IF(M118="","",ROUND(((N118*Einstellungen!$B$15)+(O118*Einstellungen!$B$16)+(P118*Einstellungen!$B$17))*R118,2))</f>
        <v/>
      </c>
      <c r="U118" s="39"/>
      <c r="V118" s="38" t="str">
        <f t="shared" si="35"/>
        <v/>
      </c>
      <c r="W118" s="34" t="str">
        <f t="shared" si="36"/>
        <v/>
      </c>
      <c r="X118" s="34" t="str">
        <f>IF(M118="","",IF(M118&gt;Einstellungen!$B$12,"kritisch &gt;10 Std.",IF(M118&gt;Einstellungen!$B$11,"prüfen &gt;8 Std.","OK")))</f>
        <v/>
      </c>
      <c r="Y118" s="37" t="str">
        <f t="shared" si="37"/>
        <v/>
      </c>
      <c r="Z118" s="34" t="str">
        <f>IF(Y118="","",IF(Y118&lt;Einstellungen!$B$14,"kritisch &lt;10 Std.",IF(Y118&lt;Einstellungen!$B$13,"prüfen &lt;11 Std.","OK")))</f>
        <v/>
      </c>
      <c r="AA118" s="33"/>
      <c r="AB118" s="33"/>
      <c r="AC118" s="40" t="str">
        <f t="shared" si="38"/>
        <v/>
      </c>
      <c r="AD118" s="40" t="str">
        <f t="shared" si="39"/>
        <v/>
      </c>
      <c r="AE118" s="41" t="str">
        <f>IF(B118="","",IF(COUNTIF($B$6:B117,B118)=0,"",_xludf.MAXIFS($AD$6:AD117,$B$6:B117,B118)))</f>
        <v/>
      </c>
    </row>
    <row r="119" spans="1:31" ht="21.95" customHeight="1" x14ac:dyDescent="0.25">
      <c r="A119" s="32"/>
      <c r="B119" s="33"/>
      <c r="C119" s="34" t="str">
        <f>IFERROR(INDEX(Mitarbeiter!$B$6:$B$35,MATCH(B119,Mitarbeiter!$A$6:$A$35,0)),"")</f>
        <v/>
      </c>
      <c r="D119" s="74"/>
      <c r="E119" s="34" t="str">
        <f t="shared" si="30"/>
        <v/>
      </c>
      <c r="F119" s="33"/>
      <c r="G119" s="33"/>
      <c r="H119" s="35"/>
      <c r="I119" s="35"/>
      <c r="J119" s="33"/>
      <c r="K119" s="36" t="str">
        <f>IF(L119="","",IF(L119&gt;9,Einstellungen!$B$10,IF(L119&gt;6,Einstellungen!$B$9,0)))</f>
        <v/>
      </c>
      <c r="L119" s="37" t="str">
        <f t="shared" si="31"/>
        <v/>
      </c>
      <c r="M119" s="37" t="str">
        <f t="shared" si="32"/>
        <v/>
      </c>
      <c r="N119" s="37" t="str">
        <f>IF(OR(D119="",H119="",I119=""),"",ROUND((MAX(0,MIN(AD119,D119+1+Einstellungen!$B$8)-MAX(AC119,D119+Einstellungen!$B$7))*24)+(MAX(0,MIN(AD119,D119+Einstellungen!$B$8)-MAX(AC119,D119-1+Einstellungen!$B$7))*24),2))</f>
        <v/>
      </c>
      <c r="O119" s="37" t="str">
        <f t="shared" si="33"/>
        <v/>
      </c>
      <c r="P119" s="37" t="str">
        <f>IF(OR(D119="",H119="",I119=""),"",ROUND(IF(COUNTIF(Einstellungen!$A$21:$A$45,D119)&gt;0,MAX(0,MIN(AD119,D119+1)-MAX(AC119,D119))*24,0)+IF(AD119&gt;D119+1,IF(COUNTIF(Einstellungen!$A$21:$A$45,D119+1)&gt;0,MAX(0,MIN(AD119,D119+2)-MAX(AC119,D119+1))*24,0),0),2))</f>
        <v/>
      </c>
      <c r="Q119" s="34" t="str">
        <f>IF(D119="","",TRIM(IFERROR(VLOOKUP(D119,Einstellungen!$A$21:$B$45,2,FALSE)&amp;" ","")&amp;IF(I119&lt;=H119,IFERROR(VLOOKUP(D119+1,Einstellungen!$A$21:$B$45,2,FALSE),""),"")))</f>
        <v/>
      </c>
      <c r="R119" s="38" t="str">
        <f>IFERROR(INDEX(Mitarbeiter!$G$6:$G$35,MATCH(B119,Mitarbeiter!$A$6:$A$35,0)),"")</f>
        <v/>
      </c>
      <c r="S119" s="38" t="str">
        <f t="shared" si="34"/>
        <v/>
      </c>
      <c r="T119" s="38" t="str">
        <f>IF(M119="","",ROUND(((N119*Einstellungen!$B$15)+(O119*Einstellungen!$B$16)+(P119*Einstellungen!$B$17))*R119,2))</f>
        <v/>
      </c>
      <c r="U119" s="39"/>
      <c r="V119" s="38" t="str">
        <f t="shared" si="35"/>
        <v/>
      </c>
      <c r="W119" s="34" t="str">
        <f t="shared" si="36"/>
        <v/>
      </c>
      <c r="X119" s="34" t="str">
        <f>IF(M119="","",IF(M119&gt;Einstellungen!$B$12,"kritisch &gt;10 Std.",IF(M119&gt;Einstellungen!$B$11,"prüfen &gt;8 Std.","OK")))</f>
        <v/>
      </c>
      <c r="Y119" s="37" t="str">
        <f t="shared" si="37"/>
        <v/>
      </c>
      <c r="Z119" s="34" t="str">
        <f>IF(Y119="","",IF(Y119&lt;Einstellungen!$B$14,"kritisch &lt;10 Std.",IF(Y119&lt;Einstellungen!$B$13,"prüfen &lt;11 Std.","OK")))</f>
        <v/>
      </c>
      <c r="AA119" s="33"/>
      <c r="AB119" s="33"/>
      <c r="AC119" s="40" t="str">
        <f t="shared" si="38"/>
        <v/>
      </c>
      <c r="AD119" s="40" t="str">
        <f t="shared" si="39"/>
        <v/>
      </c>
      <c r="AE119" s="41" t="str">
        <f>IF(B119="","",IF(COUNTIF($B$6:B118,B119)=0,"",_xludf.MAXIFS($AD$6:AD118,$B$6:B118,B119)))</f>
        <v/>
      </c>
    </row>
    <row r="120" spans="1:31" ht="21.95" customHeight="1" x14ac:dyDescent="0.25">
      <c r="A120" s="32"/>
      <c r="B120" s="33"/>
      <c r="C120" s="34" t="str">
        <f>IFERROR(INDEX(Mitarbeiter!$B$6:$B$35,MATCH(B120,Mitarbeiter!$A$6:$A$35,0)),"")</f>
        <v/>
      </c>
      <c r="D120" s="74"/>
      <c r="E120" s="34" t="str">
        <f t="shared" si="30"/>
        <v/>
      </c>
      <c r="F120" s="33"/>
      <c r="G120" s="33"/>
      <c r="H120" s="35"/>
      <c r="I120" s="35"/>
      <c r="J120" s="33"/>
      <c r="K120" s="36" t="str">
        <f>IF(L120="","",IF(L120&gt;9,Einstellungen!$B$10,IF(L120&gt;6,Einstellungen!$B$9,0)))</f>
        <v/>
      </c>
      <c r="L120" s="37" t="str">
        <f t="shared" si="31"/>
        <v/>
      </c>
      <c r="M120" s="37" t="str">
        <f t="shared" si="32"/>
        <v/>
      </c>
      <c r="N120" s="37" t="str">
        <f>IF(OR(D120="",H120="",I120=""),"",ROUND((MAX(0,MIN(AD120,D120+1+Einstellungen!$B$8)-MAX(AC120,D120+Einstellungen!$B$7))*24)+(MAX(0,MIN(AD120,D120+Einstellungen!$B$8)-MAX(AC120,D120-1+Einstellungen!$B$7))*24),2))</f>
        <v/>
      </c>
      <c r="O120" s="37" t="str">
        <f t="shared" si="33"/>
        <v/>
      </c>
      <c r="P120" s="37" t="str">
        <f>IF(OR(D120="",H120="",I120=""),"",ROUND(IF(COUNTIF(Einstellungen!$A$21:$A$45,D120)&gt;0,MAX(0,MIN(AD120,D120+1)-MAX(AC120,D120))*24,0)+IF(AD120&gt;D120+1,IF(COUNTIF(Einstellungen!$A$21:$A$45,D120+1)&gt;0,MAX(0,MIN(AD120,D120+2)-MAX(AC120,D120+1))*24,0),0),2))</f>
        <v/>
      </c>
      <c r="Q120" s="34" t="str">
        <f>IF(D120="","",TRIM(IFERROR(VLOOKUP(D120,Einstellungen!$A$21:$B$45,2,FALSE)&amp;" ","")&amp;IF(I120&lt;=H120,IFERROR(VLOOKUP(D120+1,Einstellungen!$A$21:$B$45,2,FALSE),""),"")))</f>
        <v/>
      </c>
      <c r="R120" s="38" t="str">
        <f>IFERROR(INDEX(Mitarbeiter!$G$6:$G$35,MATCH(B120,Mitarbeiter!$A$6:$A$35,0)),"")</f>
        <v/>
      </c>
      <c r="S120" s="38" t="str">
        <f t="shared" si="34"/>
        <v/>
      </c>
      <c r="T120" s="38" t="str">
        <f>IF(M120="","",ROUND(((N120*Einstellungen!$B$15)+(O120*Einstellungen!$B$16)+(P120*Einstellungen!$B$17))*R120,2))</f>
        <v/>
      </c>
      <c r="U120" s="39"/>
      <c r="V120" s="38" t="str">
        <f t="shared" si="35"/>
        <v/>
      </c>
      <c r="W120" s="34" t="str">
        <f t="shared" si="36"/>
        <v/>
      </c>
      <c r="X120" s="34" t="str">
        <f>IF(M120="","",IF(M120&gt;Einstellungen!$B$12,"kritisch &gt;10 Std.",IF(M120&gt;Einstellungen!$B$11,"prüfen &gt;8 Std.","OK")))</f>
        <v/>
      </c>
      <c r="Y120" s="37" t="str">
        <f t="shared" si="37"/>
        <v/>
      </c>
      <c r="Z120" s="34" t="str">
        <f>IF(Y120="","",IF(Y120&lt;Einstellungen!$B$14,"kritisch &lt;10 Std.",IF(Y120&lt;Einstellungen!$B$13,"prüfen &lt;11 Std.","OK")))</f>
        <v/>
      </c>
      <c r="AA120" s="33"/>
      <c r="AB120" s="33"/>
      <c r="AC120" s="40" t="str">
        <f t="shared" si="38"/>
        <v/>
      </c>
      <c r="AD120" s="40" t="str">
        <f t="shared" si="39"/>
        <v/>
      </c>
      <c r="AE120" s="41" t="str">
        <f>IF(B120="","",IF(COUNTIF($B$6:B119,B120)=0,"",_xludf.MAXIFS($AD$6:AD119,$B$6:B119,B120)))</f>
        <v/>
      </c>
    </row>
    <row r="121" spans="1:31" ht="21.95" customHeight="1" x14ac:dyDescent="0.25">
      <c r="A121" s="32"/>
      <c r="B121" s="33"/>
      <c r="C121" s="34" t="str">
        <f>IFERROR(INDEX(Mitarbeiter!$B$6:$B$35,MATCH(B121,Mitarbeiter!$A$6:$A$35,0)),"")</f>
        <v/>
      </c>
      <c r="D121" s="74"/>
      <c r="E121" s="34" t="str">
        <f t="shared" si="30"/>
        <v/>
      </c>
      <c r="F121" s="33"/>
      <c r="G121" s="33"/>
      <c r="H121" s="35"/>
      <c r="I121" s="35"/>
      <c r="J121" s="33"/>
      <c r="K121" s="36" t="str">
        <f>IF(L121="","",IF(L121&gt;9,Einstellungen!$B$10,IF(L121&gt;6,Einstellungen!$B$9,0)))</f>
        <v/>
      </c>
      <c r="L121" s="37" t="str">
        <f t="shared" si="31"/>
        <v/>
      </c>
      <c r="M121" s="37" t="str">
        <f t="shared" si="32"/>
        <v/>
      </c>
      <c r="N121" s="37" t="str">
        <f>IF(OR(D121="",H121="",I121=""),"",ROUND((MAX(0,MIN(AD121,D121+1+Einstellungen!$B$8)-MAX(AC121,D121+Einstellungen!$B$7))*24)+(MAX(0,MIN(AD121,D121+Einstellungen!$B$8)-MAX(AC121,D121-1+Einstellungen!$B$7))*24),2))</f>
        <v/>
      </c>
      <c r="O121" s="37" t="str">
        <f t="shared" si="33"/>
        <v/>
      </c>
      <c r="P121" s="37" t="str">
        <f>IF(OR(D121="",H121="",I121=""),"",ROUND(IF(COUNTIF(Einstellungen!$A$21:$A$45,D121)&gt;0,MAX(0,MIN(AD121,D121+1)-MAX(AC121,D121))*24,0)+IF(AD121&gt;D121+1,IF(COUNTIF(Einstellungen!$A$21:$A$45,D121+1)&gt;0,MAX(0,MIN(AD121,D121+2)-MAX(AC121,D121+1))*24,0),0),2))</f>
        <v/>
      </c>
      <c r="Q121" s="34" t="str">
        <f>IF(D121="","",TRIM(IFERROR(VLOOKUP(D121,Einstellungen!$A$21:$B$45,2,FALSE)&amp;" ","")&amp;IF(I121&lt;=H121,IFERROR(VLOOKUP(D121+1,Einstellungen!$A$21:$B$45,2,FALSE),""),"")))</f>
        <v/>
      </c>
      <c r="R121" s="38" t="str">
        <f>IFERROR(INDEX(Mitarbeiter!$G$6:$G$35,MATCH(B121,Mitarbeiter!$A$6:$A$35,0)),"")</f>
        <v/>
      </c>
      <c r="S121" s="38" t="str">
        <f t="shared" si="34"/>
        <v/>
      </c>
      <c r="T121" s="38" t="str">
        <f>IF(M121="","",ROUND(((N121*Einstellungen!$B$15)+(O121*Einstellungen!$B$16)+(P121*Einstellungen!$B$17))*R121,2))</f>
        <v/>
      </c>
      <c r="U121" s="39"/>
      <c r="V121" s="38" t="str">
        <f t="shared" si="35"/>
        <v/>
      </c>
      <c r="W121" s="34" t="str">
        <f t="shared" si="36"/>
        <v/>
      </c>
      <c r="X121" s="34" t="str">
        <f>IF(M121="","",IF(M121&gt;Einstellungen!$B$12,"kritisch &gt;10 Std.",IF(M121&gt;Einstellungen!$B$11,"prüfen &gt;8 Std.","OK")))</f>
        <v/>
      </c>
      <c r="Y121" s="37" t="str">
        <f t="shared" si="37"/>
        <v/>
      </c>
      <c r="Z121" s="34" t="str">
        <f>IF(Y121="","",IF(Y121&lt;Einstellungen!$B$14,"kritisch &lt;10 Std.",IF(Y121&lt;Einstellungen!$B$13,"prüfen &lt;11 Std.","OK")))</f>
        <v/>
      </c>
      <c r="AA121" s="33"/>
      <c r="AB121" s="33"/>
      <c r="AC121" s="40" t="str">
        <f t="shared" si="38"/>
        <v/>
      </c>
      <c r="AD121" s="40" t="str">
        <f t="shared" si="39"/>
        <v/>
      </c>
      <c r="AE121" s="41" t="str">
        <f>IF(B121="","",IF(COUNTIF($B$6:B120,B121)=0,"",_xludf.MAXIFS($AD$6:AD120,$B$6:B120,B121)))</f>
        <v/>
      </c>
    </row>
    <row r="122" spans="1:31" ht="21.95" customHeight="1" x14ac:dyDescent="0.25">
      <c r="A122" s="32"/>
      <c r="B122" s="33"/>
      <c r="C122" s="34" t="str">
        <f>IFERROR(INDEX(Mitarbeiter!$B$6:$B$35,MATCH(B122,Mitarbeiter!$A$6:$A$35,0)),"")</f>
        <v/>
      </c>
      <c r="D122" s="74"/>
      <c r="E122" s="34" t="str">
        <f t="shared" si="30"/>
        <v/>
      </c>
      <c r="F122" s="33"/>
      <c r="G122" s="33"/>
      <c r="H122" s="35"/>
      <c r="I122" s="35"/>
      <c r="J122" s="33"/>
      <c r="K122" s="36" t="str">
        <f>IF(L122="","",IF(L122&gt;9,Einstellungen!$B$10,IF(L122&gt;6,Einstellungen!$B$9,0)))</f>
        <v/>
      </c>
      <c r="L122" s="37" t="str">
        <f t="shared" si="31"/>
        <v/>
      </c>
      <c r="M122" s="37" t="str">
        <f t="shared" si="32"/>
        <v/>
      </c>
      <c r="N122" s="37" t="str">
        <f>IF(OR(D122="",H122="",I122=""),"",ROUND((MAX(0,MIN(AD122,D122+1+Einstellungen!$B$8)-MAX(AC122,D122+Einstellungen!$B$7))*24)+(MAX(0,MIN(AD122,D122+Einstellungen!$B$8)-MAX(AC122,D122-1+Einstellungen!$B$7))*24),2))</f>
        <v/>
      </c>
      <c r="O122" s="37" t="str">
        <f t="shared" si="33"/>
        <v/>
      </c>
      <c r="P122" s="37" t="str">
        <f>IF(OR(D122="",H122="",I122=""),"",ROUND(IF(COUNTIF(Einstellungen!$A$21:$A$45,D122)&gt;0,MAX(0,MIN(AD122,D122+1)-MAX(AC122,D122))*24,0)+IF(AD122&gt;D122+1,IF(COUNTIF(Einstellungen!$A$21:$A$45,D122+1)&gt;0,MAX(0,MIN(AD122,D122+2)-MAX(AC122,D122+1))*24,0),0),2))</f>
        <v/>
      </c>
      <c r="Q122" s="34" t="str">
        <f>IF(D122="","",TRIM(IFERROR(VLOOKUP(D122,Einstellungen!$A$21:$B$45,2,FALSE)&amp;" ","")&amp;IF(I122&lt;=H122,IFERROR(VLOOKUP(D122+1,Einstellungen!$A$21:$B$45,2,FALSE),""),"")))</f>
        <v/>
      </c>
      <c r="R122" s="38" t="str">
        <f>IFERROR(INDEX(Mitarbeiter!$G$6:$G$35,MATCH(B122,Mitarbeiter!$A$6:$A$35,0)),"")</f>
        <v/>
      </c>
      <c r="S122" s="38" t="str">
        <f t="shared" si="34"/>
        <v/>
      </c>
      <c r="T122" s="38" t="str">
        <f>IF(M122="","",ROUND(((N122*Einstellungen!$B$15)+(O122*Einstellungen!$B$16)+(P122*Einstellungen!$B$17))*R122,2))</f>
        <v/>
      </c>
      <c r="U122" s="39"/>
      <c r="V122" s="38" t="str">
        <f t="shared" si="35"/>
        <v/>
      </c>
      <c r="W122" s="34" t="str">
        <f t="shared" si="36"/>
        <v/>
      </c>
      <c r="X122" s="34" t="str">
        <f>IF(M122="","",IF(M122&gt;Einstellungen!$B$12,"kritisch &gt;10 Std.",IF(M122&gt;Einstellungen!$B$11,"prüfen &gt;8 Std.","OK")))</f>
        <v/>
      </c>
      <c r="Y122" s="37" t="str">
        <f t="shared" si="37"/>
        <v/>
      </c>
      <c r="Z122" s="34" t="str">
        <f>IF(Y122="","",IF(Y122&lt;Einstellungen!$B$14,"kritisch &lt;10 Std.",IF(Y122&lt;Einstellungen!$B$13,"prüfen &lt;11 Std.","OK")))</f>
        <v/>
      </c>
      <c r="AA122" s="33"/>
      <c r="AB122" s="33"/>
      <c r="AC122" s="40" t="str">
        <f t="shared" si="38"/>
        <v/>
      </c>
      <c r="AD122" s="40" t="str">
        <f t="shared" si="39"/>
        <v/>
      </c>
      <c r="AE122" s="41" t="str">
        <f>IF(B122="","",IF(COUNTIF($B$6:B121,B122)=0,"",_xludf.MAXIFS($AD$6:AD121,$B$6:B121,B122)))</f>
        <v/>
      </c>
    </row>
    <row r="123" spans="1:31" ht="21.95" customHeight="1" x14ac:dyDescent="0.25">
      <c r="A123" s="32"/>
      <c r="B123" s="33"/>
      <c r="C123" s="34" t="str">
        <f>IFERROR(INDEX(Mitarbeiter!$B$6:$B$35,MATCH(B123,Mitarbeiter!$A$6:$A$35,0)),"")</f>
        <v/>
      </c>
      <c r="D123" s="74"/>
      <c r="E123" s="34" t="str">
        <f t="shared" si="30"/>
        <v/>
      </c>
      <c r="F123" s="33"/>
      <c r="G123" s="33"/>
      <c r="H123" s="35"/>
      <c r="I123" s="35"/>
      <c r="J123" s="33"/>
      <c r="K123" s="36" t="str">
        <f>IF(L123="","",IF(L123&gt;9,Einstellungen!$B$10,IF(L123&gt;6,Einstellungen!$B$9,0)))</f>
        <v/>
      </c>
      <c r="L123" s="37" t="str">
        <f t="shared" si="31"/>
        <v/>
      </c>
      <c r="M123" s="37" t="str">
        <f t="shared" si="32"/>
        <v/>
      </c>
      <c r="N123" s="37" t="str">
        <f>IF(OR(D123="",H123="",I123=""),"",ROUND((MAX(0,MIN(AD123,D123+1+Einstellungen!$B$8)-MAX(AC123,D123+Einstellungen!$B$7))*24)+(MAX(0,MIN(AD123,D123+Einstellungen!$B$8)-MAX(AC123,D123-1+Einstellungen!$B$7))*24),2))</f>
        <v/>
      </c>
      <c r="O123" s="37" t="str">
        <f t="shared" si="33"/>
        <v/>
      </c>
      <c r="P123" s="37" t="str">
        <f>IF(OR(D123="",H123="",I123=""),"",ROUND(IF(COUNTIF(Einstellungen!$A$21:$A$45,D123)&gt;0,MAX(0,MIN(AD123,D123+1)-MAX(AC123,D123))*24,0)+IF(AD123&gt;D123+1,IF(COUNTIF(Einstellungen!$A$21:$A$45,D123+1)&gt;0,MAX(0,MIN(AD123,D123+2)-MAX(AC123,D123+1))*24,0),0),2))</f>
        <v/>
      </c>
      <c r="Q123" s="34" t="str">
        <f>IF(D123="","",TRIM(IFERROR(VLOOKUP(D123,Einstellungen!$A$21:$B$45,2,FALSE)&amp;" ","")&amp;IF(I123&lt;=H123,IFERROR(VLOOKUP(D123+1,Einstellungen!$A$21:$B$45,2,FALSE),""),"")))</f>
        <v/>
      </c>
      <c r="R123" s="38" t="str">
        <f>IFERROR(INDEX(Mitarbeiter!$G$6:$G$35,MATCH(B123,Mitarbeiter!$A$6:$A$35,0)),"")</f>
        <v/>
      </c>
      <c r="S123" s="38" t="str">
        <f t="shared" si="34"/>
        <v/>
      </c>
      <c r="T123" s="38" t="str">
        <f>IF(M123="","",ROUND(((N123*Einstellungen!$B$15)+(O123*Einstellungen!$B$16)+(P123*Einstellungen!$B$17))*R123,2))</f>
        <v/>
      </c>
      <c r="U123" s="39"/>
      <c r="V123" s="38" t="str">
        <f t="shared" si="35"/>
        <v/>
      </c>
      <c r="W123" s="34" t="str">
        <f t="shared" si="36"/>
        <v/>
      </c>
      <c r="X123" s="34" t="str">
        <f>IF(M123="","",IF(M123&gt;Einstellungen!$B$12,"kritisch &gt;10 Std.",IF(M123&gt;Einstellungen!$B$11,"prüfen &gt;8 Std.","OK")))</f>
        <v/>
      </c>
      <c r="Y123" s="37" t="str">
        <f t="shared" si="37"/>
        <v/>
      </c>
      <c r="Z123" s="34" t="str">
        <f>IF(Y123="","",IF(Y123&lt;Einstellungen!$B$14,"kritisch &lt;10 Std.",IF(Y123&lt;Einstellungen!$B$13,"prüfen &lt;11 Std.","OK")))</f>
        <v/>
      </c>
      <c r="AA123" s="33"/>
      <c r="AB123" s="33"/>
      <c r="AC123" s="40" t="str">
        <f t="shared" si="38"/>
        <v/>
      </c>
      <c r="AD123" s="40" t="str">
        <f t="shared" si="39"/>
        <v/>
      </c>
      <c r="AE123" s="41" t="str">
        <f>IF(B123="","",IF(COUNTIF($B$6:B122,B123)=0,"",_xludf.MAXIFS($AD$6:AD122,$B$6:B122,B123)))</f>
        <v/>
      </c>
    </row>
    <row r="124" spans="1:31" ht="21.95" customHeight="1" x14ac:dyDescent="0.25">
      <c r="A124" s="32"/>
      <c r="B124" s="33"/>
      <c r="C124" s="34" t="str">
        <f>IFERROR(INDEX(Mitarbeiter!$B$6:$B$35,MATCH(B124,Mitarbeiter!$A$6:$A$35,0)),"")</f>
        <v/>
      </c>
      <c r="D124" s="74"/>
      <c r="E124" s="34" t="str">
        <f t="shared" si="30"/>
        <v/>
      </c>
      <c r="F124" s="33"/>
      <c r="G124" s="33"/>
      <c r="H124" s="35"/>
      <c r="I124" s="35"/>
      <c r="J124" s="33"/>
      <c r="K124" s="36" t="str">
        <f>IF(L124="","",IF(L124&gt;9,Einstellungen!$B$10,IF(L124&gt;6,Einstellungen!$B$9,0)))</f>
        <v/>
      </c>
      <c r="L124" s="37" t="str">
        <f t="shared" si="31"/>
        <v/>
      </c>
      <c r="M124" s="37" t="str">
        <f t="shared" si="32"/>
        <v/>
      </c>
      <c r="N124" s="37" t="str">
        <f>IF(OR(D124="",H124="",I124=""),"",ROUND((MAX(0,MIN(AD124,D124+1+Einstellungen!$B$8)-MAX(AC124,D124+Einstellungen!$B$7))*24)+(MAX(0,MIN(AD124,D124+Einstellungen!$B$8)-MAX(AC124,D124-1+Einstellungen!$B$7))*24),2))</f>
        <v/>
      </c>
      <c r="O124" s="37" t="str">
        <f t="shared" si="33"/>
        <v/>
      </c>
      <c r="P124" s="37" t="str">
        <f>IF(OR(D124="",H124="",I124=""),"",ROUND(IF(COUNTIF(Einstellungen!$A$21:$A$45,D124)&gt;0,MAX(0,MIN(AD124,D124+1)-MAX(AC124,D124))*24,0)+IF(AD124&gt;D124+1,IF(COUNTIF(Einstellungen!$A$21:$A$45,D124+1)&gt;0,MAX(0,MIN(AD124,D124+2)-MAX(AC124,D124+1))*24,0),0),2))</f>
        <v/>
      </c>
      <c r="Q124" s="34" t="str">
        <f>IF(D124="","",TRIM(IFERROR(VLOOKUP(D124,Einstellungen!$A$21:$B$45,2,FALSE)&amp;" ","")&amp;IF(I124&lt;=H124,IFERROR(VLOOKUP(D124+1,Einstellungen!$A$21:$B$45,2,FALSE),""),"")))</f>
        <v/>
      </c>
      <c r="R124" s="38" t="str">
        <f>IFERROR(INDEX(Mitarbeiter!$G$6:$G$35,MATCH(B124,Mitarbeiter!$A$6:$A$35,0)),"")</f>
        <v/>
      </c>
      <c r="S124" s="38" t="str">
        <f t="shared" si="34"/>
        <v/>
      </c>
      <c r="T124" s="38" t="str">
        <f>IF(M124="","",ROUND(((N124*Einstellungen!$B$15)+(O124*Einstellungen!$B$16)+(P124*Einstellungen!$B$17))*R124,2))</f>
        <v/>
      </c>
      <c r="U124" s="39"/>
      <c r="V124" s="38" t="str">
        <f t="shared" si="35"/>
        <v/>
      </c>
      <c r="W124" s="34" t="str">
        <f t="shared" si="36"/>
        <v/>
      </c>
      <c r="X124" s="34" t="str">
        <f>IF(M124="","",IF(M124&gt;Einstellungen!$B$12,"kritisch &gt;10 Std.",IF(M124&gt;Einstellungen!$B$11,"prüfen &gt;8 Std.","OK")))</f>
        <v/>
      </c>
      <c r="Y124" s="37" t="str">
        <f t="shared" si="37"/>
        <v/>
      </c>
      <c r="Z124" s="34" t="str">
        <f>IF(Y124="","",IF(Y124&lt;Einstellungen!$B$14,"kritisch &lt;10 Std.",IF(Y124&lt;Einstellungen!$B$13,"prüfen &lt;11 Std.","OK")))</f>
        <v/>
      </c>
      <c r="AA124" s="33"/>
      <c r="AB124" s="33"/>
      <c r="AC124" s="40" t="str">
        <f t="shared" si="38"/>
        <v/>
      </c>
      <c r="AD124" s="40" t="str">
        <f t="shared" si="39"/>
        <v/>
      </c>
      <c r="AE124" s="41" t="str">
        <f>IF(B124="","",IF(COUNTIF($B$6:B123,B124)=0,"",_xludf.MAXIFS($AD$6:AD123,$B$6:B123,B124)))</f>
        <v/>
      </c>
    </row>
    <row r="125" spans="1:31" ht="21.95" customHeight="1" x14ac:dyDescent="0.25">
      <c r="A125" s="32"/>
      <c r="B125" s="33"/>
      <c r="C125" s="34" t="str">
        <f>IFERROR(INDEX(Mitarbeiter!$B$6:$B$35,MATCH(B125,Mitarbeiter!$A$6:$A$35,0)),"")</f>
        <v/>
      </c>
      <c r="D125" s="74"/>
      <c r="E125" s="34" t="str">
        <f t="shared" si="30"/>
        <v/>
      </c>
      <c r="F125" s="33"/>
      <c r="G125" s="33"/>
      <c r="H125" s="35"/>
      <c r="I125" s="35"/>
      <c r="J125" s="33"/>
      <c r="K125" s="36" t="str">
        <f>IF(L125="","",IF(L125&gt;9,Einstellungen!$B$10,IF(L125&gt;6,Einstellungen!$B$9,0)))</f>
        <v/>
      </c>
      <c r="L125" s="37" t="str">
        <f t="shared" si="31"/>
        <v/>
      </c>
      <c r="M125" s="37" t="str">
        <f t="shared" si="32"/>
        <v/>
      </c>
      <c r="N125" s="37" t="str">
        <f>IF(OR(D125="",H125="",I125=""),"",ROUND((MAX(0,MIN(AD125,D125+1+Einstellungen!$B$8)-MAX(AC125,D125+Einstellungen!$B$7))*24)+(MAX(0,MIN(AD125,D125+Einstellungen!$B$8)-MAX(AC125,D125-1+Einstellungen!$B$7))*24),2))</f>
        <v/>
      </c>
      <c r="O125" s="37" t="str">
        <f t="shared" si="33"/>
        <v/>
      </c>
      <c r="P125" s="37" t="str">
        <f>IF(OR(D125="",H125="",I125=""),"",ROUND(IF(COUNTIF(Einstellungen!$A$21:$A$45,D125)&gt;0,MAX(0,MIN(AD125,D125+1)-MAX(AC125,D125))*24,0)+IF(AD125&gt;D125+1,IF(COUNTIF(Einstellungen!$A$21:$A$45,D125+1)&gt;0,MAX(0,MIN(AD125,D125+2)-MAX(AC125,D125+1))*24,0),0),2))</f>
        <v/>
      </c>
      <c r="Q125" s="34" t="str">
        <f>IF(D125="","",TRIM(IFERROR(VLOOKUP(D125,Einstellungen!$A$21:$B$45,2,FALSE)&amp;" ","")&amp;IF(I125&lt;=H125,IFERROR(VLOOKUP(D125+1,Einstellungen!$A$21:$B$45,2,FALSE),""),"")))</f>
        <v/>
      </c>
      <c r="R125" s="38" t="str">
        <f>IFERROR(INDEX(Mitarbeiter!$G$6:$G$35,MATCH(B125,Mitarbeiter!$A$6:$A$35,0)),"")</f>
        <v/>
      </c>
      <c r="S125" s="38" t="str">
        <f t="shared" si="34"/>
        <v/>
      </c>
      <c r="T125" s="38" t="str">
        <f>IF(M125="","",ROUND(((N125*Einstellungen!$B$15)+(O125*Einstellungen!$B$16)+(P125*Einstellungen!$B$17))*R125,2))</f>
        <v/>
      </c>
      <c r="U125" s="39"/>
      <c r="V125" s="38" t="str">
        <f t="shared" si="35"/>
        <v/>
      </c>
      <c r="W125" s="34" t="str">
        <f t="shared" si="36"/>
        <v/>
      </c>
      <c r="X125" s="34" t="str">
        <f>IF(M125="","",IF(M125&gt;Einstellungen!$B$12,"kritisch &gt;10 Std.",IF(M125&gt;Einstellungen!$B$11,"prüfen &gt;8 Std.","OK")))</f>
        <v/>
      </c>
      <c r="Y125" s="37" t="str">
        <f t="shared" si="37"/>
        <v/>
      </c>
      <c r="Z125" s="34" t="str">
        <f>IF(Y125="","",IF(Y125&lt;Einstellungen!$B$14,"kritisch &lt;10 Std.",IF(Y125&lt;Einstellungen!$B$13,"prüfen &lt;11 Std.","OK")))</f>
        <v/>
      </c>
      <c r="AA125" s="33"/>
      <c r="AB125" s="33"/>
      <c r="AC125" s="40" t="str">
        <f t="shared" si="38"/>
        <v/>
      </c>
      <c r="AD125" s="40" t="str">
        <f t="shared" si="39"/>
        <v/>
      </c>
      <c r="AE125" s="41" t="str">
        <f>IF(B125="","",IF(COUNTIF($B$6:B124,B125)=0,"",_xludf.MAXIFS($AD$6:AD124,$B$6:B124,B125)))</f>
        <v/>
      </c>
    </row>
    <row r="126" spans="1:31" ht="21.95" customHeight="1" x14ac:dyDescent="0.25">
      <c r="A126" s="32"/>
      <c r="B126" s="33"/>
      <c r="C126" s="34" t="str">
        <f>IFERROR(INDEX(Mitarbeiter!$B$6:$B$35,MATCH(B126,Mitarbeiter!$A$6:$A$35,0)),"")</f>
        <v/>
      </c>
      <c r="D126" s="74"/>
      <c r="E126" s="34" t="str">
        <f t="shared" si="30"/>
        <v/>
      </c>
      <c r="F126" s="33"/>
      <c r="G126" s="33"/>
      <c r="H126" s="35"/>
      <c r="I126" s="35"/>
      <c r="J126" s="33"/>
      <c r="K126" s="36" t="str">
        <f>IF(L126="","",IF(L126&gt;9,Einstellungen!$B$10,IF(L126&gt;6,Einstellungen!$B$9,0)))</f>
        <v/>
      </c>
      <c r="L126" s="37" t="str">
        <f t="shared" si="31"/>
        <v/>
      </c>
      <c r="M126" s="37" t="str">
        <f t="shared" si="32"/>
        <v/>
      </c>
      <c r="N126" s="37" t="str">
        <f>IF(OR(D126="",H126="",I126=""),"",ROUND((MAX(0,MIN(AD126,D126+1+Einstellungen!$B$8)-MAX(AC126,D126+Einstellungen!$B$7))*24)+(MAX(0,MIN(AD126,D126+Einstellungen!$B$8)-MAX(AC126,D126-1+Einstellungen!$B$7))*24),2))</f>
        <v/>
      </c>
      <c r="O126" s="37" t="str">
        <f t="shared" si="33"/>
        <v/>
      </c>
      <c r="P126" s="37" t="str">
        <f>IF(OR(D126="",H126="",I126=""),"",ROUND(IF(COUNTIF(Einstellungen!$A$21:$A$45,D126)&gt;0,MAX(0,MIN(AD126,D126+1)-MAX(AC126,D126))*24,0)+IF(AD126&gt;D126+1,IF(COUNTIF(Einstellungen!$A$21:$A$45,D126+1)&gt;0,MAX(0,MIN(AD126,D126+2)-MAX(AC126,D126+1))*24,0),0),2))</f>
        <v/>
      </c>
      <c r="Q126" s="34" t="str">
        <f>IF(D126="","",TRIM(IFERROR(VLOOKUP(D126,Einstellungen!$A$21:$B$45,2,FALSE)&amp;" ","")&amp;IF(I126&lt;=H126,IFERROR(VLOOKUP(D126+1,Einstellungen!$A$21:$B$45,2,FALSE),""),"")))</f>
        <v/>
      </c>
      <c r="R126" s="38" t="str">
        <f>IFERROR(INDEX(Mitarbeiter!$G$6:$G$35,MATCH(B126,Mitarbeiter!$A$6:$A$35,0)),"")</f>
        <v/>
      </c>
      <c r="S126" s="38" t="str">
        <f t="shared" si="34"/>
        <v/>
      </c>
      <c r="T126" s="38" t="str">
        <f>IF(M126="","",ROUND(((N126*Einstellungen!$B$15)+(O126*Einstellungen!$B$16)+(P126*Einstellungen!$B$17))*R126,2))</f>
        <v/>
      </c>
      <c r="U126" s="39"/>
      <c r="V126" s="38" t="str">
        <f t="shared" si="35"/>
        <v/>
      </c>
      <c r="W126" s="34" t="str">
        <f t="shared" si="36"/>
        <v/>
      </c>
      <c r="X126" s="34" t="str">
        <f>IF(M126="","",IF(M126&gt;Einstellungen!$B$12,"kritisch &gt;10 Std.",IF(M126&gt;Einstellungen!$B$11,"prüfen &gt;8 Std.","OK")))</f>
        <v/>
      </c>
      <c r="Y126" s="37" t="str">
        <f t="shared" si="37"/>
        <v/>
      </c>
      <c r="Z126" s="34" t="str">
        <f>IF(Y126="","",IF(Y126&lt;Einstellungen!$B$14,"kritisch &lt;10 Std.",IF(Y126&lt;Einstellungen!$B$13,"prüfen &lt;11 Std.","OK")))</f>
        <v/>
      </c>
      <c r="AA126" s="33"/>
      <c r="AB126" s="33"/>
      <c r="AC126" s="40" t="str">
        <f t="shared" si="38"/>
        <v/>
      </c>
      <c r="AD126" s="40" t="str">
        <f t="shared" si="39"/>
        <v/>
      </c>
      <c r="AE126" s="41" t="str">
        <f>IF(B126="","",IF(COUNTIF($B$6:B125,B126)=0,"",_xludf.MAXIFS($AD$6:AD125,$B$6:B125,B126)))</f>
        <v/>
      </c>
    </row>
    <row r="127" spans="1:31" ht="21.95" customHeight="1" x14ac:dyDescent="0.25">
      <c r="A127" s="32"/>
      <c r="B127" s="33"/>
      <c r="C127" s="34" t="str">
        <f>IFERROR(INDEX(Mitarbeiter!$B$6:$B$35,MATCH(B127,Mitarbeiter!$A$6:$A$35,0)),"")</f>
        <v/>
      </c>
      <c r="D127" s="74"/>
      <c r="E127" s="34" t="str">
        <f t="shared" si="30"/>
        <v/>
      </c>
      <c r="F127" s="33"/>
      <c r="G127" s="33"/>
      <c r="H127" s="35"/>
      <c r="I127" s="35"/>
      <c r="J127" s="33"/>
      <c r="K127" s="36" t="str">
        <f>IF(L127="","",IF(L127&gt;9,Einstellungen!$B$10,IF(L127&gt;6,Einstellungen!$B$9,0)))</f>
        <v/>
      </c>
      <c r="L127" s="37" t="str">
        <f t="shared" si="31"/>
        <v/>
      </c>
      <c r="M127" s="37" t="str">
        <f t="shared" si="32"/>
        <v/>
      </c>
      <c r="N127" s="37" t="str">
        <f>IF(OR(D127="",H127="",I127=""),"",ROUND((MAX(0,MIN(AD127,D127+1+Einstellungen!$B$8)-MAX(AC127,D127+Einstellungen!$B$7))*24)+(MAX(0,MIN(AD127,D127+Einstellungen!$B$8)-MAX(AC127,D127-1+Einstellungen!$B$7))*24),2))</f>
        <v/>
      </c>
      <c r="O127" s="37" t="str">
        <f t="shared" si="33"/>
        <v/>
      </c>
      <c r="P127" s="37" t="str">
        <f>IF(OR(D127="",H127="",I127=""),"",ROUND(IF(COUNTIF(Einstellungen!$A$21:$A$45,D127)&gt;0,MAX(0,MIN(AD127,D127+1)-MAX(AC127,D127))*24,0)+IF(AD127&gt;D127+1,IF(COUNTIF(Einstellungen!$A$21:$A$45,D127+1)&gt;0,MAX(0,MIN(AD127,D127+2)-MAX(AC127,D127+1))*24,0),0),2))</f>
        <v/>
      </c>
      <c r="Q127" s="34" t="str">
        <f>IF(D127="","",TRIM(IFERROR(VLOOKUP(D127,Einstellungen!$A$21:$B$45,2,FALSE)&amp;" ","")&amp;IF(I127&lt;=H127,IFERROR(VLOOKUP(D127+1,Einstellungen!$A$21:$B$45,2,FALSE),""),"")))</f>
        <v/>
      </c>
      <c r="R127" s="38" t="str">
        <f>IFERROR(INDEX(Mitarbeiter!$G$6:$G$35,MATCH(B127,Mitarbeiter!$A$6:$A$35,0)),"")</f>
        <v/>
      </c>
      <c r="S127" s="38" t="str">
        <f t="shared" si="34"/>
        <v/>
      </c>
      <c r="T127" s="38" t="str">
        <f>IF(M127="","",ROUND(((N127*Einstellungen!$B$15)+(O127*Einstellungen!$B$16)+(P127*Einstellungen!$B$17))*R127,2))</f>
        <v/>
      </c>
      <c r="U127" s="39"/>
      <c r="V127" s="38" t="str">
        <f t="shared" si="35"/>
        <v/>
      </c>
      <c r="W127" s="34" t="str">
        <f t="shared" si="36"/>
        <v/>
      </c>
      <c r="X127" s="34" t="str">
        <f>IF(M127="","",IF(M127&gt;Einstellungen!$B$12,"kritisch &gt;10 Std.",IF(M127&gt;Einstellungen!$B$11,"prüfen &gt;8 Std.","OK")))</f>
        <v/>
      </c>
      <c r="Y127" s="37" t="str">
        <f t="shared" si="37"/>
        <v/>
      </c>
      <c r="Z127" s="34" t="str">
        <f>IF(Y127="","",IF(Y127&lt;Einstellungen!$B$14,"kritisch &lt;10 Std.",IF(Y127&lt;Einstellungen!$B$13,"prüfen &lt;11 Std.","OK")))</f>
        <v/>
      </c>
      <c r="AA127" s="33"/>
      <c r="AB127" s="33"/>
      <c r="AC127" s="40" t="str">
        <f t="shared" si="38"/>
        <v/>
      </c>
      <c r="AD127" s="40" t="str">
        <f t="shared" si="39"/>
        <v/>
      </c>
      <c r="AE127" s="41" t="str">
        <f>IF(B127="","",IF(COUNTIF($B$6:B126,B127)=0,"",_xludf.MAXIFS($AD$6:AD126,$B$6:B126,B127)))</f>
        <v/>
      </c>
    </row>
    <row r="128" spans="1:31" ht="21.95" customHeight="1" x14ac:dyDescent="0.25">
      <c r="A128" s="32"/>
      <c r="B128" s="33"/>
      <c r="C128" s="34" t="str">
        <f>IFERROR(INDEX(Mitarbeiter!$B$6:$B$35,MATCH(B128,Mitarbeiter!$A$6:$A$35,0)),"")</f>
        <v/>
      </c>
      <c r="D128" s="74"/>
      <c r="E128" s="34" t="str">
        <f t="shared" si="30"/>
        <v/>
      </c>
      <c r="F128" s="33"/>
      <c r="G128" s="33"/>
      <c r="H128" s="35"/>
      <c r="I128" s="35"/>
      <c r="J128" s="33"/>
      <c r="K128" s="36" t="str">
        <f>IF(L128="","",IF(L128&gt;9,Einstellungen!$B$10,IF(L128&gt;6,Einstellungen!$B$9,0)))</f>
        <v/>
      </c>
      <c r="L128" s="37" t="str">
        <f t="shared" si="31"/>
        <v/>
      </c>
      <c r="M128" s="37" t="str">
        <f t="shared" si="32"/>
        <v/>
      </c>
      <c r="N128" s="37" t="str">
        <f>IF(OR(D128="",H128="",I128=""),"",ROUND((MAX(0,MIN(AD128,D128+1+Einstellungen!$B$8)-MAX(AC128,D128+Einstellungen!$B$7))*24)+(MAX(0,MIN(AD128,D128+Einstellungen!$B$8)-MAX(AC128,D128-1+Einstellungen!$B$7))*24),2))</f>
        <v/>
      </c>
      <c r="O128" s="37" t="str">
        <f t="shared" si="33"/>
        <v/>
      </c>
      <c r="P128" s="37" t="str">
        <f>IF(OR(D128="",H128="",I128=""),"",ROUND(IF(COUNTIF(Einstellungen!$A$21:$A$45,D128)&gt;0,MAX(0,MIN(AD128,D128+1)-MAX(AC128,D128))*24,0)+IF(AD128&gt;D128+1,IF(COUNTIF(Einstellungen!$A$21:$A$45,D128+1)&gt;0,MAX(0,MIN(AD128,D128+2)-MAX(AC128,D128+1))*24,0),0),2))</f>
        <v/>
      </c>
      <c r="Q128" s="34" t="str">
        <f>IF(D128="","",TRIM(IFERROR(VLOOKUP(D128,Einstellungen!$A$21:$B$45,2,FALSE)&amp;" ","")&amp;IF(I128&lt;=H128,IFERROR(VLOOKUP(D128+1,Einstellungen!$A$21:$B$45,2,FALSE),""),"")))</f>
        <v/>
      </c>
      <c r="R128" s="38" t="str">
        <f>IFERROR(INDEX(Mitarbeiter!$G$6:$G$35,MATCH(B128,Mitarbeiter!$A$6:$A$35,0)),"")</f>
        <v/>
      </c>
      <c r="S128" s="38" t="str">
        <f t="shared" si="34"/>
        <v/>
      </c>
      <c r="T128" s="38" t="str">
        <f>IF(M128="","",ROUND(((N128*Einstellungen!$B$15)+(O128*Einstellungen!$B$16)+(P128*Einstellungen!$B$17))*R128,2))</f>
        <v/>
      </c>
      <c r="U128" s="39"/>
      <c r="V128" s="38" t="str">
        <f t="shared" si="35"/>
        <v/>
      </c>
      <c r="W128" s="34" t="str">
        <f t="shared" si="36"/>
        <v/>
      </c>
      <c r="X128" s="34" t="str">
        <f>IF(M128="","",IF(M128&gt;Einstellungen!$B$12,"kritisch &gt;10 Std.",IF(M128&gt;Einstellungen!$B$11,"prüfen &gt;8 Std.","OK")))</f>
        <v/>
      </c>
      <c r="Y128" s="37" t="str">
        <f t="shared" si="37"/>
        <v/>
      </c>
      <c r="Z128" s="34" t="str">
        <f>IF(Y128="","",IF(Y128&lt;Einstellungen!$B$14,"kritisch &lt;10 Std.",IF(Y128&lt;Einstellungen!$B$13,"prüfen &lt;11 Std.","OK")))</f>
        <v/>
      </c>
      <c r="AA128" s="33"/>
      <c r="AB128" s="33"/>
      <c r="AC128" s="40" t="str">
        <f t="shared" si="38"/>
        <v/>
      </c>
      <c r="AD128" s="40" t="str">
        <f t="shared" si="39"/>
        <v/>
      </c>
      <c r="AE128" s="41" t="str">
        <f>IF(B128="","",IF(COUNTIF($B$6:B127,B128)=0,"",_xludf.MAXIFS($AD$6:AD127,$B$6:B127,B128)))</f>
        <v/>
      </c>
    </row>
    <row r="129" spans="1:31" ht="21.95" customHeight="1" x14ac:dyDescent="0.25">
      <c r="A129" s="32"/>
      <c r="B129" s="33"/>
      <c r="C129" s="34" t="str">
        <f>IFERROR(INDEX(Mitarbeiter!$B$6:$B$35,MATCH(B129,Mitarbeiter!$A$6:$A$35,0)),"")</f>
        <v/>
      </c>
      <c r="D129" s="74"/>
      <c r="E129" s="34" t="str">
        <f t="shared" si="30"/>
        <v/>
      </c>
      <c r="F129" s="33"/>
      <c r="G129" s="33"/>
      <c r="H129" s="35"/>
      <c r="I129" s="35"/>
      <c r="J129" s="33"/>
      <c r="K129" s="36" t="str">
        <f>IF(L129="","",IF(L129&gt;9,Einstellungen!$B$10,IF(L129&gt;6,Einstellungen!$B$9,0)))</f>
        <v/>
      </c>
      <c r="L129" s="37" t="str">
        <f t="shared" si="31"/>
        <v/>
      </c>
      <c r="M129" s="37" t="str">
        <f t="shared" si="32"/>
        <v/>
      </c>
      <c r="N129" s="37" t="str">
        <f>IF(OR(D129="",H129="",I129=""),"",ROUND((MAX(0,MIN(AD129,D129+1+Einstellungen!$B$8)-MAX(AC129,D129+Einstellungen!$B$7))*24)+(MAX(0,MIN(AD129,D129+Einstellungen!$B$8)-MAX(AC129,D129-1+Einstellungen!$B$7))*24),2))</f>
        <v/>
      </c>
      <c r="O129" s="37" t="str">
        <f t="shared" si="33"/>
        <v/>
      </c>
      <c r="P129" s="37" t="str">
        <f>IF(OR(D129="",H129="",I129=""),"",ROUND(IF(COUNTIF(Einstellungen!$A$21:$A$45,D129)&gt;0,MAX(0,MIN(AD129,D129+1)-MAX(AC129,D129))*24,0)+IF(AD129&gt;D129+1,IF(COUNTIF(Einstellungen!$A$21:$A$45,D129+1)&gt;0,MAX(0,MIN(AD129,D129+2)-MAX(AC129,D129+1))*24,0),0),2))</f>
        <v/>
      </c>
      <c r="Q129" s="34" t="str">
        <f>IF(D129="","",TRIM(IFERROR(VLOOKUP(D129,Einstellungen!$A$21:$B$45,2,FALSE)&amp;" ","")&amp;IF(I129&lt;=H129,IFERROR(VLOOKUP(D129+1,Einstellungen!$A$21:$B$45,2,FALSE),""),"")))</f>
        <v/>
      </c>
      <c r="R129" s="38" t="str">
        <f>IFERROR(INDEX(Mitarbeiter!$G$6:$G$35,MATCH(B129,Mitarbeiter!$A$6:$A$35,0)),"")</f>
        <v/>
      </c>
      <c r="S129" s="38" t="str">
        <f t="shared" si="34"/>
        <v/>
      </c>
      <c r="T129" s="38" t="str">
        <f>IF(M129="","",ROUND(((N129*Einstellungen!$B$15)+(O129*Einstellungen!$B$16)+(P129*Einstellungen!$B$17))*R129,2))</f>
        <v/>
      </c>
      <c r="U129" s="39"/>
      <c r="V129" s="38" t="str">
        <f t="shared" si="35"/>
        <v/>
      </c>
      <c r="W129" s="34" t="str">
        <f t="shared" si="36"/>
        <v/>
      </c>
      <c r="X129" s="34" t="str">
        <f>IF(M129="","",IF(M129&gt;Einstellungen!$B$12,"kritisch &gt;10 Std.",IF(M129&gt;Einstellungen!$B$11,"prüfen &gt;8 Std.","OK")))</f>
        <v/>
      </c>
      <c r="Y129" s="37" t="str">
        <f t="shared" si="37"/>
        <v/>
      </c>
      <c r="Z129" s="34" t="str">
        <f>IF(Y129="","",IF(Y129&lt;Einstellungen!$B$14,"kritisch &lt;10 Std.",IF(Y129&lt;Einstellungen!$B$13,"prüfen &lt;11 Std.","OK")))</f>
        <v/>
      </c>
      <c r="AA129" s="33"/>
      <c r="AB129" s="33"/>
      <c r="AC129" s="40" t="str">
        <f t="shared" si="38"/>
        <v/>
      </c>
      <c r="AD129" s="40" t="str">
        <f t="shared" si="39"/>
        <v/>
      </c>
      <c r="AE129" s="41" t="str">
        <f>IF(B129="","",IF(COUNTIF($B$6:B128,B129)=0,"",_xludf.MAXIFS($AD$6:AD128,$B$6:B128,B129)))</f>
        <v/>
      </c>
    </row>
    <row r="130" spans="1:31" ht="21.95" customHeight="1" x14ac:dyDescent="0.25">
      <c r="A130" s="32"/>
      <c r="B130" s="33"/>
      <c r="C130" s="34" t="str">
        <f>IFERROR(INDEX(Mitarbeiter!$B$6:$B$35,MATCH(B130,Mitarbeiter!$A$6:$A$35,0)),"")</f>
        <v/>
      </c>
      <c r="D130" s="74"/>
      <c r="E130" s="34" t="str">
        <f t="shared" si="30"/>
        <v/>
      </c>
      <c r="F130" s="33"/>
      <c r="G130" s="33"/>
      <c r="H130" s="35"/>
      <c r="I130" s="35"/>
      <c r="J130" s="33"/>
      <c r="K130" s="36" t="str">
        <f>IF(L130="","",IF(L130&gt;9,Einstellungen!$B$10,IF(L130&gt;6,Einstellungen!$B$9,0)))</f>
        <v/>
      </c>
      <c r="L130" s="37" t="str">
        <f t="shared" si="31"/>
        <v/>
      </c>
      <c r="M130" s="37" t="str">
        <f t="shared" si="32"/>
        <v/>
      </c>
      <c r="N130" s="37" t="str">
        <f>IF(OR(D130="",H130="",I130=""),"",ROUND((MAX(0,MIN(AD130,D130+1+Einstellungen!$B$8)-MAX(AC130,D130+Einstellungen!$B$7))*24)+(MAX(0,MIN(AD130,D130+Einstellungen!$B$8)-MAX(AC130,D130-1+Einstellungen!$B$7))*24),2))</f>
        <v/>
      </c>
      <c r="O130" s="37" t="str">
        <f t="shared" si="33"/>
        <v/>
      </c>
      <c r="P130" s="37" t="str">
        <f>IF(OR(D130="",H130="",I130=""),"",ROUND(IF(COUNTIF(Einstellungen!$A$21:$A$45,D130)&gt;0,MAX(0,MIN(AD130,D130+1)-MAX(AC130,D130))*24,0)+IF(AD130&gt;D130+1,IF(COUNTIF(Einstellungen!$A$21:$A$45,D130+1)&gt;0,MAX(0,MIN(AD130,D130+2)-MAX(AC130,D130+1))*24,0),0),2))</f>
        <v/>
      </c>
      <c r="Q130" s="34" t="str">
        <f>IF(D130="","",TRIM(IFERROR(VLOOKUP(D130,Einstellungen!$A$21:$B$45,2,FALSE)&amp;" ","")&amp;IF(I130&lt;=H130,IFERROR(VLOOKUP(D130+1,Einstellungen!$A$21:$B$45,2,FALSE),""),"")))</f>
        <v/>
      </c>
      <c r="R130" s="38" t="str">
        <f>IFERROR(INDEX(Mitarbeiter!$G$6:$G$35,MATCH(B130,Mitarbeiter!$A$6:$A$35,0)),"")</f>
        <v/>
      </c>
      <c r="S130" s="38" t="str">
        <f t="shared" si="34"/>
        <v/>
      </c>
      <c r="T130" s="38" t="str">
        <f>IF(M130="","",ROUND(((N130*Einstellungen!$B$15)+(O130*Einstellungen!$B$16)+(P130*Einstellungen!$B$17))*R130,2))</f>
        <v/>
      </c>
      <c r="U130" s="39"/>
      <c r="V130" s="38" t="str">
        <f t="shared" si="35"/>
        <v/>
      </c>
      <c r="W130" s="34" t="str">
        <f t="shared" si="36"/>
        <v/>
      </c>
      <c r="X130" s="34" t="str">
        <f>IF(M130="","",IF(M130&gt;Einstellungen!$B$12,"kritisch &gt;10 Std.",IF(M130&gt;Einstellungen!$B$11,"prüfen &gt;8 Std.","OK")))</f>
        <v/>
      </c>
      <c r="Y130" s="37" t="str">
        <f t="shared" si="37"/>
        <v/>
      </c>
      <c r="Z130" s="34" t="str">
        <f>IF(Y130="","",IF(Y130&lt;Einstellungen!$B$14,"kritisch &lt;10 Std.",IF(Y130&lt;Einstellungen!$B$13,"prüfen &lt;11 Std.","OK")))</f>
        <v/>
      </c>
      <c r="AA130" s="33"/>
      <c r="AB130" s="33"/>
      <c r="AC130" s="40" t="str">
        <f t="shared" si="38"/>
        <v/>
      </c>
      <c r="AD130" s="40" t="str">
        <f t="shared" si="39"/>
        <v/>
      </c>
      <c r="AE130" s="41" t="str">
        <f>IF(B130="","",IF(COUNTIF($B$6:B129,B130)=0,"",_xludf.MAXIFS($AD$6:AD129,$B$6:B129,B130)))</f>
        <v/>
      </c>
    </row>
    <row r="131" spans="1:31" ht="21.95" customHeight="1" x14ac:dyDescent="0.25">
      <c r="A131" s="32"/>
      <c r="B131" s="33"/>
      <c r="C131" s="34" t="str">
        <f>IFERROR(INDEX(Mitarbeiter!$B$6:$B$35,MATCH(B131,Mitarbeiter!$A$6:$A$35,0)),"")</f>
        <v/>
      </c>
      <c r="D131" s="74"/>
      <c r="E131" s="34" t="str">
        <f t="shared" si="30"/>
        <v/>
      </c>
      <c r="F131" s="33"/>
      <c r="G131" s="33"/>
      <c r="H131" s="35"/>
      <c r="I131" s="35"/>
      <c r="J131" s="33"/>
      <c r="K131" s="36" t="str">
        <f>IF(L131="","",IF(L131&gt;9,Einstellungen!$B$10,IF(L131&gt;6,Einstellungen!$B$9,0)))</f>
        <v/>
      </c>
      <c r="L131" s="37" t="str">
        <f t="shared" si="31"/>
        <v/>
      </c>
      <c r="M131" s="37" t="str">
        <f t="shared" si="32"/>
        <v/>
      </c>
      <c r="N131" s="37" t="str">
        <f>IF(OR(D131="",H131="",I131=""),"",ROUND((MAX(0,MIN(AD131,D131+1+Einstellungen!$B$8)-MAX(AC131,D131+Einstellungen!$B$7))*24)+(MAX(0,MIN(AD131,D131+Einstellungen!$B$8)-MAX(AC131,D131-1+Einstellungen!$B$7))*24),2))</f>
        <v/>
      </c>
      <c r="O131" s="37" t="str">
        <f t="shared" si="33"/>
        <v/>
      </c>
      <c r="P131" s="37" t="str">
        <f>IF(OR(D131="",H131="",I131=""),"",ROUND(IF(COUNTIF(Einstellungen!$A$21:$A$45,D131)&gt;0,MAX(0,MIN(AD131,D131+1)-MAX(AC131,D131))*24,0)+IF(AD131&gt;D131+1,IF(COUNTIF(Einstellungen!$A$21:$A$45,D131+1)&gt;0,MAX(0,MIN(AD131,D131+2)-MAX(AC131,D131+1))*24,0),0),2))</f>
        <v/>
      </c>
      <c r="Q131" s="34" t="str">
        <f>IF(D131="","",TRIM(IFERROR(VLOOKUP(D131,Einstellungen!$A$21:$B$45,2,FALSE)&amp;" ","")&amp;IF(I131&lt;=H131,IFERROR(VLOOKUP(D131+1,Einstellungen!$A$21:$B$45,2,FALSE),""),"")))</f>
        <v/>
      </c>
      <c r="R131" s="38" t="str">
        <f>IFERROR(INDEX(Mitarbeiter!$G$6:$G$35,MATCH(B131,Mitarbeiter!$A$6:$A$35,0)),"")</f>
        <v/>
      </c>
      <c r="S131" s="38" t="str">
        <f t="shared" si="34"/>
        <v/>
      </c>
      <c r="T131" s="38" t="str">
        <f>IF(M131="","",ROUND(((N131*Einstellungen!$B$15)+(O131*Einstellungen!$B$16)+(P131*Einstellungen!$B$17))*R131,2))</f>
        <v/>
      </c>
      <c r="U131" s="39"/>
      <c r="V131" s="38" t="str">
        <f t="shared" si="35"/>
        <v/>
      </c>
      <c r="W131" s="34" t="str">
        <f t="shared" si="36"/>
        <v/>
      </c>
      <c r="X131" s="34" t="str">
        <f>IF(M131="","",IF(M131&gt;Einstellungen!$B$12,"kritisch &gt;10 Std.",IF(M131&gt;Einstellungen!$B$11,"prüfen &gt;8 Std.","OK")))</f>
        <v/>
      </c>
      <c r="Y131" s="37" t="str">
        <f t="shared" si="37"/>
        <v/>
      </c>
      <c r="Z131" s="34" t="str">
        <f>IF(Y131="","",IF(Y131&lt;Einstellungen!$B$14,"kritisch &lt;10 Std.",IF(Y131&lt;Einstellungen!$B$13,"prüfen &lt;11 Std.","OK")))</f>
        <v/>
      </c>
      <c r="AA131" s="33"/>
      <c r="AB131" s="33"/>
      <c r="AC131" s="40" t="str">
        <f t="shared" si="38"/>
        <v/>
      </c>
      <c r="AD131" s="40" t="str">
        <f t="shared" si="39"/>
        <v/>
      </c>
      <c r="AE131" s="41" t="str">
        <f>IF(B131="","",IF(COUNTIF($B$6:B130,B131)=0,"",_xludf.MAXIFS($AD$6:AD130,$B$6:B130,B131)))</f>
        <v/>
      </c>
    </row>
    <row r="132" spans="1:31" ht="21.95" customHeight="1" x14ac:dyDescent="0.25">
      <c r="A132" s="32"/>
      <c r="B132" s="33"/>
      <c r="C132" s="34" t="str">
        <f>IFERROR(INDEX(Mitarbeiter!$B$6:$B$35,MATCH(B132,Mitarbeiter!$A$6:$A$35,0)),"")</f>
        <v/>
      </c>
      <c r="D132" s="74"/>
      <c r="E132" s="34" t="str">
        <f t="shared" si="30"/>
        <v/>
      </c>
      <c r="F132" s="33"/>
      <c r="G132" s="33"/>
      <c r="H132" s="35"/>
      <c r="I132" s="35"/>
      <c r="J132" s="33"/>
      <c r="K132" s="36" t="str">
        <f>IF(L132="","",IF(L132&gt;9,Einstellungen!$B$10,IF(L132&gt;6,Einstellungen!$B$9,0)))</f>
        <v/>
      </c>
      <c r="L132" s="37" t="str">
        <f t="shared" si="31"/>
        <v/>
      </c>
      <c r="M132" s="37" t="str">
        <f t="shared" si="32"/>
        <v/>
      </c>
      <c r="N132" s="37" t="str">
        <f>IF(OR(D132="",H132="",I132=""),"",ROUND((MAX(0,MIN(AD132,D132+1+Einstellungen!$B$8)-MAX(AC132,D132+Einstellungen!$B$7))*24)+(MAX(0,MIN(AD132,D132+Einstellungen!$B$8)-MAX(AC132,D132-1+Einstellungen!$B$7))*24),2))</f>
        <v/>
      </c>
      <c r="O132" s="37" t="str">
        <f t="shared" si="33"/>
        <v/>
      </c>
      <c r="P132" s="37" t="str">
        <f>IF(OR(D132="",H132="",I132=""),"",ROUND(IF(COUNTIF(Einstellungen!$A$21:$A$45,D132)&gt;0,MAX(0,MIN(AD132,D132+1)-MAX(AC132,D132))*24,0)+IF(AD132&gt;D132+1,IF(COUNTIF(Einstellungen!$A$21:$A$45,D132+1)&gt;0,MAX(0,MIN(AD132,D132+2)-MAX(AC132,D132+1))*24,0),0),2))</f>
        <v/>
      </c>
      <c r="Q132" s="34" t="str">
        <f>IF(D132="","",TRIM(IFERROR(VLOOKUP(D132,Einstellungen!$A$21:$B$45,2,FALSE)&amp;" ","")&amp;IF(I132&lt;=H132,IFERROR(VLOOKUP(D132+1,Einstellungen!$A$21:$B$45,2,FALSE),""),"")))</f>
        <v/>
      </c>
      <c r="R132" s="38" t="str">
        <f>IFERROR(INDEX(Mitarbeiter!$G$6:$G$35,MATCH(B132,Mitarbeiter!$A$6:$A$35,0)),"")</f>
        <v/>
      </c>
      <c r="S132" s="38" t="str">
        <f t="shared" si="34"/>
        <v/>
      </c>
      <c r="T132" s="38" t="str">
        <f>IF(M132="","",ROUND(((N132*Einstellungen!$B$15)+(O132*Einstellungen!$B$16)+(P132*Einstellungen!$B$17))*R132,2))</f>
        <v/>
      </c>
      <c r="U132" s="39"/>
      <c r="V132" s="38" t="str">
        <f t="shared" si="35"/>
        <v/>
      </c>
      <c r="W132" s="34" t="str">
        <f t="shared" si="36"/>
        <v/>
      </c>
      <c r="X132" s="34" t="str">
        <f>IF(M132="","",IF(M132&gt;Einstellungen!$B$12,"kritisch &gt;10 Std.",IF(M132&gt;Einstellungen!$B$11,"prüfen &gt;8 Std.","OK")))</f>
        <v/>
      </c>
      <c r="Y132" s="37" t="str">
        <f t="shared" si="37"/>
        <v/>
      </c>
      <c r="Z132" s="34" t="str">
        <f>IF(Y132="","",IF(Y132&lt;Einstellungen!$B$14,"kritisch &lt;10 Std.",IF(Y132&lt;Einstellungen!$B$13,"prüfen &lt;11 Std.","OK")))</f>
        <v/>
      </c>
      <c r="AA132" s="33"/>
      <c r="AB132" s="33"/>
      <c r="AC132" s="40" t="str">
        <f t="shared" si="38"/>
        <v/>
      </c>
      <c r="AD132" s="40" t="str">
        <f t="shared" si="39"/>
        <v/>
      </c>
      <c r="AE132" s="41" t="str">
        <f>IF(B132="","",IF(COUNTIF($B$6:B131,B132)=0,"",_xludf.MAXIFS($AD$6:AD131,$B$6:B131,B132)))</f>
        <v/>
      </c>
    </row>
    <row r="133" spans="1:31" ht="21.95" customHeight="1" x14ac:dyDescent="0.25">
      <c r="A133" s="32"/>
      <c r="B133" s="33"/>
      <c r="C133" s="34" t="str">
        <f>IFERROR(INDEX(Mitarbeiter!$B$6:$B$35,MATCH(B133,Mitarbeiter!$A$6:$A$35,0)),"")</f>
        <v/>
      </c>
      <c r="D133" s="74"/>
      <c r="E133" s="34" t="str">
        <f t="shared" si="30"/>
        <v/>
      </c>
      <c r="F133" s="33"/>
      <c r="G133" s="33"/>
      <c r="H133" s="35"/>
      <c r="I133" s="35"/>
      <c r="J133" s="33"/>
      <c r="K133" s="36" t="str">
        <f>IF(L133="","",IF(L133&gt;9,Einstellungen!$B$10,IF(L133&gt;6,Einstellungen!$B$9,0)))</f>
        <v/>
      </c>
      <c r="L133" s="37" t="str">
        <f t="shared" si="31"/>
        <v/>
      </c>
      <c r="M133" s="37" t="str">
        <f t="shared" si="32"/>
        <v/>
      </c>
      <c r="N133" s="37" t="str">
        <f>IF(OR(D133="",H133="",I133=""),"",ROUND((MAX(0,MIN(AD133,D133+1+Einstellungen!$B$8)-MAX(AC133,D133+Einstellungen!$B$7))*24)+(MAX(0,MIN(AD133,D133+Einstellungen!$B$8)-MAX(AC133,D133-1+Einstellungen!$B$7))*24),2))</f>
        <v/>
      </c>
      <c r="O133" s="37" t="str">
        <f t="shared" si="33"/>
        <v/>
      </c>
      <c r="P133" s="37" t="str">
        <f>IF(OR(D133="",H133="",I133=""),"",ROUND(IF(COUNTIF(Einstellungen!$A$21:$A$45,D133)&gt;0,MAX(0,MIN(AD133,D133+1)-MAX(AC133,D133))*24,0)+IF(AD133&gt;D133+1,IF(COUNTIF(Einstellungen!$A$21:$A$45,D133+1)&gt;0,MAX(0,MIN(AD133,D133+2)-MAX(AC133,D133+1))*24,0),0),2))</f>
        <v/>
      </c>
      <c r="Q133" s="34" t="str">
        <f>IF(D133="","",TRIM(IFERROR(VLOOKUP(D133,Einstellungen!$A$21:$B$45,2,FALSE)&amp;" ","")&amp;IF(I133&lt;=H133,IFERROR(VLOOKUP(D133+1,Einstellungen!$A$21:$B$45,2,FALSE),""),"")))</f>
        <v/>
      </c>
      <c r="R133" s="38" t="str">
        <f>IFERROR(INDEX(Mitarbeiter!$G$6:$G$35,MATCH(B133,Mitarbeiter!$A$6:$A$35,0)),"")</f>
        <v/>
      </c>
      <c r="S133" s="38" t="str">
        <f t="shared" si="34"/>
        <v/>
      </c>
      <c r="T133" s="38" t="str">
        <f>IF(M133="","",ROUND(((N133*Einstellungen!$B$15)+(O133*Einstellungen!$B$16)+(P133*Einstellungen!$B$17))*R133,2))</f>
        <v/>
      </c>
      <c r="U133" s="39"/>
      <c r="V133" s="38" t="str">
        <f t="shared" si="35"/>
        <v/>
      </c>
      <c r="W133" s="34" t="str">
        <f t="shared" si="36"/>
        <v/>
      </c>
      <c r="X133" s="34" t="str">
        <f>IF(M133="","",IF(M133&gt;Einstellungen!$B$12,"kritisch &gt;10 Std.",IF(M133&gt;Einstellungen!$B$11,"prüfen &gt;8 Std.","OK")))</f>
        <v/>
      </c>
      <c r="Y133" s="37" t="str">
        <f t="shared" si="37"/>
        <v/>
      </c>
      <c r="Z133" s="34" t="str">
        <f>IF(Y133="","",IF(Y133&lt;Einstellungen!$B$14,"kritisch &lt;10 Std.",IF(Y133&lt;Einstellungen!$B$13,"prüfen &lt;11 Std.","OK")))</f>
        <v/>
      </c>
      <c r="AA133" s="33"/>
      <c r="AB133" s="33"/>
      <c r="AC133" s="40" t="str">
        <f t="shared" si="38"/>
        <v/>
      </c>
      <c r="AD133" s="40" t="str">
        <f t="shared" si="39"/>
        <v/>
      </c>
      <c r="AE133" s="41" t="str">
        <f>IF(B133="","",IF(COUNTIF($B$6:B132,B133)=0,"",_xludf.MAXIFS($AD$6:AD132,$B$6:B132,B133)))</f>
        <v/>
      </c>
    </row>
    <row r="134" spans="1:31" ht="21.95" customHeight="1" x14ac:dyDescent="0.25">
      <c r="A134" s="32"/>
      <c r="B134" s="33"/>
      <c r="C134" s="34" t="str">
        <f>IFERROR(INDEX(Mitarbeiter!$B$6:$B$35,MATCH(B134,Mitarbeiter!$A$6:$A$35,0)),"")</f>
        <v/>
      </c>
      <c r="D134" s="74"/>
      <c r="E134" s="34" t="str">
        <f t="shared" ref="E134:E165" si="40">IF(D134="","",CHOOSE(WEEKDAY(D134,2),"Mo","Di","Mi","Do","Fr","Sa","So"))</f>
        <v/>
      </c>
      <c r="F134" s="33"/>
      <c r="G134" s="33"/>
      <c r="H134" s="35"/>
      <c r="I134" s="35"/>
      <c r="J134" s="33"/>
      <c r="K134" s="36" t="str">
        <f>IF(L134="","",IF(L134&gt;9,Einstellungen!$B$10,IF(L134&gt;6,Einstellungen!$B$9,0)))</f>
        <v/>
      </c>
      <c r="L134" s="37" t="str">
        <f t="shared" ref="L134:L160" si="41">IF(OR(H134="",I134=""),"",MOD(I134-H134,1)*24)</f>
        <v/>
      </c>
      <c r="M134" s="37" t="str">
        <f t="shared" ref="M134:M165" si="42">IF(L134="","",MAX(0,L134-J134/60))</f>
        <v/>
      </c>
      <c r="N134" s="37" t="str">
        <f>IF(OR(D134="",H134="",I134=""),"",ROUND((MAX(0,MIN(AD134,D134+1+Einstellungen!$B$8)-MAX(AC134,D134+Einstellungen!$B$7))*24)+(MAX(0,MIN(AD134,D134+Einstellungen!$B$8)-MAX(AC134,D134-1+Einstellungen!$B$7))*24),2))</f>
        <v/>
      </c>
      <c r="O134" s="37" t="str">
        <f t="shared" ref="O134:O160" si="43">IF(OR(D134="",H134="",I134=""),"",ROUND(IF(WEEKDAY(D134,2)=7,MAX(0,MIN(AD134,D134+1)-MAX(AC134,D134))*24,0)+IF(AD134&gt;D134+1,IF(WEEKDAY(D134+1,2)=7,MAX(0,MIN(AD134,D134+2)-MAX(AC134,D134+1))*24,0),0),2))</f>
        <v/>
      </c>
      <c r="P134" s="37" t="str">
        <f>IF(OR(D134="",H134="",I134=""),"",ROUND(IF(COUNTIF(Einstellungen!$A$21:$A$45,D134)&gt;0,MAX(0,MIN(AD134,D134+1)-MAX(AC134,D134))*24,0)+IF(AD134&gt;D134+1,IF(COUNTIF(Einstellungen!$A$21:$A$45,D134+1)&gt;0,MAX(0,MIN(AD134,D134+2)-MAX(AC134,D134+1))*24,0),0),2))</f>
        <v/>
      </c>
      <c r="Q134" s="34" t="str">
        <f>IF(D134="","",TRIM(IFERROR(VLOOKUP(D134,Einstellungen!$A$21:$B$45,2,FALSE)&amp;" ","")&amp;IF(I134&lt;=H134,IFERROR(VLOOKUP(D134+1,Einstellungen!$A$21:$B$45,2,FALSE),""),"")))</f>
        <v/>
      </c>
      <c r="R134" s="38" t="str">
        <f>IFERROR(INDEX(Mitarbeiter!$G$6:$G$35,MATCH(B134,Mitarbeiter!$A$6:$A$35,0)),"")</f>
        <v/>
      </c>
      <c r="S134" s="38" t="str">
        <f t="shared" ref="S134:S165" si="44">IF(M134="","",ROUND(M134*R134,2))</f>
        <v/>
      </c>
      <c r="T134" s="38" t="str">
        <f>IF(M134="","",ROUND(((N134*Einstellungen!$B$15)+(O134*Einstellungen!$B$16)+(P134*Einstellungen!$B$17))*R134,2))</f>
        <v/>
      </c>
      <c r="U134" s="39"/>
      <c r="V134" s="38" t="str">
        <f t="shared" ref="V134:V165" si="45">IF(M134="","",ROUND(S134+T134+U134,2))</f>
        <v/>
      </c>
      <c r="W134" s="34" t="str">
        <f t="shared" ref="W134:W160" si="46">IF(B134="","",IF(J134&lt;K134,"Pause prüfen","OK"))</f>
        <v/>
      </c>
      <c r="X134" s="34" t="str">
        <f>IF(M134="","",IF(M134&gt;Einstellungen!$B$12,"kritisch &gt;10 Std.",IF(M134&gt;Einstellungen!$B$11,"prüfen &gt;8 Std.","OK")))</f>
        <v/>
      </c>
      <c r="Y134" s="37" t="str">
        <f t="shared" ref="Y134:Y160" si="47">IF(AE134="","",ROUND((AC134-AE134)*24,2))</f>
        <v/>
      </c>
      <c r="Z134" s="34" t="str">
        <f>IF(Y134="","",IF(Y134&lt;Einstellungen!$B$14,"kritisch &lt;10 Std.",IF(Y134&lt;Einstellungen!$B$13,"prüfen &lt;11 Std.","OK")))</f>
        <v/>
      </c>
      <c r="AA134" s="33"/>
      <c r="AB134" s="33"/>
      <c r="AC134" s="40" t="str">
        <f t="shared" ref="AC134:AC160" si="48">IF(OR(D134="",H134=""),"",D134+H134)</f>
        <v/>
      </c>
      <c r="AD134" s="40" t="str">
        <f t="shared" ref="AD134:AD160" si="49">IF(OR(D134="",I134=""),"",D134+I134+IF(I134&lt;=H134,1,0))</f>
        <v/>
      </c>
      <c r="AE134" s="41" t="str">
        <f>IF(B134="","",IF(COUNTIF($B$6:B133,B134)=0,"",_xludf.MAXIFS($AD$6:AD133,$B$6:B133,B134)))</f>
        <v/>
      </c>
    </row>
    <row r="135" spans="1:31" ht="21.95" customHeight="1" x14ac:dyDescent="0.25">
      <c r="A135" s="32"/>
      <c r="B135" s="33"/>
      <c r="C135" s="34" t="str">
        <f>IFERROR(INDEX(Mitarbeiter!$B$6:$B$35,MATCH(B135,Mitarbeiter!$A$6:$A$35,0)),"")</f>
        <v/>
      </c>
      <c r="D135" s="74"/>
      <c r="E135" s="34" t="str">
        <f t="shared" si="40"/>
        <v/>
      </c>
      <c r="F135" s="33"/>
      <c r="G135" s="33"/>
      <c r="H135" s="35"/>
      <c r="I135" s="35"/>
      <c r="J135" s="33"/>
      <c r="K135" s="36" t="str">
        <f>IF(L135="","",IF(L135&gt;9,Einstellungen!$B$10,IF(L135&gt;6,Einstellungen!$B$9,0)))</f>
        <v/>
      </c>
      <c r="L135" s="37" t="str">
        <f t="shared" si="41"/>
        <v/>
      </c>
      <c r="M135" s="37" t="str">
        <f t="shared" si="42"/>
        <v/>
      </c>
      <c r="N135" s="37" t="str">
        <f>IF(OR(D135="",H135="",I135=""),"",ROUND((MAX(0,MIN(AD135,D135+1+Einstellungen!$B$8)-MAX(AC135,D135+Einstellungen!$B$7))*24)+(MAX(0,MIN(AD135,D135+Einstellungen!$B$8)-MAX(AC135,D135-1+Einstellungen!$B$7))*24),2))</f>
        <v/>
      </c>
      <c r="O135" s="37" t="str">
        <f t="shared" si="43"/>
        <v/>
      </c>
      <c r="P135" s="37" t="str">
        <f>IF(OR(D135="",H135="",I135=""),"",ROUND(IF(COUNTIF(Einstellungen!$A$21:$A$45,D135)&gt;0,MAX(0,MIN(AD135,D135+1)-MAX(AC135,D135))*24,0)+IF(AD135&gt;D135+1,IF(COUNTIF(Einstellungen!$A$21:$A$45,D135+1)&gt;0,MAX(0,MIN(AD135,D135+2)-MAX(AC135,D135+1))*24,0),0),2))</f>
        <v/>
      </c>
      <c r="Q135" s="34" t="str">
        <f>IF(D135="","",TRIM(IFERROR(VLOOKUP(D135,Einstellungen!$A$21:$B$45,2,FALSE)&amp;" ","")&amp;IF(I135&lt;=H135,IFERROR(VLOOKUP(D135+1,Einstellungen!$A$21:$B$45,2,FALSE),""),"")))</f>
        <v/>
      </c>
      <c r="R135" s="38" t="str">
        <f>IFERROR(INDEX(Mitarbeiter!$G$6:$G$35,MATCH(B135,Mitarbeiter!$A$6:$A$35,0)),"")</f>
        <v/>
      </c>
      <c r="S135" s="38" t="str">
        <f t="shared" si="44"/>
        <v/>
      </c>
      <c r="T135" s="38" t="str">
        <f>IF(M135="","",ROUND(((N135*Einstellungen!$B$15)+(O135*Einstellungen!$B$16)+(P135*Einstellungen!$B$17))*R135,2))</f>
        <v/>
      </c>
      <c r="U135" s="39"/>
      <c r="V135" s="38" t="str">
        <f t="shared" si="45"/>
        <v/>
      </c>
      <c r="W135" s="34" t="str">
        <f t="shared" si="46"/>
        <v/>
      </c>
      <c r="X135" s="34" t="str">
        <f>IF(M135="","",IF(M135&gt;Einstellungen!$B$12,"kritisch &gt;10 Std.",IF(M135&gt;Einstellungen!$B$11,"prüfen &gt;8 Std.","OK")))</f>
        <v/>
      </c>
      <c r="Y135" s="37" t="str">
        <f t="shared" si="47"/>
        <v/>
      </c>
      <c r="Z135" s="34" t="str">
        <f>IF(Y135="","",IF(Y135&lt;Einstellungen!$B$14,"kritisch &lt;10 Std.",IF(Y135&lt;Einstellungen!$B$13,"prüfen &lt;11 Std.","OK")))</f>
        <v/>
      </c>
      <c r="AA135" s="33"/>
      <c r="AB135" s="33"/>
      <c r="AC135" s="40" t="str">
        <f t="shared" si="48"/>
        <v/>
      </c>
      <c r="AD135" s="40" t="str">
        <f t="shared" si="49"/>
        <v/>
      </c>
      <c r="AE135" s="41" t="str">
        <f>IF(B135="","",IF(COUNTIF($B$6:B134,B135)=0,"",_xludf.MAXIFS($AD$6:AD134,$B$6:B134,B135)))</f>
        <v/>
      </c>
    </row>
    <row r="136" spans="1:31" ht="21.95" customHeight="1" x14ac:dyDescent="0.25">
      <c r="A136" s="32"/>
      <c r="B136" s="33"/>
      <c r="C136" s="34" t="str">
        <f>IFERROR(INDEX(Mitarbeiter!$B$6:$B$35,MATCH(B136,Mitarbeiter!$A$6:$A$35,0)),"")</f>
        <v/>
      </c>
      <c r="D136" s="74"/>
      <c r="E136" s="34" t="str">
        <f t="shared" si="40"/>
        <v/>
      </c>
      <c r="F136" s="33"/>
      <c r="G136" s="33"/>
      <c r="H136" s="35"/>
      <c r="I136" s="35"/>
      <c r="J136" s="33"/>
      <c r="K136" s="36" t="str">
        <f>IF(L136="","",IF(L136&gt;9,Einstellungen!$B$10,IF(L136&gt;6,Einstellungen!$B$9,0)))</f>
        <v/>
      </c>
      <c r="L136" s="37" t="str">
        <f t="shared" si="41"/>
        <v/>
      </c>
      <c r="M136" s="37" t="str">
        <f t="shared" si="42"/>
        <v/>
      </c>
      <c r="N136" s="37" t="str">
        <f>IF(OR(D136="",H136="",I136=""),"",ROUND((MAX(0,MIN(AD136,D136+1+Einstellungen!$B$8)-MAX(AC136,D136+Einstellungen!$B$7))*24)+(MAX(0,MIN(AD136,D136+Einstellungen!$B$8)-MAX(AC136,D136-1+Einstellungen!$B$7))*24),2))</f>
        <v/>
      </c>
      <c r="O136" s="37" t="str">
        <f t="shared" si="43"/>
        <v/>
      </c>
      <c r="P136" s="37" t="str">
        <f>IF(OR(D136="",H136="",I136=""),"",ROUND(IF(COUNTIF(Einstellungen!$A$21:$A$45,D136)&gt;0,MAX(0,MIN(AD136,D136+1)-MAX(AC136,D136))*24,0)+IF(AD136&gt;D136+1,IF(COUNTIF(Einstellungen!$A$21:$A$45,D136+1)&gt;0,MAX(0,MIN(AD136,D136+2)-MAX(AC136,D136+1))*24,0),0),2))</f>
        <v/>
      </c>
      <c r="Q136" s="34" t="str">
        <f>IF(D136="","",TRIM(IFERROR(VLOOKUP(D136,Einstellungen!$A$21:$B$45,2,FALSE)&amp;" ","")&amp;IF(I136&lt;=H136,IFERROR(VLOOKUP(D136+1,Einstellungen!$A$21:$B$45,2,FALSE),""),"")))</f>
        <v/>
      </c>
      <c r="R136" s="38" t="str">
        <f>IFERROR(INDEX(Mitarbeiter!$G$6:$G$35,MATCH(B136,Mitarbeiter!$A$6:$A$35,0)),"")</f>
        <v/>
      </c>
      <c r="S136" s="38" t="str">
        <f t="shared" si="44"/>
        <v/>
      </c>
      <c r="T136" s="38" t="str">
        <f>IF(M136="","",ROUND(((N136*Einstellungen!$B$15)+(O136*Einstellungen!$B$16)+(P136*Einstellungen!$B$17))*R136,2))</f>
        <v/>
      </c>
      <c r="U136" s="39"/>
      <c r="V136" s="38" t="str">
        <f t="shared" si="45"/>
        <v/>
      </c>
      <c r="W136" s="34" t="str">
        <f t="shared" si="46"/>
        <v/>
      </c>
      <c r="X136" s="34" t="str">
        <f>IF(M136="","",IF(M136&gt;Einstellungen!$B$12,"kritisch &gt;10 Std.",IF(M136&gt;Einstellungen!$B$11,"prüfen &gt;8 Std.","OK")))</f>
        <v/>
      </c>
      <c r="Y136" s="37" t="str">
        <f t="shared" si="47"/>
        <v/>
      </c>
      <c r="Z136" s="34" t="str">
        <f>IF(Y136="","",IF(Y136&lt;Einstellungen!$B$14,"kritisch &lt;10 Std.",IF(Y136&lt;Einstellungen!$B$13,"prüfen &lt;11 Std.","OK")))</f>
        <v/>
      </c>
      <c r="AA136" s="33"/>
      <c r="AB136" s="33"/>
      <c r="AC136" s="40" t="str">
        <f t="shared" si="48"/>
        <v/>
      </c>
      <c r="AD136" s="40" t="str">
        <f t="shared" si="49"/>
        <v/>
      </c>
      <c r="AE136" s="41" t="str">
        <f>IF(B136="","",IF(COUNTIF($B$6:B135,B136)=0,"",_xludf.MAXIFS($AD$6:AD135,$B$6:B135,B136)))</f>
        <v/>
      </c>
    </row>
    <row r="137" spans="1:31" ht="21.95" customHeight="1" x14ac:dyDescent="0.25">
      <c r="A137" s="32"/>
      <c r="B137" s="33"/>
      <c r="C137" s="34" t="str">
        <f>IFERROR(INDEX(Mitarbeiter!$B$6:$B$35,MATCH(B137,Mitarbeiter!$A$6:$A$35,0)),"")</f>
        <v/>
      </c>
      <c r="D137" s="74"/>
      <c r="E137" s="34" t="str">
        <f t="shared" si="40"/>
        <v/>
      </c>
      <c r="F137" s="33"/>
      <c r="G137" s="33"/>
      <c r="H137" s="35"/>
      <c r="I137" s="35"/>
      <c r="J137" s="33"/>
      <c r="K137" s="36" t="str">
        <f>IF(L137="","",IF(L137&gt;9,Einstellungen!$B$10,IF(L137&gt;6,Einstellungen!$B$9,0)))</f>
        <v/>
      </c>
      <c r="L137" s="37" t="str">
        <f t="shared" si="41"/>
        <v/>
      </c>
      <c r="M137" s="37" t="str">
        <f t="shared" si="42"/>
        <v/>
      </c>
      <c r="N137" s="37" t="str">
        <f>IF(OR(D137="",H137="",I137=""),"",ROUND((MAX(0,MIN(AD137,D137+1+Einstellungen!$B$8)-MAX(AC137,D137+Einstellungen!$B$7))*24)+(MAX(0,MIN(AD137,D137+Einstellungen!$B$8)-MAX(AC137,D137-1+Einstellungen!$B$7))*24),2))</f>
        <v/>
      </c>
      <c r="O137" s="37" t="str">
        <f t="shared" si="43"/>
        <v/>
      </c>
      <c r="P137" s="37" t="str">
        <f>IF(OR(D137="",H137="",I137=""),"",ROUND(IF(COUNTIF(Einstellungen!$A$21:$A$45,D137)&gt;0,MAX(0,MIN(AD137,D137+1)-MAX(AC137,D137))*24,0)+IF(AD137&gt;D137+1,IF(COUNTIF(Einstellungen!$A$21:$A$45,D137+1)&gt;0,MAX(0,MIN(AD137,D137+2)-MAX(AC137,D137+1))*24,0),0),2))</f>
        <v/>
      </c>
      <c r="Q137" s="34" t="str">
        <f>IF(D137="","",TRIM(IFERROR(VLOOKUP(D137,Einstellungen!$A$21:$B$45,2,FALSE)&amp;" ","")&amp;IF(I137&lt;=H137,IFERROR(VLOOKUP(D137+1,Einstellungen!$A$21:$B$45,2,FALSE),""),"")))</f>
        <v/>
      </c>
      <c r="R137" s="38" t="str">
        <f>IFERROR(INDEX(Mitarbeiter!$G$6:$G$35,MATCH(B137,Mitarbeiter!$A$6:$A$35,0)),"")</f>
        <v/>
      </c>
      <c r="S137" s="38" t="str">
        <f t="shared" si="44"/>
        <v/>
      </c>
      <c r="T137" s="38" t="str">
        <f>IF(M137="","",ROUND(((N137*Einstellungen!$B$15)+(O137*Einstellungen!$B$16)+(P137*Einstellungen!$B$17))*R137,2))</f>
        <v/>
      </c>
      <c r="U137" s="39"/>
      <c r="V137" s="38" t="str">
        <f t="shared" si="45"/>
        <v/>
      </c>
      <c r="W137" s="34" t="str">
        <f t="shared" si="46"/>
        <v/>
      </c>
      <c r="X137" s="34" t="str">
        <f>IF(M137="","",IF(M137&gt;Einstellungen!$B$12,"kritisch &gt;10 Std.",IF(M137&gt;Einstellungen!$B$11,"prüfen &gt;8 Std.","OK")))</f>
        <v/>
      </c>
      <c r="Y137" s="37" t="str">
        <f t="shared" si="47"/>
        <v/>
      </c>
      <c r="Z137" s="34" t="str">
        <f>IF(Y137="","",IF(Y137&lt;Einstellungen!$B$14,"kritisch &lt;10 Std.",IF(Y137&lt;Einstellungen!$B$13,"prüfen &lt;11 Std.","OK")))</f>
        <v/>
      </c>
      <c r="AA137" s="33"/>
      <c r="AB137" s="33"/>
      <c r="AC137" s="40" t="str">
        <f t="shared" si="48"/>
        <v/>
      </c>
      <c r="AD137" s="40" t="str">
        <f t="shared" si="49"/>
        <v/>
      </c>
      <c r="AE137" s="41" t="str">
        <f>IF(B137="","",IF(COUNTIF($B$6:B136,B137)=0,"",_xludf.MAXIFS($AD$6:AD136,$B$6:B136,B137)))</f>
        <v/>
      </c>
    </row>
    <row r="138" spans="1:31" ht="21.95" customHeight="1" x14ac:dyDescent="0.25">
      <c r="A138" s="32"/>
      <c r="B138" s="33"/>
      <c r="C138" s="34" t="str">
        <f>IFERROR(INDEX(Mitarbeiter!$B$6:$B$35,MATCH(B138,Mitarbeiter!$A$6:$A$35,0)),"")</f>
        <v/>
      </c>
      <c r="D138" s="74"/>
      <c r="E138" s="34" t="str">
        <f t="shared" si="40"/>
        <v/>
      </c>
      <c r="F138" s="33"/>
      <c r="G138" s="33"/>
      <c r="H138" s="35"/>
      <c r="I138" s="35"/>
      <c r="J138" s="33"/>
      <c r="K138" s="36" t="str">
        <f>IF(L138="","",IF(L138&gt;9,Einstellungen!$B$10,IF(L138&gt;6,Einstellungen!$B$9,0)))</f>
        <v/>
      </c>
      <c r="L138" s="37" t="str">
        <f t="shared" si="41"/>
        <v/>
      </c>
      <c r="M138" s="37" t="str">
        <f t="shared" si="42"/>
        <v/>
      </c>
      <c r="N138" s="37" t="str">
        <f>IF(OR(D138="",H138="",I138=""),"",ROUND((MAX(0,MIN(AD138,D138+1+Einstellungen!$B$8)-MAX(AC138,D138+Einstellungen!$B$7))*24)+(MAX(0,MIN(AD138,D138+Einstellungen!$B$8)-MAX(AC138,D138-1+Einstellungen!$B$7))*24),2))</f>
        <v/>
      </c>
      <c r="O138" s="37" t="str">
        <f t="shared" si="43"/>
        <v/>
      </c>
      <c r="P138" s="37" t="str">
        <f>IF(OR(D138="",H138="",I138=""),"",ROUND(IF(COUNTIF(Einstellungen!$A$21:$A$45,D138)&gt;0,MAX(0,MIN(AD138,D138+1)-MAX(AC138,D138))*24,0)+IF(AD138&gt;D138+1,IF(COUNTIF(Einstellungen!$A$21:$A$45,D138+1)&gt;0,MAX(0,MIN(AD138,D138+2)-MAX(AC138,D138+1))*24,0),0),2))</f>
        <v/>
      </c>
      <c r="Q138" s="34" t="str">
        <f>IF(D138="","",TRIM(IFERROR(VLOOKUP(D138,Einstellungen!$A$21:$B$45,2,FALSE)&amp;" ","")&amp;IF(I138&lt;=H138,IFERROR(VLOOKUP(D138+1,Einstellungen!$A$21:$B$45,2,FALSE),""),"")))</f>
        <v/>
      </c>
      <c r="R138" s="38" t="str">
        <f>IFERROR(INDEX(Mitarbeiter!$G$6:$G$35,MATCH(B138,Mitarbeiter!$A$6:$A$35,0)),"")</f>
        <v/>
      </c>
      <c r="S138" s="38" t="str">
        <f t="shared" si="44"/>
        <v/>
      </c>
      <c r="T138" s="38" t="str">
        <f>IF(M138="","",ROUND(((N138*Einstellungen!$B$15)+(O138*Einstellungen!$B$16)+(P138*Einstellungen!$B$17))*R138,2))</f>
        <v/>
      </c>
      <c r="U138" s="39"/>
      <c r="V138" s="38" t="str">
        <f t="shared" si="45"/>
        <v/>
      </c>
      <c r="W138" s="34" t="str">
        <f t="shared" si="46"/>
        <v/>
      </c>
      <c r="X138" s="34" t="str">
        <f>IF(M138="","",IF(M138&gt;Einstellungen!$B$12,"kritisch &gt;10 Std.",IF(M138&gt;Einstellungen!$B$11,"prüfen &gt;8 Std.","OK")))</f>
        <v/>
      </c>
      <c r="Y138" s="37" t="str">
        <f t="shared" si="47"/>
        <v/>
      </c>
      <c r="Z138" s="34" t="str">
        <f>IF(Y138="","",IF(Y138&lt;Einstellungen!$B$14,"kritisch &lt;10 Std.",IF(Y138&lt;Einstellungen!$B$13,"prüfen &lt;11 Std.","OK")))</f>
        <v/>
      </c>
      <c r="AA138" s="33"/>
      <c r="AB138" s="33"/>
      <c r="AC138" s="40" t="str">
        <f t="shared" si="48"/>
        <v/>
      </c>
      <c r="AD138" s="40" t="str">
        <f t="shared" si="49"/>
        <v/>
      </c>
      <c r="AE138" s="41" t="str">
        <f>IF(B138="","",IF(COUNTIF($B$6:B137,B138)=0,"",_xludf.MAXIFS($AD$6:AD137,$B$6:B137,B138)))</f>
        <v/>
      </c>
    </row>
    <row r="139" spans="1:31" ht="21.95" customHeight="1" x14ac:dyDescent="0.25">
      <c r="A139" s="32"/>
      <c r="B139" s="33"/>
      <c r="C139" s="34" t="str">
        <f>IFERROR(INDEX(Mitarbeiter!$B$6:$B$35,MATCH(B139,Mitarbeiter!$A$6:$A$35,0)),"")</f>
        <v/>
      </c>
      <c r="D139" s="74"/>
      <c r="E139" s="34" t="str">
        <f t="shared" si="40"/>
        <v/>
      </c>
      <c r="F139" s="33"/>
      <c r="G139" s="33"/>
      <c r="H139" s="35"/>
      <c r="I139" s="35"/>
      <c r="J139" s="33"/>
      <c r="K139" s="36" t="str">
        <f>IF(L139="","",IF(L139&gt;9,Einstellungen!$B$10,IF(L139&gt;6,Einstellungen!$B$9,0)))</f>
        <v/>
      </c>
      <c r="L139" s="37" t="str">
        <f t="shared" si="41"/>
        <v/>
      </c>
      <c r="M139" s="37" t="str">
        <f t="shared" si="42"/>
        <v/>
      </c>
      <c r="N139" s="37" t="str">
        <f>IF(OR(D139="",H139="",I139=""),"",ROUND((MAX(0,MIN(AD139,D139+1+Einstellungen!$B$8)-MAX(AC139,D139+Einstellungen!$B$7))*24)+(MAX(0,MIN(AD139,D139+Einstellungen!$B$8)-MAX(AC139,D139-1+Einstellungen!$B$7))*24),2))</f>
        <v/>
      </c>
      <c r="O139" s="37" t="str">
        <f t="shared" si="43"/>
        <v/>
      </c>
      <c r="P139" s="37" t="str">
        <f>IF(OR(D139="",H139="",I139=""),"",ROUND(IF(COUNTIF(Einstellungen!$A$21:$A$45,D139)&gt;0,MAX(0,MIN(AD139,D139+1)-MAX(AC139,D139))*24,0)+IF(AD139&gt;D139+1,IF(COUNTIF(Einstellungen!$A$21:$A$45,D139+1)&gt;0,MAX(0,MIN(AD139,D139+2)-MAX(AC139,D139+1))*24,0),0),2))</f>
        <v/>
      </c>
      <c r="Q139" s="34" t="str">
        <f>IF(D139="","",TRIM(IFERROR(VLOOKUP(D139,Einstellungen!$A$21:$B$45,2,FALSE)&amp;" ","")&amp;IF(I139&lt;=H139,IFERROR(VLOOKUP(D139+1,Einstellungen!$A$21:$B$45,2,FALSE),""),"")))</f>
        <v/>
      </c>
      <c r="R139" s="38" t="str">
        <f>IFERROR(INDEX(Mitarbeiter!$G$6:$G$35,MATCH(B139,Mitarbeiter!$A$6:$A$35,0)),"")</f>
        <v/>
      </c>
      <c r="S139" s="38" t="str">
        <f t="shared" si="44"/>
        <v/>
      </c>
      <c r="T139" s="38" t="str">
        <f>IF(M139="","",ROUND(((N139*Einstellungen!$B$15)+(O139*Einstellungen!$B$16)+(P139*Einstellungen!$B$17))*R139,2))</f>
        <v/>
      </c>
      <c r="U139" s="39"/>
      <c r="V139" s="38" t="str">
        <f t="shared" si="45"/>
        <v/>
      </c>
      <c r="W139" s="34" t="str">
        <f t="shared" si="46"/>
        <v/>
      </c>
      <c r="X139" s="34" t="str">
        <f>IF(M139="","",IF(M139&gt;Einstellungen!$B$12,"kritisch &gt;10 Std.",IF(M139&gt;Einstellungen!$B$11,"prüfen &gt;8 Std.","OK")))</f>
        <v/>
      </c>
      <c r="Y139" s="37" t="str">
        <f t="shared" si="47"/>
        <v/>
      </c>
      <c r="Z139" s="34" t="str">
        <f>IF(Y139="","",IF(Y139&lt;Einstellungen!$B$14,"kritisch &lt;10 Std.",IF(Y139&lt;Einstellungen!$B$13,"prüfen &lt;11 Std.","OK")))</f>
        <v/>
      </c>
      <c r="AA139" s="33"/>
      <c r="AB139" s="33"/>
      <c r="AC139" s="40" t="str">
        <f t="shared" si="48"/>
        <v/>
      </c>
      <c r="AD139" s="40" t="str">
        <f t="shared" si="49"/>
        <v/>
      </c>
      <c r="AE139" s="41" t="str">
        <f>IF(B139="","",IF(COUNTIF($B$6:B138,B139)=0,"",_xludf.MAXIFS($AD$6:AD138,$B$6:B138,B139)))</f>
        <v/>
      </c>
    </row>
    <row r="140" spans="1:31" ht="21.95" customHeight="1" x14ac:dyDescent="0.25">
      <c r="A140" s="32"/>
      <c r="B140" s="33"/>
      <c r="C140" s="34" t="str">
        <f>IFERROR(INDEX(Mitarbeiter!$B$6:$B$35,MATCH(B140,Mitarbeiter!$A$6:$A$35,0)),"")</f>
        <v/>
      </c>
      <c r="D140" s="74"/>
      <c r="E140" s="34" t="str">
        <f t="shared" si="40"/>
        <v/>
      </c>
      <c r="F140" s="33"/>
      <c r="G140" s="33"/>
      <c r="H140" s="35"/>
      <c r="I140" s="35"/>
      <c r="J140" s="33"/>
      <c r="K140" s="36" t="str">
        <f>IF(L140="","",IF(L140&gt;9,Einstellungen!$B$10,IF(L140&gt;6,Einstellungen!$B$9,0)))</f>
        <v/>
      </c>
      <c r="L140" s="37" t="str">
        <f t="shared" si="41"/>
        <v/>
      </c>
      <c r="M140" s="37" t="str">
        <f t="shared" si="42"/>
        <v/>
      </c>
      <c r="N140" s="37" t="str">
        <f>IF(OR(D140="",H140="",I140=""),"",ROUND((MAX(0,MIN(AD140,D140+1+Einstellungen!$B$8)-MAX(AC140,D140+Einstellungen!$B$7))*24)+(MAX(0,MIN(AD140,D140+Einstellungen!$B$8)-MAX(AC140,D140-1+Einstellungen!$B$7))*24),2))</f>
        <v/>
      </c>
      <c r="O140" s="37" t="str">
        <f t="shared" si="43"/>
        <v/>
      </c>
      <c r="P140" s="37" t="str">
        <f>IF(OR(D140="",H140="",I140=""),"",ROUND(IF(COUNTIF(Einstellungen!$A$21:$A$45,D140)&gt;0,MAX(0,MIN(AD140,D140+1)-MAX(AC140,D140))*24,0)+IF(AD140&gt;D140+1,IF(COUNTIF(Einstellungen!$A$21:$A$45,D140+1)&gt;0,MAX(0,MIN(AD140,D140+2)-MAX(AC140,D140+1))*24,0),0),2))</f>
        <v/>
      </c>
      <c r="Q140" s="34" t="str">
        <f>IF(D140="","",TRIM(IFERROR(VLOOKUP(D140,Einstellungen!$A$21:$B$45,2,FALSE)&amp;" ","")&amp;IF(I140&lt;=H140,IFERROR(VLOOKUP(D140+1,Einstellungen!$A$21:$B$45,2,FALSE),""),"")))</f>
        <v/>
      </c>
      <c r="R140" s="38" t="str">
        <f>IFERROR(INDEX(Mitarbeiter!$G$6:$G$35,MATCH(B140,Mitarbeiter!$A$6:$A$35,0)),"")</f>
        <v/>
      </c>
      <c r="S140" s="38" t="str">
        <f t="shared" si="44"/>
        <v/>
      </c>
      <c r="T140" s="38" t="str">
        <f>IF(M140="","",ROUND(((N140*Einstellungen!$B$15)+(O140*Einstellungen!$B$16)+(P140*Einstellungen!$B$17))*R140,2))</f>
        <v/>
      </c>
      <c r="U140" s="39"/>
      <c r="V140" s="38" t="str">
        <f t="shared" si="45"/>
        <v/>
      </c>
      <c r="W140" s="34" t="str">
        <f t="shared" si="46"/>
        <v/>
      </c>
      <c r="X140" s="34" t="str">
        <f>IF(M140="","",IF(M140&gt;Einstellungen!$B$12,"kritisch &gt;10 Std.",IF(M140&gt;Einstellungen!$B$11,"prüfen &gt;8 Std.","OK")))</f>
        <v/>
      </c>
      <c r="Y140" s="37" t="str">
        <f t="shared" si="47"/>
        <v/>
      </c>
      <c r="Z140" s="34" t="str">
        <f>IF(Y140="","",IF(Y140&lt;Einstellungen!$B$14,"kritisch &lt;10 Std.",IF(Y140&lt;Einstellungen!$B$13,"prüfen &lt;11 Std.","OK")))</f>
        <v/>
      </c>
      <c r="AA140" s="33"/>
      <c r="AB140" s="33"/>
      <c r="AC140" s="40" t="str">
        <f t="shared" si="48"/>
        <v/>
      </c>
      <c r="AD140" s="40" t="str">
        <f t="shared" si="49"/>
        <v/>
      </c>
      <c r="AE140" s="41" t="str">
        <f>IF(B140="","",IF(COUNTIF($B$6:B139,B140)=0,"",_xludf.MAXIFS($AD$6:AD139,$B$6:B139,B140)))</f>
        <v/>
      </c>
    </row>
    <row r="141" spans="1:31" ht="21.95" customHeight="1" x14ac:dyDescent="0.25">
      <c r="A141" s="32"/>
      <c r="B141" s="33"/>
      <c r="C141" s="34" t="str">
        <f>IFERROR(INDEX(Mitarbeiter!$B$6:$B$35,MATCH(B141,Mitarbeiter!$A$6:$A$35,0)),"")</f>
        <v/>
      </c>
      <c r="D141" s="74"/>
      <c r="E141" s="34" t="str">
        <f t="shared" si="40"/>
        <v/>
      </c>
      <c r="F141" s="33"/>
      <c r="G141" s="33"/>
      <c r="H141" s="35"/>
      <c r="I141" s="35"/>
      <c r="J141" s="33"/>
      <c r="K141" s="36" t="str">
        <f>IF(L141="","",IF(L141&gt;9,Einstellungen!$B$10,IF(L141&gt;6,Einstellungen!$B$9,0)))</f>
        <v/>
      </c>
      <c r="L141" s="37" t="str">
        <f t="shared" si="41"/>
        <v/>
      </c>
      <c r="M141" s="37" t="str">
        <f t="shared" si="42"/>
        <v/>
      </c>
      <c r="N141" s="37" t="str">
        <f>IF(OR(D141="",H141="",I141=""),"",ROUND((MAX(0,MIN(AD141,D141+1+Einstellungen!$B$8)-MAX(AC141,D141+Einstellungen!$B$7))*24)+(MAX(0,MIN(AD141,D141+Einstellungen!$B$8)-MAX(AC141,D141-1+Einstellungen!$B$7))*24),2))</f>
        <v/>
      </c>
      <c r="O141" s="37" t="str">
        <f t="shared" si="43"/>
        <v/>
      </c>
      <c r="P141" s="37" t="str">
        <f>IF(OR(D141="",H141="",I141=""),"",ROUND(IF(COUNTIF(Einstellungen!$A$21:$A$45,D141)&gt;0,MAX(0,MIN(AD141,D141+1)-MAX(AC141,D141))*24,0)+IF(AD141&gt;D141+1,IF(COUNTIF(Einstellungen!$A$21:$A$45,D141+1)&gt;0,MAX(0,MIN(AD141,D141+2)-MAX(AC141,D141+1))*24,0),0),2))</f>
        <v/>
      </c>
      <c r="Q141" s="34" t="str">
        <f>IF(D141="","",TRIM(IFERROR(VLOOKUP(D141,Einstellungen!$A$21:$B$45,2,FALSE)&amp;" ","")&amp;IF(I141&lt;=H141,IFERROR(VLOOKUP(D141+1,Einstellungen!$A$21:$B$45,2,FALSE),""),"")))</f>
        <v/>
      </c>
      <c r="R141" s="38" t="str">
        <f>IFERROR(INDEX(Mitarbeiter!$G$6:$G$35,MATCH(B141,Mitarbeiter!$A$6:$A$35,0)),"")</f>
        <v/>
      </c>
      <c r="S141" s="38" t="str">
        <f t="shared" si="44"/>
        <v/>
      </c>
      <c r="T141" s="38" t="str">
        <f>IF(M141="","",ROUND(((N141*Einstellungen!$B$15)+(O141*Einstellungen!$B$16)+(P141*Einstellungen!$B$17))*R141,2))</f>
        <v/>
      </c>
      <c r="U141" s="39"/>
      <c r="V141" s="38" t="str">
        <f t="shared" si="45"/>
        <v/>
      </c>
      <c r="W141" s="34" t="str">
        <f t="shared" si="46"/>
        <v/>
      </c>
      <c r="X141" s="34" t="str">
        <f>IF(M141="","",IF(M141&gt;Einstellungen!$B$12,"kritisch &gt;10 Std.",IF(M141&gt;Einstellungen!$B$11,"prüfen &gt;8 Std.","OK")))</f>
        <v/>
      </c>
      <c r="Y141" s="37" t="str">
        <f t="shared" si="47"/>
        <v/>
      </c>
      <c r="Z141" s="34" t="str">
        <f>IF(Y141="","",IF(Y141&lt;Einstellungen!$B$14,"kritisch &lt;10 Std.",IF(Y141&lt;Einstellungen!$B$13,"prüfen &lt;11 Std.","OK")))</f>
        <v/>
      </c>
      <c r="AA141" s="33"/>
      <c r="AB141" s="33"/>
      <c r="AC141" s="40" t="str">
        <f t="shared" si="48"/>
        <v/>
      </c>
      <c r="AD141" s="40" t="str">
        <f t="shared" si="49"/>
        <v/>
      </c>
      <c r="AE141" s="41" t="str">
        <f>IF(B141="","",IF(COUNTIF($B$6:B140,B141)=0,"",_xludf.MAXIFS($AD$6:AD140,$B$6:B140,B141)))</f>
        <v/>
      </c>
    </row>
    <row r="142" spans="1:31" ht="21.95" customHeight="1" x14ac:dyDescent="0.25">
      <c r="A142" s="32"/>
      <c r="B142" s="33"/>
      <c r="C142" s="34" t="str">
        <f>IFERROR(INDEX(Mitarbeiter!$B$6:$B$35,MATCH(B142,Mitarbeiter!$A$6:$A$35,0)),"")</f>
        <v/>
      </c>
      <c r="D142" s="74"/>
      <c r="E142" s="34" t="str">
        <f t="shared" si="40"/>
        <v/>
      </c>
      <c r="F142" s="33"/>
      <c r="G142" s="33"/>
      <c r="H142" s="35"/>
      <c r="I142" s="35"/>
      <c r="J142" s="33"/>
      <c r="K142" s="36" t="str">
        <f>IF(L142="","",IF(L142&gt;9,Einstellungen!$B$10,IF(L142&gt;6,Einstellungen!$B$9,0)))</f>
        <v/>
      </c>
      <c r="L142" s="37" t="str">
        <f t="shared" si="41"/>
        <v/>
      </c>
      <c r="M142" s="37" t="str">
        <f t="shared" si="42"/>
        <v/>
      </c>
      <c r="N142" s="37" t="str">
        <f>IF(OR(D142="",H142="",I142=""),"",ROUND((MAX(0,MIN(AD142,D142+1+Einstellungen!$B$8)-MAX(AC142,D142+Einstellungen!$B$7))*24)+(MAX(0,MIN(AD142,D142+Einstellungen!$B$8)-MAX(AC142,D142-1+Einstellungen!$B$7))*24),2))</f>
        <v/>
      </c>
      <c r="O142" s="37" t="str">
        <f t="shared" si="43"/>
        <v/>
      </c>
      <c r="P142" s="37" t="str">
        <f>IF(OR(D142="",H142="",I142=""),"",ROUND(IF(COUNTIF(Einstellungen!$A$21:$A$45,D142)&gt;0,MAX(0,MIN(AD142,D142+1)-MAX(AC142,D142))*24,0)+IF(AD142&gt;D142+1,IF(COUNTIF(Einstellungen!$A$21:$A$45,D142+1)&gt;0,MAX(0,MIN(AD142,D142+2)-MAX(AC142,D142+1))*24,0),0),2))</f>
        <v/>
      </c>
      <c r="Q142" s="34" t="str">
        <f>IF(D142="","",TRIM(IFERROR(VLOOKUP(D142,Einstellungen!$A$21:$B$45,2,FALSE)&amp;" ","")&amp;IF(I142&lt;=H142,IFERROR(VLOOKUP(D142+1,Einstellungen!$A$21:$B$45,2,FALSE),""),"")))</f>
        <v/>
      </c>
      <c r="R142" s="38" t="str">
        <f>IFERROR(INDEX(Mitarbeiter!$G$6:$G$35,MATCH(B142,Mitarbeiter!$A$6:$A$35,0)),"")</f>
        <v/>
      </c>
      <c r="S142" s="38" t="str">
        <f t="shared" si="44"/>
        <v/>
      </c>
      <c r="T142" s="38" t="str">
        <f>IF(M142="","",ROUND(((N142*Einstellungen!$B$15)+(O142*Einstellungen!$B$16)+(P142*Einstellungen!$B$17))*R142,2))</f>
        <v/>
      </c>
      <c r="U142" s="39"/>
      <c r="V142" s="38" t="str">
        <f t="shared" si="45"/>
        <v/>
      </c>
      <c r="W142" s="34" t="str">
        <f t="shared" si="46"/>
        <v/>
      </c>
      <c r="X142" s="34" t="str">
        <f>IF(M142="","",IF(M142&gt;Einstellungen!$B$12,"kritisch &gt;10 Std.",IF(M142&gt;Einstellungen!$B$11,"prüfen &gt;8 Std.","OK")))</f>
        <v/>
      </c>
      <c r="Y142" s="37" t="str">
        <f t="shared" si="47"/>
        <v/>
      </c>
      <c r="Z142" s="34" t="str">
        <f>IF(Y142="","",IF(Y142&lt;Einstellungen!$B$14,"kritisch &lt;10 Std.",IF(Y142&lt;Einstellungen!$B$13,"prüfen &lt;11 Std.","OK")))</f>
        <v/>
      </c>
      <c r="AA142" s="33"/>
      <c r="AB142" s="33"/>
      <c r="AC142" s="40" t="str">
        <f t="shared" si="48"/>
        <v/>
      </c>
      <c r="AD142" s="40" t="str">
        <f t="shared" si="49"/>
        <v/>
      </c>
      <c r="AE142" s="41" t="str">
        <f>IF(B142="","",IF(COUNTIF($B$6:B141,B142)=0,"",_xludf.MAXIFS($AD$6:AD141,$B$6:B141,B142)))</f>
        <v/>
      </c>
    </row>
    <row r="143" spans="1:31" ht="21.95" customHeight="1" x14ac:dyDescent="0.25">
      <c r="A143" s="32"/>
      <c r="B143" s="33"/>
      <c r="C143" s="34" t="str">
        <f>IFERROR(INDEX(Mitarbeiter!$B$6:$B$35,MATCH(B143,Mitarbeiter!$A$6:$A$35,0)),"")</f>
        <v/>
      </c>
      <c r="D143" s="74"/>
      <c r="E143" s="34" t="str">
        <f t="shared" si="40"/>
        <v/>
      </c>
      <c r="F143" s="33"/>
      <c r="G143" s="33"/>
      <c r="H143" s="35"/>
      <c r="I143" s="35"/>
      <c r="J143" s="33"/>
      <c r="K143" s="36" t="str">
        <f>IF(L143="","",IF(L143&gt;9,Einstellungen!$B$10,IF(L143&gt;6,Einstellungen!$B$9,0)))</f>
        <v/>
      </c>
      <c r="L143" s="37" t="str">
        <f t="shared" si="41"/>
        <v/>
      </c>
      <c r="M143" s="37" t="str">
        <f t="shared" si="42"/>
        <v/>
      </c>
      <c r="N143" s="37" t="str">
        <f>IF(OR(D143="",H143="",I143=""),"",ROUND((MAX(0,MIN(AD143,D143+1+Einstellungen!$B$8)-MAX(AC143,D143+Einstellungen!$B$7))*24)+(MAX(0,MIN(AD143,D143+Einstellungen!$B$8)-MAX(AC143,D143-1+Einstellungen!$B$7))*24),2))</f>
        <v/>
      </c>
      <c r="O143" s="37" t="str">
        <f t="shared" si="43"/>
        <v/>
      </c>
      <c r="P143" s="37" t="str">
        <f>IF(OR(D143="",H143="",I143=""),"",ROUND(IF(COUNTIF(Einstellungen!$A$21:$A$45,D143)&gt;0,MAX(0,MIN(AD143,D143+1)-MAX(AC143,D143))*24,0)+IF(AD143&gt;D143+1,IF(COUNTIF(Einstellungen!$A$21:$A$45,D143+1)&gt;0,MAX(0,MIN(AD143,D143+2)-MAX(AC143,D143+1))*24,0),0),2))</f>
        <v/>
      </c>
      <c r="Q143" s="34" t="str">
        <f>IF(D143="","",TRIM(IFERROR(VLOOKUP(D143,Einstellungen!$A$21:$B$45,2,FALSE)&amp;" ","")&amp;IF(I143&lt;=H143,IFERROR(VLOOKUP(D143+1,Einstellungen!$A$21:$B$45,2,FALSE),""),"")))</f>
        <v/>
      </c>
      <c r="R143" s="38" t="str">
        <f>IFERROR(INDEX(Mitarbeiter!$G$6:$G$35,MATCH(B143,Mitarbeiter!$A$6:$A$35,0)),"")</f>
        <v/>
      </c>
      <c r="S143" s="38" t="str">
        <f t="shared" si="44"/>
        <v/>
      </c>
      <c r="T143" s="38" t="str">
        <f>IF(M143="","",ROUND(((N143*Einstellungen!$B$15)+(O143*Einstellungen!$B$16)+(P143*Einstellungen!$B$17))*R143,2))</f>
        <v/>
      </c>
      <c r="U143" s="39"/>
      <c r="V143" s="38" t="str">
        <f t="shared" si="45"/>
        <v/>
      </c>
      <c r="W143" s="34" t="str">
        <f t="shared" si="46"/>
        <v/>
      </c>
      <c r="X143" s="34" t="str">
        <f>IF(M143="","",IF(M143&gt;Einstellungen!$B$12,"kritisch &gt;10 Std.",IF(M143&gt;Einstellungen!$B$11,"prüfen &gt;8 Std.","OK")))</f>
        <v/>
      </c>
      <c r="Y143" s="37" t="str">
        <f t="shared" si="47"/>
        <v/>
      </c>
      <c r="Z143" s="34" t="str">
        <f>IF(Y143="","",IF(Y143&lt;Einstellungen!$B$14,"kritisch &lt;10 Std.",IF(Y143&lt;Einstellungen!$B$13,"prüfen &lt;11 Std.","OK")))</f>
        <v/>
      </c>
      <c r="AA143" s="33"/>
      <c r="AB143" s="33"/>
      <c r="AC143" s="40" t="str">
        <f t="shared" si="48"/>
        <v/>
      </c>
      <c r="AD143" s="40" t="str">
        <f t="shared" si="49"/>
        <v/>
      </c>
      <c r="AE143" s="41" t="str">
        <f>IF(B143="","",IF(COUNTIF($B$6:B142,B143)=0,"",_xludf.MAXIFS($AD$6:AD142,$B$6:B142,B143)))</f>
        <v/>
      </c>
    </row>
    <row r="144" spans="1:31" ht="21.95" customHeight="1" x14ac:dyDescent="0.25">
      <c r="A144" s="32"/>
      <c r="B144" s="33"/>
      <c r="C144" s="34" t="str">
        <f>IFERROR(INDEX(Mitarbeiter!$B$6:$B$35,MATCH(B144,Mitarbeiter!$A$6:$A$35,0)),"")</f>
        <v/>
      </c>
      <c r="D144" s="74"/>
      <c r="E144" s="34" t="str">
        <f t="shared" si="40"/>
        <v/>
      </c>
      <c r="F144" s="33"/>
      <c r="G144" s="33"/>
      <c r="H144" s="35"/>
      <c r="I144" s="35"/>
      <c r="J144" s="33"/>
      <c r="K144" s="36" t="str">
        <f>IF(L144="","",IF(L144&gt;9,Einstellungen!$B$10,IF(L144&gt;6,Einstellungen!$B$9,0)))</f>
        <v/>
      </c>
      <c r="L144" s="37" t="str">
        <f t="shared" si="41"/>
        <v/>
      </c>
      <c r="M144" s="37" t="str">
        <f t="shared" si="42"/>
        <v/>
      </c>
      <c r="N144" s="37" t="str">
        <f>IF(OR(D144="",H144="",I144=""),"",ROUND((MAX(0,MIN(AD144,D144+1+Einstellungen!$B$8)-MAX(AC144,D144+Einstellungen!$B$7))*24)+(MAX(0,MIN(AD144,D144+Einstellungen!$B$8)-MAX(AC144,D144-1+Einstellungen!$B$7))*24),2))</f>
        <v/>
      </c>
      <c r="O144" s="37" t="str">
        <f t="shared" si="43"/>
        <v/>
      </c>
      <c r="P144" s="37" t="str">
        <f>IF(OR(D144="",H144="",I144=""),"",ROUND(IF(COUNTIF(Einstellungen!$A$21:$A$45,D144)&gt;0,MAX(0,MIN(AD144,D144+1)-MAX(AC144,D144))*24,0)+IF(AD144&gt;D144+1,IF(COUNTIF(Einstellungen!$A$21:$A$45,D144+1)&gt;0,MAX(0,MIN(AD144,D144+2)-MAX(AC144,D144+1))*24,0),0),2))</f>
        <v/>
      </c>
      <c r="Q144" s="34" t="str">
        <f>IF(D144="","",TRIM(IFERROR(VLOOKUP(D144,Einstellungen!$A$21:$B$45,2,FALSE)&amp;" ","")&amp;IF(I144&lt;=H144,IFERROR(VLOOKUP(D144+1,Einstellungen!$A$21:$B$45,2,FALSE),""),"")))</f>
        <v/>
      </c>
      <c r="R144" s="38" t="str">
        <f>IFERROR(INDEX(Mitarbeiter!$G$6:$G$35,MATCH(B144,Mitarbeiter!$A$6:$A$35,0)),"")</f>
        <v/>
      </c>
      <c r="S144" s="38" t="str">
        <f t="shared" si="44"/>
        <v/>
      </c>
      <c r="T144" s="38" t="str">
        <f>IF(M144="","",ROUND(((N144*Einstellungen!$B$15)+(O144*Einstellungen!$B$16)+(P144*Einstellungen!$B$17))*R144,2))</f>
        <v/>
      </c>
      <c r="U144" s="39"/>
      <c r="V144" s="38" t="str">
        <f t="shared" si="45"/>
        <v/>
      </c>
      <c r="W144" s="34" t="str">
        <f t="shared" si="46"/>
        <v/>
      </c>
      <c r="X144" s="34" t="str">
        <f>IF(M144="","",IF(M144&gt;Einstellungen!$B$12,"kritisch &gt;10 Std.",IF(M144&gt;Einstellungen!$B$11,"prüfen &gt;8 Std.","OK")))</f>
        <v/>
      </c>
      <c r="Y144" s="37" t="str">
        <f t="shared" si="47"/>
        <v/>
      </c>
      <c r="Z144" s="34" t="str">
        <f>IF(Y144="","",IF(Y144&lt;Einstellungen!$B$14,"kritisch &lt;10 Std.",IF(Y144&lt;Einstellungen!$B$13,"prüfen &lt;11 Std.","OK")))</f>
        <v/>
      </c>
      <c r="AA144" s="33"/>
      <c r="AB144" s="33"/>
      <c r="AC144" s="40" t="str">
        <f t="shared" si="48"/>
        <v/>
      </c>
      <c r="AD144" s="40" t="str">
        <f t="shared" si="49"/>
        <v/>
      </c>
      <c r="AE144" s="41" t="str">
        <f>IF(B144="","",IF(COUNTIF($B$6:B143,B144)=0,"",_xludf.MAXIFS($AD$6:AD143,$B$6:B143,B144)))</f>
        <v/>
      </c>
    </row>
    <row r="145" spans="1:31" ht="21.95" customHeight="1" x14ac:dyDescent="0.25">
      <c r="A145" s="32"/>
      <c r="B145" s="33"/>
      <c r="C145" s="34" t="str">
        <f>IFERROR(INDEX(Mitarbeiter!$B$6:$B$35,MATCH(B145,Mitarbeiter!$A$6:$A$35,0)),"")</f>
        <v/>
      </c>
      <c r="D145" s="74"/>
      <c r="E145" s="34" t="str">
        <f t="shared" si="40"/>
        <v/>
      </c>
      <c r="F145" s="33"/>
      <c r="G145" s="33"/>
      <c r="H145" s="35"/>
      <c r="I145" s="35"/>
      <c r="J145" s="33"/>
      <c r="K145" s="36" t="str">
        <f>IF(L145="","",IF(L145&gt;9,Einstellungen!$B$10,IF(L145&gt;6,Einstellungen!$B$9,0)))</f>
        <v/>
      </c>
      <c r="L145" s="37" t="str">
        <f t="shared" si="41"/>
        <v/>
      </c>
      <c r="M145" s="37" t="str">
        <f t="shared" si="42"/>
        <v/>
      </c>
      <c r="N145" s="37" t="str">
        <f>IF(OR(D145="",H145="",I145=""),"",ROUND((MAX(0,MIN(AD145,D145+1+Einstellungen!$B$8)-MAX(AC145,D145+Einstellungen!$B$7))*24)+(MAX(0,MIN(AD145,D145+Einstellungen!$B$8)-MAX(AC145,D145-1+Einstellungen!$B$7))*24),2))</f>
        <v/>
      </c>
      <c r="O145" s="37" t="str">
        <f t="shared" si="43"/>
        <v/>
      </c>
      <c r="P145" s="37" t="str">
        <f>IF(OR(D145="",H145="",I145=""),"",ROUND(IF(COUNTIF(Einstellungen!$A$21:$A$45,D145)&gt;0,MAX(0,MIN(AD145,D145+1)-MAX(AC145,D145))*24,0)+IF(AD145&gt;D145+1,IF(COUNTIF(Einstellungen!$A$21:$A$45,D145+1)&gt;0,MAX(0,MIN(AD145,D145+2)-MAX(AC145,D145+1))*24,0),0),2))</f>
        <v/>
      </c>
      <c r="Q145" s="34" t="str">
        <f>IF(D145="","",TRIM(IFERROR(VLOOKUP(D145,Einstellungen!$A$21:$B$45,2,FALSE)&amp;" ","")&amp;IF(I145&lt;=H145,IFERROR(VLOOKUP(D145+1,Einstellungen!$A$21:$B$45,2,FALSE),""),"")))</f>
        <v/>
      </c>
      <c r="R145" s="38" t="str">
        <f>IFERROR(INDEX(Mitarbeiter!$G$6:$G$35,MATCH(B145,Mitarbeiter!$A$6:$A$35,0)),"")</f>
        <v/>
      </c>
      <c r="S145" s="38" t="str">
        <f t="shared" si="44"/>
        <v/>
      </c>
      <c r="T145" s="38" t="str">
        <f>IF(M145="","",ROUND(((N145*Einstellungen!$B$15)+(O145*Einstellungen!$B$16)+(P145*Einstellungen!$B$17))*R145,2))</f>
        <v/>
      </c>
      <c r="U145" s="39"/>
      <c r="V145" s="38" t="str">
        <f t="shared" si="45"/>
        <v/>
      </c>
      <c r="W145" s="34" t="str">
        <f t="shared" si="46"/>
        <v/>
      </c>
      <c r="X145" s="34" t="str">
        <f>IF(M145="","",IF(M145&gt;Einstellungen!$B$12,"kritisch &gt;10 Std.",IF(M145&gt;Einstellungen!$B$11,"prüfen &gt;8 Std.","OK")))</f>
        <v/>
      </c>
      <c r="Y145" s="37" t="str">
        <f t="shared" si="47"/>
        <v/>
      </c>
      <c r="Z145" s="34" t="str">
        <f>IF(Y145="","",IF(Y145&lt;Einstellungen!$B$14,"kritisch &lt;10 Std.",IF(Y145&lt;Einstellungen!$B$13,"prüfen &lt;11 Std.","OK")))</f>
        <v/>
      </c>
      <c r="AA145" s="33"/>
      <c r="AB145" s="33"/>
      <c r="AC145" s="40" t="str">
        <f t="shared" si="48"/>
        <v/>
      </c>
      <c r="AD145" s="40" t="str">
        <f t="shared" si="49"/>
        <v/>
      </c>
      <c r="AE145" s="41" t="str">
        <f>IF(B145="","",IF(COUNTIF($B$6:B144,B145)=0,"",_xludf.MAXIFS($AD$6:AD144,$B$6:B144,B145)))</f>
        <v/>
      </c>
    </row>
    <row r="146" spans="1:31" ht="21.95" customHeight="1" x14ac:dyDescent="0.25">
      <c r="A146" s="32"/>
      <c r="B146" s="33"/>
      <c r="C146" s="34" t="str">
        <f>IFERROR(INDEX(Mitarbeiter!$B$6:$B$35,MATCH(B146,Mitarbeiter!$A$6:$A$35,0)),"")</f>
        <v/>
      </c>
      <c r="D146" s="74"/>
      <c r="E146" s="34" t="str">
        <f t="shared" si="40"/>
        <v/>
      </c>
      <c r="F146" s="33"/>
      <c r="G146" s="33"/>
      <c r="H146" s="35"/>
      <c r="I146" s="35"/>
      <c r="J146" s="33"/>
      <c r="K146" s="36" t="str">
        <f>IF(L146="","",IF(L146&gt;9,Einstellungen!$B$10,IF(L146&gt;6,Einstellungen!$B$9,0)))</f>
        <v/>
      </c>
      <c r="L146" s="37" t="str">
        <f t="shared" si="41"/>
        <v/>
      </c>
      <c r="M146" s="37" t="str">
        <f t="shared" si="42"/>
        <v/>
      </c>
      <c r="N146" s="37" t="str">
        <f>IF(OR(D146="",H146="",I146=""),"",ROUND((MAX(0,MIN(AD146,D146+1+Einstellungen!$B$8)-MAX(AC146,D146+Einstellungen!$B$7))*24)+(MAX(0,MIN(AD146,D146+Einstellungen!$B$8)-MAX(AC146,D146-1+Einstellungen!$B$7))*24),2))</f>
        <v/>
      </c>
      <c r="O146" s="37" t="str">
        <f t="shared" si="43"/>
        <v/>
      </c>
      <c r="P146" s="37" t="str">
        <f>IF(OR(D146="",H146="",I146=""),"",ROUND(IF(COUNTIF(Einstellungen!$A$21:$A$45,D146)&gt;0,MAX(0,MIN(AD146,D146+1)-MAX(AC146,D146))*24,0)+IF(AD146&gt;D146+1,IF(COUNTIF(Einstellungen!$A$21:$A$45,D146+1)&gt;0,MAX(0,MIN(AD146,D146+2)-MAX(AC146,D146+1))*24,0),0),2))</f>
        <v/>
      </c>
      <c r="Q146" s="34" t="str">
        <f>IF(D146="","",TRIM(IFERROR(VLOOKUP(D146,Einstellungen!$A$21:$B$45,2,FALSE)&amp;" ","")&amp;IF(I146&lt;=H146,IFERROR(VLOOKUP(D146+1,Einstellungen!$A$21:$B$45,2,FALSE),""),"")))</f>
        <v/>
      </c>
      <c r="R146" s="38" t="str">
        <f>IFERROR(INDEX(Mitarbeiter!$G$6:$G$35,MATCH(B146,Mitarbeiter!$A$6:$A$35,0)),"")</f>
        <v/>
      </c>
      <c r="S146" s="38" t="str">
        <f t="shared" si="44"/>
        <v/>
      </c>
      <c r="T146" s="38" t="str">
        <f>IF(M146="","",ROUND(((N146*Einstellungen!$B$15)+(O146*Einstellungen!$B$16)+(P146*Einstellungen!$B$17))*R146,2))</f>
        <v/>
      </c>
      <c r="U146" s="39"/>
      <c r="V146" s="38" t="str">
        <f t="shared" si="45"/>
        <v/>
      </c>
      <c r="W146" s="34" t="str">
        <f t="shared" si="46"/>
        <v/>
      </c>
      <c r="X146" s="34" t="str">
        <f>IF(M146="","",IF(M146&gt;Einstellungen!$B$12,"kritisch &gt;10 Std.",IF(M146&gt;Einstellungen!$B$11,"prüfen &gt;8 Std.","OK")))</f>
        <v/>
      </c>
      <c r="Y146" s="37" t="str">
        <f t="shared" si="47"/>
        <v/>
      </c>
      <c r="Z146" s="34" t="str">
        <f>IF(Y146="","",IF(Y146&lt;Einstellungen!$B$14,"kritisch &lt;10 Std.",IF(Y146&lt;Einstellungen!$B$13,"prüfen &lt;11 Std.","OK")))</f>
        <v/>
      </c>
      <c r="AA146" s="33"/>
      <c r="AB146" s="33"/>
      <c r="AC146" s="40" t="str">
        <f t="shared" si="48"/>
        <v/>
      </c>
      <c r="AD146" s="40" t="str">
        <f t="shared" si="49"/>
        <v/>
      </c>
      <c r="AE146" s="41" t="str">
        <f>IF(B146="","",IF(COUNTIF($B$6:B145,B146)=0,"",_xludf.MAXIFS($AD$6:AD145,$B$6:B145,B146)))</f>
        <v/>
      </c>
    </row>
    <row r="147" spans="1:31" ht="21.95" customHeight="1" x14ac:dyDescent="0.25">
      <c r="A147" s="32"/>
      <c r="B147" s="33"/>
      <c r="C147" s="34" t="str">
        <f>IFERROR(INDEX(Mitarbeiter!$B$6:$B$35,MATCH(B147,Mitarbeiter!$A$6:$A$35,0)),"")</f>
        <v/>
      </c>
      <c r="D147" s="74"/>
      <c r="E147" s="34" t="str">
        <f t="shared" si="40"/>
        <v/>
      </c>
      <c r="F147" s="33"/>
      <c r="G147" s="33"/>
      <c r="H147" s="35"/>
      <c r="I147" s="35"/>
      <c r="J147" s="33"/>
      <c r="K147" s="36" t="str">
        <f>IF(L147="","",IF(L147&gt;9,Einstellungen!$B$10,IF(L147&gt;6,Einstellungen!$B$9,0)))</f>
        <v/>
      </c>
      <c r="L147" s="37" t="str">
        <f t="shared" si="41"/>
        <v/>
      </c>
      <c r="M147" s="37" t="str">
        <f t="shared" si="42"/>
        <v/>
      </c>
      <c r="N147" s="37" t="str">
        <f>IF(OR(D147="",H147="",I147=""),"",ROUND((MAX(0,MIN(AD147,D147+1+Einstellungen!$B$8)-MAX(AC147,D147+Einstellungen!$B$7))*24)+(MAX(0,MIN(AD147,D147+Einstellungen!$B$8)-MAX(AC147,D147-1+Einstellungen!$B$7))*24),2))</f>
        <v/>
      </c>
      <c r="O147" s="37" t="str">
        <f t="shared" si="43"/>
        <v/>
      </c>
      <c r="P147" s="37" t="str">
        <f>IF(OR(D147="",H147="",I147=""),"",ROUND(IF(COUNTIF(Einstellungen!$A$21:$A$45,D147)&gt;0,MAX(0,MIN(AD147,D147+1)-MAX(AC147,D147))*24,0)+IF(AD147&gt;D147+1,IF(COUNTIF(Einstellungen!$A$21:$A$45,D147+1)&gt;0,MAX(0,MIN(AD147,D147+2)-MAX(AC147,D147+1))*24,0),0),2))</f>
        <v/>
      </c>
      <c r="Q147" s="34" t="str">
        <f>IF(D147="","",TRIM(IFERROR(VLOOKUP(D147,Einstellungen!$A$21:$B$45,2,FALSE)&amp;" ","")&amp;IF(I147&lt;=H147,IFERROR(VLOOKUP(D147+1,Einstellungen!$A$21:$B$45,2,FALSE),""),"")))</f>
        <v/>
      </c>
      <c r="R147" s="38" t="str">
        <f>IFERROR(INDEX(Mitarbeiter!$G$6:$G$35,MATCH(B147,Mitarbeiter!$A$6:$A$35,0)),"")</f>
        <v/>
      </c>
      <c r="S147" s="38" t="str">
        <f t="shared" si="44"/>
        <v/>
      </c>
      <c r="T147" s="38" t="str">
        <f>IF(M147="","",ROUND(((N147*Einstellungen!$B$15)+(O147*Einstellungen!$B$16)+(P147*Einstellungen!$B$17))*R147,2))</f>
        <v/>
      </c>
      <c r="U147" s="39"/>
      <c r="V147" s="38" t="str">
        <f t="shared" si="45"/>
        <v/>
      </c>
      <c r="W147" s="34" t="str">
        <f t="shared" si="46"/>
        <v/>
      </c>
      <c r="X147" s="34" t="str">
        <f>IF(M147="","",IF(M147&gt;Einstellungen!$B$12,"kritisch &gt;10 Std.",IF(M147&gt;Einstellungen!$B$11,"prüfen &gt;8 Std.","OK")))</f>
        <v/>
      </c>
      <c r="Y147" s="37" t="str">
        <f t="shared" si="47"/>
        <v/>
      </c>
      <c r="Z147" s="34" t="str">
        <f>IF(Y147="","",IF(Y147&lt;Einstellungen!$B$14,"kritisch &lt;10 Std.",IF(Y147&lt;Einstellungen!$B$13,"prüfen &lt;11 Std.","OK")))</f>
        <v/>
      </c>
      <c r="AA147" s="33"/>
      <c r="AB147" s="33"/>
      <c r="AC147" s="40" t="str">
        <f t="shared" si="48"/>
        <v/>
      </c>
      <c r="AD147" s="40" t="str">
        <f t="shared" si="49"/>
        <v/>
      </c>
      <c r="AE147" s="41" t="str">
        <f>IF(B147="","",IF(COUNTIF($B$6:B146,B147)=0,"",_xludf.MAXIFS($AD$6:AD146,$B$6:B146,B147)))</f>
        <v/>
      </c>
    </row>
    <row r="148" spans="1:31" ht="21.95" customHeight="1" x14ac:dyDescent="0.25">
      <c r="A148" s="32"/>
      <c r="B148" s="33"/>
      <c r="C148" s="34" t="str">
        <f>IFERROR(INDEX(Mitarbeiter!$B$6:$B$35,MATCH(B148,Mitarbeiter!$A$6:$A$35,0)),"")</f>
        <v/>
      </c>
      <c r="D148" s="74"/>
      <c r="E148" s="34" t="str">
        <f t="shared" si="40"/>
        <v/>
      </c>
      <c r="F148" s="33"/>
      <c r="G148" s="33"/>
      <c r="H148" s="35"/>
      <c r="I148" s="35"/>
      <c r="J148" s="33"/>
      <c r="K148" s="36" t="str">
        <f>IF(L148="","",IF(L148&gt;9,Einstellungen!$B$10,IF(L148&gt;6,Einstellungen!$B$9,0)))</f>
        <v/>
      </c>
      <c r="L148" s="37" t="str">
        <f t="shared" si="41"/>
        <v/>
      </c>
      <c r="M148" s="37" t="str">
        <f t="shared" si="42"/>
        <v/>
      </c>
      <c r="N148" s="37" t="str">
        <f>IF(OR(D148="",H148="",I148=""),"",ROUND((MAX(0,MIN(AD148,D148+1+Einstellungen!$B$8)-MAX(AC148,D148+Einstellungen!$B$7))*24)+(MAX(0,MIN(AD148,D148+Einstellungen!$B$8)-MAX(AC148,D148-1+Einstellungen!$B$7))*24),2))</f>
        <v/>
      </c>
      <c r="O148" s="37" t="str">
        <f t="shared" si="43"/>
        <v/>
      </c>
      <c r="P148" s="37" t="str">
        <f>IF(OR(D148="",H148="",I148=""),"",ROUND(IF(COUNTIF(Einstellungen!$A$21:$A$45,D148)&gt;0,MAX(0,MIN(AD148,D148+1)-MAX(AC148,D148))*24,0)+IF(AD148&gt;D148+1,IF(COUNTIF(Einstellungen!$A$21:$A$45,D148+1)&gt;0,MAX(0,MIN(AD148,D148+2)-MAX(AC148,D148+1))*24,0),0),2))</f>
        <v/>
      </c>
      <c r="Q148" s="34" t="str">
        <f>IF(D148="","",TRIM(IFERROR(VLOOKUP(D148,Einstellungen!$A$21:$B$45,2,FALSE)&amp;" ","")&amp;IF(I148&lt;=H148,IFERROR(VLOOKUP(D148+1,Einstellungen!$A$21:$B$45,2,FALSE),""),"")))</f>
        <v/>
      </c>
      <c r="R148" s="38" t="str">
        <f>IFERROR(INDEX(Mitarbeiter!$G$6:$G$35,MATCH(B148,Mitarbeiter!$A$6:$A$35,0)),"")</f>
        <v/>
      </c>
      <c r="S148" s="38" t="str">
        <f t="shared" si="44"/>
        <v/>
      </c>
      <c r="T148" s="38" t="str">
        <f>IF(M148="","",ROUND(((N148*Einstellungen!$B$15)+(O148*Einstellungen!$B$16)+(P148*Einstellungen!$B$17))*R148,2))</f>
        <v/>
      </c>
      <c r="U148" s="39"/>
      <c r="V148" s="38" t="str">
        <f t="shared" si="45"/>
        <v/>
      </c>
      <c r="W148" s="34" t="str">
        <f t="shared" si="46"/>
        <v/>
      </c>
      <c r="X148" s="34" t="str">
        <f>IF(M148="","",IF(M148&gt;Einstellungen!$B$12,"kritisch &gt;10 Std.",IF(M148&gt;Einstellungen!$B$11,"prüfen &gt;8 Std.","OK")))</f>
        <v/>
      </c>
      <c r="Y148" s="37" t="str">
        <f t="shared" si="47"/>
        <v/>
      </c>
      <c r="Z148" s="34" t="str">
        <f>IF(Y148="","",IF(Y148&lt;Einstellungen!$B$14,"kritisch &lt;10 Std.",IF(Y148&lt;Einstellungen!$B$13,"prüfen &lt;11 Std.","OK")))</f>
        <v/>
      </c>
      <c r="AA148" s="33"/>
      <c r="AB148" s="33"/>
      <c r="AC148" s="40" t="str">
        <f t="shared" si="48"/>
        <v/>
      </c>
      <c r="AD148" s="40" t="str">
        <f t="shared" si="49"/>
        <v/>
      </c>
      <c r="AE148" s="41" t="str">
        <f>IF(B148="","",IF(COUNTIF($B$6:B147,B148)=0,"",_xludf.MAXIFS($AD$6:AD147,$B$6:B147,B148)))</f>
        <v/>
      </c>
    </row>
    <row r="149" spans="1:31" ht="21.95" customHeight="1" x14ac:dyDescent="0.25">
      <c r="A149" s="32"/>
      <c r="B149" s="33"/>
      <c r="C149" s="34" t="str">
        <f>IFERROR(INDEX(Mitarbeiter!$B$6:$B$35,MATCH(B149,Mitarbeiter!$A$6:$A$35,0)),"")</f>
        <v/>
      </c>
      <c r="D149" s="74"/>
      <c r="E149" s="34" t="str">
        <f t="shared" si="40"/>
        <v/>
      </c>
      <c r="F149" s="33"/>
      <c r="G149" s="33"/>
      <c r="H149" s="35"/>
      <c r="I149" s="35"/>
      <c r="J149" s="33"/>
      <c r="K149" s="36" t="str">
        <f>IF(L149="","",IF(L149&gt;9,Einstellungen!$B$10,IF(L149&gt;6,Einstellungen!$B$9,0)))</f>
        <v/>
      </c>
      <c r="L149" s="37" t="str">
        <f t="shared" si="41"/>
        <v/>
      </c>
      <c r="M149" s="37" t="str">
        <f t="shared" si="42"/>
        <v/>
      </c>
      <c r="N149" s="37" t="str">
        <f>IF(OR(D149="",H149="",I149=""),"",ROUND((MAX(0,MIN(AD149,D149+1+Einstellungen!$B$8)-MAX(AC149,D149+Einstellungen!$B$7))*24)+(MAX(0,MIN(AD149,D149+Einstellungen!$B$8)-MAX(AC149,D149-1+Einstellungen!$B$7))*24),2))</f>
        <v/>
      </c>
      <c r="O149" s="37" t="str">
        <f t="shared" si="43"/>
        <v/>
      </c>
      <c r="P149" s="37" t="str">
        <f>IF(OR(D149="",H149="",I149=""),"",ROUND(IF(COUNTIF(Einstellungen!$A$21:$A$45,D149)&gt;0,MAX(0,MIN(AD149,D149+1)-MAX(AC149,D149))*24,0)+IF(AD149&gt;D149+1,IF(COUNTIF(Einstellungen!$A$21:$A$45,D149+1)&gt;0,MAX(0,MIN(AD149,D149+2)-MAX(AC149,D149+1))*24,0),0),2))</f>
        <v/>
      </c>
      <c r="Q149" s="34" t="str">
        <f>IF(D149="","",TRIM(IFERROR(VLOOKUP(D149,Einstellungen!$A$21:$B$45,2,FALSE)&amp;" ","")&amp;IF(I149&lt;=H149,IFERROR(VLOOKUP(D149+1,Einstellungen!$A$21:$B$45,2,FALSE),""),"")))</f>
        <v/>
      </c>
      <c r="R149" s="38" t="str">
        <f>IFERROR(INDEX(Mitarbeiter!$G$6:$G$35,MATCH(B149,Mitarbeiter!$A$6:$A$35,0)),"")</f>
        <v/>
      </c>
      <c r="S149" s="38" t="str">
        <f t="shared" si="44"/>
        <v/>
      </c>
      <c r="T149" s="38" t="str">
        <f>IF(M149="","",ROUND(((N149*Einstellungen!$B$15)+(O149*Einstellungen!$B$16)+(P149*Einstellungen!$B$17))*R149,2))</f>
        <v/>
      </c>
      <c r="U149" s="39"/>
      <c r="V149" s="38" t="str">
        <f t="shared" si="45"/>
        <v/>
      </c>
      <c r="W149" s="34" t="str">
        <f t="shared" si="46"/>
        <v/>
      </c>
      <c r="X149" s="34" t="str">
        <f>IF(M149="","",IF(M149&gt;Einstellungen!$B$12,"kritisch &gt;10 Std.",IF(M149&gt;Einstellungen!$B$11,"prüfen &gt;8 Std.","OK")))</f>
        <v/>
      </c>
      <c r="Y149" s="37" t="str">
        <f t="shared" si="47"/>
        <v/>
      </c>
      <c r="Z149" s="34" t="str">
        <f>IF(Y149="","",IF(Y149&lt;Einstellungen!$B$14,"kritisch &lt;10 Std.",IF(Y149&lt;Einstellungen!$B$13,"prüfen &lt;11 Std.","OK")))</f>
        <v/>
      </c>
      <c r="AA149" s="33"/>
      <c r="AB149" s="33"/>
      <c r="AC149" s="40" t="str">
        <f t="shared" si="48"/>
        <v/>
      </c>
      <c r="AD149" s="40" t="str">
        <f t="shared" si="49"/>
        <v/>
      </c>
      <c r="AE149" s="41" t="str">
        <f>IF(B149="","",IF(COUNTIF($B$6:B148,B149)=0,"",_xludf.MAXIFS($AD$6:AD148,$B$6:B148,B149)))</f>
        <v/>
      </c>
    </row>
    <row r="150" spans="1:31" ht="21.95" customHeight="1" x14ac:dyDescent="0.25">
      <c r="A150" s="32"/>
      <c r="B150" s="33"/>
      <c r="C150" s="34" t="str">
        <f>IFERROR(INDEX(Mitarbeiter!$B$6:$B$35,MATCH(B150,Mitarbeiter!$A$6:$A$35,0)),"")</f>
        <v/>
      </c>
      <c r="D150" s="74"/>
      <c r="E150" s="34" t="str">
        <f t="shared" si="40"/>
        <v/>
      </c>
      <c r="F150" s="33"/>
      <c r="G150" s="33"/>
      <c r="H150" s="35"/>
      <c r="I150" s="35"/>
      <c r="J150" s="33"/>
      <c r="K150" s="36" t="str">
        <f>IF(L150="","",IF(L150&gt;9,Einstellungen!$B$10,IF(L150&gt;6,Einstellungen!$B$9,0)))</f>
        <v/>
      </c>
      <c r="L150" s="37" t="str">
        <f t="shared" si="41"/>
        <v/>
      </c>
      <c r="M150" s="37" t="str">
        <f t="shared" si="42"/>
        <v/>
      </c>
      <c r="N150" s="37" t="str">
        <f>IF(OR(D150="",H150="",I150=""),"",ROUND((MAX(0,MIN(AD150,D150+1+Einstellungen!$B$8)-MAX(AC150,D150+Einstellungen!$B$7))*24)+(MAX(0,MIN(AD150,D150+Einstellungen!$B$8)-MAX(AC150,D150-1+Einstellungen!$B$7))*24),2))</f>
        <v/>
      </c>
      <c r="O150" s="37" t="str">
        <f t="shared" si="43"/>
        <v/>
      </c>
      <c r="P150" s="37" t="str">
        <f>IF(OR(D150="",H150="",I150=""),"",ROUND(IF(COUNTIF(Einstellungen!$A$21:$A$45,D150)&gt;0,MAX(0,MIN(AD150,D150+1)-MAX(AC150,D150))*24,0)+IF(AD150&gt;D150+1,IF(COUNTIF(Einstellungen!$A$21:$A$45,D150+1)&gt;0,MAX(0,MIN(AD150,D150+2)-MAX(AC150,D150+1))*24,0),0),2))</f>
        <v/>
      </c>
      <c r="Q150" s="34" t="str">
        <f>IF(D150="","",TRIM(IFERROR(VLOOKUP(D150,Einstellungen!$A$21:$B$45,2,FALSE)&amp;" ","")&amp;IF(I150&lt;=H150,IFERROR(VLOOKUP(D150+1,Einstellungen!$A$21:$B$45,2,FALSE),""),"")))</f>
        <v/>
      </c>
      <c r="R150" s="38" t="str">
        <f>IFERROR(INDEX(Mitarbeiter!$G$6:$G$35,MATCH(B150,Mitarbeiter!$A$6:$A$35,0)),"")</f>
        <v/>
      </c>
      <c r="S150" s="38" t="str">
        <f t="shared" si="44"/>
        <v/>
      </c>
      <c r="T150" s="38" t="str">
        <f>IF(M150="","",ROUND(((N150*Einstellungen!$B$15)+(O150*Einstellungen!$B$16)+(P150*Einstellungen!$B$17))*R150,2))</f>
        <v/>
      </c>
      <c r="U150" s="39"/>
      <c r="V150" s="38" t="str">
        <f t="shared" si="45"/>
        <v/>
      </c>
      <c r="W150" s="34" t="str">
        <f t="shared" si="46"/>
        <v/>
      </c>
      <c r="X150" s="34" t="str">
        <f>IF(M150="","",IF(M150&gt;Einstellungen!$B$12,"kritisch &gt;10 Std.",IF(M150&gt;Einstellungen!$B$11,"prüfen &gt;8 Std.","OK")))</f>
        <v/>
      </c>
      <c r="Y150" s="37" t="str">
        <f t="shared" si="47"/>
        <v/>
      </c>
      <c r="Z150" s="34" t="str">
        <f>IF(Y150="","",IF(Y150&lt;Einstellungen!$B$14,"kritisch &lt;10 Std.",IF(Y150&lt;Einstellungen!$B$13,"prüfen &lt;11 Std.","OK")))</f>
        <v/>
      </c>
      <c r="AA150" s="33"/>
      <c r="AB150" s="33"/>
      <c r="AC150" s="40" t="str">
        <f t="shared" si="48"/>
        <v/>
      </c>
      <c r="AD150" s="40" t="str">
        <f t="shared" si="49"/>
        <v/>
      </c>
      <c r="AE150" s="41" t="str">
        <f>IF(B150="","",IF(COUNTIF($B$6:B149,B150)=0,"",_xludf.MAXIFS($AD$6:AD149,$B$6:B149,B150)))</f>
        <v/>
      </c>
    </row>
    <row r="151" spans="1:31" ht="21.95" customHeight="1" x14ac:dyDescent="0.25">
      <c r="A151" s="32"/>
      <c r="B151" s="33"/>
      <c r="C151" s="34" t="str">
        <f>IFERROR(INDEX(Mitarbeiter!$B$6:$B$35,MATCH(B151,Mitarbeiter!$A$6:$A$35,0)),"")</f>
        <v/>
      </c>
      <c r="D151" s="74"/>
      <c r="E151" s="34" t="str">
        <f t="shared" si="40"/>
        <v/>
      </c>
      <c r="F151" s="33"/>
      <c r="G151" s="33"/>
      <c r="H151" s="35"/>
      <c r="I151" s="35"/>
      <c r="J151" s="33"/>
      <c r="K151" s="36" t="str">
        <f>IF(L151="","",IF(L151&gt;9,Einstellungen!$B$10,IF(L151&gt;6,Einstellungen!$B$9,0)))</f>
        <v/>
      </c>
      <c r="L151" s="37" t="str">
        <f t="shared" si="41"/>
        <v/>
      </c>
      <c r="M151" s="37" t="str">
        <f t="shared" si="42"/>
        <v/>
      </c>
      <c r="N151" s="37" t="str">
        <f>IF(OR(D151="",H151="",I151=""),"",ROUND((MAX(0,MIN(AD151,D151+1+Einstellungen!$B$8)-MAX(AC151,D151+Einstellungen!$B$7))*24)+(MAX(0,MIN(AD151,D151+Einstellungen!$B$8)-MAX(AC151,D151-1+Einstellungen!$B$7))*24),2))</f>
        <v/>
      </c>
      <c r="O151" s="37" t="str">
        <f t="shared" si="43"/>
        <v/>
      </c>
      <c r="P151" s="37" t="str">
        <f>IF(OR(D151="",H151="",I151=""),"",ROUND(IF(COUNTIF(Einstellungen!$A$21:$A$45,D151)&gt;0,MAX(0,MIN(AD151,D151+1)-MAX(AC151,D151))*24,0)+IF(AD151&gt;D151+1,IF(COUNTIF(Einstellungen!$A$21:$A$45,D151+1)&gt;0,MAX(0,MIN(AD151,D151+2)-MAX(AC151,D151+1))*24,0),0),2))</f>
        <v/>
      </c>
      <c r="Q151" s="34" t="str">
        <f>IF(D151="","",TRIM(IFERROR(VLOOKUP(D151,Einstellungen!$A$21:$B$45,2,FALSE)&amp;" ","")&amp;IF(I151&lt;=H151,IFERROR(VLOOKUP(D151+1,Einstellungen!$A$21:$B$45,2,FALSE),""),"")))</f>
        <v/>
      </c>
      <c r="R151" s="38" t="str">
        <f>IFERROR(INDEX(Mitarbeiter!$G$6:$G$35,MATCH(B151,Mitarbeiter!$A$6:$A$35,0)),"")</f>
        <v/>
      </c>
      <c r="S151" s="38" t="str">
        <f t="shared" si="44"/>
        <v/>
      </c>
      <c r="T151" s="38" t="str">
        <f>IF(M151="","",ROUND(((N151*Einstellungen!$B$15)+(O151*Einstellungen!$B$16)+(P151*Einstellungen!$B$17))*R151,2))</f>
        <v/>
      </c>
      <c r="U151" s="39"/>
      <c r="V151" s="38" t="str">
        <f t="shared" si="45"/>
        <v/>
      </c>
      <c r="W151" s="34" t="str">
        <f t="shared" si="46"/>
        <v/>
      </c>
      <c r="X151" s="34" t="str">
        <f>IF(M151="","",IF(M151&gt;Einstellungen!$B$12,"kritisch &gt;10 Std.",IF(M151&gt;Einstellungen!$B$11,"prüfen &gt;8 Std.","OK")))</f>
        <v/>
      </c>
      <c r="Y151" s="37" t="str">
        <f t="shared" si="47"/>
        <v/>
      </c>
      <c r="Z151" s="34" t="str">
        <f>IF(Y151="","",IF(Y151&lt;Einstellungen!$B$14,"kritisch &lt;10 Std.",IF(Y151&lt;Einstellungen!$B$13,"prüfen &lt;11 Std.","OK")))</f>
        <v/>
      </c>
      <c r="AA151" s="33"/>
      <c r="AB151" s="33"/>
      <c r="AC151" s="40" t="str">
        <f t="shared" si="48"/>
        <v/>
      </c>
      <c r="AD151" s="40" t="str">
        <f t="shared" si="49"/>
        <v/>
      </c>
      <c r="AE151" s="41" t="str">
        <f>IF(B151="","",IF(COUNTIF($B$6:B150,B151)=0,"",_xludf.MAXIFS($AD$6:AD150,$B$6:B150,B151)))</f>
        <v/>
      </c>
    </row>
    <row r="152" spans="1:31" ht="21.95" customHeight="1" x14ac:dyDescent="0.25">
      <c r="A152" s="32"/>
      <c r="B152" s="33"/>
      <c r="C152" s="34" t="str">
        <f>IFERROR(INDEX(Mitarbeiter!$B$6:$B$35,MATCH(B152,Mitarbeiter!$A$6:$A$35,0)),"")</f>
        <v/>
      </c>
      <c r="D152" s="74"/>
      <c r="E152" s="34" t="str">
        <f t="shared" si="40"/>
        <v/>
      </c>
      <c r="F152" s="33"/>
      <c r="G152" s="33"/>
      <c r="H152" s="35"/>
      <c r="I152" s="35"/>
      <c r="J152" s="33"/>
      <c r="K152" s="36" t="str">
        <f>IF(L152="","",IF(L152&gt;9,Einstellungen!$B$10,IF(L152&gt;6,Einstellungen!$B$9,0)))</f>
        <v/>
      </c>
      <c r="L152" s="37" t="str">
        <f t="shared" si="41"/>
        <v/>
      </c>
      <c r="M152" s="37" t="str">
        <f t="shared" si="42"/>
        <v/>
      </c>
      <c r="N152" s="37" t="str">
        <f>IF(OR(D152="",H152="",I152=""),"",ROUND((MAX(0,MIN(AD152,D152+1+Einstellungen!$B$8)-MAX(AC152,D152+Einstellungen!$B$7))*24)+(MAX(0,MIN(AD152,D152+Einstellungen!$B$8)-MAX(AC152,D152-1+Einstellungen!$B$7))*24),2))</f>
        <v/>
      </c>
      <c r="O152" s="37" t="str">
        <f t="shared" si="43"/>
        <v/>
      </c>
      <c r="P152" s="37" t="str">
        <f>IF(OR(D152="",H152="",I152=""),"",ROUND(IF(COUNTIF(Einstellungen!$A$21:$A$45,D152)&gt;0,MAX(0,MIN(AD152,D152+1)-MAX(AC152,D152))*24,0)+IF(AD152&gt;D152+1,IF(COUNTIF(Einstellungen!$A$21:$A$45,D152+1)&gt;0,MAX(0,MIN(AD152,D152+2)-MAX(AC152,D152+1))*24,0),0),2))</f>
        <v/>
      </c>
      <c r="Q152" s="34" t="str">
        <f>IF(D152="","",TRIM(IFERROR(VLOOKUP(D152,Einstellungen!$A$21:$B$45,2,FALSE)&amp;" ","")&amp;IF(I152&lt;=H152,IFERROR(VLOOKUP(D152+1,Einstellungen!$A$21:$B$45,2,FALSE),""),"")))</f>
        <v/>
      </c>
      <c r="R152" s="38" t="str">
        <f>IFERROR(INDEX(Mitarbeiter!$G$6:$G$35,MATCH(B152,Mitarbeiter!$A$6:$A$35,0)),"")</f>
        <v/>
      </c>
      <c r="S152" s="38" t="str">
        <f t="shared" si="44"/>
        <v/>
      </c>
      <c r="T152" s="38" t="str">
        <f>IF(M152="","",ROUND(((N152*Einstellungen!$B$15)+(O152*Einstellungen!$B$16)+(P152*Einstellungen!$B$17))*R152,2))</f>
        <v/>
      </c>
      <c r="U152" s="39"/>
      <c r="V152" s="38" t="str">
        <f t="shared" si="45"/>
        <v/>
      </c>
      <c r="W152" s="34" t="str">
        <f t="shared" si="46"/>
        <v/>
      </c>
      <c r="X152" s="34" t="str">
        <f>IF(M152="","",IF(M152&gt;Einstellungen!$B$12,"kritisch &gt;10 Std.",IF(M152&gt;Einstellungen!$B$11,"prüfen &gt;8 Std.","OK")))</f>
        <v/>
      </c>
      <c r="Y152" s="37" t="str">
        <f t="shared" si="47"/>
        <v/>
      </c>
      <c r="Z152" s="34" t="str">
        <f>IF(Y152="","",IF(Y152&lt;Einstellungen!$B$14,"kritisch &lt;10 Std.",IF(Y152&lt;Einstellungen!$B$13,"prüfen &lt;11 Std.","OK")))</f>
        <v/>
      </c>
      <c r="AA152" s="33"/>
      <c r="AB152" s="33"/>
      <c r="AC152" s="40" t="str">
        <f t="shared" si="48"/>
        <v/>
      </c>
      <c r="AD152" s="40" t="str">
        <f t="shared" si="49"/>
        <v/>
      </c>
      <c r="AE152" s="41" t="str">
        <f>IF(B152="","",IF(COUNTIF($B$6:B151,B152)=0,"",_xludf.MAXIFS($AD$6:AD151,$B$6:B151,B152)))</f>
        <v/>
      </c>
    </row>
    <row r="153" spans="1:31" ht="21.95" customHeight="1" x14ac:dyDescent="0.25">
      <c r="A153" s="32"/>
      <c r="B153" s="33"/>
      <c r="C153" s="34" t="str">
        <f>IFERROR(INDEX(Mitarbeiter!$B$6:$B$35,MATCH(B153,Mitarbeiter!$A$6:$A$35,0)),"")</f>
        <v/>
      </c>
      <c r="D153" s="74"/>
      <c r="E153" s="34" t="str">
        <f t="shared" si="40"/>
        <v/>
      </c>
      <c r="F153" s="33"/>
      <c r="G153" s="33"/>
      <c r="H153" s="35"/>
      <c r="I153" s="35"/>
      <c r="J153" s="33"/>
      <c r="K153" s="36" t="str">
        <f>IF(L153="","",IF(L153&gt;9,Einstellungen!$B$10,IF(L153&gt;6,Einstellungen!$B$9,0)))</f>
        <v/>
      </c>
      <c r="L153" s="37" t="str">
        <f t="shared" si="41"/>
        <v/>
      </c>
      <c r="M153" s="37" t="str">
        <f t="shared" si="42"/>
        <v/>
      </c>
      <c r="N153" s="37" t="str">
        <f>IF(OR(D153="",H153="",I153=""),"",ROUND((MAX(0,MIN(AD153,D153+1+Einstellungen!$B$8)-MAX(AC153,D153+Einstellungen!$B$7))*24)+(MAX(0,MIN(AD153,D153+Einstellungen!$B$8)-MAX(AC153,D153-1+Einstellungen!$B$7))*24),2))</f>
        <v/>
      </c>
      <c r="O153" s="37" t="str">
        <f t="shared" si="43"/>
        <v/>
      </c>
      <c r="P153" s="37" t="str">
        <f>IF(OR(D153="",H153="",I153=""),"",ROUND(IF(COUNTIF(Einstellungen!$A$21:$A$45,D153)&gt;0,MAX(0,MIN(AD153,D153+1)-MAX(AC153,D153))*24,0)+IF(AD153&gt;D153+1,IF(COUNTIF(Einstellungen!$A$21:$A$45,D153+1)&gt;0,MAX(0,MIN(AD153,D153+2)-MAX(AC153,D153+1))*24,0),0),2))</f>
        <v/>
      </c>
      <c r="Q153" s="34" t="str">
        <f>IF(D153="","",TRIM(IFERROR(VLOOKUP(D153,Einstellungen!$A$21:$B$45,2,FALSE)&amp;" ","")&amp;IF(I153&lt;=H153,IFERROR(VLOOKUP(D153+1,Einstellungen!$A$21:$B$45,2,FALSE),""),"")))</f>
        <v/>
      </c>
      <c r="R153" s="38" t="str">
        <f>IFERROR(INDEX(Mitarbeiter!$G$6:$G$35,MATCH(B153,Mitarbeiter!$A$6:$A$35,0)),"")</f>
        <v/>
      </c>
      <c r="S153" s="38" t="str">
        <f t="shared" si="44"/>
        <v/>
      </c>
      <c r="T153" s="38" t="str">
        <f>IF(M153="","",ROUND(((N153*Einstellungen!$B$15)+(O153*Einstellungen!$B$16)+(P153*Einstellungen!$B$17))*R153,2))</f>
        <v/>
      </c>
      <c r="U153" s="39"/>
      <c r="V153" s="38" t="str">
        <f t="shared" si="45"/>
        <v/>
      </c>
      <c r="W153" s="34" t="str">
        <f t="shared" si="46"/>
        <v/>
      </c>
      <c r="X153" s="34" t="str">
        <f>IF(M153="","",IF(M153&gt;Einstellungen!$B$12,"kritisch &gt;10 Std.",IF(M153&gt;Einstellungen!$B$11,"prüfen &gt;8 Std.","OK")))</f>
        <v/>
      </c>
      <c r="Y153" s="37" t="str">
        <f t="shared" si="47"/>
        <v/>
      </c>
      <c r="Z153" s="34" t="str">
        <f>IF(Y153="","",IF(Y153&lt;Einstellungen!$B$14,"kritisch &lt;10 Std.",IF(Y153&lt;Einstellungen!$B$13,"prüfen &lt;11 Std.","OK")))</f>
        <v/>
      </c>
      <c r="AA153" s="33"/>
      <c r="AB153" s="33"/>
      <c r="AC153" s="40" t="str">
        <f t="shared" si="48"/>
        <v/>
      </c>
      <c r="AD153" s="40" t="str">
        <f t="shared" si="49"/>
        <v/>
      </c>
      <c r="AE153" s="41" t="str">
        <f>IF(B153="","",IF(COUNTIF($B$6:B152,B153)=0,"",_xludf.MAXIFS($AD$6:AD152,$B$6:B152,B153)))</f>
        <v/>
      </c>
    </row>
    <row r="154" spans="1:31" ht="21.95" customHeight="1" x14ac:dyDescent="0.25">
      <c r="A154" s="32"/>
      <c r="B154" s="33"/>
      <c r="C154" s="34" t="str">
        <f>IFERROR(INDEX(Mitarbeiter!$B$6:$B$35,MATCH(B154,Mitarbeiter!$A$6:$A$35,0)),"")</f>
        <v/>
      </c>
      <c r="D154" s="74"/>
      <c r="E154" s="34" t="str">
        <f t="shared" si="40"/>
        <v/>
      </c>
      <c r="F154" s="33"/>
      <c r="G154" s="33"/>
      <c r="H154" s="35"/>
      <c r="I154" s="35"/>
      <c r="J154" s="33"/>
      <c r="K154" s="36" t="str">
        <f>IF(L154="","",IF(L154&gt;9,Einstellungen!$B$10,IF(L154&gt;6,Einstellungen!$B$9,0)))</f>
        <v/>
      </c>
      <c r="L154" s="37" t="str">
        <f t="shared" si="41"/>
        <v/>
      </c>
      <c r="M154" s="37" t="str">
        <f t="shared" si="42"/>
        <v/>
      </c>
      <c r="N154" s="37" t="str">
        <f>IF(OR(D154="",H154="",I154=""),"",ROUND((MAX(0,MIN(AD154,D154+1+Einstellungen!$B$8)-MAX(AC154,D154+Einstellungen!$B$7))*24)+(MAX(0,MIN(AD154,D154+Einstellungen!$B$8)-MAX(AC154,D154-1+Einstellungen!$B$7))*24),2))</f>
        <v/>
      </c>
      <c r="O154" s="37" t="str">
        <f t="shared" si="43"/>
        <v/>
      </c>
      <c r="P154" s="37" t="str">
        <f>IF(OR(D154="",H154="",I154=""),"",ROUND(IF(COUNTIF(Einstellungen!$A$21:$A$45,D154)&gt;0,MAX(0,MIN(AD154,D154+1)-MAX(AC154,D154))*24,0)+IF(AD154&gt;D154+1,IF(COUNTIF(Einstellungen!$A$21:$A$45,D154+1)&gt;0,MAX(0,MIN(AD154,D154+2)-MAX(AC154,D154+1))*24,0),0),2))</f>
        <v/>
      </c>
      <c r="Q154" s="34" t="str">
        <f>IF(D154="","",TRIM(IFERROR(VLOOKUP(D154,Einstellungen!$A$21:$B$45,2,FALSE)&amp;" ","")&amp;IF(I154&lt;=H154,IFERROR(VLOOKUP(D154+1,Einstellungen!$A$21:$B$45,2,FALSE),""),"")))</f>
        <v/>
      </c>
      <c r="R154" s="38" t="str">
        <f>IFERROR(INDEX(Mitarbeiter!$G$6:$G$35,MATCH(B154,Mitarbeiter!$A$6:$A$35,0)),"")</f>
        <v/>
      </c>
      <c r="S154" s="38" t="str">
        <f t="shared" si="44"/>
        <v/>
      </c>
      <c r="T154" s="38" t="str">
        <f>IF(M154="","",ROUND(((N154*Einstellungen!$B$15)+(O154*Einstellungen!$B$16)+(P154*Einstellungen!$B$17))*R154,2))</f>
        <v/>
      </c>
      <c r="U154" s="39"/>
      <c r="V154" s="38" t="str">
        <f t="shared" si="45"/>
        <v/>
      </c>
      <c r="W154" s="34" t="str">
        <f t="shared" si="46"/>
        <v/>
      </c>
      <c r="X154" s="34" t="str">
        <f>IF(M154="","",IF(M154&gt;Einstellungen!$B$12,"kritisch &gt;10 Std.",IF(M154&gt;Einstellungen!$B$11,"prüfen &gt;8 Std.","OK")))</f>
        <v/>
      </c>
      <c r="Y154" s="37" t="str">
        <f t="shared" si="47"/>
        <v/>
      </c>
      <c r="Z154" s="34" t="str">
        <f>IF(Y154="","",IF(Y154&lt;Einstellungen!$B$14,"kritisch &lt;10 Std.",IF(Y154&lt;Einstellungen!$B$13,"prüfen &lt;11 Std.","OK")))</f>
        <v/>
      </c>
      <c r="AA154" s="33"/>
      <c r="AB154" s="33"/>
      <c r="AC154" s="40" t="str">
        <f t="shared" si="48"/>
        <v/>
      </c>
      <c r="AD154" s="40" t="str">
        <f t="shared" si="49"/>
        <v/>
      </c>
      <c r="AE154" s="41" t="str">
        <f>IF(B154="","",IF(COUNTIF($B$6:B153,B154)=0,"",_xludf.MAXIFS($AD$6:AD153,$B$6:B153,B154)))</f>
        <v/>
      </c>
    </row>
    <row r="155" spans="1:31" ht="21.95" customHeight="1" x14ac:dyDescent="0.25">
      <c r="A155" s="32"/>
      <c r="B155" s="33"/>
      <c r="C155" s="34" t="str">
        <f>IFERROR(INDEX(Mitarbeiter!$B$6:$B$35,MATCH(B155,Mitarbeiter!$A$6:$A$35,0)),"")</f>
        <v/>
      </c>
      <c r="D155" s="74"/>
      <c r="E155" s="34" t="str">
        <f t="shared" si="40"/>
        <v/>
      </c>
      <c r="F155" s="33"/>
      <c r="G155" s="33"/>
      <c r="H155" s="35"/>
      <c r="I155" s="35"/>
      <c r="J155" s="33"/>
      <c r="K155" s="36" t="str">
        <f>IF(L155="","",IF(L155&gt;9,Einstellungen!$B$10,IF(L155&gt;6,Einstellungen!$B$9,0)))</f>
        <v/>
      </c>
      <c r="L155" s="37" t="str">
        <f t="shared" si="41"/>
        <v/>
      </c>
      <c r="M155" s="37" t="str">
        <f t="shared" si="42"/>
        <v/>
      </c>
      <c r="N155" s="37" t="str">
        <f>IF(OR(D155="",H155="",I155=""),"",ROUND((MAX(0,MIN(AD155,D155+1+Einstellungen!$B$8)-MAX(AC155,D155+Einstellungen!$B$7))*24)+(MAX(0,MIN(AD155,D155+Einstellungen!$B$8)-MAX(AC155,D155-1+Einstellungen!$B$7))*24),2))</f>
        <v/>
      </c>
      <c r="O155" s="37" t="str">
        <f t="shared" si="43"/>
        <v/>
      </c>
      <c r="P155" s="37" t="str">
        <f>IF(OR(D155="",H155="",I155=""),"",ROUND(IF(COUNTIF(Einstellungen!$A$21:$A$45,D155)&gt;0,MAX(0,MIN(AD155,D155+1)-MAX(AC155,D155))*24,0)+IF(AD155&gt;D155+1,IF(COUNTIF(Einstellungen!$A$21:$A$45,D155+1)&gt;0,MAX(0,MIN(AD155,D155+2)-MAX(AC155,D155+1))*24,0),0),2))</f>
        <v/>
      </c>
      <c r="Q155" s="34" t="str">
        <f>IF(D155="","",TRIM(IFERROR(VLOOKUP(D155,Einstellungen!$A$21:$B$45,2,FALSE)&amp;" ","")&amp;IF(I155&lt;=H155,IFERROR(VLOOKUP(D155+1,Einstellungen!$A$21:$B$45,2,FALSE),""),"")))</f>
        <v/>
      </c>
      <c r="R155" s="38" t="str">
        <f>IFERROR(INDEX(Mitarbeiter!$G$6:$G$35,MATCH(B155,Mitarbeiter!$A$6:$A$35,0)),"")</f>
        <v/>
      </c>
      <c r="S155" s="38" t="str">
        <f t="shared" si="44"/>
        <v/>
      </c>
      <c r="T155" s="38" t="str">
        <f>IF(M155="","",ROUND(((N155*Einstellungen!$B$15)+(O155*Einstellungen!$B$16)+(P155*Einstellungen!$B$17))*R155,2))</f>
        <v/>
      </c>
      <c r="U155" s="39"/>
      <c r="V155" s="38" t="str">
        <f t="shared" si="45"/>
        <v/>
      </c>
      <c r="W155" s="34" t="str">
        <f t="shared" si="46"/>
        <v/>
      </c>
      <c r="X155" s="34" t="str">
        <f>IF(M155="","",IF(M155&gt;Einstellungen!$B$12,"kritisch &gt;10 Std.",IF(M155&gt;Einstellungen!$B$11,"prüfen &gt;8 Std.","OK")))</f>
        <v/>
      </c>
      <c r="Y155" s="37" t="str">
        <f t="shared" si="47"/>
        <v/>
      </c>
      <c r="Z155" s="34" t="str">
        <f>IF(Y155="","",IF(Y155&lt;Einstellungen!$B$14,"kritisch &lt;10 Std.",IF(Y155&lt;Einstellungen!$B$13,"prüfen &lt;11 Std.","OK")))</f>
        <v/>
      </c>
      <c r="AA155" s="33"/>
      <c r="AB155" s="33"/>
      <c r="AC155" s="40" t="str">
        <f t="shared" si="48"/>
        <v/>
      </c>
      <c r="AD155" s="40" t="str">
        <f t="shared" si="49"/>
        <v/>
      </c>
      <c r="AE155" s="41" t="str">
        <f>IF(B155="","",IF(COUNTIF($B$6:B154,B155)=0,"",_xludf.MAXIFS($AD$6:AD154,$B$6:B154,B155)))</f>
        <v/>
      </c>
    </row>
    <row r="156" spans="1:31" ht="21.95" customHeight="1" x14ac:dyDescent="0.25">
      <c r="A156" s="32"/>
      <c r="B156" s="33"/>
      <c r="C156" s="34" t="str">
        <f>IFERROR(INDEX(Mitarbeiter!$B$6:$B$35,MATCH(B156,Mitarbeiter!$A$6:$A$35,0)),"")</f>
        <v/>
      </c>
      <c r="D156" s="74"/>
      <c r="E156" s="34" t="str">
        <f t="shared" si="40"/>
        <v/>
      </c>
      <c r="F156" s="33"/>
      <c r="G156" s="33"/>
      <c r="H156" s="35"/>
      <c r="I156" s="35"/>
      <c r="J156" s="33"/>
      <c r="K156" s="36" t="str">
        <f>IF(L156="","",IF(L156&gt;9,Einstellungen!$B$10,IF(L156&gt;6,Einstellungen!$B$9,0)))</f>
        <v/>
      </c>
      <c r="L156" s="37" t="str">
        <f t="shared" si="41"/>
        <v/>
      </c>
      <c r="M156" s="37" t="str">
        <f t="shared" si="42"/>
        <v/>
      </c>
      <c r="N156" s="37" t="str">
        <f>IF(OR(D156="",H156="",I156=""),"",ROUND((MAX(0,MIN(AD156,D156+1+Einstellungen!$B$8)-MAX(AC156,D156+Einstellungen!$B$7))*24)+(MAX(0,MIN(AD156,D156+Einstellungen!$B$8)-MAX(AC156,D156-1+Einstellungen!$B$7))*24),2))</f>
        <v/>
      </c>
      <c r="O156" s="37" t="str">
        <f t="shared" si="43"/>
        <v/>
      </c>
      <c r="P156" s="37" t="str">
        <f>IF(OR(D156="",H156="",I156=""),"",ROUND(IF(COUNTIF(Einstellungen!$A$21:$A$45,D156)&gt;0,MAX(0,MIN(AD156,D156+1)-MAX(AC156,D156))*24,0)+IF(AD156&gt;D156+1,IF(COUNTIF(Einstellungen!$A$21:$A$45,D156+1)&gt;0,MAX(0,MIN(AD156,D156+2)-MAX(AC156,D156+1))*24,0),0),2))</f>
        <v/>
      </c>
      <c r="Q156" s="34" t="str">
        <f>IF(D156="","",TRIM(IFERROR(VLOOKUP(D156,Einstellungen!$A$21:$B$45,2,FALSE)&amp;" ","")&amp;IF(I156&lt;=H156,IFERROR(VLOOKUP(D156+1,Einstellungen!$A$21:$B$45,2,FALSE),""),"")))</f>
        <v/>
      </c>
      <c r="R156" s="38" t="str">
        <f>IFERROR(INDEX(Mitarbeiter!$G$6:$G$35,MATCH(B156,Mitarbeiter!$A$6:$A$35,0)),"")</f>
        <v/>
      </c>
      <c r="S156" s="38" t="str">
        <f t="shared" si="44"/>
        <v/>
      </c>
      <c r="T156" s="38" t="str">
        <f>IF(M156="","",ROUND(((N156*Einstellungen!$B$15)+(O156*Einstellungen!$B$16)+(P156*Einstellungen!$B$17))*R156,2))</f>
        <v/>
      </c>
      <c r="U156" s="39"/>
      <c r="V156" s="38" t="str">
        <f t="shared" si="45"/>
        <v/>
      </c>
      <c r="W156" s="34" t="str">
        <f t="shared" si="46"/>
        <v/>
      </c>
      <c r="X156" s="34" t="str">
        <f>IF(M156="","",IF(M156&gt;Einstellungen!$B$12,"kritisch &gt;10 Std.",IF(M156&gt;Einstellungen!$B$11,"prüfen &gt;8 Std.","OK")))</f>
        <v/>
      </c>
      <c r="Y156" s="37" t="str">
        <f t="shared" si="47"/>
        <v/>
      </c>
      <c r="Z156" s="34" t="str">
        <f>IF(Y156="","",IF(Y156&lt;Einstellungen!$B$14,"kritisch &lt;10 Std.",IF(Y156&lt;Einstellungen!$B$13,"prüfen &lt;11 Std.","OK")))</f>
        <v/>
      </c>
      <c r="AA156" s="33"/>
      <c r="AB156" s="33"/>
      <c r="AC156" s="40" t="str">
        <f t="shared" si="48"/>
        <v/>
      </c>
      <c r="AD156" s="40" t="str">
        <f t="shared" si="49"/>
        <v/>
      </c>
      <c r="AE156" s="41" t="str">
        <f>IF(B156="","",IF(COUNTIF($B$6:B155,B156)=0,"",_xludf.MAXIFS($AD$6:AD155,$B$6:B155,B156)))</f>
        <v/>
      </c>
    </row>
    <row r="157" spans="1:31" ht="21.95" customHeight="1" x14ac:dyDescent="0.25">
      <c r="A157" s="32"/>
      <c r="B157" s="33"/>
      <c r="C157" s="34" t="str">
        <f>IFERROR(INDEX(Mitarbeiter!$B$6:$B$35,MATCH(B157,Mitarbeiter!$A$6:$A$35,0)),"")</f>
        <v/>
      </c>
      <c r="D157" s="74"/>
      <c r="E157" s="34" t="str">
        <f t="shared" si="40"/>
        <v/>
      </c>
      <c r="F157" s="33"/>
      <c r="G157" s="33"/>
      <c r="H157" s="35"/>
      <c r="I157" s="35"/>
      <c r="J157" s="33"/>
      <c r="K157" s="36" t="str">
        <f>IF(L157="","",IF(L157&gt;9,Einstellungen!$B$10,IF(L157&gt;6,Einstellungen!$B$9,0)))</f>
        <v/>
      </c>
      <c r="L157" s="37" t="str">
        <f t="shared" si="41"/>
        <v/>
      </c>
      <c r="M157" s="37" t="str">
        <f t="shared" si="42"/>
        <v/>
      </c>
      <c r="N157" s="37" t="str">
        <f>IF(OR(D157="",H157="",I157=""),"",ROUND((MAX(0,MIN(AD157,D157+1+Einstellungen!$B$8)-MAX(AC157,D157+Einstellungen!$B$7))*24)+(MAX(0,MIN(AD157,D157+Einstellungen!$B$8)-MAX(AC157,D157-1+Einstellungen!$B$7))*24),2))</f>
        <v/>
      </c>
      <c r="O157" s="37" t="str">
        <f t="shared" si="43"/>
        <v/>
      </c>
      <c r="P157" s="37" t="str">
        <f>IF(OR(D157="",H157="",I157=""),"",ROUND(IF(COUNTIF(Einstellungen!$A$21:$A$45,D157)&gt;0,MAX(0,MIN(AD157,D157+1)-MAX(AC157,D157))*24,0)+IF(AD157&gt;D157+1,IF(COUNTIF(Einstellungen!$A$21:$A$45,D157+1)&gt;0,MAX(0,MIN(AD157,D157+2)-MAX(AC157,D157+1))*24,0),0),2))</f>
        <v/>
      </c>
      <c r="Q157" s="34" t="str">
        <f>IF(D157="","",TRIM(IFERROR(VLOOKUP(D157,Einstellungen!$A$21:$B$45,2,FALSE)&amp;" ","")&amp;IF(I157&lt;=H157,IFERROR(VLOOKUP(D157+1,Einstellungen!$A$21:$B$45,2,FALSE),""),"")))</f>
        <v/>
      </c>
      <c r="R157" s="38" t="str">
        <f>IFERROR(INDEX(Mitarbeiter!$G$6:$G$35,MATCH(B157,Mitarbeiter!$A$6:$A$35,0)),"")</f>
        <v/>
      </c>
      <c r="S157" s="38" t="str">
        <f t="shared" si="44"/>
        <v/>
      </c>
      <c r="T157" s="38" t="str">
        <f>IF(M157="","",ROUND(((N157*Einstellungen!$B$15)+(O157*Einstellungen!$B$16)+(P157*Einstellungen!$B$17))*R157,2))</f>
        <v/>
      </c>
      <c r="U157" s="39"/>
      <c r="V157" s="38" t="str">
        <f t="shared" si="45"/>
        <v/>
      </c>
      <c r="W157" s="34" t="str">
        <f t="shared" si="46"/>
        <v/>
      </c>
      <c r="X157" s="34" t="str">
        <f>IF(M157="","",IF(M157&gt;Einstellungen!$B$12,"kritisch &gt;10 Std.",IF(M157&gt;Einstellungen!$B$11,"prüfen &gt;8 Std.","OK")))</f>
        <v/>
      </c>
      <c r="Y157" s="37" t="str">
        <f t="shared" si="47"/>
        <v/>
      </c>
      <c r="Z157" s="34" t="str">
        <f>IF(Y157="","",IF(Y157&lt;Einstellungen!$B$14,"kritisch &lt;10 Std.",IF(Y157&lt;Einstellungen!$B$13,"prüfen &lt;11 Std.","OK")))</f>
        <v/>
      </c>
      <c r="AA157" s="33"/>
      <c r="AB157" s="33"/>
      <c r="AC157" s="40" t="str">
        <f t="shared" si="48"/>
        <v/>
      </c>
      <c r="AD157" s="40" t="str">
        <f t="shared" si="49"/>
        <v/>
      </c>
      <c r="AE157" s="41" t="str">
        <f>IF(B157="","",IF(COUNTIF($B$6:B156,B157)=0,"",_xludf.MAXIFS($AD$6:AD156,$B$6:B156,B157)))</f>
        <v/>
      </c>
    </row>
    <row r="158" spans="1:31" ht="21.95" customHeight="1" x14ac:dyDescent="0.25">
      <c r="A158" s="32"/>
      <c r="B158" s="33"/>
      <c r="C158" s="34" t="str">
        <f>IFERROR(INDEX(Mitarbeiter!$B$6:$B$35,MATCH(B158,Mitarbeiter!$A$6:$A$35,0)),"")</f>
        <v/>
      </c>
      <c r="D158" s="74"/>
      <c r="E158" s="34" t="str">
        <f t="shared" si="40"/>
        <v/>
      </c>
      <c r="F158" s="33"/>
      <c r="G158" s="33"/>
      <c r="H158" s="35"/>
      <c r="I158" s="35"/>
      <c r="J158" s="33"/>
      <c r="K158" s="36" t="str">
        <f>IF(L158="","",IF(L158&gt;9,Einstellungen!$B$10,IF(L158&gt;6,Einstellungen!$B$9,0)))</f>
        <v/>
      </c>
      <c r="L158" s="37" t="str">
        <f t="shared" si="41"/>
        <v/>
      </c>
      <c r="M158" s="37" t="str">
        <f t="shared" si="42"/>
        <v/>
      </c>
      <c r="N158" s="37" t="str">
        <f>IF(OR(D158="",H158="",I158=""),"",ROUND((MAX(0,MIN(AD158,D158+1+Einstellungen!$B$8)-MAX(AC158,D158+Einstellungen!$B$7))*24)+(MAX(0,MIN(AD158,D158+Einstellungen!$B$8)-MAX(AC158,D158-1+Einstellungen!$B$7))*24),2))</f>
        <v/>
      </c>
      <c r="O158" s="37" t="str">
        <f t="shared" si="43"/>
        <v/>
      </c>
      <c r="P158" s="37" t="str">
        <f>IF(OR(D158="",H158="",I158=""),"",ROUND(IF(COUNTIF(Einstellungen!$A$21:$A$45,D158)&gt;0,MAX(0,MIN(AD158,D158+1)-MAX(AC158,D158))*24,0)+IF(AD158&gt;D158+1,IF(COUNTIF(Einstellungen!$A$21:$A$45,D158+1)&gt;0,MAX(0,MIN(AD158,D158+2)-MAX(AC158,D158+1))*24,0),0),2))</f>
        <v/>
      </c>
      <c r="Q158" s="34" t="str">
        <f>IF(D158="","",TRIM(IFERROR(VLOOKUP(D158,Einstellungen!$A$21:$B$45,2,FALSE)&amp;" ","")&amp;IF(I158&lt;=H158,IFERROR(VLOOKUP(D158+1,Einstellungen!$A$21:$B$45,2,FALSE),""),"")))</f>
        <v/>
      </c>
      <c r="R158" s="38" t="str">
        <f>IFERROR(INDEX(Mitarbeiter!$G$6:$G$35,MATCH(B158,Mitarbeiter!$A$6:$A$35,0)),"")</f>
        <v/>
      </c>
      <c r="S158" s="38" t="str">
        <f t="shared" si="44"/>
        <v/>
      </c>
      <c r="T158" s="38" t="str">
        <f>IF(M158="","",ROUND(((N158*Einstellungen!$B$15)+(O158*Einstellungen!$B$16)+(P158*Einstellungen!$B$17))*R158,2))</f>
        <v/>
      </c>
      <c r="U158" s="39"/>
      <c r="V158" s="38" t="str">
        <f t="shared" si="45"/>
        <v/>
      </c>
      <c r="W158" s="34" t="str">
        <f t="shared" si="46"/>
        <v/>
      </c>
      <c r="X158" s="34" t="str">
        <f>IF(M158="","",IF(M158&gt;Einstellungen!$B$12,"kritisch &gt;10 Std.",IF(M158&gt;Einstellungen!$B$11,"prüfen &gt;8 Std.","OK")))</f>
        <v/>
      </c>
      <c r="Y158" s="37" t="str">
        <f t="shared" si="47"/>
        <v/>
      </c>
      <c r="Z158" s="34" t="str">
        <f>IF(Y158="","",IF(Y158&lt;Einstellungen!$B$14,"kritisch &lt;10 Std.",IF(Y158&lt;Einstellungen!$B$13,"prüfen &lt;11 Std.","OK")))</f>
        <v/>
      </c>
      <c r="AA158" s="33"/>
      <c r="AB158" s="33"/>
      <c r="AC158" s="40" t="str">
        <f t="shared" si="48"/>
        <v/>
      </c>
      <c r="AD158" s="40" t="str">
        <f t="shared" si="49"/>
        <v/>
      </c>
      <c r="AE158" s="41" t="str">
        <f>IF(B158="","",IF(COUNTIF($B$6:B157,B158)=0,"",_xludf.MAXIFS($AD$6:AD157,$B$6:B157,B158)))</f>
        <v/>
      </c>
    </row>
    <row r="159" spans="1:31" ht="21.95" customHeight="1" x14ac:dyDescent="0.25">
      <c r="A159" s="32"/>
      <c r="B159" s="33"/>
      <c r="C159" s="34" t="str">
        <f>IFERROR(INDEX(Mitarbeiter!$B$6:$B$35,MATCH(B159,Mitarbeiter!$A$6:$A$35,0)),"")</f>
        <v/>
      </c>
      <c r="D159" s="74"/>
      <c r="E159" s="34" t="str">
        <f t="shared" si="40"/>
        <v/>
      </c>
      <c r="F159" s="33"/>
      <c r="G159" s="33"/>
      <c r="H159" s="35"/>
      <c r="I159" s="35"/>
      <c r="J159" s="33"/>
      <c r="K159" s="36" t="str">
        <f>IF(L159="","",IF(L159&gt;9,Einstellungen!$B$10,IF(L159&gt;6,Einstellungen!$B$9,0)))</f>
        <v/>
      </c>
      <c r="L159" s="37" t="str">
        <f t="shared" si="41"/>
        <v/>
      </c>
      <c r="M159" s="37" t="str">
        <f t="shared" si="42"/>
        <v/>
      </c>
      <c r="N159" s="37" t="str">
        <f>IF(OR(D159="",H159="",I159=""),"",ROUND((MAX(0,MIN(AD159,D159+1+Einstellungen!$B$8)-MAX(AC159,D159+Einstellungen!$B$7))*24)+(MAX(0,MIN(AD159,D159+Einstellungen!$B$8)-MAX(AC159,D159-1+Einstellungen!$B$7))*24),2))</f>
        <v/>
      </c>
      <c r="O159" s="37" t="str">
        <f t="shared" si="43"/>
        <v/>
      </c>
      <c r="P159" s="37" t="str">
        <f>IF(OR(D159="",H159="",I159=""),"",ROUND(IF(COUNTIF(Einstellungen!$A$21:$A$45,D159)&gt;0,MAX(0,MIN(AD159,D159+1)-MAX(AC159,D159))*24,0)+IF(AD159&gt;D159+1,IF(COUNTIF(Einstellungen!$A$21:$A$45,D159+1)&gt;0,MAX(0,MIN(AD159,D159+2)-MAX(AC159,D159+1))*24,0),0),2))</f>
        <v/>
      </c>
      <c r="Q159" s="34" t="str">
        <f>IF(D159="","",TRIM(IFERROR(VLOOKUP(D159,Einstellungen!$A$21:$B$45,2,FALSE)&amp;" ","")&amp;IF(I159&lt;=H159,IFERROR(VLOOKUP(D159+1,Einstellungen!$A$21:$B$45,2,FALSE),""),"")))</f>
        <v/>
      </c>
      <c r="R159" s="38" t="str">
        <f>IFERROR(INDEX(Mitarbeiter!$G$6:$G$35,MATCH(B159,Mitarbeiter!$A$6:$A$35,0)),"")</f>
        <v/>
      </c>
      <c r="S159" s="38" t="str">
        <f t="shared" si="44"/>
        <v/>
      </c>
      <c r="T159" s="38" t="str">
        <f>IF(M159="","",ROUND(((N159*Einstellungen!$B$15)+(O159*Einstellungen!$B$16)+(P159*Einstellungen!$B$17))*R159,2))</f>
        <v/>
      </c>
      <c r="U159" s="39"/>
      <c r="V159" s="38" t="str">
        <f t="shared" si="45"/>
        <v/>
      </c>
      <c r="W159" s="34" t="str">
        <f t="shared" si="46"/>
        <v/>
      </c>
      <c r="X159" s="34" t="str">
        <f>IF(M159="","",IF(M159&gt;Einstellungen!$B$12,"kritisch &gt;10 Std.",IF(M159&gt;Einstellungen!$B$11,"prüfen &gt;8 Std.","OK")))</f>
        <v/>
      </c>
      <c r="Y159" s="37" t="str">
        <f t="shared" si="47"/>
        <v/>
      </c>
      <c r="Z159" s="34" t="str">
        <f>IF(Y159="","",IF(Y159&lt;Einstellungen!$B$14,"kritisch &lt;10 Std.",IF(Y159&lt;Einstellungen!$B$13,"prüfen &lt;11 Std.","OK")))</f>
        <v/>
      </c>
      <c r="AA159" s="33"/>
      <c r="AB159" s="33"/>
      <c r="AC159" s="40" t="str">
        <f t="shared" si="48"/>
        <v/>
      </c>
      <c r="AD159" s="40" t="str">
        <f t="shared" si="49"/>
        <v/>
      </c>
      <c r="AE159" s="41" t="str">
        <f>IF(B159="","",IF(COUNTIF($B$6:B158,B159)=0,"",_xludf.MAXIFS($AD$6:AD158,$B$6:B158,B159)))</f>
        <v/>
      </c>
    </row>
    <row r="160" spans="1:31" ht="21.95" customHeight="1" x14ac:dyDescent="0.25">
      <c r="A160" s="42"/>
      <c r="B160" s="43"/>
      <c r="C160" s="44" t="str">
        <f>IFERROR(INDEX(Mitarbeiter!$B$6:$B$35,MATCH(B160,Mitarbeiter!$A$6:$A$35,0)),"")</f>
        <v/>
      </c>
      <c r="D160" s="75"/>
      <c r="E160" s="44" t="str">
        <f t="shared" si="40"/>
        <v/>
      </c>
      <c r="F160" s="43"/>
      <c r="G160" s="43"/>
      <c r="H160" s="45"/>
      <c r="I160" s="45"/>
      <c r="J160" s="43"/>
      <c r="K160" s="46" t="str">
        <f>IF(L160="","",IF(L160&gt;9,Einstellungen!$B$10,IF(L160&gt;6,Einstellungen!$B$9,0)))</f>
        <v/>
      </c>
      <c r="L160" s="47" t="str">
        <f t="shared" si="41"/>
        <v/>
      </c>
      <c r="M160" s="47" t="str">
        <f t="shared" si="42"/>
        <v/>
      </c>
      <c r="N160" s="47" t="str">
        <f>IF(OR(D160="",H160="",I160=""),"",ROUND((MAX(0,MIN(AD160,D160+1+Einstellungen!$B$8)-MAX(AC160,D160+Einstellungen!$B$7))*24)+(MAX(0,MIN(AD160,D160+Einstellungen!$B$8)-MAX(AC160,D160-1+Einstellungen!$B$7))*24),2))</f>
        <v/>
      </c>
      <c r="O160" s="47" t="str">
        <f t="shared" si="43"/>
        <v/>
      </c>
      <c r="P160" s="47" t="str">
        <f>IF(OR(D160="",H160="",I160=""),"",ROUND(IF(COUNTIF(Einstellungen!$A$21:$A$45,D160)&gt;0,MAX(0,MIN(AD160,D160+1)-MAX(AC160,D160))*24,0)+IF(AD160&gt;D160+1,IF(COUNTIF(Einstellungen!$A$21:$A$45,D160+1)&gt;0,MAX(0,MIN(AD160,D160+2)-MAX(AC160,D160+1))*24,0),0),2))</f>
        <v/>
      </c>
      <c r="Q160" s="44" t="str">
        <f>IF(D160="","",TRIM(IFERROR(VLOOKUP(D160,Einstellungen!$A$21:$B$45,2,FALSE)&amp;" ","")&amp;IF(I160&lt;=H160,IFERROR(VLOOKUP(D160+1,Einstellungen!$A$21:$B$45,2,FALSE),""),"")))</f>
        <v/>
      </c>
      <c r="R160" s="48" t="str">
        <f>IFERROR(INDEX(Mitarbeiter!$G$6:$G$35,MATCH(B160,Mitarbeiter!$A$6:$A$35,0)),"")</f>
        <v/>
      </c>
      <c r="S160" s="48" t="str">
        <f t="shared" si="44"/>
        <v/>
      </c>
      <c r="T160" s="48" t="str">
        <f>IF(M160="","",ROUND(((N160*Einstellungen!$B$15)+(O160*Einstellungen!$B$16)+(P160*Einstellungen!$B$17))*R160,2))</f>
        <v/>
      </c>
      <c r="U160" s="49"/>
      <c r="V160" s="48" t="str">
        <f t="shared" si="45"/>
        <v/>
      </c>
      <c r="W160" s="44" t="str">
        <f t="shared" si="46"/>
        <v/>
      </c>
      <c r="X160" s="44" t="str">
        <f>IF(M160="","",IF(M160&gt;Einstellungen!$B$12,"kritisch &gt;10 Std.",IF(M160&gt;Einstellungen!$B$11,"prüfen &gt;8 Std.","OK")))</f>
        <v/>
      </c>
      <c r="Y160" s="47" t="str">
        <f t="shared" si="47"/>
        <v/>
      </c>
      <c r="Z160" s="44" t="str">
        <f>IF(Y160="","",IF(Y160&lt;Einstellungen!$B$14,"kritisch &lt;10 Std.",IF(Y160&lt;Einstellungen!$B$13,"prüfen &lt;11 Std.","OK")))</f>
        <v/>
      </c>
      <c r="AA160" s="43"/>
      <c r="AB160" s="43"/>
      <c r="AC160" s="50" t="str">
        <f t="shared" si="48"/>
        <v/>
      </c>
      <c r="AD160" s="50" t="str">
        <f t="shared" si="49"/>
        <v/>
      </c>
      <c r="AE160" s="51" t="str">
        <f>IF(B160="","",IF(COUNTIF($B$6:B159,B160)=0,"",_xludf.MAXIFS($AD$6:AD159,$B$6:B159,B160)))</f>
        <v/>
      </c>
    </row>
  </sheetData>
  <mergeCells count="2">
    <mergeCell ref="A1:H1"/>
    <mergeCell ref="A2:AB2"/>
  </mergeCells>
  <conditionalFormatting sqref="W6:W160">
    <cfRule type="expression" dxfId="4" priority="1">
      <formula>W6&lt;&gt;"OK"</formula>
    </cfRule>
  </conditionalFormatting>
  <conditionalFormatting sqref="X6:X160">
    <cfRule type="expression" dxfId="3" priority="2">
      <formula>X6&lt;&gt;"OK"</formula>
    </cfRule>
  </conditionalFormatting>
  <conditionalFormatting sqref="Z6:Z160">
    <cfRule type="expression" dxfId="2" priority="3">
      <formula>Z6&lt;&gt;"OK"</formula>
    </cfRule>
  </conditionalFormatting>
  <conditionalFormatting sqref="AA6:AA160">
    <cfRule type="expression" dxfId="1" priority="4">
      <formula>AA6="Geprüft"</formula>
    </cfRule>
    <cfRule type="expression" dxfId="0" priority="5">
      <formula>AA6="Korrigieren"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100-000000000000}">
          <x14:formula1>
            <xm:f>Mitarbeiter!$A$6:$A$35</xm:f>
          </x14:formula1>
          <xm:sqref>B6:B160</xm:sqref>
        </x14:dataValidation>
        <x14:dataValidation type="list" xr:uid="{00000000-0002-0000-0100-000001000000}">
          <x14:formula1>
            <xm:f>Einstellungen!$E$4:$E$11</xm:f>
          </x14:formula1>
          <xm:sqref>F6:F160</xm:sqref>
        </x14:dataValidation>
        <x14:dataValidation type="list" xr:uid="{00000000-0002-0000-0100-000002000000}">
          <x14:formula1>
            <xm:f>Einstellungen!$F$4:$F$10</xm:f>
          </x14:formula1>
          <xm:sqref>G6:G160</xm:sqref>
        </x14:dataValidation>
        <x14:dataValidation type="list" xr:uid="{00000000-0002-0000-0100-000003000000}">
          <x14:formula1>
            <xm:f>Einstellungen!$G$4:$G$7</xm:f>
          </x14:formula1>
          <xm:sqref>AA6:AA160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5"/>
  <sheetViews>
    <sheetView workbookViewId="0"/>
  </sheetViews>
  <sheetFormatPr baseColWidth="10" defaultColWidth="9" defaultRowHeight="15" x14ac:dyDescent="0.25"/>
  <cols>
    <col min="1" max="1" width="36.25" customWidth="1"/>
    <col min="2" max="2" width="28" customWidth="1"/>
    <col min="3" max="3" width="16" customWidth="1"/>
    <col min="4" max="4" width="13.5" customWidth="1"/>
    <col min="5" max="5" width="11.625" customWidth="1"/>
    <col min="6" max="6" width="13" customWidth="1"/>
    <col min="7" max="7" width="10.5" customWidth="1"/>
    <col min="8" max="8" width="4.125" customWidth="1"/>
    <col min="9" max="9" width="5.5" customWidth="1"/>
    <col min="10" max="10" width="16.875" customWidth="1"/>
    <col min="11" max="11" width="12.875" customWidth="1"/>
  </cols>
  <sheetData>
    <row r="1" spans="1:11" ht="27.95" customHeight="1" x14ac:dyDescent="0.25">
      <c r="A1" s="1" t="s">
        <v>126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9.6" customHeight="1" x14ac:dyDescent="0.25">
      <c r="A3" s="3" t="s">
        <v>127</v>
      </c>
      <c r="B3" s="83" t="s">
        <v>128</v>
      </c>
      <c r="C3" s="83"/>
      <c r="D3" s="83"/>
      <c r="E3" s="83"/>
      <c r="F3" s="83"/>
      <c r="G3" s="83"/>
      <c r="H3" s="83"/>
      <c r="I3" s="83"/>
      <c r="J3" s="83"/>
      <c r="K3" s="83"/>
    </row>
    <row r="5" spans="1:11" ht="15" customHeight="1" x14ac:dyDescent="0.25">
      <c r="A5" s="4" t="s">
        <v>39</v>
      </c>
      <c r="B5" s="5" t="s">
        <v>129</v>
      </c>
      <c r="C5" s="5" t="s">
        <v>130</v>
      </c>
      <c r="D5" s="5" t="s">
        <v>131</v>
      </c>
      <c r="E5" s="5" t="s">
        <v>132</v>
      </c>
      <c r="F5" s="5" t="s">
        <v>133</v>
      </c>
      <c r="G5" s="5" t="s">
        <v>48</v>
      </c>
      <c r="H5" s="5" t="s">
        <v>134</v>
      </c>
      <c r="I5" s="5" t="s">
        <v>135</v>
      </c>
      <c r="J5" s="5" t="s">
        <v>136</v>
      </c>
      <c r="K5" s="6" t="s">
        <v>137</v>
      </c>
    </row>
    <row r="6" spans="1:11" ht="15" customHeight="1" x14ac:dyDescent="0.25">
      <c r="A6" s="21" t="s">
        <v>60</v>
      </c>
      <c r="B6" s="8" t="s">
        <v>138</v>
      </c>
      <c r="C6" s="8" t="s">
        <v>139</v>
      </c>
      <c r="D6" s="8" t="s">
        <v>28</v>
      </c>
      <c r="E6" s="8" t="s">
        <v>140</v>
      </c>
      <c r="F6" s="8">
        <v>25</v>
      </c>
      <c r="G6" s="10">
        <v>14.5</v>
      </c>
      <c r="H6" s="8" t="s">
        <v>141</v>
      </c>
      <c r="I6" s="77">
        <v>46023</v>
      </c>
      <c r="J6" s="22" t="str">
        <f>IF($A6="","",IF(G6&lt;Einstellungen!$B$6,"unter Mindestlohn","OK"))</f>
        <v>OK</v>
      </c>
      <c r="K6" s="23">
        <f>IF($A6="","",SUMIFS(Zeiterfassung!$M:$M,Zeiterfassung!$B:$B,$A6,Zeiterfassung!$D:$D,"&gt;="&amp;DATE(Übersicht!$B$5,Übersicht!$B$4,1),Zeiterfassung!$D:$D,"&lt;"&amp;EDATE(DATE(Übersicht!$B$5,Übersicht!$B$4,1),1)))</f>
        <v>56.75</v>
      </c>
    </row>
    <row r="7" spans="1:11" ht="15" customHeight="1" x14ac:dyDescent="0.25">
      <c r="A7" s="21" t="s">
        <v>65</v>
      </c>
      <c r="B7" s="8" t="s">
        <v>142</v>
      </c>
      <c r="C7" s="8" t="s">
        <v>143</v>
      </c>
      <c r="D7" s="8" t="s">
        <v>29</v>
      </c>
      <c r="E7" s="8" t="s">
        <v>144</v>
      </c>
      <c r="F7" s="8">
        <v>38</v>
      </c>
      <c r="G7" s="10">
        <v>17.8</v>
      </c>
      <c r="H7" s="8" t="s">
        <v>141</v>
      </c>
      <c r="I7" s="77">
        <v>46023</v>
      </c>
      <c r="J7" s="22" t="str">
        <f>IF($A7="","",IF(G7&lt;Einstellungen!$B$6,"unter Mindestlohn","OK"))</f>
        <v>OK</v>
      </c>
      <c r="K7" s="23">
        <f>IF($A7="","",SUMIFS(Zeiterfassung!$M:$M,Zeiterfassung!$B:$B,$A7,Zeiterfassung!$D:$D,"&gt;="&amp;DATE(Übersicht!$B$5,Übersicht!$B$4,1),Zeiterfassung!$D:$D,"&lt;"&amp;EDATE(DATE(Übersicht!$B$5,Übersicht!$B$4,1),1)))</f>
        <v>57.5</v>
      </c>
    </row>
    <row r="8" spans="1:11" ht="15" customHeight="1" x14ac:dyDescent="0.25">
      <c r="A8" s="21" t="s">
        <v>68</v>
      </c>
      <c r="B8" s="8" t="s">
        <v>145</v>
      </c>
      <c r="C8" s="8" t="s">
        <v>30</v>
      </c>
      <c r="D8" s="8" t="s">
        <v>30</v>
      </c>
      <c r="E8" s="8" t="s">
        <v>146</v>
      </c>
      <c r="F8" s="8">
        <v>10</v>
      </c>
      <c r="G8" s="10">
        <v>13.9</v>
      </c>
      <c r="H8" s="8" t="s">
        <v>141</v>
      </c>
      <c r="I8" s="77">
        <v>46023</v>
      </c>
      <c r="J8" s="22" t="str">
        <f>IF($A8="","",IF(G8&lt;Einstellungen!$B$6,"unter Mindestlohn","OK"))</f>
        <v>OK</v>
      </c>
      <c r="K8" s="23">
        <f>IF($A8="","",SUMIFS(Zeiterfassung!$M:$M,Zeiterfassung!$B:$B,$A8,Zeiterfassung!$D:$D,"&gt;="&amp;DATE(Übersicht!$B$5,Übersicht!$B$4,1),Zeiterfassung!$D:$D,"&lt;"&amp;EDATE(DATE(Übersicht!$B$5,Übersicht!$B$4,1),1)))</f>
        <v>41.75</v>
      </c>
    </row>
    <row r="9" spans="1:11" ht="15" customHeight="1" x14ac:dyDescent="0.25">
      <c r="A9" s="21" t="s">
        <v>72</v>
      </c>
      <c r="B9" s="8" t="s">
        <v>147</v>
      </c>
      <c r="C9" s="8" t="s">
        <v>32</v>
      </c>
      <c r="D9" s="8" t="s">
        <v>32</v>
      </c>
      <c r="E9" s="8" t="s">
        <v>140</v>
      </c>
      <c r="F9" s="8">
        <v>18</v>
      </c>
      <c r="G9" s="10">
        <v>14.2</v>
      </c>
      <c r="H9" s="8" t="s">
        <v>141</v>
      </c>
      <c r="I9" s="77">
        <v>46027</v>
      </c>
      <c r="J9" s="22" t="str">
        <f>IF($A9="","",IF(G9&lt;Einstellungen!$B$6,"unter Mindestlohn","OK"))</f>
        <v>OK</v>
      </c>
      <c r="K9" s="23">
        <f>IF($A9="","",SUMIFS(Zeiterfassung!$M:$M,Zeiterfassung!$B:$B,$A9,Zeiterfassung!$D:$D,"&gt;="&amp;DATE(Übersicht!$B$5,Übersicht!$B$4,1),Zeiterfassung!$D:$D,"&lt;"&amp;EDATE(DATE(Übersicht!$B$5,Übersicht!$B$4,1),1)))</f>
        <v>23</v>
      </c>
    </row>
    <row r="10" spans="1:11" ht="15" customHeight="1" x14ac:dyDescent="0.25">
      <c r="A10" s="21" t="s">
        <v>82</v>
      </c>
      <c r="B10" s="8" t="s">
        <v>148</v>
      </c>
      <c r="C10" s="8" t="s">
        <v>139</v>
      </c>
      <c r="D10" s="8" t="s">
        <v>28</v>
      </c>
      <c r="E10" s="8" t="s">
        <v>149</v>
      </c>
      <c r="F10" s="8">
        <v>20</v>
      </c>
      <c r="G10" s="10">
        <v>15</v>
      </c>
      <c r="H10" s="8" t="s">
        <v>141</v>
      </c>
      <c r="I10" s="77">
        <v>46034</v>
      </c>
      <c r="J10" s="22" t="str">
        <f>IF($A10="","",IF(G10&lt;Einstellungen!$B$6,"unter Mindestlohn","OK"))</f>
        <v>OK</v>
      </c>
      <c r="K10" s="23">
        <f>IF($A10="","",SUMIFS(Zeiterfassung!$M:$M,Zeiterfassung!$B:$B,$A10,Zeiterfassung!$D:$D,"&gt;="&amp;DATE(Übersicht!$B$5,Übersicht!$B$4,1),Zeiterfassung!$D:$D,"&lt;"&amp;EDATE(DATE(Übersicht!$B$5,Übersicht!$B$4,1),1)))</f>
        <v>33.75</v>
      </c>
    </row>
    <row r="11" spans="1:11" ht="15" customHeight="1" x14ac:dyDescent="0.25">
      <c r="A11" s="21" t="s">
        <v>120</v>
      </c>
      <c r="B11" s="8" t="s">
        <v>150</v>
      </c>
      <c r="C11" s="8" t="s">
        <v>151</v>
      </c>
      <c r="D11" s="8" t="s">
        <v>31</v>
      </c>
      <c r="E11" s="8" t="s">
        <v>146</v>
      </c>
      <c r="F11" s="8">
        <v>8</v>
      </c>
      <c r="G11" s="10">
        <v>13.9</v>
      </c>
      <c r="H11" s="8" t="s">
        <v>141</v>
      </c>
      <c r="I11" s="77">
        <v>46054</v>
      </c>
      <c r="J11" s="22" t="str">
        <f>IF($A11="","",IF(G11&lt;Einstellungen!$B$6,"unter Mindestlohn","OK"))</f>
        <v>OK</v>
      </c>
      <c r="K11" s="23">
        <f>IF($A11="","",SUMIFS(Zeiterfassung!$M:$M,Zeiterfassung!$B:$B,$A11,Zeiterfassung!$D:$D,"&gt;="&amp;DATE(Übersicht!$B$5,Übersicht!$B$4,1),Zeiterfassung!$D:$D,"&lt;"&amp;EDATE(DATE(Übersicht!$B$5,Übersicht!$B$4,1),1)))</f>
        <v>0</v>
      </c>
    </row>
    <row r="12" spans="1:11" ht="15" customHeight="1" x14ac:dyDescent="0.25">
      <c r="A12" s="21"/>
      <c r="B12" s="8"/>
      <c r="C12" s="8"/>
      <c r="D12" s="8"/>
      <c r="E12" s="8"/>
      <c r="F12" s="8"/>
      <c r="G12" s="10"/>
      <c r="H12" s="8"/>
      <c r="I12" s="77"/>
      <c r="J12" s="22" t="str">
        <f>IF($A12="","",IF(G12&lt;Einstellungen!$B$6,"unter Mindestlohn","OK"))</f>
        <v/>
      </c>
      <c r="K12" s="23" t="str">
        <f>IF($A12="","",SUMIFS(Zeiterfassung!$M:$M,Zeiterfassung!$B:$B,$A12,Zeiterfassung!$D:$D,"&gt;="&amp;DATE(Übersicht!$B$5,Übersicht!$B$4,1),Zeiterfassung!$D:$D,"&lt;"&amp;EDATE(DATE(Übersicht!$B$5,Übersicht!$B$4,1),1)))</f>
        <v/>
      </c>
    </row>
    <row r="13" spans="1:11" ht="15" customHeight="1" x14ac:dyDescent="0.25">
      <c r="A13" s="21"/>
      <c r="B13" s="8"/>
      <c r="C13" s="8"/>
      <c r="D13" s="8"/>
      <c r="E13" s="8"/>
      <c r="F13" s="8"/>
      <c r="G13" s="10"/>
      <c r="H13" s="8"/>
      <c r="I13" s="77"/>
      <c r="J13" s="22" t="str">
        <f>IF($A13="","",IF(G13&lt;Einstellungen!$B$6,"unter Mindestlohn","OK"))</f>
        <v/>
      </c>
      <c r="K13" s="23" t="str">
        <f>IF($A13="","",SUMIFS(Zeiterfassung!$M:$M,Zeiterfassung!$B:$B,$A13,Zeiterfassung!$D:$D,"&gt;="&amp;DATE(Übersicht!$B$5,Übersicht!$B$4,1),Zeiterfassung!$D:$D,"&lt;"&amp;EDATE(DATE(Übersicht!$B$5,Übersicht!$B$4,1),1)))</f>
        <v/>
      </c>
    </row>
    <row r="14" spans="1:11" ht="15" customHeight="1" x14ac:dyDescent="0.25">
      <c r="A14" s="21"/>
      <c r="B14" s="8"/>
      <c r="C14" s="8"/>
      <c r="D14" s="8"/>
      <c r="E14" s="8"/>
      <c r="F14" s="8"/>
      <c r="G14" s="10"/>
      <c r="H14" s="8"/>
      <c r="I14" s="77"/>
      <c r="J14" s="22" t="str">
        <f>IF($A14="","",IF(G14&lt;Einstellungen!$B$6,"unter Mindestlohn","OK"))</f>
        <v/>
      </c>
      <c r="K14" s="23" t="str">
        <f>IF($A14="","",SUMIFS(Zeiterfassung!$M:$M,Zeiterfassung!$B:$B,$A14,Zeiterfassung!$D:$D,"&gt;="&amp;DATE(Übersicht!$B$5,Übersicht!$B$4,1),Zeiterfassung!$D:$D,"&lt;"&amp;EDATE(DATE(Übersicht!$B$5,Übersicht!$B$4,1),1)))</f>
        <v/>
      </c>
    </row>
    <row r="15" spans="1:11" ht="15" customHeight="1" x14ac:dyDescent="0.25">
      <c r="A15" s="21"/>
      <c r="B15" s="8"/>
      <c r="C15" s="8"/>
      <c r="D15" s="8"/>
      <c r="E15" s="8"/>
      <c r="F15" s="8"/>
      <c r="G15" s="10"/>
      <c r="H15" s="8"/>
      <c r="I15" s="77"/>
      <c r="J15" s="22" t="str">
        <f>IF($A15="","",IF(G15&lt;Einstellungen!$B$6,"unter Mindestlohn","OK"))</f>
        <v/>
      </c>
      <c r="K15" s="23" t="str">
        <f>IF($A15="","",SUMIFS(Zeiterfassung!$M:$M,Zeiterfassung!$B:$B,$A15,Zeiterfassung!$D:$D,"&gt;="&amp;DATE(Übersicht!$B$5,Übersicht!$B$4,1),Zeiterfassung!$D:$D,"&lt;"&amp;EDATE(DATE(Übersicht!$B$5,Übersicht!$B$4,1),1)))</f>
        <v/>
      </c>
    </row>
    <row r="16" spans="1:11" ht="15" customHeight="1" x14ac:dyDescent="0.25">
      <c r="A16" s="21"/>
      <c r="B16" s="8"/>
      <c r="C16" s="8"/>
      <c r="D16" s="8"/>
      <c r="E16" s="8"/>
      <c r="F16" s="8"/>
      <c r="G16" s="10"/>
      <c r="H16" s="8"/>
      <c r="I16" s="77"/>
      <c r="J16" s="22" t="str">
        <f>IF($A16="","",IF(G16&lt;Einstellungen!$B$6,"unter Mindestlohn","OK"))</f>
        <v/>
      </c>
      <c r="K16" s="23" t="str">
        <f>IF($A16="","",SUMIFS(Zeiterfassung!$M:$M,Zeiterfassung!$B:$B,$A16,Zeiterfassung!$D:$D,"&gt;="&amp;DATE(Übersicht!$B$5,Übersicht!$B$4,1),Zeiterfassung!$D:$D,"&lt;"&amp;EDATE(DATE(Übersicht!$B$5,Übersicht!$B$4,1),1)))</f>
        <v/>
      </c>
    </row>
    <row r="17" spans="1:11" ht="15" customHeight="1" x14ac:dyDescent="0.25">
      <c r="A17" s="21"/>
      <c r="B17" s="8"/>
      <c r="C17" s="8"/>
      <c r="D17" s="8"/>
      <c r="E17" s="8"/>
      <c r="F17" s="8"/>
      <c r="G17" s="10"/>
      <c r="H17" s="8"/>
      <c r="I17" s="77"/>
      <c r="J17" s="22" t="str">
        <f>IF($A17="","",IF(G17&lt;Einstellungen!$B$6,"unter Mindestlohn","OK"))</f>
        <v/>
      </c>
      <c r="K17" s="23" t="str">
        <f>IF($A17="","",SUMIFS(Zeiterfassung!$M:$M,Zeiterfassung!$B:$B,$A17,Zeiterfassung!$D:$D,"&gt;="&amp;DATE(Übersicht!$B$5,Übersicht!$B$4,1),Zeiterfassung!$D:$D,"&lt;"&amp;EDATE(DATE(Übersicht!$B$5,Übersicht!$B$4,1),1)))</f>
        <v/>
      </c>
    </row>
    <row r="18" spans="1:11" ht="15" customHeight="1" x14ac:dyDescent="0.25">
      <c r="A18" s="21"/>
      <c r="B18" s="8"/>
      <c r="C18" s="8"/>
      <c r="D18" s="8"/>
      <c r="E18" s="8"/>
      <c r="F18" s="8"/>
      <c r="G18" s="10"/>
      <c r="H18" s="8"/>
      <c r="I18" s="77"/>
      <c r="J18" s="22" t="str">
        <f>IF($A18="","",IF(G18&lt;Einstellungen!$B$6,"unter Mindestlohn","OK"))</f>
        <v/>
      </c>
      <c r="K18" s="23" t="str">
        <f>IF($A18="","",SUMIFS(Zeiterfassung!$M:$M,Zeiterfassung!$B:$B,$A18,Zeiterfassung!$D:$D,"&gt;="&amp;DATE(Übersicht!$B$5,Übersicht!$B$4,1),Zeiterfassung!$D:$D,"&lt;"&amp;EDATE(DATE(Übersicht!$B$5,Übersicht!$B$4,1),1)))</f>
        <v/>
      </c>
    </row>
    <row r="19" spans="1:11" ht="15" customHeight="1" x14ac:dyDescent="0.25">
      <c r="A19" s="21"/>
      <c r="B19" s="8"/>
      <c r="C19" s="8"/>
      <c r="D19" s="8"/>
      <c r="E19" s="8"/>
      <c r="F19" s="8"/>
      <c r="G19" s="10"/>
      <c r="H19" s="8"/>
      <c r="I19" s="77"/>
      <c r="J19" s="22" t="str">
        <f>IF($A19="","",IF(G19&lt;Einstellungen!$B$6,"unter Mindestlohn","OK"))</f>
        <v/>
      </c>
      <c r="K19" s="23" t="str">
        <f>IF($A19="","",SUMIFS(Zeiterfassung!$M:$M,Zeiterfassung!$B:$B,$A19,Zeiterfassung!$D:$D,"&gt;="&amp;DATE(Übersicht!$B$5,Übersicht!$B$4,1),Zeiterfassung!$D:$D,"&lt;"&amp;EDATE(DATE(Übersicht!$B$5,Übersicht!$B$4,1),1)))</f>
        <v/>
      </c>
    </row>
    <row r="20" spans="1:11" ht="15" customHeight="1" x14ac:dyDescent="0.25">
      <c r="A20" s="21"/>
      <c r="B20" s="8"/>
      <c r="C20" s="8"/>
      <c r="D20" s="8"/>
      <c r="E20" s="8"/>
      <c r="F20" s="8"/>
      <c r="G20" s="10"/>
      <c r="H20" s="8"/>
      <c r="I20" s="77"/>
      <c r="J20" s="22" t="str">
        <f>IF($A20="","",IF(G20&lt;Einstellungen!$B$6,"unter Mindestlohn","OK"))</f>
        <v/>
      </c>
      <c r="K20" s="23" t="str">
        <f>IF($A20="","",SUMIFS(Zeiterfassung!$M:$M,Zeiterfassung!$B:$B,$A20,Zeiterfassung!$D:$D,"&gt;="&amp;DATE(Übersicht!$B$5,Übersicht!$B$4,1),Zeiterfassung!$D:$D,"&lt;"&amp;EDATE(DATE(Übersicht!$B$5,Übersicht!$B$4,1),1)))</f>
        <v/>
      </c>
    </row>
    <row r="21" spans="1:11" ht="15" customHeight="1" x14ac:dyDescent="0.25">
      <c r="A21" s="21"/>
      <c r="B21" s="8"/>
      <c r="C21" s="8"/>
      <c r="D21" s="8"/>
      <c r="E21" s="8"/>
      <c r="F21" s="8"/>
      <c r="G21" s="10"/>
      <c r="H21" s="8"/>
      <c r="I21" s="77"/>
      <c r="J21" s="22" t="str">
        <f>IF($A21="","",IF(G21&lt;Einstellungen!$B$6,"unter Mindestlohn","OK"))</f>
        <v/>
      </c>
      <c r="K21" s="23" t="str">
        <f>IF($A21="","",SUMIFS(Zeiterfassung!$M:$M,Zeiterfassung!$B:$B,$A21,Zeiterfassung!$D:$D,"&gt;="&amp;DATE(Übersicht!$B$5,Übersicht!$B$4,1),Zeiterfassung!$D:$D,"&lt;"&amp;EDATE(DATE(Übersicht!$B$5,Übersicht!$B$4,1),1)))</f>
        <v/>
      </c>
    </row>
    <row r="22" spans="1:11" ht="15" customHeight="1" x14ac:dyDescent="0.25">
      <c r="A22" s="21"/>
      <c r="B22" s="8"/>
      <c r="C22" s="8"/>
      <c r="D22" s="8"/>
      <c r="E22" s="8"/>
      <c r="F22" s="8"/>
      <c r="G22" s="10"/>
      <c r="H22" s="8"/>
      <c r="I22" s="77"/>
      <c r="J22" s="22" t="str">
        <f>IF($A22="","",IF(G22&lt;Einstellungen!$B$6,"unter Mindestlohn","OK"))</f>
        <v/>
      </c>
      <c r="K22" s="23" t="str">
        <f>IF($A22="","",SUMIFS(Zeiterfassung!$M:$M,Zeiterfassung!$B:$B,$A22,Zeiterfassung!$D:$D,"&gt;="&amp;DATE(Übersicht!$B$5,Übersicht!$B$4,1),Zeiterfassung!$D:$D,"&lt;"&amp;EDATE(DATE(Übersicht!$B$5,Übersicht!$B$4,1),1)))</f>
        <v/>
      </c>
    </row>
    <row r="23" spans="1:11" ht="15" customHeight="1" x14ac:dyDescent="0.25">
      <c r="A23" s="21"/>
      <c r="B23" s="8"/>
      <c r="C23" s="8"/>
      <c r="D23" s="8"/>
      <c r="E23" s="8"/>
      <c r="F23" s="8"/>
      <c r="G23" s="10"/>
      <c r="H23" s="8"/>
      <c r="I23" s="77"/>
      <c r="J23" s="22" t="str">
        <f>IF($A23="","",IF(G23&lt;Einstellungen!$B$6,"unter Mindestlohn","OK"))</f>
        <v/>
      </c>
      <c r="K23" s="23" t="str">
        <f>IF($A23="","",SUMIFS(Zeiterfassung!$M:$M,Zeiterfassung!$B:$B,$A23,Zeiterfassung!$D:$D,"&gt;="&amp;DATE(Übersicht!$B$5,Übersicht!$B$4,1),Zeiterfassung!$D:$D,"&lt;"&amp;EDATE(DATE(Übersicht!$B$5,Übersicht!$B$4,1),1)))</f>
        <v/>
      </c>
    </row>
    <row r="24" spans="1:11" ht="15" customHeight="1" x14ac:dyDescent="0.25">
      <c r="A24" s="21"/>
      <c r="B24" s="8"/>
      <c r="C24" s="8"/>
      <c r="D24" s="8"/>
      <c r="E24" s="8"/>
      <c r="F24" s="8"/>
      <c r="G24" s="10"/>
      <c r="H24" s="8"/>
      <c r="I24" s="77"/>
      <c r="J24" s="22" t="str">
        <f>IF($A24="","",IF(G24&lt;Einstellungen!$B$6,"unter Mindestlohn","OK"))</f>
        <v/>
      </c>
      <c r="K24" s="23" t="str">
        <f>IF($A24="","",SUMIFS(Zeiterfassung!$M:$M,Zeiterfassung!$B:$B,$A24,Zeiterfassung!$D:$D,"&gt;="&amp;DATE(Übersicht!$B$5,Übersicht!$B$4,1),Zeiterfassung!$D:$D,"&lt;"&amp;EDATE(DATE(Übersicht!$B$5,Übersicht!$B$4,1),1)))</f>
        <v/>
      </c>
    </row>
    <row r="25" spans="1:11" ht="15" customHeight="1" x14ac:dyDescent="0.25">
      <c r="A25" s="21"/>
      <c r="B25" s="8"/>
      <c r="C25" s="8"/>
      <c r="D25" s="8"/>
      <c r="E25" s="8"/>
      <c r="F25" s="8"/>
      <c r="G25" s="10"/>
      <c r="H25" s="8"/>
      <c r="I25" s="77"/>
      <c r="J25" s="22" t="str">
        <f>IF($A25="","",IF(G25&lt;Einstellungen!$B$6,"unter Mindestlohn","OK"))</f>
        <v/>
      </c>
      <c r="K25" s="23" t="str">
        <f>IF($A25="","",SUMIFS(Zeiterfassung!$M:$M,Zeiterfassung!$B:$B,$A25,Zeiterfassung!$D:$D,"&gt;="&amp;DATE(Übersicht!$B$5,Übersicht!$B$4,1),Zeiterfassung!$D:$D,"&lt;"&amp;EDATE(DATE(Übersicht!$B$5,Übersicht!$B$4,1),1)))</f>
        <v/>
      </c>
    </row>
    <row r="26" spans="1:11" ht="15" customHeight="1" x14ac:dyDescent="0.25">
      <c r="A26" s="21"/>
      <c r="B26" s="8"/>
      <c r="C26" s="8"/>
      <c r="D26" s="8"/>
      <c r="E26" s="8"/>
      <c r="F26" s="8"/>
      <c r="G26" s="10"/>
      <c r="H26" s="8"/>
      <c r="I26" s="77"/>
      <c r="J26" s="22" t="str">
        <f>IF($A26="","",IF(G26&lt;Einstellungen!$B$6,"unter Mindestlohn","OK"))</f>
        <v/>
      </c>
      <c r="K26" s="23" t="str">
        <f>IF($A26="","",SUMIFS(Zeiterfassung!$M:$M,Zeiterfassung!$B:$B,$A26,Zeiterfassung!$D:$D,"&gt;="&amp;DATE(Übersicht!$B$5,Übersicht!$B$4,1),Zeiterfassung!$D:$D,"&lt;"&amp;EDATE(DATE(Übersicht!$B$5,Übersicht!$B$4,1),1)))</f>
        <v/>
      </c>
    </row>
    <row r="27" spans="1:11" ht="15" customHeight="1" x14ac:dyDescent="0.25">
      <c r="A27" s="21"/>
      <c r="B27" s="8"/>
      <c r="C27" s="8"/>
      <c r="D27" s="8"/>
      <c r="E27" s="8"/>
      <c r="F27" s="8"/>
      <c r="G27" s="10"/>
      <c r="H27" s="8"/>
      <c r="I27" s="77"/>
      <c r="J27" s="22" t="str">
        <f>IF($A27="","",IF(G27&lt;Einstellungen!$B$6,"unter Mindestlohn","OK"))</f>
        <v/>
      </c>
      <c r="K27" s="23" t="str">
        <f>IF($A27="","",SUMIFS(Zeiterfassung!$M:$M,Zeiterfassung!$B:$B,$A27,Zeiterfassung!$D:$D,"&gt;="&amp;DATE(Übersicht!$B$5,Übersicht!$B$4,1),Zeiterfassung!$D:$D,"&lt;"&amp;EDATE(DATE(Übersicht!$B$5,Übersicht!$B$4,1),1)))</f>
        <v/>
      </c>
    </row>
    <row r="28" spans="1:11" ht="15" customHeight="1" x14ac:dyDescent="0.25">
      <c r="A28" s="21"/>
      <c r="B28" s="8"/>
      <c r="C28" s="8"/>
      <c r="D28" s="8"/>
      <c r="E28" s="8"/>
      <c r="F28" s="8"/>
      <c r="G28" s="10"/>
      <c r="H28" s="8"/>
      <c r="I28" s="77"/>
      <c r="J28" s="22" t="str">
        <f>IF($A28="","",IF(G28&lt;Einstellungen!$B$6,"unter Mindestlohn","OK"))</f>
        <v/>
      </c>
      <c r="K28" s="23" t="str">
        <f>IF($A28="","",SUMIFS(Zeiterfassung!$M:$M,Zeiterfassung!$B:$B,$A28,Zeiterfassung!$D:$D,"&gt;="&amp;DATE(Übersicht!$B$5,Übersicht!$B$4,1),Zeiterfassung!$D:$D,"&lt;"&amp;EDATE(DATE(Übersicht!$B$5,Übersicht!$B$4,1),1)))</f>
        <v/>
      </c>
    </row>
    <row r="29" spans="1:11" ht="15" customHeight="1" x14ac:dyDescent="0.25">
      <c r="A29" s="21"/>
      <c r="B29" s="8"/>
      <c r="C29" s="8"/>
      <c r="D29" s="8"/>
      <c r="E29" s="8"/>
      <c r="F29" s="8"/>
      <c r="G29" s="10"/>
      <c r="H29" s="8"/>
      <c r="I29" s="77"/>
      <c r="J29" s="22" t="str">
        <f>IF($A29="","",IF(G29&lt;Einstellungen!$B$6,"unter Mindestlohn","OK"))</f>
        <v/>
      </c>
      <c r="K29" s="23" t="str">
        <f>IF($A29="","",SUMIFS(Zeiterfassung!$M:$M,Zeiterfassung!$B:$B,$A29,Zeiterfassung!$D:$D,"&gt;="&amp;DATE(Übersicht!$B$5,Übersicht!$B$4,1),Zeiterfassung!$D:$D,"&lt;"&amp;EDATE(DATE(Übersicht!$B$5,Übersicht!$B$4,1),1)))</f>
        <v/>
      </c>
    </row>
    <row r="30" spans="1:11" ht="15" customHeight="1" x14ac:dyDescent="0.25">
      <c r="A30" s="21"/>
      <c r="B30" s="8"/>
      <c r="C30" s="8"/>
      <c r="D30" s="8"/>
      <c r="E30" s="8"/>
      <c r="F30" s="8"/>
      <c r="G30" s="10"/>
      <c r="H30" s="8"/>
      <c r="I30" s="77"/>
      <c r="J30" s="22" t="str">
        <f>IF($A30="","",IF(G30&lt;Einstellungen!$B$6,"unter Mindestlohn","OK"))</f>
        <v/>
      </c>
      <c r="K30" s="23" t="str">
        <f>IF($A30="","",SUMIFS(Zeiterfassung!$M:$M,Zeiterfassung!$B:$B,$A30,Zeiterfassung!$D:$D,"&gt;="&amp;DATE(Übersicht!$B$5,Übersicht!$B$4,1),Zeiterfassung!$D:$D,"&lt;"&amp;EDATE(DATE(Übersicht!$B$5,Übersicht!$B$4,1),1)))</f>
        <v/>
      </c>
    </row>
    <row r="31" spans="1:11" ht="15" customHeight="1" x14ac:dyDescent="0.25">
      <c r="A31" s="21"/>
      <c r="B31" s="8"/>
      <c r="C31" s="8"/>
      <c r="D31" s="8"/>
      <c r="E31" s="8"/>
      <c r="F31" s="8"/>
      <c r="G31" s="10"/>
      <c r="H31" s="8"/>
      <c r="I31" s="77"/>
      <c r="J31" s="22" t="str">
        <f>IF($A31="","",IF(G31&lt;Einstellungen!$B$6,"unter Mindestlohn","OK"))</f>
        <v/>
      </c>
      <c r="K31" s="23" t="str">
        <f>IF($A31="","",SUMIFS(Zeiterfassung!$M:$M,Zeiterfassung!$B:$B,$A31,Zeiterfassung!$D:$D,"&gt;="&amp;DATE(Übersicht!$B$5,Übersicht!$B$4,1),Zeiterfassung!$D:$D,"&lt;"&amp;EDATE(DATE(Übersicht!$B$5,Übersicht!$B$4,1),1)))</f>
        <v/>
      </c>
    </row>
    <row r="32" spans="1:11" ht="15" customHeight="1" x14ac:dyDescent="0.25">
      <c r="A32" s="21"/>
      <c r="B32" s="8"/>
      <c r="C32" s="8"/>
      <c r="D32" s="8"/>
      <c r="E32" s="8"/>
      <c r="F32" s="8"/>
      <c r="G32" s="10"/>
      <c r="H32" s="8"/>
      <c r="I32" s="77"/>
      <c r="J32" s="22" t="str">
        <f>IF($A32="","",IF(G32&lt;Einstellungen!$B$6,"unter Mindestlohn","OK"))</f>
        <v/>
      </c>
      <c r="K32" s="23" t="str">
        <f>IF($A32="","",SUMIFS(Zeiterfassung!$M:$M,Zeiterfassung!$B:$B,$A32,Zeiterfassung!$D:$D,"&gt;="&amp;DATE(Übersicht!$B$5,Übersicht!$B$4,1),Zeiterfassung!$D:$D,"&lt;"&amp;EDATE(DATE(Übersicht!$B$5,Übersicht!$B$4,1),1)))</f>
        <v/>
      </c>
    </row>
    <row r="33" spans="1:11" ht="15" customHeight="1" x14ac:dyDescent="0.25">
      <c r="A33" s="21"/>
      <c r="B33" s="8"/>
      <c r="C33" s="8"/>
      <c r="D33" s="8"/>
      <c r="E33" s="8"/>
      <c r="F33" s="8"/>
      <c r="G33" s="10"/>
      <c r="H33" s="8"/>
      <c r="I33" s="77"/>
      <c r="J33" s="22" t="str">
        <f>IF($A33="","",IF(G33&lt;Einstellungen!$B$6,"unter Mindestlohn","OK"))</f>
        <v/>
      </c>
      <c r="K33" s="23" t="str">
        <f>IF($A33="","",SUMIFS(Zeiterfassung!$M:$M,Zeiterfassung!$B:$B,$A33,Zeiterfassung!$D:$D,"&gt;="&amp;DATE(Übersicht!$B$5,Übersicht!$B$4,1),Zeiterfassung!$D:$D,"&lt;"&amp;EDATE(DATE(Übersicht!$B$5,Übersicht!$B$4,1),1)))</f>
        <v/>
      </c>
    </row>
    <row r="34" spans="1:11" ht="15" customHeight="1" x14ac:dyDescent="0.25">
      <c r="A34" s="21"/>
      <c r="B34" s="8"/>
      <c r="C34" s="8"/>
      <c r="D34" s="8"/>
      <c r="E34" s="8"/>
      <c r="F34" s="8"/>
      <c r="G34" s="10"/>
      <c r="H34" s="8"/>
      <c r="I34" s="77"/>
      <c r="J34" s="22" t="str">
        <f>IF($A34="","",IF(G34&lt;Einstellungen!$B$6,"unter Mindestlohn","OK"))</f>
        <v/>
      </c>
      <c r="K34" s="23" t="str">
        <f>IF($A34="","",SUMIFS(Zeiterfassung!$M:$M,Zeiterfassung!$B:$B,$A34,Zeiterfassung!$D:$D,"&gt;="&amp;DATE(Übersicht!$B$5,Übersicht!$B$4,1),Zeiterfassung!$D:$D,"&lt;"&amp;EDATE(DATE(Übersicht!$B$5,Übersicht!$B$4,1),1)))</f>
        <v/>
      </c>
    </row>
    <row r="35" spans="1:11" ht="15" customHeight="1" x14ac:dyDescent="0.25">
      <c r="A35" s="24"/>
      <c r="B35" s="25"/>
      <c r="C35" s="25"/>
      <c r="D35" s="25"/>
      <c r="E35" s="25"/>
      <c r="F35" s="25"/>
      <c r="G35" s="26"/>
      <c r="H35" s="25"/>
      <c r="I35" s="78"/>
      <c r="J35" s="27" t="str">
        <f>IF($A35="","",IF(G35&lt;Einstellungen!$B$6,"unter Mindestlohn","OK"))</f>
        <v/>
      </c>
      <c r="K35" s="28" t="str">
        <f>IF($A35="","",SUMIFS(Zeiterfassung!$M:$M,Zeiterfassung!$B:$B,$A35,Zeiterfassung!$D:$D,"&gt;="&amp;DATE(Übersicht!$B$5,Übersicht!$B$4,1),Zeiterfassung!$D:$D,"&lt;"&amp;EDATE(DATE(Übersicht!$B$5,Übersicht!$B$4,1),1)))</f>
        <v/>
      </c>
    </row>
  </sheetData>
  <mergeCells count="1">
    <mergeCell ref="B3:K3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workbookViewId="0"/>
  </sheetViews>
  <sheetFormatPr baseColWidth="10" defaultColWidth="9" defaultRowHeight="15" x14ac:dyDescent="0.25"/>
  <cols>
    <col min="1" max="1" width="28" customWidth="1"/>
    <col min="2" max="2" width="14" customWidth="1"/>
    <col min="3" max="3" width="42" customWidth="1"/>
    <col min="5" max="5" width="11" customWidth="1"/>
    <col min="6" max="7" width="10.25" customWidth="1"/>
  </cols>
  <sheetData>
    <row r="1" spans="1:8" ht="27.95" customHeight="1" x14ac:dyDescent="0.25">
      <c r="A1" s="1" t="s">
        <v>152</v>
      </c>
      <c r="B1" s="1"/>
      <c r="C1" s="1"/>
      <c r="D1" s="1"/>
      <c r="E1" s="1"/>
      <c r="F1" s="1"/>
      <c r="G1" s="1"/>
      <c r="H1" s="1"/>
    </row>
    <row r="3" spans="1:8" ht="15" customHeight="1" x14ac:dyDescent="0.25">
      <c r="A3" s="4" t="s">
        <v>153</v>
      </c>
      <c r="B3" s="5" t="s">
        <v>1</v>
      </c>
      <c r="C3" s="6" t="s">
        <v>127</v>
      </c>
      <c r="E3" s="2" t="s">
        <v>154</v>
      </c>
      <c r="F3" s="2" t="s">
        <v>155</v>
      </c>
      <c r="G3" s="2" t="s">
        <v>54</v>
      </c>
    </row>
    <row r="4" spans="1:8" ht="15" customHeight="1" x14ac:dyDescent="0.25">
      <c r="A4" s="7" t="s">
        <v>6</v>
      </c>
      <c r="B4" s="8">
        <v>2026</v>
      </c>
      <c r="C4" s="9" t="s">
        <v>156</v>
      </c>
      <c r="E4" s="16" t="s">
        <v>28</v>
      </c>
      <c r="F4" s="16" t="s">
        <v>73</v>
      </c>
      <c r="G4" s="16" t="s">
        <v>77</v>
      </c>
    </row>
    <row r="5" spans="1:8" ht="15" customHeight="1" x14ac:dyDescent="0.25">
      <c r="A5" s="7" t="s">
        <v>157</v>
      </c>
      <c r="B5" s="8">
        <v>1</v>
      </c>
      <c r="C5" s="9" t="s">
        <v>158</v>
      </c>
      <c r="E5" s="16" t="s">
        <v>29</v>
      </c>
      <c r="F5" s="16" t="s">
        <v>76</v>
      </c>
      <c r="G5" s="16" t="s">
        <v>62</v>
      </c>
    </row>
    <row r="6" spans="1:8" ht="15" customHeight="1" x14ac:dyDescent="0.25">
      <c r="A6" s="7" t="s">
        <v>159</v>
      </c>
      <c r="B6" s="10">
        <v>13.9</v>
      </c>
      <c r="C6" s="9" t="s">
        <v>160</v>
      </c>
      <c r="E6" s="16" t="s">
        <v>30</v>
      </c>
      <c r="F6" s="16" t="s">
        <v>61</v>
      </c>
      <c r="G6" s="16" t="s">
        <v>86</v>
      </c>
    </row>
    <row r="7" spans="1:8" ht="15" customHeight="1" x14ac:dyDescent="0.25">
      <c r="A7" s="7" t="s">
        <v>161</v>
      </c>
      <c r="B7" s="11">
        <v>0.91666666666666663</v>
      </c>
      <c r="C7" s="9" t="s">
        <v>162</v>
      </c>
      <c r="E7" s="16" t="s">
        <v>31</v>
      </c>
      <c r="F7" s="16" t="s">
        <v>69</v>
      </c>
      <c r="G7" s="16" t="s">
        <v>163</v>
      </c>
    </row>
    <row r="8" spans="1:8" ht="26.45" customHeight="1" x14ac:dyDescent="0.25">
      <c r="A8" s="7" t="s">
        <v>164</v>
      </c>
      <c r="B8" s="11">
        <v>0.25</v>
      </c>
      <c r="C8" s="9" t="s">
        <v>165</v>
      </c>
      <c r="E8" s="16" t="s">
        <v>32</v>
      </c>
      <c r="F8" s="16" t="s">
        <v>85</v>
      </c>
      <c r="G8" s="16"/>
    </row>
    <row r="9" spans="1:8" ht="15" customHeight="1" x14ac:dyDescent="0.25">
      <c r="A9" s="7" t="s">
        <v>166</v>
      </c>
      <c r="B9" s="8">
        <v>30</v>
      </c>
      <c r="C9" s="9" t="s">
        <v>167</v>
      </c>
      <c r="E9" s="16" t="s">
        <v>33</v>
      </c>
      <c r="F9" s="16" t="s">
        <v>168</v>
      </c>
      <c r="G9" s="16"/>
    </row>
    <row r="10" spans="1:8" ht="15" customHeight="1" x14ac:dyDescent="0.25">
      <c r="A10" s="7" t="s">
        <v>169</v>
      </c>
      <c r="B10" s="8">
        <v>45</v>
      </c>
      <c r="C10" s="9" t="s">
        <v>167</v>
      </c>
      <c r="E10" s="16" t="s">
        <v>34</v>
      </c>
      <c r="F10" s="16" t="s">
        <v>170</v>
      </c>
      <c r="G10" s="16"/>
    </row>
    <row r="11" spans="1:8" ht="15" customHeight="1" x14ac:dyDescent="0.25">
      <c r="A11" s="7" t="s">
        <v>171</v>
      </c>
      <c r="B11" s="8">
        <v>8</v>
      </c>
      <c r="C11" s="9" t="s">
        <v>172</v>
      </c>
      <c r="E11" s="16" t="s">
        <v>35</v>
      </c>
      <c r="F11" s="16"/>
      <c r="G11" s="16"/>
    </row>
    <row r="12" spans="1:8" ht="15" customHeight="1" x14ac:dyDescent="0.25">
      <c r="A12" s="7" t="s">
        <v>173</v>
      </c>
      <c r="B12" s="8">
        <v>10</v>
      </c>
      <c r="C12" s="9" t="s">
        <v>174</v>
      </c>
      <c r="E12" s="16"/>
      <c r="F12" s="16"/>
      <c r="G12" s="16"/>
    </row>
    <row r="13" spans="1:8" ht="15" customHeight="1" x14ac:dyDescent="0.25">
      <c r="A13" s="7" t="s">
        <v>175</v>
      </c>
      <c r="B13" s="8">
        <v>11</v>
      </c>
      <c r="C13" s="9" t="s">
        <v>176</v>
      </c>
      <c r="E13" s="16"/>
      <c r="F13" s="16"/>
      <c r="G13" s="16"/>
    </row>
    <row r="14" spans="1:8" ht="26.45" customHeight="1" x14ac:dyDescent="0.25">
      <c r="A14" s="7" t="s">
        <v>177</v>
      </c>
      <c r="B14" s="8">
        <v>10</v>
      </c>
      <c r="C14" s="9" t="s">
        <v>178</v>
      </c>
      <c r="E14" s="16"/>
      <c r="F14" s="16"/>
      <c r="G14" s="16"/>
    </row>
    <row r="15" spans="1:8" ht="26.45" customHeight="1" x14ac:dyDescent="0.25">
      <c r="A15" s="7" t="s">
        <v>179</v>
      </c>
      <c r="B15" s="12">
        <v>0.25</v>
      </c>
      <c r="C15" s="9" t="s">
        <v>180</v>
      </c>
      <c r="E15" s="16"/>
      <c r="F15" s="16"/>
      <c r="G15" s="16"/>
    </row>
    <row r="16" spans="1:8" ht="15" customHeight="1" x14ac:dyDescent="0.25">
      <c r="A16" s="7" t="s">
        <v>181</v>
      </c>
      <c r="B16" s="12">
        <v>0.5</v>
      </c>
      <c r="C16" s="9" t="s">
        <v>182</v>
      </c>
      <c r="E16" s="16"/>
      <c r="F16" s="16"/>
      <c r="G16" s="16"/>
    </row>
    <row r="17" spans="1:7" ht="15" customHeight="1" x14ac:dyDescent="0.25">
      <c r="A17" s="13" t="s">
        <v>183</v>
      </c>
      <c r="B17" s="14">
        <v>1</v>
      </c>
      <c r="C17" s="15" t="s">
        <v>182</v>
      </c>
      <c r="E17" s="16"/>
      <c r="F17" s="16"/>
      <c r="G17" s="16"/>
    </row>
    <row r="18" spans="1:7" ht="15" customHeight="1" x14ac:dyDescent="0.25">
      <c r="E18" s="16"/>
      <c r="F18" s="16"/>
      <c r="G18" s="16"/>
    </row>
    <row r="19" spans="1:7" ht="15" customHeight="1" x14ac:dyDescent="0.25">
      <c r="E19" s="16"/>
      <c r="F19" s="16"/>
      <c r="G19" s="16"/>
    </row>
    <row r="20" spans="1:7" ht="15" customHeight="1" x14ac:dyDescent="0.25">
      <c r="A20" s="4" t="s">
        <v>184</v>
      </c>
      <c r="B20" s="5" t="s">
        <v>185</v>
      </c>
      <c r="C20" s="6" t="s">
        <v>186</v>
      </c>
      <c r="E20" s="16"/>
      <c r="F20" s="16"/>
      <c r="G20" s="16"/>
    </row>
    <row r="21" spans="1:7" ht="15" customHeight="1" x14ac:dyDescent="0.25">
      <c r="A21" s="79">
        <v>46023</v>
      </c>
      <c r="B21" s="17" t="s">
        <v>187</v>
      </c>
      <c r="C21" s="18" t="s">
        <v>188</v>
      </c>
    </row>
    <row r="22" spans="1:7" ht="15" customHeight="1" x14ac:dyDescent="0.25">
      <c r="A22" s="79">
        <v>46028</v>
      </c>
      <c r="B22" s="17" t="s">
        <v>189</v>
      </c>
      <c r="C22" s="18" t="s">
        <v>188</v>
      </c>
    </row>
    <row r="23" spans="1:7" ht="15" customHeight="1" x14ac:dyDescent="0.25">
      <c r="A23" s="79">
        <v>46089</v>
      </c>
      <c r="B23" s="17" t="s">
        <v>190</v>
      </c>
      <c r="C23" s="18" t="s">
        <v>188</v>
      </c>
    </row>
    <row r="24" spans="1:7" ht="15" customHeight="1" x14ac:dyDescent="0.25">
      <c r="A24" s="79">
        <v>46115</v>
      </c>
      <c r="B24" s="17" t="s">
        <v>191</v>
      </c>
      <c r="C24" s="18" t="s">
        <v>188</v>
      </c>
    </row>
    <row r="25" spans="1:7" ht="15" customHeight="1" x14ac:dyDescent="0.25">
      <c r="A25" s="79">
        <v>46118</v>
      </c>
      <c r="B25" s="17" t="s">
        <v>192</v>
      </c>
      <c r="C25" s="18" t="s">
        <v>188</v>
      </c>
    </row>
    <row r="26" spans="1:7" ht="15" customHeight="1" x14ac:dyDescent="0.25">
      <c r="A26" s="79">
        <v>46143</v>
      </c>
      <c r="B26" s="17" t="s">
        <v>193</v>
      </c>
      <c r="C26" s="18" t="s">
        <v>188</v>
      </c>
    </row>
    <row r="27" spans="1:7" ht="15" customHeight="1" x14ac:dyDescent="0.25">
      <c r="A27" s="79">
        <v>46156</v>
      </c>
      <c r="B27" s="17" t="s">
        <v>194</v>
      </c>
      <c r="C27" s="18" t="s">
        <v>188</v>
      </c>
    </row>
    <row r="28" spans="1:7" ht="15" customHeight="1" x14ac:dyDescent="0.25">
      <c r="A28" s="79">
        <v>46167</v>
      </c>
      <c r="B28" s="17" t="s">
        <v>195</v>
      </c>
      <c r="C28" s="18" t="s">
        <v>188</v>
      </c>
    </row>
    <row r="29" spans="1:7" ht="15" customHeight="1" x14ac:dyDescent="0.25">
      <c r="A29" s="79">
        <v>46177</v>
      </c>
      <c r="B29" s="17" t="s">
        <v>196</v>
      </c>
      <c r="C29" s="18" t="s">
        <v>188</v>
      </c>
    </row>
    <row r="30" spans="1:7" ht="15" customHeight="1" x14ac:dyDescent="0.25">
      <c r="A30" s="79">
        <v>46249</v>
      </c>
      <c r="B30" s="17" t="s">
        <v>197</v>
      </c>
      <c r="C30" s="18" t="s">
        <v>188</v>
      </c>
    </row>
    <row r="31" spans="1:7" ht="15" customHeight="1" x14ac:dyDescent="0.25">
      <c r="A31" s="79">
        <v>46285</v>
      </c>
      <c r="B31" s="17" t="s">
        <v>198</v>
      </c>
      <c r="C31" s="18" t="s">
        <v>188</v>
      </c>
    </row>
    <row r="32" spans="1:7" ht="15" customHeight="1" x14ac:dyDescent="0.25">
      <c r="A32" s="79">
        <v>46298</v>
      </c>
      <c r="B32" s="17" t="s">
        <v>199</v>
      </c>
      <c r="C32" s="18" t="s">
        <v>188</v>
      </c>
    </row>
    <row r="33" spans="1:3" ht="15" customHeight="1" x14ac:dyDescent="0.25">
      <c r="A33" s="79">
        <v>46326</v>
      </c>
      <c r="B33" s="17" t="s">
        <v>200</v>
      </c>
      <c r="C33" s="18" t="s">
        <v>188</v>
      </c>
    </row>
    <row r="34" spans="1:3" ht="15" customHeight="1" x14ac:dyDescent="0.25">
      <c r="A34" s="79">
        <v>46327</v>
      </c>
      <c r="B34" s="17" t="s">
        <v>201</v>
      </c>
      <c r="C34" s="18" t="s">
        <v>188</v>
      </c>
    </row>
    <row r="35" spans="1:3" ht="15" customHeight="1" x14ac:dyDescent="0.25">
      <c r="A35" s="79">
        <v>46344</v>
      </c>
      <c r="B35" s="17" t="s">
        <v>202</v>
      </c>
      <c r="C35" s="18" t="s">
        <v>188</v>
      </c>
    </row>
    <row r="36" spans="1:3" ht="15" customHeight="1" x14ac:dyDescent="0.25">
      <c r="A36" s="79">
        <v>46381</v>
      </c>
      <c r="B36" s="17" t="s">
        <v>203</v>
      </c>
      <c r="C36" s="18" t="s">
        <v>188</v>
      </c>
    </row>
    <row r="37" spans="1:3" ht="15" customHeight="1" x14ac:dyDescent="0.25">
      <c r="A37" s="80">
        <v>46382</v>
      </c>
      <c r="B37" s="19" t="s">
        <v>204</v>
      </c>
      <c r="C37" s="20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Zeiterfassung</vt:lpstr>
      <vt:lpstr>Mitarbeiter</vt:lpstr>
      <vt:lpstr>Einstellungen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2026-06-02T06:16:19Z</dcterms:modified>
</cp:coreProperties>
</file>