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3F15CED-D26D-4510-8F16-EEF640BEF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iterfassung" sheetId="1" r:id="rId1"/>
    <sheet name="Monatsübersicht" sheetId="2" r:id="rId2"/>
    <sheet name="Einstel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F42" i="2"/>
  <c r="E42" i="2"/>
  <c r="D42" i="2"/>
  <c r="C42" i="2"/>
  <c r="B42" i="2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F32" i="2"/>
  <c r="D32" i="2"/>
  <c r="F31" i="2"/>
  <c r="D31" i="2"/>
  <c r="D22" i="2"/>
  <c r="B17" i="2"/>
  <c r="D16" i="2"/>
  <c r="C16" i="2"/>
  <c r="B16" i="2"/>
  <c r="B15" i="2"/>
  <c r="B14" i="2"/>
  <c r="B13" i="2"/>
  <c r="B12" i="2"/>
  <c r="D4" i="2"/>
  <c r="V128" i="1"/>
  <c r="U128" i="1"/>
  <c r="S128" i="1"/>
  <c r="R128" i="1"/>
  <c r="P128" i="1"/>
  <c r="N128" i="1"/>
  <c r="M128" i="1"/>
  <c r="I128" i="1"/>
  <c r="J128" i="1" s="1"/>
  <c r="B128" i="1"/>
  <c r="V127" i="1"/>
  <c r="U127" i="1"/>
  <c r="P127" i="1"/>
  <c r="N127" i="1"/>
  <c r="S127" i="1" s="1"/>
  <c r="M127" i="1"/>
  <c r="R127" i="1" s="1"/>
  <c r="I127" i="1"/>
  <c r="J127" i="1" s="1"/>
  <c r="Q127" i="1" s="1"/>
  <c r="T127" i="1" s="1"/>
  <c r="B127" i="1"/>
  <c r="V126" i="1"/>
  <c r="U126" i="1"/>
  <c r="S126" i="1"/>
  <c r="Q126" i="1"/>
  <c r="T126" i="1" s="1"/>
  <c r="P126" i="1"/>
  <c r="N126" i="1"/>
  <c r="M126" i="1"/>
  <c r="R126" i="1" s="1"/>
  <c r="J126" i="1"/>
  <c r="L126" i="1" s="1"/>
  <c r="I126" i="1"/>
  <c r="B126" i="1"/>
  <c r="V125" i="1"/>
  <c r="U125" i="1"/>
  <c r="T125" i="1"/>
  <c r="S125" i="1"/>
  <c r="R125" i="1"/>
  <c r="Q125" i="1"/>
  <c r="P125" i="1"/>
  <c r="N125" i="1"/>
  <c r="M125" i="1"/>
  <c r="J125" i="1"/>
  <c r="L125" i="1" s="1"/>
  <c r="I125" i="1"/>
  <c r="B125" i="1"/>
  <c r="V124" i="1"/>
  <c r="U124" i="1"/>
  <c r="P124" i="1"/>
  <c r="N124" i="1"/>
  <c r="S124" i="1" s="1"/>
  <c r="M124" i="1"/>
  <c r="R124" i="1" s="1"/>
  <c r="J124" i="1"/>
  <c r="Q124" i="1" s="1"/>
  <c r="T124" i="1" s="1"/>
  <c r="I124" i="1"/>
  <c r="B124" i="1"/>
  <c r="V123" i="1"/>
  <c r="U123" i="1"/>
  <c r="R123" i="1"/>
  <c r="P123" i="1"/>
  <c r="N123" i="1"/>
  <c r="S123" i="1" s="1"/>
  <c r="M123" i="1"/>
  <c r="I123" i="1"/>
  <c r="J123" i="1" s="1"/>
  <c r="B123" i="1"/>
  <c r="V122" i="1"/>
  <c r="U122" i="1"/>
  <c r="S122" i="1"/>
  <c r="R122" i="1"/>
  <c r="P122" i="1"/>
  <c r="N122" i="1"/>
  <c r="M122" i="1"/>
  <c r="I122" i="1"/>
  <c r="J122" i="1" s="1"/>
  <c r="B122" i="1"/>
  <c r="V121" i="1"/>
  <c r="U121" i="1"/>
  <c r="P121" i="1"/>
  <c r="N121" i="1"/>
  <c r="S121" i="1" s="1"/>
  <c r="M121" i="1"/>
  <c r="R121" i="1" s="1"/>
  <c r="J121" i="1"/>
  <c r="Q121" i="1" s="1"/>
  <c r="T121" i="1" s="1"/>
  <c r="I121" i="1"/>
  <c r="B121" i="1"/>
  <c r="V120" i="1"/>
  <c r="U120" i="1"/>
  <c r="Q120" i="1"/>
  <c r="T120" i="1" s="1"/>
  <c r="P120" i="1"/>
  <c r="N120" i="1"/>
  <c r="S120" i="1" s="1"/>
  <c r="M120" i="1"/>
  <c r="R120" i="1" s="1"/>
  <c r="J120" i="1"/>
  <c r="L120" i="1" s="1"/>
  <c r="I120" i="1"/>
  <c r="B120" i="1"/>
  <c r="V119" i="1"/>
  <c r="U119" i="1"/>
  <c r="T119" i="1"/>
  <c r="S119" i="1"/>
  <c r="R119" i="1"/>
  <c r="Q119" i="1"/>
  <c r="P119" i="1"/>
  <c r="N119" i="1"/>
  <c r="M119" i="1"/>
  <c r="I119" i="1"/>
  <c r="J119" i="1" s="1"/>
  <c r="L119" i="1" s="1"/>
  <c r="B119" i="1"/>
  <c r="V118" i="1"/>
  <c r="U118" i="1"/>
  <c r="P118" i="1"/>
  <c r="N118" i="1"/>
  <c r="S118" i="1" s="1"/>
  <c r="M118" i="1"/>
  <c r="R118" i="1" s="1"/>
  <c r="I118" i="1"/>
  <c r="J118" i="1" s="1"/>
  <c r="B118" i="1"/>
  <c r="V117" i="1"/>
  <c r="U117" i="1"/>
  <c r="P117" i="1"/>
  <c r="N117" i="1"/>
  <c r="S117" i="1" s="1"/>
  <c r="M117" i="1"/>
  <c r="R117" i="1" s="1"/>
  <c r="L117" i="1"/>
  <c r="I117" i="1"/>
  <c r="J117" i="1" s="1"/>
  <c r="Q117" i="1" s="1"/>
  <c r="T117" i="1" s="1"/>
  <c r="B117" i="1"/>
  <c r="V116" i="1"/>
  <c r="U116" i="1"/>
  <c r="S116" i="1"/>
  <c r="Q116" i="1"/>
  <c r="T116" i="1" s="1"/>
  <c r="P116" i="1"/>
  <c r="N116" i="1"/>
  <c r="M116" i="1"/>
  <c r="R116" i="1" s="1"/>
  <c r="I116" i="1"/>
  <c r="J116" i="1" s="1"/>
  <c r="L116" i="1" s="1"/>
  <c r="B116" i="1"/>
  <c r="V115" i="1"/>
  <c r="U115" i="1"/>
  <c r="S115" i="1"/>
  <c r="P115" i="1"/>
  <c r="N115" i="1"/>
  <c r="M115" i="1"/>
  <c r="R115" i="1" s="1"/>
  <c r="J115" i="1"/>
  <c r="I115" i="1"/>
  <c r="B115" i="1"/>
  <c r="V114" i="1"/>
  <c r="U114" i="1"/>
  <c r="P114" i="1"/>
  <c r="N114" i="1"/>
  <c r="S114" i="1" s="1"/>
  <c r="M114" i="1"/>
  <c r="R114" i="1" s="1"/>
  <c r="J114" i="1"/>
  <c r="I114" i="1"/>
  <c r="B114" i="1"/>
  <c r="V113" i="1"/>
  <c r="U113" i="1"/>
  <c r="R113" i="1"/>
  <c r="Q113" i="1"/>
  <c r="T113" i="1" s="1"/>
  <c r="P113" i="1"/>
  <c r="N113" i="1"/>
  <c r="S113" i="1" s="1"/>
  <c r="M113" i="1"/>
  <c r="L113" i="1"/>
  <c r="J113" i="1"/>
  <c r="I113" i="1"/>
  <c r="B113" i="1"/>
  <c r="V112" i="1"/>
  <c r="U112" i="1"/>
  <c r="S112" i="1"/>
  <c r="R112" i="1"/>
  <c r="P112" i="1"/>
  <c r="N112" i="1"/>
  <c r="M112" i="1"/>
  <c r="I112" i="1"/>
  <c r="J112" i="1" s="1"/>
  <c r="B112" i="1"/>
  <c r="V111" i="1"/>
  <c r="U111" i="1"/>
  <c r="S111" i="1"/>
  <c r="P111" i="1"/>
  <c r="N111" i="1"/>
  <c r="M111" i="1"/>
  <c r="R111" i="1" s="1"/>
  <c r="I111" i="1"/>
  <c r="J111" i="1" s="1"/>
  <c r="B111" i="1"/>
  <c r="V110" i="1"/>
  <c r="U110" i="1"/>
  <c r="P110" i="1"/>
  <c r="N110" i="1"/>
  <c r="S110" i="1" s="1"/>
  <c r="M110" i="1"/>
  <c r="R110" i="1" s="1"/>
  <c r="J110" i="1"/>
  <c r="L110" i="1" s="1"/>
  <c r="I110" i="1"/>
  <c r="B110" i="1"/>
  <c r="V109" i="1"/>
  <c r="U109" i="1"/>
  <c r="R109" i="1"/>
  <c r="P109" i="1"/>
  <c r="N109" i="1"/>
  <c r="S109" i="1" s="1"/>
  <c r="M109" i="1"/>
  <c r="I109" i="1"/>
  <c r="J109" i="1" s="1"/>
  <c r="L109" i="1" s="1"/>
  <c r="B109" i="1"/>
  <c r="V108" i="1"/>
  <c r="U108" i="1"/>
  <c r="S108" i="1"/>
  <c r="R108" i="1"/>
  <c r="P108" i="1"/>
  <c r="N108" i="1"/>
  <c r="M108" i="1"/>
  <c r="I108" i="1"/>
  <c r="J108" i="1" s="1"/>
  <c r="B108" i="1"/>
  <c r="V107" i="1"/>
  <c r="U107" i="1"/>
  <c r="P107" i="1"/>
  <c r="N107" i="1"/>
  <c r="S107" i="1" s="1"/>
  <c r="M107" i="1"/>
  <c r="R107" i="1" s="1"/>
  <c r="I107" i="1"/>
  <c r="J107" i="1" s="1"/>
  <c r="Q107" i="1" s="1"/>
  <c r="T107" i="1" s="1"/>
  <c r="B107" i="1"/>
  <c r="V106" i="1"/>
  <c r="U106" i="1"/>
  <c r="S106" i="1"/>
  <c r="Q106" i="1"/>
  <c r="T106" i="1" s="1"/>
  <c r="P106" i="1"/>
  <c r="N106" i="1"/>
  <c r="M106" i="1"/>
  <c r="R106" i="1" s="1"/>
  <c r="J106" i="1"/>
  <c r="L106" i="1" s="1"/>
  <c r="I106" i="1"/>
  <c r="B106" i="1"/>
  <c r="V105" i="1"/>
  <c r="U105" i="1"/>
  <c r="S105" i="1"/>
  <c r="R105" i="1"/>
  <c r="Q105" i="1"/>
  <c r="T105" i="1" s="1"/>
  <c r="P105" i="1"/>
  <c r="N105" i="1"/>
  <c r="M105" i="1"/>
  <c r="J105" i="1"/>
  <c r="L105" i="1" s="1"/>
  <c r="I105" i="1"/>
  <c r="B105" i="1"/>
  <c r="V104" i="1"/>
  <c r="U104" i="1"/>
  <c r="P104" i="1"/>
  <c r="N104" i="1"/>
  <c r="S104" i="1" s="1"/>
  <c r="M104" i="1"/>
  <c r="R104" i="1" s="1"/>
  <c r="L104" i="1"/>
  <c r="J104" i="1"/>
  <c r="Q104" i="1" s="1"/>
  <c r="T104" i="1" s="1"/>
  <c r="I104" i="1"/>
  <c r="B104" i="1"/>
  <c r="V103" i="1"/>
  <c r="U103" i="1"/>
  <c r="R103" i="1"/>
  <c r="P103" i="1"/>
  <c r="N103" i="1"/>
  <c r="S103" i="1" s="1"/>
  <c r="M103" i="1"/>
  <c r="I103" i="1"/>
  <c r="J103" i="1" s="1"/>
  <c r="B103" i="1"/>
  <c r="V102" i="1"/>
  <c r="U102" i="1"/>
  <c r="S102" i="1"/>
  <c r="R102" i="1"/>
  <c r="P102" i="1"/>
  <c r="N102" i="1"/>
  <c r="M102" i="1"/>
  <c r="I102" i="1"/>
  <c r="J102" i="1" s="1"/>
  <c r="B102" i="1"/>
  <c r="V101" i="1"/>
  <c r="U101" i="1"/>
  <c r="P101" i="1"/>
  <c r="N101" i="1"/>
  <c r="S101" i="1" s="1"/>
  <c r="M101" i="1"/>
  <c r="R101" i="1" s="1"/>
  <c r="J101" i="1"/>
  <c r="Q101" i="1" s="1"/>
  <c r="T101" i="1" s="1"/>
  <c r="I101" i="1"/>
  <c r="B101" i="1"/>
  <c r="V100" i="1"/>
  <c r="U100" i="1"/>
  <c r="Q100" i="1"/>
  <c r="T100" i="1" s="1"/>
  <c r="P100" i="1"/>
  <c r="N100" i="1"/>
  <c r="S100" i="1" s="1"/>
  <c r="M100" i="1"/>
  <c r="R100" i="1" s="1"/>
  <c r="J100" i="1"/>
  <c r="L100" i="1" s="1"/>
  <c r="I100" i="1"/>
  <c r="B100" i="1"/>
  <c r="V99" i="1"/>
  <c r="U99" i="1"/>
  <c r="R99" i="1"/>
  <c r="Q99" i="1"/>
  <c r="T99" i="1" s="1"/>
  <c r="P99" i="1"/>
  <c r="N99" i="1"/>
  <c r="S99" i="1" s="1"/>
  <c r="M99" i="1"/>
  <c r="I99" i="1"/>
  <c r="J99" i="1" s="1"/>
  <c r="L99" i="1" s="1"/>
  <c r="B99" i="1"/>
  <c r="V98" i="1"/>
  <c r="U98" i="1"/>
  <c r="P98" i="1"/>
  <c r="N98" i="1"/>
  <c r="S98" i="1" s="1"/>
  <c r="M98" i="1"/>
  <c r="R98" i="1" s="1"/>
  <c r="I98" i="1"/>
  <c r="J98" i="1" s="1"/>
  <c r="B98" i="1"/>
  <c r="V97" i="1"/>
  <c r="U97" i="1"/>
  <c r="P97" i="1"/>
  <c r="N97" i="1"/>
  <c r="S97" i="1" s="1"/>
  <c r="M97" i="1"/>
  <c r="R97" i="1" s="1"/>
  <c r="I97" i="1"/>
  <c r="J97" i="1" s="1"/>
  <c r="Q97" i="1" s="1"/>
  <c r="T97" i="1" s="1"/>
  <c r="B97" i="1"/>
  <c r="V96" i="1"/>
  <c r="U96" i="1"/>
  <c r="S96" i="1"/>
  <c r="R96" i="1"/>
  <c r="Q96" i="1"/>
  <c r="T96" i="1" s="1"/>
  <c r="P96" i="1"/>
  <c r="N96" i="1"/>
  <c r="M96" i="1"/>
  <c r="I96" i="1"/>
  <c r="J96" i="1" s="1"/>
  <c r="L96" i="1" s="1"/>
  <c r="B96" i="1"/>
  <c r="V95" i="1"/>
  <c r="U95" i="1"/>
  <c r="S95" i="1"/>
  <c r="P95" i="1"/>
  <c r="N95" i="1"/>
  <c r="M95" i="1"/>
  <c r="R95" i="1" s="1"/>
  <c r="I95" i="1"/>
  <c r="J95" i="1" s="1"/>
  <c r="B95" i="1"/>
  <c r="V94" i="1"/>
  <c r="U94" i="1"/>
  <c r="P94" i="1"/>
  <c r="N94" i="1"/>
  <c r="S94" i="1" s="1"/>
  <c r="M94" i="1"/>
  <c r="R94" i="1" s="1"/>
  <c r="J94" i="1"/>
  <c r="I94" i="1"/>
  <c r="B94" i="1"/>
  <c r="V93" i="1"/>
  <c r="U93" i="1"/>
  <c r="R93" i="1"/>
  <c r="Q93" i="1"/>
  <c r="T93" i="1" s="1"/>
  <c r="P93" i="1"/>
  <c r="N93" i="1"/>
  <c r="S93" i="1" s="1"/>
  <c r="M93" i="1"/>
  <c r="L93" i="1"/>
  <c r="J93" i="1"/>
  <c r="I93" i="1"/>
  <c r="B93" i="1"/>
  <c r="V92" i="1"/>
  <c r="U92" i="1"/>
  <c r="S92" i="1"/>
  <c r="R92" i="1"/>
  <c r="P92" i="1"/>
  <c r="N92" i="1"/>
  <c r="M92" i="1"/>
  <c r="I92" i="1"/>
  <c r="J92" i="1" s="1"/>
  <c r="B92" i="1"/>
  <c r="V91" i="1"/>
  <c r="U91" i="1"/>
  <c r="S91" i="1"/>
  <c r="P91" i="1"/>
  <c r="N91" i="1"/>
  <c r="M91" i="1"/>
  <c r="R91" i="1" s="1"/>
  <c r="I91" i="1"/>
  <c r="J91" i="1" s="1"/>
  <c r="B91" i="1"/>
  <c r="V90" i="1"/>
  <c r="U90" i="1"/>
  <c r="P90" i="1"/>
  <c r="N90" i="1"/>
  <c r="S90" i="1" s="1"/>
  <c r="M90" i="1"/>
  <c r="R90" i="1" s="1"/>
  <c r="J90" i="1"/>
  <c r="L90" i="1" s="1"/>
  <c r="I90" i="1"/>
  <c r="B90" i="1"/>
  <c r="V89" i="1"/>
  <c r="U89" i="1"/>
  <c r="R89" i="1"/>
  <c r="Q89" i="1"/>
  <c r="T89" i="1" s="1"/>
  <c r="P89" i="1"/>
  <c r="N89" i="1"/>
  <c r="S89" i="1" s="1"/>
  <c r="M89" i="1"/>
  <c r="I89" i="1"/>
  <c r="J89" i="1" s="1"/>
  <c r="L89" i="1" s="1"/>
  <c r="B89" i="1"/>
  <c r="V88" i="1"/>
  <c r="U88" i="1"/>
  <c r="S88" i="1"/>
  <c r="R88" i="1"/>
  <c r="P88" i="1"/>
  <c r="N88" i="1"/>
  <c r="M88" i="1"/>
  <c r="I88" i="1"/>
  <c r="J88" i="1" s="1"/>
  <c r="B88" i="1"/>
  <c r="V87" i="1"/>
  <c r="U87" i="1"/>
  <c r="P87" i="1"/>
  <c r="N87" i="1"/>
  <c r="S87" i="1" s="1"/>
  <c r="M87" i="1"/>
  <c r="R87" i="1" s="1"/>
  <c r="I87" i="1"/>
  <c r="J87" i="1" s="1"/>
  <c r="Q87" i="1" s="1"/>
  <c r="T87" i="1" s="1"/>
  <c r="B87" i="1"/>
  <c r="V86" i="1"/>
  <c r="U86" i="1"/>
  <c r="S86" i="1"/>
  <c r="Q86" i="1"/>
  <c r="T86" i="1" s="1"/>
  <c r="P86" i="1"/>
  <c r="N86" i="1"/>
  <c r="M86" i="1"/>
  <c r="R86" i="1" s="1"/>
  <c r="J86" i="1"/>
  <c r="L86" i="1" s="1"/>
  <c r="I86" i="1"/>
  <c r="B86" i="1"/>
  <c r="V85" i="1"/>
  <c r="U85" i="1"/>
  <c r="T85" i="1"/>
  <c r="S85" i="1"/>
  <c r="R85" i="1"/>
  <c r="Q85" i="1"/>
  <c r="P85" i="1"/>
  <c r="N85" i="1"/>
  <c r="M85" i="1"/>
  <c r="J85" i="1"/>
  <c r="L85" i="1" s="1"/>
  <c r="I85" i="1"/>
  <c r="B85" i="1"/>
  <c r="V84" i="1"/>
  <c r="U84" i="1"/>
  <c r="P84" i="1"/>
  <c r="N84" i="1"/>
  <c r="S84" i="1" s="1"/>
  <c r="M84" i="1"/>
  <c r="R84" i="1" s="1"/>
  <c r="L84" i="1"/>
  <c r="J84" i="1"/>
  <c r="Q84" i="1" s="1"/>
  <c r="T84" i="1" s="1"/>
  <c r="I84" i="1"/>
  <c r="B84" i="1"/>
  <c r="V83" i="1"/>
  <c r="U83" i="1"/>
  <c r="R83" i="1"/>
  <c r="P83" i="1"/>
  <c r="N83" i="1"/>
  <c r="S83" i="1" s="1"/>
  <c r="M83" i="1"/>
  <c r="I83" i="1"/>
  <c r="J83" i="1" s="1"/>
  <c r="B83" i="1"/>
  <c r="V82" i="1"/>
  <c r="U82" i="1"/>
  <c r="S82" i="1"/>
  <c r="R82" i="1"/>
  <c r="P82" i="1"/>
  <c r="N82" i="1"/>
  <c r="M82" i="1"/>
  <c r="I82" i="1"/>
  <c r="J82" i="1" s="1"/>
  <c r="B82" i="1"/>
  <c r="V81" i="1"/>
  <c r="U81" i="1"/>
  <c r="P81" i="1"/>
  <c r="N81" i="1"/>
  <c r="S81" i="1" s="1"/>
  <c r="M81" i="1"/>
  <c r="R81" i="1" s="1"/>
  <c r="J81" i="1"/>
  <c r="Q81" i="1" s="1"/>
  <c r="T81" i="1" s="1"/>
  <c r="I81" i="1"/>
  <c r="B81" i="1"/>
  <c r="V80" i="1"/>
  <c r="U80" i="1"/>
  <c r="Q80" i="1"/>
  <c r="T80" i="1" s="1"/>
  <c r="P80" i="1"/>
  <c r="N80" i="1"/>
  <c r="S80" i="1" s="1"/>
  <c r="M80" i="1"/>
  <c r="R80" i="1" s="1"/>
  <c r="J80" i="1"/>
  <c r="L80" i="1" s="1"/>
  <c r="I80" i="1"/>
  <c r="B80" i="1"/>
  <c r="V79" i="1"/>
  <c r="U79" i="1"/>
  <c r="S79" i="1"/>
  <c r="R79" i="1"/>
  <c r="Q79" i="1"/>
  <c r="T79" i="1" s="1"/>
  <c r="P79" i="1"/>
  <c r="N79" i="1"/>
  <c r="M79" i="1"/>
  <c r="I79" i="1"/>
  <c r="J79" i="1" s="1"/>
  <c r="L79" i="1" s="1"/>
  <c r="B79" i="1"/>
  <c r="V78" i="1"/>
  <c r="U78" i="1"/>
  <c r="P78" i="1"/>
  <c r="N78" i="1"/>
  <c r="S78" i="1" s="1"/>
  <c r="M78" i="1"/>
  <c r="R78" i="1" s="1"/>
  <c r="I78" i="1"/>
  <c r="J78" i="1" s="1"/>
  <c r="B78" i="1"/>
  <c r="V77" i="1"/>
  <c r="U77" i="1"/>
  <c r="P77" i="1"/>
  <c r="N77" i="1"/>
  <c r="S77" i="1" s="1"/>
  <c r="M77" i="1"/>
  <c r="R77" i="1" s="1"/>
  <c r="L77" i="1"/>
  <c r="I77" i="1"/>
  <c r="J77" i="1" s="1"/>
  <c r="Q77" i="1" s="1"/>
  <c r="T77" i="1" s="1"/>
  <c r="B77" i="1"/>
  <c r="V76" i="1"/>
  <c r="U76" i="1"/>
  <c r="S76" i="1"/>
  <c r="P76" i="1"/>
  <c r="N76" i="1"/>
  <c r="M76" i="1"/>
  <c r="R76" i="1" s="1"/>
  <c r="I76" i="1"/>
  <c r="J76" i="1" s="1"/>
  <c r="L76" i="1" s="1"/>
  <c r="B76" i="1"/>
  <c r="V75" i="1"/>
  <c r="U75" i="1"/>
  <c r="S75" i="1"/>
  <c r="P75" i="1"/>
  <c r="N75" i="1"/>
  <c r="M75" i="1"/>
  <c r="R75" i="1" s="1"/>
  <c r="J75" i="1"/>
  <c r="I75" i="1"/>
  <c r="B75" i="1"/>
  <c r="V74" i="1"/>
  <c r="U74" i="1"/>
  <c r="P74" i="1"/>
  <c r="N74" i="1"/>
  <c r="S74" i="1" s="1"/>
  <c r="M74" i="1"/>
  <c r="R74" i="1" s="1"/>
  <c r="L74" i="1"/>
  <c r="J74" i="1"/>
  <c r="Q74" i="1" s="1"/>
  <c r="T74" i="1" s="1"/>
  <c r="I74" i="1"/>
  <c r="B74" i="1"/>
  <c r="V73" i="1"/>
  <c r="U73" i="1"/>
  <c r="R73" i="1"/>
  <c r="Q73" i="1"/>
  <c r="T73" i="1" s="1"/>
  <c r="P73" i="1"/>
  <c r="N73" i="1"/>
  <c r="S73" i="1" s="1"/>
  <c r="M73" i="1"/>
  <c r="L73" i="1"/>
  <c r="J73" i="1"/>
  <c r="I73" i="1"/>
  <c r="B73" i="1"/>
  <c r="V72" i="1"/>
  <c r="U72" i="1"/>
  <c r="S72" i="1"/>
  <c r="R72" i="1"/>
  <c r="P72" i="1"/>
  <c r="N72" i="1"/>
  <c r="M72" i="1"/>
  <c r="I72" i="1"/>
  <c r="J72" i="1" s="1"/>
  <c r="B72" i="1"/>
  <c r="V71" i="1"/>
  <c r="U71" i="1"/>
  <c r="S71" i="1"/>
  <c r="P71" i="1"/>
  <c r="N71" i="1"/>
  <c r="M71" i="1"/>
  <c r="R71" i="1" s="1"/>
  <c r="I71" i="1"/>
  <c r="J71" i="1" s="1"/>
  <c r="B71" i="1"/>
  <c r="V70" i="1"/>
  <c r="U70" i="1"/>
  <c r="P70" i="1"/>
  <c r="N70" i="1"/>
  <c r="S70" i="1" s="1"/>
  <c r="M70" i="1"/>
  <c r="R70" i="1" s="1"/>
  <c r="J70" i="1"/>
  <c r="L70" i="1" s="1"/>
  <c r="I70" i="1"/>
  <c r="B70" i="1"/>
  <c r="V69" i="1"/>
  <c r="U69" i="1"/>
  <c r="R69" i="1"/>
  <c r="P69" i="1"/>
  <c r="N69" i="1"/>
  <c r="S69" i="1" s="1"/>
  <c r="M69" i="1"/>
  <c r="I69" i="1"/>
  <c r="J69" i="1" s="1"/>
  <c r="L69" i="1" s="1"/>
  <c r="B69" i="1"/>
  <c r="V68" i="1"/>
  <c r="U68" i="1"/>
  <c r="S68" i="1"/>
  <c r="R68" i="1"/>
  <c r="P68" i="1"/>
  <c r="N68" i="1"/>
  <c r="M68" i="1"/>
  <c r="L68" i="1"/>
  <c r="I68" i="1"/>
  <c r="J68" i="1" s="1"/>
  <c r="Q68" i="1" s="1"/>
  <c r="T68" i="1" s="1"/>
  <c r="B68" i="1"/>
  <c r="V67" i="1"/>
  <c r="U67" i="1"/>
  <c r="P67" i="1"/>
  <c r="N67" i="1"/>
  <c r="S67" i="1" s="1"/>
  <c r="M67" i="1"/>
  <c r="R67" i="1" s="1"/>
  <c r="I67" i="1"/>
  <c r="J67" i="1" s="1"/>
  <c r="Q67" i="1" s="1"/>
  <c r="T67" i="1" s="1"/>
  <c r="B67" i="1"/>
  <c r="V66" i="1"/>
  <c r="U66" i="1"/>
  <c r="S66" i="1"/>
  <c r="Q66" i="1"/>
  <c r="T66" i="1" s="1"/>
  <c r="P66" i="1"/>
  <c r="N66" i="1"/>
  <c r="M66" i="1"/>
  <c r="R66" i="1" s="1"/>
  <c r="J66" i="1"/>
  <c r="L66" i="1" s="1"/>
  <c r="I66" i="1"/>
  <c r="B66" i="1"/>
  <c r="V65" i="1"/>
  <c r="U65" i="1"/>
  <c r="S65" i="1"/>
  <c r="R65" i="1"/>
  <c r="P65" i="1"/>
  <c r="N65" i="1"/>
  <c r="M65" i="1"/>
  <c r="J65" i="1"/>
  <c r="L65" i="1" s="1"/>
  <c r="I65" i="1"/>
  <c r="B65" i="1"/>
  <c r="V64" i="1"/>
  <c r="U64" i="1"/>
  <c r="P64" i="1"/>
  <c r="N64" i="1"/>
  <c r="S64" i="1" s="1"/>
  <c r="M64" i="1"/>
  <c r="R64" i="1" s="1"/>
  <c r="L64" i="1"/>
  <c r="J64" i="1"/>
  <c r="Q64" i="1" s="1"/>
  <c r="T64" i="1" s="1"/>
  <c r="I64" i="1"/>
  <c r="B64" i="1"/>
  <c r="V63" i="1"/>
  <c r="U63" i="1"/>
  <c r="R63" i="1"/>
  <c r="P63" i="1"/>
  <c r="N63" i="1"/>
  <c r="S63" i="1" s="1"/>
  <c r="M63" i="1"/>
  <c r="I63" i="1"/>
  <c r="J63" i="1" s="1"/>
  <c r="B63" i="1"/>
  <c r="V62" i="1"/>
  <c r="U62" i="1"/>
  <c r="S62" i="1"/>
  <c r="R62" i="1"/>
  <c r="P62" i="1"/>
  <c r="N62" i="1"/>
  <c r="M62" i="1"/>
  <c r="I62" i="1"/>
  <c r="J62" i="1" s="1"/>
  <c r="B62" i="1"/>
  <c r="V61" i="1"/>
  <c r="U61" i="1"/>
  <c r="P61" i="1"/>
  <c r="N61" i="1"/>
  <c r="S61" i="1" s="1"/>
  <c r="M61" i="1"/>
  <c r="R61" i="1" s="1"/>
  <c r="I61" i="1"/>
  <c r="J61" i="1" s="1"/>
  <c r="B61" i="1"/>
  <c r="V60" i="1"/>
  <c r="U60" i="1"/>
  <c r="Q60" i="1"/>
  <c r="T60" i="1" s="1"/>
  <c r="P60" i="1"/>
  <c r="N60" i="1"/>
  <c r="S60" i="1" s="1"/>
  <c r="M60" i="1"/>
  <c r="R60" i="1" s="1"/>
  <c r="J60" i="1"/>
  <c r="L60" i="1" s="1"/>
  <c r="I60" i="1"/>
  <c r="B60" i="1"/>
  <c r="V59" i="1"/>
  <c r="U59" i="1"/>
  <c r="R59" i="1"/>
  <c r="Q59" i="1"/>
  <c r="T59" i="1" s="1"/>
  <c r="P59" i="1"/>
  <c r="N59" i="1"/>
  <c r="S59" i="1" s="1"/>
  <c r="M59" i="1"/>
  <c r="I59" i="1"/>
  <c r="J59" i="1" s="1"/>
  <c r="L59" i="1" s="1"/>
  <c r="B59" i="1"/>
  <c r="V58" i="1"/>
  <c r="U58" i="1"/>
  <c r="P58" i="1"/>
  <c r="N58" i="1"/>
  <c r="S58" i="1" s="1"/>
  <c r="M58" i="1"/>
  <c r="R58" i="1" s="1"/>
  <c r="I58" i="1"/>
  <c r="J58" i="1" s="1"/>
  <c r="B58" i="1"/>
  <c r="V57" i="1"/>
  <c r="U57" i="1"/>
  <c r="P57" i="1"/>
  <c r="N57" i="1"/>
  <c r="S57" i="1" s="1"/>
  <c r="M57" i="1"/>
  <c r="R57" i="1" s="1"/>
  <c r="I57" i="1"/>
  <c r="J57" i="1" s="1"/>
  <c r="Q57" i="1" s="1"/>
  <c r="T57" i="1" s="1"/>
  <c r="B57" i="1"/>
  <c r="V56" i="1"/>
  <c r="U56" i="1"/>
  <c r="S56" i="1"/>
  <c r="R56" i="1"/>
  <c r="Q56" i="1"/>
  <c r="T56" i="1" s="1"/>
  <c r="P56" i="1"/>
  <c r="N56" i="1"/>
  <c r="M56" i="1"/>
  <c r="I56" i="1"/>
  <c r="J56" i="1" s="1"/>
  <c r="L56" i="1" s="1"/>
  <c r="B56" i="1"/>
  <c r="V55" i="1"/>
  <c r="U55" i="1"/>
  <c r="S55" i="1"/>
  <c r="P55" i="1"/>
  <c r="N55" i="1"/>
  <c r="M55" i="1"/>
  <c r="R55" i="1" s="1"/>
  <c r="I55" i="1"/>
  <c r="J55" i="1" s="1"/>
  <c r="B55" i="1"/>
  <c r="V54" i="1"/>
  <c r="U54" i="1"/>
  <c r="T54" i="1"/>
  <c r="P54" i="1"/>
  <c r="N54" i="1"/>
  <c r="S54" i="1" s="1"/>
  <c r="M54" i="1"/>
  <c r="R54" i="1" s="1"/>
  <c r="L54" i="1"/>
  <c r="J54" i="1"/>
  <c r="Q54" i="1" s="1"/>
  <c r="I54" i="1"/>
  <c r="B54" i="1"/>
  <c r="V53" i="1"/>
  <c r="U53" i="1"/>
  <c r="R53" i="1"/>
  <c r="Q53" i="1"/>
  <c r="T53" i="1" s="1"/>
  <c r="P53" i="1"/>
  <c r="N53" i="1"/>
  <c r="S53" i="1" s="1"/>
  <c r="M53" i="1"/>
  <c r="L53" i="1"/>
  <c r="J53" i="1"/>
  <c r="I53" i="1"/>
  <c r="B53" i="1"/>
  <c r="V52" i="1"/>
  <c r="U52" i="1"/>
  <c r="S52" i="1"/>
  <c r="R52" i="1"/>
  <c r="P52" i="1"/>
  <c r="N52" i="1"/>
  <c r="M52" i="1"/>
  <c r="I52" i="1"/>
  <c r="J52" i="1" s="1"/>
  <c r="B52" i="1"/>
  <c r="V51" i="1"/>
  <c r="U51" i="1"/>
  <c r="S51" i="1"/>
  <c r="P51" i="1"/>
  <c r="N51" i="1"/>
  <c r="M51" i="1"/>
  <c r="R51" i="1" s="1"/>
  <c r="I51" i="1"/>
  <c r="J51" i="1" s="1"/>
  <c r="B51" i="1"/>
  <c r="V50" i="1"/>
  <c r="U50" i="1"/>
  <c r="Q50" i="1"/>
  <c r="T50" i="1" s="1"/>
  <c r="P50" i="1"/>
  <c r="N50" i="1"/>
  <c r="S50" i="1" s="1"/>
  <c r="M50" i="1"/>
  <c r="R50" i="1" s="1"/>
  <c r="J50" i="1"/>
  <c r="L50" i="1" s="1"/>
  <c r="I50" i="1"/>
  <c r="B50" i="1"/>
  <c r="V49" i="1"/>
  <c r="U49" i="1"/>
  <c r="R49" i="1"/>
  <c r="P49" i="1"/>
  <c r="N49" i="1"/>
  <c r="S49" i="1" s="1"/>
  <c r="M49" i="1"/>
  <c r="I49" i="1"/>
  <c r="J49" i="1" s="1"/>
  <c r="L49" i="1" s="1"/>
  <c r="B49" i="1"/>
  <c r="V48" i="1"/>
  <c r="U48" i="1"/>
  <c r="T48" i="1"/>
  <c r="S48" i="1"/>
  <c r="R48" i="1"/>
  <c r="P48" i="1"/>
  <c r="N48" i="1"/>
  <c r="M48" i="1"/>
  <c r="I48" i="1"/>
  <c r="J48" i="1" s="1"/>
  <c r="Q48" i="1" s="1"/>
  <c r="B48" i="1"/>
  <c r="V47" i="1"/>
  <c r="U47" i="1"/>
  <c r="P47" i="1"/>
  <c r="N47" i="1"/>
  <c r="S47" i="1" s="1"/>
  <c r="M47" i="1"/>
  <c r="R47" i="1" s="1"/>
  <c r="I47" i="1"/>
  <c r="J47" i="1" s="1"/>
  <c r="Q47" i="1" s="1"/>
  <c r="T47" i="1" s="1"/>
  <c r="B47" i="1"/>
  <c r="V46" i="1"/>
  <c r="U46" i="1"/>
  <c r="S46" i="1"/>
  <c r="Q46" i="1"/>
  <c r="T46" i="1" s="1"/>
  <c r="P46" i="1"/>
  <c r="N46" i="1"/>
  <c r="M46" i="1"/>
  <c r="R46" i="1" s="1"/>
  <c r="J46" i="1"/>
  <c r="L46" i="1" s="1"/>
  <c r="I46" i="1"/>
  <c r="B46" i="1"/>
  <c r="V45" i="1"/>
  <c r="U45" i="1"/>
  <c r="S45" i="1"/>
  <c r="R45" i="1"/>
  <c r="P45" i="1"/>
  <c r="N45" i="1"/>
  <c r="M45" i="1"/>
  <c r="J45" i="1"/>
  <c r="L45" i="1" s="1"/>
  <c r="I45" i="1"/>
  <c r="B45" i="1"/>
  <c r="V44" i="1"/>
  <c r="U44" i="1"/>
  <c r="P44" i="1"/>
  <c r="N44" i="1"/>
  <c r="S44" i="1" s="1"/>
  <c r="M44" i="1"/>
  <c r="R44" i="1" s="1"/>
  <c r="L44" i="1"/>
  <c r="J44" i="1"/>
  <c r="Q44" i="1" s="1"/>
  <c r="T44" i="1" s="1"/>
  <c r="I44" i="1"/>
  <c r="B44" i="1"/>
  <c r="V43" i="1"/>
  <c r="U43" i="1"/>
  <c r="R43" i="1"/>
  <c r="P43" i="1"/>
  <c r="N43" i="1"/>
  <c r="S43" i="1" s="1"/>
  <c r="M43" i="1"/>
  <c r="I43" i="1"/>
  <c r="J43" i="1" s="1"/>
  <c r="B43" i="1"/>
  <c r="V42" i="1"/>
  <c r="U42" i="1"/>
  <c r="S42" i="1"/>
  <c r="R42" i="1"/>
  <c r="P42" i="1"/>
  <c r="N42" i="1"/>
  <c r="M42" i="1"/>
  <c r="I42" i="1"/>
  <c r="J42" i="1" s="1"/>
  <c r="B42" i="1"/>
  <c r="V41" i="1"/>
  <c r="U41" i="1"/>
  <c r="P41" i="1"/>
  <c r="N41" i="1"/>
  <c r="S41" i="1" s="1"/>
  <c r="M41" i="1"/>
  <c r="R41" i="1" s="1"/>
  <c r="I41" i="1"/>
  <c r="J41" i="1" s="1"/>
  <c r="B41" i="1"/>
  <c r="V40" i="1"/>
  <c r="U40" i="1"/>
  <c r="Q40" i="1"/>
  <c r="T40" i="1" s="1"/>
  <c r="P40" i="1"/>
  <c r="N40" i="1"/>
  <c r="S40" i="1" s="1"/>
  <c r="M40" i="1"/>
  <c r="R40" i="1" s="1"/>
  <c r="J40" i="1"/>
  <c r="L40" i="1" s="1"/>
  <c r="I40" i="1"/>
  <c r="B40" i="1"/>
  <c r="V39" i="1"/>
  <c r="U39" i="1"/>
  <c r="S39" i="1"/>
  <c r="R39" i="1"/>
  <c r="P39" i="1"/>
  <c r="N39" i="1"/>
  <c r="M39" i="1"/>
  <c r="I39" i="1"/>
  <c r="J39" i="1" s="1"/>
  <c r="L39" i="1" s="1"/>
  <c r="B39" i="1"/>
  <c r="V38" i="1"/>
  <c r="U38" i="1"/>
  <c r="P38" i="1"/>
  <c r="N38" i="1"/>
  <c r="S38" i="1" s="1"/>
  <c r="M38" i="1"/>
  <c r="R38" i="1" s="1"/>
  <c r="I38" i="1"/>
  <c r="J38" i="1" s="1"/>
  <c r="B38" i="1"/>
  <c r="V37" i="1"/>
  <c r="U37" i="1"/>
  <c r="P37" i="1"/>
  <c r="N37" i="1"/>
  <c r="S37" i="1" s="1"/>
  <c r="M37" i="1"/>
  <c r="R37" i="1" s="1"/>
  <c r="L37" i="1"/>
  <c r="I37" i="1"/>
  <c r="J37" i="1" s="1"/>
  <c r="Q37" i="1" s="1"/>
  <c r="T37" i="1" s="1"/>
  <c r="B37" i="1"/>
  <c r="V36" i="1"/>
  <c r="U36" i="1"/>
  <c r="S36" i="1"/>
  <c r="R36" i="1"/>
  <c r="P36" i="1"/>
  <c r="N36" i="1"/>
  <c r="M36" i="1"/>
  <c r="I36" i="1"/>
  <c r="J36" i="1" s="1"/>
  <c r="L36" i="1" s="1"/>
  <c r="B36" i="1"/>
  <c r="V35" i="1"/>
  <c r="U35" i="1"/>
  <c r="S35" i="1"/>
  <c r="P35" i="1"/>
  <c r="N35" i="1"/>
  <c r="M35" i="1"/>
  <c r="R35" i="1" s="1"/>
  <c r="J35" i="1"/>
  <c r="I35" i="1"/>
  <c r="B35" i="1"/>
  <c r="V34" i="1"/>
  <c r="U34" i="1"/>
  <c r="T34" i="1"/>
  <c r="P34" i="1"/>
  <c r="N34" i="1"/>
  <c r="S34" i="1" s="1"/>
  <c r="M34" i="1"/>
  <c r="R34" i="1" s="1"/>
  <c r="J34" i="1"/>
  <c r="Q34" i="1" s="1"/>
  <c r="I34" i="1"/>
  <c r="B34" i="1"/>
  <c r="V33" i="1"/>
  <c r="U33" i="1"/>
  <c r="R33" i="1"/>
  <c r="Q33" i="1"/>
  <c r="T33" i="1" s="1"/>
  <c r="P33" i="1"/>
  <c r="N33" i="1"/>
  <c r="S33" i="1" s="1"/>
  <c r="M33" i="1"/>
  <c r="L33" i="1"/>
  <c r="J33" i="1"/>
  <c r="I33" i="1"/>
  <c r="B33" i="1"/>
  <c r="U32" i="1"/>
  <c r="S32" i="1"/>
  <c r="R32" i="1"/>
  <c r="P32" i="1"/>
  <c r="N32" i="1"/>
  <c r="M32" i="1"/>
  <c r="I32" i="1"/>
  <c r="B32" i="1"/>
  <c r="U31" i="1"/>
  <c r="S31" i="1"/>
  <c r="P31" i="1"/>
  <c r="N31" i="1"/>
  <c r="M31" i="1"/>
  <c r="R31" i="1" s="1"/>
  <c r="I31" i="1"/>
  <c r="J31" i="1" s="1"/>
  <c r="B31" i="1"/>
  <c r="U30" i="1"/>
  <c r="P30" i="1"/>
  <c r="N30" i="1"/>
  <c r="S30" i="1" s="1"/>
  <c r="M30" i="1"/>
  <c r="R30" i="1" s="1"/>
  <c r="J30" i="1"/>
  <c r="L30" i="1" s="1"/>
  <c r="I30" i="1"/>
  <c r="B30" i="1"/>
  <c r="U29" i="1"/>
  <c r="R29" i="1"/>
  <c r="P29" i="1"/>
  <c r="N29" i="1"/>
  <c r="M29" i="1"/>
  <c r="I29" i="1"/>
  <c r="B29" i="1"/>
  <c r="U28" i="1"/>
  <c r="R28" i="1"/>
  <c r="P28" i="1"/>
  <c r="N28" i="1"/>
  <c r="M28" i="1"/>
  <c r="I28" i="1"/>
  <c r="J28" i="1" s="1"/>
  <c r="L28" i="1" s="1"/>
  <c r="B28" i="1"/>
  <c r="U27" i="1"/>
  <c r="P27" i="1"/>
  <c r="N27" i="1"/>
  <c r="S27" i="1" s="1"/>
  <c r="M27" i="1"/>
  <c r="R27" i="1" s="1"/>
  <c r="I27" i="1"/>
  <c r="B27" i="1"/>
  <c r="U26" i="1"/>
  <c r="S26" i="1"/>
  <c r="Q26" i="1"/>
  <c r="T26" i="1" s="1"/>
  <c r="P26" i="1"/>
  <c r="N26" i="1"/>
  <c r="M26" i="1"/>
  <c r="R26" i="1" s="1"/>
  <c r="J26" i="1"/>
  <c r="L26" i="1" s="1"/>
  <c r="I26" i="1"/>
  <c r="B26" i="1"/>
  <c r="U25" i="1"/>
  <c r="V25" i="1" s="1"/>
  <c r="S25" i="1"/>
  <c r="P25" i="1"/>
  <c r="R25" i="1" s="1"/>
  <c r="N25" i="1"/>
  <c r="M25" i="1"/>
  <c r="J25" i="1"/>
  <c r="L25" i="1" s="1"/>
  <c r="I25" i="1"/>
  <c r="B25" i="1"/>
  <c r="V24" i="1"/>
  <c r="U24" i="1"/>
  <c r="P24" i="1"/>
  <c r="N24" i="1"/>
  <c r="S24" i="1" s="1"/>
  <c r="M24" i="1"/>
  <c r="R24" i="1" s="1"/>
  <c r="L24" i="1"/>
  <c r="J24" i="1"/>
  <c r="Q24" i="1" s="1"/>
  <c r="I24" i="1"/>
  <c r="B24" i="1"/>
  <c r="U23" i="1"/>
  <c r="P23" i="1"/>
  <c r="R23" i="1" s="1"/>
  <c r="N23" i="1"/>
  <c r="S23" i="1" s="1"/>
  <c r="M23" i="1"/>
  <c r="I23" i="1"/>
  <c r="J23" i="1" s="1"/>
  <c r="B23" i="1"/>
  <c r="U22" i="1"/>
  <c r="S22" i="1"/>
  <c r="R22" i="1"/>
  <c r="P22" i="1"/>
  <c r="N22" i="1"/>
  <c r="M22" i="1"/>
  <c r="I22" i="1"/>
  <c r="B22" i="1"/>
  <c r="U21" i="1"/>
  <c r="P21" i="1"/>
  <c r="N21" i="1"/>
  <c r="S21" i="1" s="1"/>
  <c r="M21" i="1"/>
  <c r="R21" i="1" s="1"/>
  <c r="I21" i="1"/>
  <c r="B21" i="1"/>
  <c r="V20" i="1"/>
  <c r="U20" i="1"/>
  <c r="Q20" i="1"/>
  <c r="P20" i="1"/>
  <c r="N20" i="1"/>
  <c r="S20" i="1" s="1"/>
  <c r="M20" i="1"/>
  <c r="R20" i="1" s="1"/>
  <c r="J20" i="1"/>
  <c r="L20" i="1" s="1"/>
  <c r="I20" i="1"/>
  <c r="B20" i="1"/>
  <c r="U19" i="1"/>
  <c r="R19" i="1"/>
  <c r="P19" i="1"/>
  <c r="N19" i="1"/>
  <c r="S19" i="1" s="1"/>
  <c r="M19" i="1"/>
  <c r="I19" i="1"/>
  <c r="J19" i="1" s="1"/>
  <c r="L19" i="1" s="1"/>
  <c r="B19" i="1"/>
  <c r="U18" i="1"/>
  <c r="P18" i="1"/>
  <c r="N18" i="1"/>
  <c r="M18" i="1"/>
  <c r="R18" i="1" s="1"/>
  <c r="J18" i="1"/>
  <c r="Q18" i="1" s="1"/>
  <c r="I18" i="1"/>
  <c r="B18" i="1"/>
  <c r="U17" i="1"/>
  <c r="P17" i="1"/>
  <c r="N17" i="1"/>
  <c r="S17" i="1" s="1"/>
  <c r="M17" i="1"/>
  <c r="R17" i="1" s="1"/>
  <c r="L17" i="1"/>
  <c r="I17" i="1"/>
  <c r="J17" i="1" s="1"/>
  <c r="B17" i="1"/>
  <c r="U16" i="1"/>
  <c r="S16" i="1"/>
  <c r="P16" i="1"/>
  <c r="V16" i="1" s="1"/>
  <c r="N16" i="1"/>
  <c r="M16" i="1"/>
  <c r="I16" i="1"/>
  <c r="J16" i="1" s="1"/>
  <c r="L16" i="1" s="1"/>
  <c r="B16" i="1"/>
  <c r="V15" i="1"/>
  <c r="U15" i="1"/>
  <c r="S15" i="1"/>
  <c r="P15" i="1"/>
  <c r="N15" i="1"/>
  <c r="M15" i="1"/>
  <c r="R15" i="1" s="1"/>
  <c r="J15" i="1"/>
  <c r="I15" i="1"/>
  <c r="B15" i="1"/>
  <c r="U14" i="1"/>
  <c r="P14" i="1"/>
  <c r="N14" i="1"/>
  <c r="S14" i="1" s="1"/>
  <c r="M14" i="1"/>
  <c r="R14" i="1" s="1"/>
  <c r="J14" i="1"/>
  <c r="Q14" i="1" s="1"/>
  <c r="T14" i="1" s="1"/>
  <c r="I14" i="1"/>
  <c r="B14" i="1"/>
  <c r="U13" i="1"/>
  <c r="V13" i="1" s="1"/>
  <c r="R13" i="1"/>
  <c r="Q13" i="1"/>
  <c r="P13" i="1"/>
  <c r="N13" i="1"/>
  <c r="S13" i="1" s="1"/>
  <c r="M13" i="1"/>
  <c r="L13" i="1"/>
  <c r="J13" i="1"/>
  <c r="I13" i="1"/>
  <c r="B13" i="1"/>
  <c r="U12" i="1"/>
  <c r="R12" i="1"/>
  <c r="P12" i="1"/>
  <c r="N12" i="1"/>
  <c r="M12" i="1"/>
  <c r="I12" i="1"/>
  <c r="B12" i="1"/>
  <c r="U11" i="1"/>
  <c r="V11" i="1" s="1"/>
  <c r="S11" i="1"/>
  <c r="P11" i="1"/>
  <c r="N11" i="1"/>
  <c r="M11" i="1"/>
  <c r="R11" i="1" s="1"/>
  <c r="J11" i="1"/>
  <c r="I11" i="1"/>
  <c r="B11" i="1"/>
  <c r="U10" i="1"/>
  <c r="P10" i="1"/>
  <c r="N10" i="1"/>
  <c r="S10" i="1" s="1"/>
  <c r="M10" i="1"/>
  <c r="J10" i="1"/>
  <c r="L10" i="1" s="1"/>
  <c r="I10" i="1"/>
  <c r="B10" i="1"/>
  <c r="U9" i="1"/>
  <c r="R9" i="1"/>
  <c r="P9" i="1"/>
  <c r="N9" i="1"/>
  <c r="S9" i="1" s="1"/>
  <c r="M9" i="1"/>
  <c r="I9" i="1"/>
  <c r="B9" i="1"/>
  <c r="B5" i="1"/>
  <c r="D4" i="1"/>
  <c r="Q55" i="1" l="1"/>
  <c r="T55" i="1" s="1"/>
  <c r="L55" i="1"/>
  <c r="Q95" i="1"/>
  <c r="T95" i="1" s="1"/>
  <c r="L95" i="1"/>
  <c r="Q31" i="1"/>
  <c r="T31" i="1" s="1"/>
  <c r="L31" i="1"/>
  <c r="Q38" i="1"/>
  <c r="T38" i="1" s="1"/>
  <c r="L38" i="1"/>
  <c r="Q98" i="1"/>
  <c r="T98" i="1" s="1"/>
  <c r="L98" i="1"/>
  <c r="T18" i="1"/>
  <c r="E25" i="2" s="1"/>
  <c r="Q41" i="1"/>
  <c r="T41" i="1" s="1"/>
  <c r="L41" i="1"/>
  <c r="Q71" i="1"/>
  <c r="T71" i="1" s="1"/>
  <c r="L71" i="1"/>
  <c r="Q118" i="1"/>
  <c r="T118" i="1" s="1"/>
  <c r="L118" i="1"/>
  <c r="Q51" i="1"/>
  <c r="T51" i="1" s="1"/>
  <c r="L51" i="1"/>
  <c r="Q58" i="1"/>
  <c r="T58" i="1" s="1"/>
  <c r="L58" i="1"/>
  <c r="Q61" i="1"/>
  <c r="T61" i="1" s="1"/>
  <c r="L61" i="1"/>
  <c r="V31" i="1"/>
  <c r="Q78" i="1"/>
  <c r="T78" i="1" s="1"/>
  <c r="L78" i="1"/>
  <c r="Q11" i="1"/>
  <c r="T11" i="1" s="1"/>
  <c r="L11" i="1"/>
  <c r="Q115" i="1"/>
  <c r="T115" i="1" s="1"/>
  <c r="L115" i="1"/>
  <c r="C25" i="2"/>
  <c r="C21" i="2"/>
  <c r="D15" i="2"/>
  <c r="E12" i="2"/>
  <c r="F24" i="2"/>
  <c r="H17" i="2"/>
  <c r="G17" i="2"/>
  <c r="B25" i="2"/>
  <c r="D12" i="2"/>
  <c r="D24" i="2"/>
  <c r="G14" i="2"/>
  <c r="C24" i="2"/>
  <c r="E17" i="2"/>
  <c r="F23" i="2"/>
  <c r="C17" i="2"/>
  <c r="D14" i="2"/>
  <c r="E8" i="2"/>
  <c r="E23" i="2"/>
  <c r="C14" i="2"/>
  <c r="D8" i="2"/>
  <c r="D23" i="2"/>
  <c r="C8" i="2"/>
  <c r="C23" i="2"/>
  <c r="G16" i="2"/>
  <c r="B23" i="2"/>
  <c r="F16" i="2"/>
  <c r="G13" i="2"/>
  <c r="F26" i="2"/>
  <c r="F22" i="2"/>
  <c r="E16" i="2"/>
  <c r="D5" i="2"/>
  <c r="E26" i="2"/>
  <c r="F25" i="2"/>
  <c r="F21" i="2"/>
  <c r="G15" i="2"/>
  <c r="G12" i="2"/>
  <c r="D25" i="2"/>
  <c r="D21" i="2"/>
  <c r="E15" i="2"/>
  <c r="L48" i="1"/>
  <c r="T13" i="1"/>
  <c r="E24" i="2" s="1"/>
  <c r="V18" i="1"/>
  <c r="C32" i="2"/>
  <c r="L81" i="1"/>
  <c r="Q92" i="1"/>
  <c r="T92" i="1" s="1"/>
  <c r="L92" i="1"/>
  <c r="Q111" i="1"/>
  <c r="T111" i="1" s="1"/>
  <c r="L111" i="1"/>
  <c r="L128" i="1"/>
  <c r="Q128" i="1"/>
  <c r="T128" i="1" s="1"/>
  <c r="L42" i="1"/>
  <c r="Q42" i="1"/>
  <c r="T42" i="1" s="1"/>
  <c r="J27" i="1"/>
  <c r="T20" i="1"/>
  <c r="F17" i="2" s="1"/>
  <c r="Q63" i="1"/>
  <c r="T63" i="1" s="1"/>
  <c r="L63" i="1"/>
  <c r="L67" i="1"/>
  <c r="L88" i="1"/>
  <c r="Q88" i="1"/>
  <c r="T88" i="1" s="1"/>
  <c r="D17" i="2"/>
  <c r="J32" i="1"/>
  <c r="Q103" i="1"/>
  <c r="T103" i="1" s="1"/>
  <c r="L103" i="1"/>
  <c r="L107" i="1"/>
  <c r="B22" i="2"/>
  <c r="J12" i="1"/>
  <c r="L14" i="1"/>
  <c r="Q23" i="1"/>
  <c r="T23" i="1" s="1"/>
  <c r="L23" i="1"/>
  <c r="L34" i="1"/>
  <c r="Q65" i="1"/>
  <c r="T65" i="1" s="1"/>
  <c r="Q69" i="1"/>
  <c r="T69" i="1" s="1"/>
  <c r="Q109" i="1"/>
  <c r="T109" i="1" s="1"/>
  <c r="C22" i="2"/>
  <c r="Q94" i="1"/>
  <c r="T94" i="1" s="1"/>
  <c r="L94" i="1"/>
  <c r="S18" i="1"/>
  <c r="L82" i="1"/>
  <c r="Q82" i="1"/>
  <c r="T82" i="1" s="1"/>
  <c r="Q90" i="1"/>
  <c r="T90" i="1" s="1"/>
  <c r="L101" i="1"/>
  <c r="S29" i="1"/>
  <c r="Q16" i="1"/>
  <c r="T16" i="1" s="1"/>
  <c r="L57" i="1"/>
  <c r="Q112" i="1"/>
  <c r="T112" i="1" s="1"/>
  <c r="L112" i="1"/>
  <c r="Q43" i="1"/>
  <c r="T43" i="1" s="1"/>
  <c r="L43" i="1"/>
  <c r="L47" i="1"/>
  <c r="C26" i="2"/>
  <c r="Q114" i="1"/>
  <c r="T114" i="1" s="1"/>
  <c r="L114" i="1"/>
  <c r="Q72" i="1"/>
  <c r="T72" i="1" s="1"/>
  <c r="L72" i="1"/>
  <c r="V14" i="1"/>
  <c r="Q91" i="1"/>
  <c r="T91" i="1" s="1"/>
  <c r="L91" i="1"/>
  <c r="Q108" i="1"/>
  <c r="T108" i="1" s="1"/>
  <c r="L108" i="1"/>
  <c r="D26" i="2"/>
  <c r="L124" i="1"/>
  <c r="B26" i="2"/>
  <c r="C31" i="2"/>
  <c r="R10" i="1"/>
  <c r="V10" i="1"/>
  <c r="H13" i="2" s="1"/>
  <c r="Q17" i="1"/>
  <c r="T17" i="1" s="1"/>
  <c r="F14" i="2" s="1"/>
  <c r="Q19" i="1"/>
  <c r="T19" i="1" s="1"/>
  <c r="V26" i="1"/>
  <c r="Q30" i="1"/>
  <c r="T30" i="1" s="1"/>
  <c r="Q45" i="1"/>
  <c r="T45" i="1" s="1"/>
  <c r="Q49" i="1"/>
  <c r="T49" i="1" s="1"/>
  <c r="Q123" i="1"/>
  <c r="T123" i="1" s="1"/>
  <c r="L123" i="1"/>
  <c r="L127" i="1"/>
  <c r="C13" i="2"/>
  <c r="L122" i="1"/>
  <c r="Q122" i="1"/>
  <c r="T122" i="1" s="1"/>
  <c r="Q36" i="1"/>
  <c r="T36" i="1" s="1"/>
  <c r="R16" i="1"/>
  <c r="J21" i="1"/>
  <c r="V21" i="1" s="1"/>
  <c r="L97" i="1"/>
  <c r="V30" i="1"/>
  <c r="Q10" i="1"/>
  <c r="T10" i="1" s="1"/>
  <c r="T24" i="1"/>
  <c r="L62" i="1"/>
  <c r="Q62" i="1"/>
  <c r="T62" i="1" s="1"/>
  <c r="Q76" i="1"/>
  <c r="T76" i="1" s="1"/>
  <c r="D13" i="2"/>
  <c r="Q75" i="1"/>
  <c r="T75" i="1" s="1"/>
  <c r="L75" i="1"/>
  <c r="L18" i="1"/>
  <c r="Q25" i="1"/>
  <c r="T25" i="1" s="1"/>
  <c r="S28" i="1"/>
  <c r="Q28" i="1"/>
  <c r="T28" i="1" s="1"/>
  <c r="B24" i="2"/>
  <c r="L102" i="1"/>
  <c r="Q102" i="1"/>
  <c r="T102" i="1" s="1"/>
  <c r="E13" i="2"/>
  <c r="Q15" i="1"/>
  <c r="T15" i="1" s="1"/>
  <c r="L15" i="1"/>
  <c r="Q35" i="1"/>
  <c r="T35" i="1" s="1"/>
  <c r="L35" i="1"/>
  <c r="Q39" i="1"/>
  <c r="T39" i="1" s="1"/>
  <c r="Q110" i="1"/>
  <c r="T110" i="1" s="1"/>
  <c r="L121" i="1"/>
  <c r="J22" i="1"/>
  <c r="V22" i="1"/>
  <c r="V28" i="1"/>
  <c r="Q52" i="1"/>
  <c r="T52" i="1" s="1"/>
  <c r="L52" i="1"/>
  <c r="Q70" i="1"/>
  <c r="T70" i="1" s="1"/>
  <c r="Q83" i="1"/>
  <c r="T83" i="1" s="1"/>
  <c r="L83" i="1"/>
  <c r="L87" i="1"/>
  <c r="E14" i="2"/>
  <c r="V23" i="1"/>
  <c r="V17" i="1"/>
  <c r="H14" i="2" s="1"/>
  <c r="J9" i="1"/>
  <c r="B21" i="2" s="1"/>
  <c r="V19" i="1"/>
  <c r="H16" i="2" s="1"/>
  <c r="J29" i="1"/>
  <c r="Q12" i="1" l="1"/>
  <c r="L12" i="1"/>
  <c r="S12" i="1"/>
  <c r="V12" i="1"/>
  <c r="H15" i="2" s="1"/>
  <c r="C12" i="2"/>
  <c r="E22" i="2"/>
  <c r="A8" i="2"/>
  <c r="G8" i="2" s="1"/>
  <c r="Q32" i="1"/>
  <c r="T32" i="1" s="1"/>
  <c r="L32" i="1"/>
  <c r="Q21" i="1"/>
  <c r="T21" i="1" s="1"/>
  <c r="L21" i="1"/>
  <c r="Q27" i="1"/>
  <c r="T27" i="1" s="1"/>
  <c r="L27" i="1"/>
  <c r="B32" i="2"/>
  <c r="L29" i="1"/>
  <c r="Q29" i="1"/>
  <c r="T29" i="1" s="1"/>
  <c r="E32" i="2" s="1"/>
  <c r="V27" i="1"/>
  <c r="C15" i="2"/>
  <c r="V32" i="1"/>
  <c r="F13" i="2"/>
  <c r="V29" i="1"/>
  <c r="L9" i="1"/>
  <c r="B31" i="2"/>
  <c r="D5" i="1"/>
  <c r="Q9" i="1"/>
  <c r="T9" i="1" s="1"/>
  <c r="V9" i="1"/>
  <c r="L22" i="1"/>
  <c r="Q22" i="1"/>
  <c r="T22" i="1" s="1"/>
  <c r="F4" i="1" l="1"/>
  <c r="G31" i="2"/>
  <c r="F8" i="2"/>
  <c r="H12" i="2"/>
  <c r="F12" i="2"/>
  <c r="B8" i="2"/>
  <c r="H8" i="2" s="1"/>
  <c r="G32" i="2"/>
  <c r="T12" i="1"/>
  <c r="F15" i="2" s="1"/>
  <c r="F5" i="1" l="1"/>
  <c r="E21" i="2"/>
  <c r="E31" i="2"/>
</calcChain>
</file>

<file path=xl/sharedStrings.xml><?xml version="1.0" encoding="utf-8"?>
<sst xmlns="http://schemas.openxmlformats.org/spreadsheetml/2006/main" count="244" uniqueCount="105">
  <si>
    <t>Vorlage für tägliche Arbeitszeiten, Pausen, Zuschläge, Trinkgeld und Prüfhinweise. Gelbe Felder sind Eingaben; graue Felder berechnen sich automatisch.</t>
  </si>
  <si>
    <t>Jahr</t>
  </si>
  <si>
    <t>Erfasste Schichten</t>
  </si>
  <si>
    <t>Prüfhinweise</t>
  </si>
  <si>
    <t>Mindestlohn €/h</t>
  </si>
  <si>
    <t>Netto-Stunden gesamt</t>
  </si>
  <si>
    <t>Gesamtlohn €</t>
  </si>
  <si>
    <t>Datum</t>
  </si>
  <si>
    <t>Wochentag</t>
  </si>
  <si>
    <t>Mitarbeiter</t>
  </si>
  <si>
    <t>Bereich</t>
  </si>
  <si>
    <t>Dienstart</t>
  </si>
  <si>
    <t>Beginn</t>
  </si>
  <si>
    <t>Ende</t>
  </si>
  <si>
    <t>Pause Min.</t>
  </si>
  <si>
    <t>Brutto h</t>
  </si>
  <si>
    <t>Netto h</t>
  </si>
  <si>
    <t>Soll h</t>
  </si>
  <si>
    <t>Differenz h</t>
  </si>
  <si>
    <t>Nacht h</t>
  </si>
  <si>
    <t>Sonntag/Feiertag</t>
  </si>
  <si>
    <t>Trinkgeld €</t>
  </si>
  <si>
    <t>Stundenlohn €</t>
  </si>
  <si>
    <t>Grundlohn €</t>
  </si>
  <si>
    <t>Nachtzuschlag €</t>
  </si>
  <si>
    <t>Sonn-/Feiertag €</t>
  </si>
  <si>
    <t>Ruhezeit h</t>
  </si>
  <si>
    <t>Prüfung</t>
  </si>
  <si>
    <t>Bemerkung</t>
  </si>
  <si>
    <t>Anna Becker</t>
  </si>
  <si>
    <t>Service</t>
  </si>
  <si>
    <t>Abenddienst</t>
  </si>
  <si>
    <t>ruhiger Abend</t>
  </si>
  <si>
    <t>Leon Hoffmann</t>
  </si>
  <si>
    <t>Küche</t>
  </si>
  <si>
    <t>Mira Klein</t>
  </si>
  <si>
    <t>Bar</t>
  </si>
  <si>
    <t>Spätdienst</t>
  </si>
  <si>
    <t>Schicht über Mitternacht</t>
  </si>
  <si>
    <t>Omar Yilmaz</t>
  </si>
  <si>
    <t>Mittagsdienst</t>
  </si>
  <si>
    <t>Sonntag</t>
  </si>
  <si>
    <t>Nina Vogel</t>
  </si>
  <si>
    <t>Spüle</t>
  </si>
  <si>
    <t>Aushilfe</t>
  </si>
  <si>
    <t>Paul Schmitt</t>
  </si>
  <si>
    <t>Schichtleitung</t>
  </si>
  <si>
    <t>Frühdienst</t>
  </si>
  <si>
    <t>Pause prüfen</t>
  </si>
  <si>
    <t>Event</t>
  </si>
  <si>
    <t>Eventabend</t>
  </si>
  <si>
    <t>Terrasse</t>
  </si>
  <si>
    <t>Sonntag/Spätdienst</t>
  </si>
  <si>
    <t>lange Schicht prüfen</t>
  </si>
  <si>
    <t>Monatsübersicht Gastronomie 2026</t>
  </si>
  <si>
    <t>Monat auswählen und Arbeitszeiten, Lohnsummen, Zuschläge, Trinkgeld und Prüfhinweise automatisch auswerten.</t>
  </si>
  <si>
    <t>Ausgewählter Monat</t>
  </si>
  <si>
    <t>Januar</t>
  </si>
  <si>
    <t>Monatsnummer</t>
  </si>
  <si>
    <t>Zeitraum</t>
  </si>
  <si>
    <t>Netto-Stunden</t>
  </si>
  <si>
    <t>Nachtstunden</t>
  </si>
  <si>
    <t>Schichten</t>
  </si>
  <si>
    <t>Warnungen</t>
  </si>
  <si>
    <t>Ø Stunden/Schicht</t>
  </si>
  <si>
    <t>Ø Lohn/Schicht</t>
  </si>
  <si>
    <t>Lieferung</t>
  </si>
  <si>
    <t>Monat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</si>
  <si>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</si>
  <si>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</si>
  <si>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</si>
  <si>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</si>
  <si>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</si>
  <si>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</si>
  <si>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</si>
  <si>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</si>
  <si>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</si>
  <si>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</si>
  <si>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</si>
  <si>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Einstellungen für Zeiterfassung Gastronomie 2026</t>
  </si>
  <si>
    <t>Bundesweiter Feiertag</t>
  </si>
  <si>
    <t>Standardbereich</t>
  </si>
  <si>
    <t>Aktiv</t>
  </si>
  <si>
    <t>Bereiche</t>
  </si>
  <si>
    <t>Dienstarten</t>
  </si>
  <si>
    <t>Neujahr</t>
  </si>
  <si>
    <t>Ja</t>
  </si>
  <si>
    <t>Nachtzuschlag</t>
  </si>
  <si>
    <t>Karfreitag</t>
  </si>
  <si>
    <t>Sonn-/Feiertagszuschlag</t>
  </si>
  <si>
    <t>Ostermontag</t>
  </si>
  <si>
    <t>Mindestruhezeit h</t>
  </si>
  <si>
    <t>Tag der Arbeit</t>
  </si>
  <si>
    <t>Christi Himmelfahrt</t>
  </si>
  <si>
    <t>Pfingstmontag</t>
  </si>
  <si>
    <t>Hinweis</t>
  </si>
  <si>
    <t>Tag der Deutschen Einheit</t>
  </si>
  <si>
    <t>Alle Beispielnamen und Beträge sind fiktiv.</t>
  </si>
  <si>
    <t>1. Weihnachtstag</t>
  </si>
  <si>
    <t>Zuschläge und Pausenregeln können oben angepasst werden.</t>
  </si>
  <si>
    <t>2. Weihnachtstag</t>
  </si>
  <si>
    <t>Monate</t>
  </si>
  <si>
    <t>Die Datei ersetzt keine steuerliche oder arbeitsrechtliche Beratung.</t>
  </si>
  <si>
    <t>Vor Nutzung mit den eigenen betrieblichen Regeln prüfen.</t>
  </si>
  <si>
    <t>Zeiterfassung Gastronomie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</si>
</sst>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\ \€"/>
    <numFmt numFmtId="165" formatCode="0.0"/>
    <numFmt numFmtId="166" formatCode="dd\.mm\.yyyy"/>
    <numFmt numFmtId="167" formatCode="hh:mm"/>
  </numFmts>
  <fonts count="9" x14ac:knownFonts="1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b/>
      <sz val="15"/>
      <color rgb="FFFFFFFF"/>
      <name val="Carlito"/>
    </font>
    <font>
      <sz val="11"/>
      <color rgb="FF14532D"/>
      <name val="Carlito"/>
    </font>
    <font>
      <b/>
      <sz val="12"/>
      <name val="Carlito"/>
    </font>
    <font>
      <sz val="11"/>
      <name val="Carlito"/>
    </font>
    <font>
      <b/>
      <sz val="20"/>
      <color rgb="FFFFFFFF"/>
      <name val="Carlito"/>
      <family val="2"/>
    </font>
  </fonts>
  <fills count="13">
    <fill>
      <patternFill patternType="none"/>
    </fill>
    <fill>
      <patternFill patternType="gray125"/>
    </fill>
    <fill>
      <patternFill patternType="solid">
        <fgColor rgb="FF14532D"/>
      </patternFill>
    </fill>
    <fill>
      <patternFill patternType="solid">
        <fgColor rgb="FFDCFCE7"/>
      </patternFill>
    </fill>
    <fill>
      <patternFill patternType="solid">
        <fgColor rgb="FF166534"/>
      </patternFill>
    </fill>
    <fill>
      <patternFill patternType="solid">
        <fgColor rgb="FFFEF3C7"/>
      </patternFill>
    </fill>
    <fill>
      <patternFill patternType="solid">
        <fgColor rgb="FFFFFBEB"/>
      </patternFill>
    </fill>
    <fill>
      <patternFill patternType="solid">
        <fgColor rgb="FFF0FDF4"/>
      </patternFill>
    </fill>
    <fill>
      <patternFill patternType="solid">
        <fgColor rgb="FFFEF9C3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1" fillId="2" borderId="0" xfId="1" applyFont="1" applyFill="1" applyAlignment="1">
      <alignment vertical="center"/>
    </xf>
    <xf numFmtId="0" fontId="2" fillId="3" borderId="0" xfId="1" applyFont="1" applyFill="1"/>
    <xf numFmtId="164" fontId="0" fillId="0" borderId="0" xfId="1" applyNumberFormat="1" applyFont="1"/>
    <xf numFmtId="9" fontId="0" fillId="0" borderId="0" xfId="1" applyNumberFormat="1" applyFont="1"/>
    <xf numFmtId="165" fontId="0" fillId="0" borderId="0" xfId="1" applyNumberFormat="1" applyFont="1"/>
    <xf numFmtId="0" fontId="3" fillId="4" borderId="0" xfId="1" applyFont="1" applyFill="1"/>
    <xf numFmtId="166" fontId="0" fillId="0" borderId="0" xfId="1" applyNumberFormat="1" applyFont="1"/>
    <xf numFmtId="0" fontId="2" fillId="5" borderId="0" xfId="1" applyFont="1" applyFill="1"/>
    <xf numFmtId="0" fontId="0" fillId="6" borderId="0" xfId="1" applyFont="1" applyFill="1" applyAlignment="1">
      <alignment wrapText="1"/>
    </xf>
    <xf numFmtId="0" fontId="4" fillId="2" borderId="0" xfId="1" applyFont="1" applyFill="1" applyAlignment="1">
      <alignment vertical="center"/>
    </xf>
    <xf numFmtId="0" fontId="5" fillId="7" borderId="0" xfId="1" applyFont="1" applyFill="1" applyAlignment="1">
      <alignment wrapText="1"/>
    </xf>
    <xf numFmtId="2" fontId="0" fillId="0" borderId="0" xfId="1" applyNumberFormat="1" applyFont="1"/>
    <xf numFmtId="0" fontId="3" fillId="4" borderId="0" xfId="1" applyFont="1" applyFill="1" applyAlignment="1">
      <alignment horizontal="center" wrapText="1"/>
    </xf>
    <xf numFmtId="1" fontId="0" fillId="0" borderId="0" xfId="1" applyNumberFormat="1" applyFont="1"/>
    <xf numFmtId="166" fontId="0" fillId="8" borderId="0" xfId="1" applyNumberFormat="1" applyFont="1" applyFill="1" applyAlignment="1">
      <alignment vertical="center" wrapText="1"/>
    </xf>
    <xf numFmtId="0" fontId="0" fillId="8" borderId="0" xfId="1" applyFont="1" applyFill="1" applyAlignment="1">
      <alignment vertical="center" wrapText="1"/>
    </xf>
    <xf numFmtId="167" fontId="0" fillId="8" borderId="0" xfId="1" applyNumberFormat="1" applyFont="1" applyFill="1" applyAlignment="1">
      <alignment vertical="center" wrapText="1"/>
    </xf>
    <xf numFmtId="1" fontId="0" fillId="8" borderId="0" xfId="1" applyNumberFormat="1" applyFont="1" applyFill="1" applyAlignment="1">
      <alignment vertical="center" wrapText="1"/>
    </xf>
    <xf numFmtId="2" fontId="0" fillId="8" borderId="0" xfId="1" applyNumberFormat="1" applyFont="1" applyFill="1" applyAlignment="1">
      <alignment vertical="center" wrapText="1"/>
    </xf>
    <xf numFmtId="164" fontId="0" fillId="8" borderId="0" xfId="1" applyNumberFormat="1" applyFont="1" applyFill="1" applyAlignment="1">
      <alignment vertical="center" wrapText="1"/>
    </xf>
    <xf numFmtId="0" fontId="0" fillId="9" borderId="0" xfId="1" applyFont="1" applyFill="1" applyAlignment="1">
      <alignment vertical="center" wrapText="1"/>
    </xf>
    <xf numFmtId="2" fontId="0" fillId="9" borderId="0" xfId="1" applyNumberFormat="1" applyFont="1" applyFill="1" applyAlignment="1">
      <alignment vertical="center" wrapText="1"/>
    </xf>
    <xf numFmtId="164" fontId="0" fillId="9" borderId="0" xfId="1" applyNumberFormat="1" applyFont="1" applyFill="1" applyAlignment="1">
      <alignment vertical="center" wrapText="1"/>
    </xf>
    <xf numFmtId="0" fontId="0" fillId="8" borderId="0" xfId="1" applyFont="1" applyFill="1"/>
    <xf numFmtId="0" fontId="2" fillId="8" borderId="0" xfId="1" applyFont="1" applyFill="1"/>
    <xf numFmtId="2" fontId="6" fillId="3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0" fillId="10" borderId="0" xfId="1" applyFont="1" applyFill="1"/>
    <xf numFmtId="2" fontId="0" fillId="10" borderId="0" xfId="1" applyNumberFormat="1" applyFont="1" applyFill="1"/>
    <xf numFmtId="164" fontId="0" fillId="10" borderId="0" xfId="1" applyNumberFormat="1" applyFont="1" applyFill="1"/>
    <xf numFmtId="0" fontId="0" fillId="10" borderId="0" xfId="1" applyFont="1" applyFill="1" applyAlignment="1">
      <alignment vertical="center"/>
    </xf>
    <xf numFmtId="2" fontId="0" fillId="10" borderId="0" xfId="1" applyNumberFormat="1" applyFont="1" applyFill="1" applyAlignment="1">
      <alignment vertical="center"/>
    </xf>
    <xf numFmtId="164" fontId="0" fillId="10" borderId="0" xfId="1" applyNumberFormat="1" applyFont="1" applyFill="1" applyAlignment="1">
      <alignment vertical="center"/>
    </xf>
    <xf numFmtId="1" fontId="6" fillId="3" borderId="0" xfId="1" applyNumberFormat="1" applyFont="1" applyFill="1" applyAlignment="1">
      <alignment horizontal="center"/>
    </xf>
    <xf numFmtId="1" fontId="0" fillId="10" borderId="0" xfId="1" applyNumberFormat="1" applyFont="1" applyFill="1" applyAlignment="1">
      <alignment vertical="center"/>
    </xf>
    <xf numFmtId="1" fontId="0" fillId="10" borderId="0" xfId="1" applyNumberFormat="1" applyFont="1" applyFill="1"/>
    <xf numFmtId="0" fontId="3" fillId="11" borderId="0" xfId="1" applyFont="1" applyFill="1" applyAlignment="1">
      <alignment horizontal="center" vertical="center" wrapText="1"/>
    </xf>
    <xf numFmtId="0" fontId="5" fillId="12" borderId="0" xfId="1" applyFont="1" applyFill="1" applyAlignment="1">
      <alignment horizontal="left" wrapText="1"/>
    </xf>
    <xf numFmtId="0" fontId="8" fillId="11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7">
    <dxf>
      <fill>
        <patternFill patternType="solid">
          <fgColor indexed="64"/>
          <bgColor rgb="FF002060"/>
        </patternFill>
      </fill>
    </dxf>
    <dxf>
      <font>
        <b/>
        <color rgb="FF991B1B"/>
      </font>
      <fill>
        <patternFill>
          <bgColor rgb="FFFECACA"/>
        </patternFill>
      </fill>
    </dxf>
    <dxf>
      <font>
        <b/>
        <color rgb="FF991B1B"/>
      </font>
      <fill>
        <patternFill>
          <bgColor rgb="FFFECACA"/>
        </patternFill>
      </fill>
    </dxf>
    <dxf>
      <font>
        <b/>
        <color rgb="FF991B1B"/>
      </font>
      <fill>
        <patternFill>
          <bgColor rgb="FFFECACA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b/>
        <color rgb="FF991B1B"/>
      </font>
      <fill>
        <patternFill>
          <bgColor rgb="FFFECACA"/>
        </patternFill>
      </fill>
    </dxf>
    <dxf>
      <font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Netto h</c:v>
          </c:tx>
          <c:invertIfNegative val="1"/>
          <c:cat>
            <c:strRef>
              <c:f>Monatsübersicht!$A$31:$A$42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Monatsübersicht!$B$31:$B$42</c:f>
              <c:numCache>
                <c:formatCode>0.00</c:formatCode>
                <c:ptCount val="12"/>
                <c:pt idx="0">
                  <c:v>126.66666666666667</c:v>
                </c:pt>
                <c:pt idx="1">
                  <c:v>22.499999999999996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E-464C-B41F-26E28DAB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eiterfassungTable" displayName="ZeiterfassungTable" ref="A8:W128" headerRowDxfId="0">
  <tableColumns count="23">
    <tableColumn id="1" xr3:uid="{00000000-0010-0000-0000-000001000000}" name="Datum"/>
    <tableColumn id="2" xr3:uid="{00000000-0010-0000-0000-000002000000}" name="Wochentag"/>
    <tableColumn id="3" xr3:uid="{00000000-0010-0000-0000-000003000000}" name="Mitarbeiter"/>
    <tableColumn id="4" xr3:uid="{00000000-0010-0000-0000-000004000000}" name="Bereich"/>
    <tableColumn id="5" xr3:uid="{00000000-0010-0000-0000-000005000000}" name="Dienstart"/>
    <tableColumn id="6" xr3:uid="{00000000-0010-0000-0000-000006000000}" name="Beginn"/>
    <tableColumn id="7" xr3:uid="{00000000-0010-0000-0000-000007000000}" name="Ende"/>
    <tableColumn id="8" xr3:uid="{00000000-0010-0000-0000-000008000000}" name="Pause Min."/>
    <tableColumn id="9" xr3:uid="{00000000-0010-0000-0000-000009000000}" name="Brutto h"/>
    <tableColumn id="10" xr3:uid="{00000000-0010-0000-0000-00000A000000}" name="Netto h"/>
    <tableColumn id="11" xr3:uid="{00000000-0010-0000-0000-00000B000000}" name="Soll h"/>
    <tableColumn id="12" xr3:uid="{00000000-0010-0000-0000-00000C000000}" name="Differenz h"/>
    <tableColumn id="13" xr3:uid="{00000000-0010-0000-0000-00000D000000}" name="Nacht h"/>
    <tableColumn id="14" xr3:uid="{00000000-0010-0000-0000-00000E000000}" name="Sonntag/Feiertag"/>
    <tableColumn id="15" xr3:uid="{00000000-0010-0000-0000-00000F000000}" name="Trinkgeld €"/>
    <tableColumn id="16" xr3:uid="{00000000-0010-0000-0000-000010000000}" name="Stundenlohn €"/>
    <tableColumn id="17" xr3:uid="{00000000-0010-0000-0000-000011000000}" name="Grundlohn €"/>
    <tableColumn id="18" xr3:uid="{00000000-0010-0000-0000-000012000000}" name="Nachtzuschlag €"/>
    <tableColumn id="19" xr3:uid="{00000000-0010-0000-0000-000013000000}" name="Sonn-/Feiertag €"/>
    <tableColumn id="20" xr3:uid="{00000000-0010-0000-0000-000014000000}" name="Gesamtlohn €"/>
    <tableColumn id="21" xr3:uid="{00000000-0010-0000-0000-000015000000}" name="Ruhezeit h"/>
    <tableColumn id="22" xr3:uid="{00000000-0010-0000-0000-000016000000}" name="Prüfung"/>
    <tableColumn id="23" xr3:uid="{00000000-0010-0000-0000-000017000000}" name="Bemerk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8"/>
  <sheetViews>
    <sheetView tabSelected="1" workbookViewId="0">
      <selection activeCell="P10" sqref="P10"/>
    </sheetView>
  </sheetViews>
  <sheetFormatPr baseColWidth="10" defaultColWidth="9" defaultRowHeight="15" x14ac:dyDescent="0.25"/>
  <cols>
    <col min="1" max="1" width="14" bestFit="1" customWidth="1"/>
    <col min="2" max="2" width="9.75" bestFit="1" customWidth="1"/>
    <col min="3" max="3" width="18.625" bestFit="1" customWidth="1"/>
    <col min="4" max="4" width="11.375" bestFit="1" customWidth="1"/>
    <col min="5" max="5" width="11.75" bestFit="1" customWidth="1"/>
    <col min="6" max="6" width="8.75" bestFit="1" customWidth="1"/>
    <col min="7" max="7" width="5.375" bestFit="1" customWidth="1"/>
    <col min="8" max="8" width="9.5" bestFit="1" customWidth="1"/>
    <col min="9" max="9" width="7.125" bestFit="1" customWidth="1"/>
    <col min="10" max="10" width="6.75" bestFit="1" customWidth="1"/>
    <col min="11" max="11" width="5.125" bestFit="1" customWidth="1"/>
    <col min="12" max="12" width="9.5" bestFit="1" customWidth="1"/>
    <col min="13" max="13" width="6.75" bestFit="1" customWidth="1"/>
    <col min="14" max="14" width="14.25" bestFit="1" customWidth="1"/>
    <col min="15" max="15" width="9.5" bestFit="1" customWidth="1"/>
    <col min="16" max="16" width="12.25" bestFit="1" customWidth="1"/>
    <col min="17" max="17" width="10.625" bestFit="1" customWidth="1"/>
    <col min="18" max="18" width="13.25" bestFit="1" customWidth="1"/>
    <col min="19" max="19" width="13.875" bestFit="1" customWidth="1"/>
    <col min="20" max="20" width="11.75" bestFit="1" customWidth="1"/>
    <col min="21" max="21" width="9.125" bestFit="1" customWidth="1"/>
    <col min="22" max="22" width="7" bestFit="1" customWidth="1"/>
    <col min="23" max="23" width="19.625" bestFit="1" customWidth="1"/>
  </cols>
  <sheetData>
    <row r="1" spans="1:23" ht="30" customHeight="1" x14ac:dyDescent="0.25">
      <c r="A1" s="40" t="s">
        <v>104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4" spans="1:23" x14ac:dyDescent="0.25">
      <c r="A4" s="2" t="s">
        <v>1</v>
      </c>
      <c r="B4">
        <v>2026</v>
      </c>
      <c r="C4" s="2" t="s">
        <v>2</v>
      </c>
      <c r="D4" s="14">
        <f>COUNTA(A9:A128)</f>
        <v>24</v>
      </c>
      <c r="E4" s="2" t="s">
        <v>3</v>
      </c>
      <c r="F4" s="14">
        <f>COUNTIF(V9:V128,"&lt;&gt;OK")-COUNTBLANK(V9:V128)</f>
        <v>1</v>
      </c>
    </row>
    <row r="5" spans="1:23" x14ac:dyDescent="0.25">
      <c r="A5" s="2" t="s">
        <v>4</v>
      </c>
      <c r="B5" s="3">
        <f>Einstellungen!$B$4</f>
        <v>13.9</v>
      </c>
      <c r="C5" s="2" t="s">
        <v>5</v>
      </c>
      <c r="D5" s="12">
        <f>SUM(J9:J128)</f>
        <v>149.16666666666666</v>
      </c>
      <c r="E5" s="2" t="s">
        <v>6</v>
      </c>
      <c r="F5" s="3">
        <f>SUM(T9:T128)</f>
        <v>2527.8000000000002</v>
      </c>
    </row>
    <row r="8" spans="1:23" ht="32.1" customHeight="1" x14ac:dyDescent="0.25">
      <c r="A8" s="38" t="s">
        <v>7</v>
      </c>
      <c r="B8" s="38" t="s">
        <v>8</v>
      </c>
      <c r="C8" s="38" t="s">
        <v>9</v>
      </c>
      <c r="D8" s="38" t="s">
        <v>10</v>
      </c>
      <c r="E8" s="38" t="s">
        <v>11</v>
      </c>
      <c r="F8" s="38" t="s">
        <v>12</v>
      </c>
      <c r="G8" s="38" t="s">
        <v>13</v>
      </c>
      <c r="H8" s="38" t="s">
        <v>14</v>
      </c>
      <c r="I8" s="38" t="s">
        <v>15</v>
      </c>
      <c r="J8" s="38" t="s">
        <v>16</v>
      </c>
      <c r="K8" s="38" t="s">
        <v>17</v>
      </c>
      <c r="L8" s="38" t="s">
        <v>18</v>
      </c>
      <c r="M8" s="38" t="s">
        <v>19</v>
      </c>
      <c r="N8" s="38" t="s">
        <v>20</v>
      </c>
      <c r="O8" s="38" t="s">
        <v>21</v>
      </c>
      <c r="P8" s="38" t="s">
        <v>22</v>
      </c>
      <c r="Q8" s="38" t="s">
        <v>23</v>
      </c>
      <c r="R8" s="38" t="s">
        <v>24</v>
      </c>
      <c r="S8" s="38" t="s">
        <v>25</v>
      </c>
      <c r="T8" s="38" t="s">
        <v>6</v>
      </c>
      <c r="U8" s="38" t="s">
        <v>26</v>
      </c>
      <c r="V8" s="38" t="s">
        <v>27</v>
      </c>
      <c r="W8" s="38" t="s">
        <v>28</v>
      </c>
    </row>
    <row r="9" spans="1:23" x14ac:dyDescent="0.25">
      <c r="A9" s="15">
        <v>46024</v>
      </c>
      <c r="B9" s="21" t="str">
        <f t="shared" ref="B9:B40" si="0">IF(A9="","",CHOOSE(WEEKDAY(A9,2),"Mo","Di","Mi","Do","Fr","Sa","So"))</f>
        <v>Fr</v>
      </c>
      <c r="C9" s="16" t="s">
        <v>29</v>
      </c>
      <c r="D9" s="16" t="s">
        <v>30</v>
      </c>
      <c r="E9" s="16" t="s">
        <v>31</v>
      </c>
      <c r="F9" s="17">
        <v>0.70833333333333337</v>
      </c>
      <c r="G9" s="17">
        <v>0.97916666666666663</v>
      </c>
      <c r="H9" s="18">
        <v>30</v>
      </c>
      <c r="I9" s="22">
        <f t="shared" ref="I9:I40" si="1">IF(OR(A9="",F9="",G9=""),"",((G9+IF(G9&lt;F9,1,0))-F9)*24)</f>
        <v>6.4999999999999982</v>
      </c>
      <c r="J9" s="22">
        <f t="shared" ref="J9:J40" si="2">IF(I9="","",MAX(0,I9-H9/60))</f>
        <v>5.9999999999999982</v>
      </c>
      <c r="K9" s="19">
        <v>6</v>
      </c>
      <c r="L9" s="22">
        <f t="shared" ref="L9:L40" si="3">IF(J9="","",J9-K9)</f>
        <v>-1.7763568394002505E-15</v>
      </c>
      <c r="M9" s="22">
        <f t="shared" ref="M9:M40" si="4">IF(OR(F9="",G9=""),"",ROUND((IF(F9&lt;TIME(6,0,0),MAX(0,MIN(G9+IF(G9&lt;F9,1,0),TIME(6,0,0))-F9),0)+MAX(0,MIN(G9+IF(G9&lt;F9,1,0),1+TIME(6,0,0))-MAX(F9,TIME(22,0,0))))*24,2))</f>
        <v>1.5</v>
      </c>
      <c r="N9" s="21" t="str">
        <f>IF(A9="","",IF(OR(WEEKDAY(A9,2)=7,COUNTIF(Einstellungen!$D$4:$D$12,A9)&gt;0),"Ja","Nein"))</f>
        <v>Nein</v>
      </c>
      <c r="O9" s="20">
        <v>24</v>
      </c>
      <c r="P9" s="23">
        <f>IF(C9="","",IFERROR(VLOOKUP(C9,Einstellungen!$G$4:$H$9,2,FALSE),Einstellungen!$B$4))</f>
        <v>14.2</v>
      </c>
      <c r="Q9" s="23">
        <f t="shared" ref="Q9:Q40" si="5">IF(J9="","",ROUND(J9*P9,2))</f>
        <v>85.2</v>
      </c>
      <c r="R9" s="23">
        <f>IF(M9="","",ROUND(M9*P9*Einstellungen!$B$5,2))</f>
        <v>5.33</v>
      </c>
      <c r="S9" s="23">
        <f>IF(N9="Ja",ROUND(J9*P9*Einstellungen!$B$6,2),0)</f>
        <v>0</v>
      </c>
      <c r="T9" s="23">
        <f t="shared" ref="T9:T40" si="6">IF(Q9="","",ROUND(Q9+R9+S9,2))</f>
        <v>90.53</v>
      </c>
      <c r="U9" s="22" t="str">
        <f t="shared" ref="U9:U40" si="7">IF(OR(A9="",F9="",C9="",ROW()=9),"",IF(C9=C8,ROUND(((A9+F9)-(A8+G8+IF(G8&lt;F8,1,0)))*24,2),""))</f>
        <v/>
      </c>
      <c r="V9" s="21" t="str">
        <f>IF(A9="","",IF(OR(AND(I9&gt;6,H9&lt;30),AND(I9&gt;9,H9&lt;45),AND(U9&lt;&gt;"",U9&lt;Einstellungen!$B$7),P9&lt;Einstellungen!$B$4,J9&gt;10),"Prüfen","OK"))</f>
        <v>OK</v>
      </c>
      <c r="W9" s="16" t="s">
        <v>32</v>
      </c>
    </row>
    <row r="10" spans="1:23" x14ac:dyDescent="0.25">
      <c r="A10" s="15">
        <v>46024</v>
      </c>
      <c r="B10" s="21" t="str">
        <f t="shared" si="0"/>
        <v>Fr</v>
      </c>
      <c r="C10" s="16" t="s">
        <v>33</v>
      </c>
      <c r="D10" s="16" t="s">
        <v>34</v>
      </c>
      <c r="E10" s="16" t="s">
        <v>31</v>
      </c>
      <c r="F10" s="17">
        <v>0.66666666666666663</v>
      </c>
      <c r="G10" s="17">
        <v>0.95833333333333337</v>
      </c>
      <c r="H10" s="18">
        <v>30</v>
      </c>
      <c r="I10" s="22">
        <f t="shared" si="1"/>
        <v>7.0000000000000018</v>
      </c>
      <c r="J10" s="22">
        <f t="shared" si="2"/>
        <v>6.5000000000000018</v>
      </c>
      <c r="K10" s="19">
        <v>6.5</v>
      </c>
      <c r="L10" s="22">
        <f t="shared" si="3"/>
        <v>1.7763568394002505E-15</v>
      </c>
      <c r="M10" s="22">
        <f t="shared" si="4"/>
        <v>1</v>
      </c>
      <c r="N10" s="21" t="str">
        <f>IF(A10="","",IF(OR(WEEKDAY(A10,2)=7,COUNTIF(Einstellungen!$D$4:$D$12,A10)&gt;0),"Ja","Nein"))</f>
        <v>Nein</v>
      </c>
      <c r="O10" s="20">
        <v>0</v>
      </c>
      <c r="P10" s="23">
        <f>IF(C10="","",IFERROR(VLOOKUP(C10,Einstellungen!$G$4:$H$9,2,FALSE),Einstellungen!$B$4))</f>
        <v>13.9</v>
      </c>
      <c r="Q10" s="23">
        <f t="shared" si="5"/>
        <v>90.35</v>
      </c>
      <c r="R10" s="23">
        <f>IF(M10="","",ROUND(M10*P10*Einstellungen!$B$5,2))</f>
        <v>3.48</v>
      </c>
      <c r="S10" s="23">
        <f>IF(N10="Ja",ROUND(J10*P10*Einstellungen!$B$6,2),0)</f>
        <v>0</v>
      </c>
      <c r="T10" s="23">
        <f t="shared" si="6"/>
        <v>93.83</v>
      </c>
      <c r="U10" s="22" t="str">
        <f t="shared" si="7"/>
        <v/>
      </c>
      <c r="V10" s="21" t="str">
        <f>IF(A10="","",IF(OR(AND(I10&gt;6,H10&lt;30),AND(I10&gt;9,H10&lt;45),AND(U10&lt;&gt;"",U10&lt;Einstellungen!$B$7),P10&lt;Einstellungen!$B$4,J10&gt;10),"Prüfen","OK"))</f>
        <v>OK</v>
      </c>
      <c r="W10" s="16"/>
    </row>
    <row r="11" spans="1:23" x14ac:dyDescent="0.25">
      <c r="A11" s="15">
        <v>46025</v>
      </c>
      <c r="B11" s="21" t="str">
        <f t="shared" si="0"/>
        <v>Sa</v>
      </c>
      <c r="C11" s="16" t="s">
        <v>35</v>
      </c>
      <c r="D11" s="16" t="s">
        <v>36</v>
      </c>
      <c r="E11" s="16" t="s">
        <v>37</v>
      </c>
      <c r="F11" s="17">
        <v>0.83333333333333337</v>
      </c>
      <c r="G11" s="17">
        <v>8.3333333333333329E-2</v>
      </c>
      <c r="H11" s="18">
        <v>30</v>
      </c>
      <c r="I11" s="22">
        <f t="shared" si="1"/>
        <v>5.9999999999999973</v>
      </c>
      <c r="J11" s="22">
        <f t="shared" si="2"/>
        <v>5.4999999999999973</v>
      </c>
      <c r="K11" s="19">
        <v>5.5</v>
      </c>
      <c r="L11" s="22">
        <f t="shared" si="3"/>
        <v>-2.6645352591003757E-15</v>
      </c>
      <c r="M11" s="22">
        <f t="shared" si="4"/>
        <v>4</v>
      </c>
      <c r="N11" s="21" t="str">
        <f>IF(A11="","",IF(OR(WEEKDAY(A11,2)=7,COUNTIF(Einstellungen!$D$4:$D$12,A11)&gt;0),"Ja","Nein"))</f>
        <v>Nein</v>
      </c>
      <c r="O11" s="20">
        <v>38</v>
      </c>
      <c r="P11" s="23">
        <f>IF(C11="","",IFERROR(VLOOKUP(C11,Einstellungen!$G$4:$H$9,2,FALSE),Einstellungen!$B$4))</f>
        <v>15</v>
      </c>
      <c r="Q11" s="23">
        <f t="shared" si="5"/>
        <v>82.5</v>
      </c>
      <c r="R11" s="23">
        <f>IF(M11="","",ROUND(M11*P11*Einstellungen!$B$5,2))</f>
        <v>15</v>
      </c>
      <c r="S11" s="23">
        <f>IF(N11="Ja",ROUND(J11*P11*Einstellungen!$B$6,2),0)</f>
        <v>0</v>
      </c>
      <c r="T11" s="23">
        <f t="shared" si="6"/>
        <v>97.5</v>
      </c>
      <c r="U11" s="22" t="str">
        <f t="shared" si="7"/>
        <v/>
      </c>
      <c r="V11" s="21" t="str">
        <f>IF(A11="","",IF(OR(AND(I11&gt;6,H11&lt;30),AND(I11&gt;9,H11&lt;45),AND(U11&lt;&gt;"",U11&lt;Einstellungen!$B$7),P11&lt;Einstellungen!$B$4,J11&gt;10),"Prüfen","OK"))</f>
        <v>OK</v>
      </c>
      <c r="W11" s="16" t="s">
        <v>38</v>
      </c>
    </row>
    <row r="12" spans="1:23" x14ac:dyDescent="0.25">
      <c r="A12" s="15">
        <v>46026</v>
      </c>
      <c r="B12" s="21" t="str">
        <f t="shared" si="0"/>
        <v>So</v>
      </c>
      <c r="C12" s="16" t="s">
        <v>39</v>
      </c>
      <c r="D12" s="16" t="s">
        <v>30</v>
      </c>
      <c r="E12" s="16" t="s">
        <v>40</v>
      </c>
      <c r="F12" s="17">
        <v>0.45833333333333331</v>
      </c>
      <c r="G12" s="17">
        <v>0.72916666666666663</v>
      </c>
      <c r="H12" s="18">
        <v>30</v>
      </c>
      <c r="I12" s="22">
        <f t="shared" si="1"/>
        <v>6.5</v>
      </c>
      <c r="J12" s="22">
        <f t="shared" si="2"/>
        <v>6</v>
      </c>
      <c r="K12" s="19">
        <v>6</v>
      </c>
      <c r="L12" s="22">
        <f t="shared" si="3"/>
        <v>0</v>
      </c>
      <c r="M12" s="22">
        <f t="shared" si="4"/>
        <v>0</v>
      </c>
      <c r="N12" s="21" t="str">
        <f>IF(A12="","",IF(OR(WEEKDAY(A12,2)=7,COUNTIF(Einstellungen!$D$4:$D$12,A12)&gt;0),"Ja","Nein"))</f>
        <v>Ja</v>
      </c>
      <c r="O12" s="20">
        <v>31</v>
      </c>
      <c r="P12" s="23">
        <f>IF(C12="","",IFERROR(VLOOKUP(C12,Einstellungen!$G$4:$H$9,2,FALSE),Einstellungen!$B$4))</f>
        <v>14.5</v>
      </c>
      <c r="Q12" s="23">
        <f t="shared" si="5"/>
        <v>87</v>
      </c>
      <c r="R12" s="23">
        <f>IF(M12="","",ROUND(M12*P12*Einstellungen!$B$5,2))</f>
        <v>0</v>
      </c>
      <c r="S12" s="23">
        <f>IF(N12="Ja",ROUND(J12*P12*Einstellungen!$B$6,2),0)</f>
        <v>43.5</v>
      </c>
      <c r="T12" s="23">
        <f t="shared" si="6"/>
        <v>130.5</v>
      </c>
      <c r="U12" s="22" t="str">
        <f t="shared" si="7"/>
        <v/>
      </c>
      <c r="V12" s="21" t="str">
        <f>IF(A12="","",IF(OR(AND(I12&gt;6,H12&lt;30),AND(I12&gt;9,H12&lt;45),AND(U12&lt;&gt;"",U12&lt;Einstellungen!$B$7),P12&lt;Einstellungen!$B$4,J12&gt;10),"Prüfen","OK"))</f>
        <v>OK</v>
      </c>
      <c r="W12" s="16" t="s">
        <v>41</v>
      </c>
    </row>
    <row r="13" spans="1:23" x14ac:dyDescent="0.25">
      <c r="A13" s="15">
        <v>46027</v>
      </c>
      <c r="B13" s="21" t="str">
        <f t="shared" si="0"/>
        <v>Mo</v>
      </c>
      <c r="C13" s="16" t="s">
        <v>42</v>
      </c>
      <c r="D13" s="16" t="s">
        <v>43</v>
      </c>
      <c r="E13" s="16" t="s">
        <v>44</v>
      </c>
      <c r="F13" s="17">
        <v>0.5</v>
      </c>
      <c r="G13" s="17">
        <v>0.66666666666666663</v>
      </c>
      <c r="H13" s="18">
        <v>0</v>
      </c>
      <c r="I13" s="22">
        <f t="shared" si="1"/>
        <v>3.9999999999999991</v>
      </c>
      <c r="J13" s="22">
        <f t="shared" si="2"/>
        <v>3.9999999999999991</v>
      </c>
      <c r="K13" s="19">
        <v>4</v>
      </c>
      <c r="L13" s="22">
        <f t="shared" si="3"/>
        <v>-8.8817841970012523E-16</v>
      </c>
      <c r="M13" s="22">
        <f t="shared" si="4"/>
        <v>0</v>
      </c>
      <c r="N13" s="21" t="str">
        <f>IF(A13="","",IF(OR(WEEKDAY(A13,2)=7,COUNTIF(Einstellungen!$D$4:$D$12,A13)&gt;0),"Ja","Nein"))</f>
        <v>Nein</v>
      </c>
      <c r="O13" s="20">
        <v>0</v>
      </c>
      <c r="P13" s="23">
        <f>IF(C13="","",IFERROR(VLOOKUP(C13,Einstellungen!$G$4:$H$9,2,FALSE),Einstellungen!$B$4))</f>
        <v>13.9</v>
      </c>
      <c r="Q13" s="23">
        <f t="shared" si="5"/>
        <v>55.6</v>
      </c>
      <c r="R13" s="23">
        <f>IF(M13="","",ROUND(M13*P13*Einstellungen!$B$5,2))</f>
        <v>0</v>
      </c>
      <c r="S13" s="23">
        <f>IF(N13="Ja",ROUND(J13*P13*Einstellungen!$B$6,2),0)</f>
        <v>0</v>
      </c>
      <c r="T13" s="23">
        <f t="shared" si="6"/>
        <v>55.6</v>
      </c>
      <c r="U13" s="22" t="str">
        <f t="shared" si="7"/>
        <v/>
      </c>
      <c r="V13" s="21" t="str">
        <f>IF(A13="","",IF(OR(AND(I13&gt;6,H13&lt;30),AND(I13&gt;9,H13&lt;45),AND(U13&lt;&gt;"",U13&lt;Einstellungen!$B$7),P13&lt;Einstellungen!$B$4,J13&gt;10),"Prüfen","OK"))</f>
        <v>OK</v>
      </c>
      <c r="W13" s="16"/>
    </row>
    <row r="14" spans="1:23" x14ac:dyDescent="0.25">
      <c r="A14" s="15">
        <v>46028</v>
      </c>
      <c r="B14" s="21" t="str">
        <f t="shared" si="0"/>
        <v>Di</v>
      </c>
      <c r="C14" s="16" t="s">
        <v>45</v>
      </c>
      <c r="D14" s="16" t="s">
        <v>46</v>
      </c>
      <c r="E14" s="16" t="s">
        <v>47</v>
      </c>
      <c r="F14" s="17">
        <v>0.33333333333333331</v>
      </c>
      <c r="G14" s="17">
        <v>0.6875</v>
      </c>
      <c r="H14" s="18">
        <v>30</v>
      </c>
      <c r="I14" s="22">
        <f t="shared" si="1"/>
        <v>8.5</v>
      </c>
      <c r="J14" s="22">
        <f t="shared" si="2"/>
        <v>8</v>
      </c>
      <c r="K14" s="19">
        <v>8</v>
      </c>
      <c r="L14" s="22">
        <f t="shared" si="3"/>
        <v>0</v>
      </c>
      <c r="M14" s="22">
        <f t="shared" si="4"/>
        <v>0</v>
      </c>
      <c r="N14" s="21" t="str">
        <f>IF(A14="","",IF(OR(WEEKDAY(A14,2)=7,COUNTIF(Einstellungen!$D$4:$D$12,A14)&gt;0),"Ja","Nein"))</f>
        <v>Nein</v>
      </c>
      <c r="O14" s="20">
        <v>15</v>
      </c>
      <c r="P14" s="23">
        <f>IF(C14="","",IFERROR(VLOOKUP(C14,Einstellungen!$G$4:$H$9,2,FALSE),Einstellungen!$B$4))</f>
        <v>16</v>
      </c>
      <c r="Q14" s="23">
        <f t="shared" si="5"/>
        <v>128</v>
      </c>
      <c r="R14" s="23">
        <f>IF(M14="","",ROUND(M14*P14*Einstellungen!$B$5,2))</f>
        <v>0</v>
      </c>
      <c r="S14" s="23">
        <f>IF(N14="Ja",ROUND(J14*P14*Einstellungen!$B$6,2),0)</f>
        <v>0</v>
      </c>
      <c r="T14" s="23">
        <f t="shared" si="6"/>
        <v>128</v>
      </c>
      <c r="U14" s="22" t="str">
        <f t="shared" si="7"/>
        <v/>
      </c>
      <c r="V14" s="21" t="str">
        <f>IF(A14="","",IF(OR(AND(I14&gt;6,H14&lt;30),AND(I14&gt;9,H14&lt;45),AND(U14&lt;&gt;"",U14&lt;Einstellungen!$B$7),P14&lt;Einstellungen!$B$4,J14&gt;10),"Prüfen","OK"))</f>
        <v>OK</v>
      </c>
      <c r="W14" s="16"/>
    </row>
    <row r="15" spans="1:23" x14ac:dyDescent="0.25">
      <c r="A15" s="15">
        <v>46030</v>
      </c>
      <c r="B15" s="21" t="str">
        <f t="shared" si="0"/>
        <v>Do</v>
      </c>
      <c r="C15" s="16" t="s">
        <v>29</v>
      </c>
      <c r="D15" s="16" t="s">
        <v>30</v>
      </c>
      <c r="E15" s="16" t="s">
        <v>31</v>
      </c>
      <c r="F15" s="17">
        <v>0.75</v>
      </c>
      <c r="G15" s="17">
        <v>4.1666666666666664E-2</v>
      </c>
      <c r="H15" s="18">
        <v>30</v>
      </c>
      <c r="I15" s="22">
        <f t="shared" si="1"/>
        <v>7.0000000000000018</v>
      </c>
      <c r="J15" s="22">
        <f t="shared" si="2"/>
        <v>6.5000000000000018</v>
      </c>
      <c r="K15" s="19">
        <v>6.5</v>
      </c>
      <c r="L15" s="22">
        <f t="shared" si="3"/>
        <v>1.7763568394002505E-15</v>
      </c>
      <c r="M15" s="22">
        <f t="shared" si="4"/>
        <v>3</v>
      </c>
      <c r="N15" s="21" t="str">
        <f>IF(A15="","",IF(OR(WEEKDAY(A15,2)=7,COUNTIF(Einstellungen!$D$4:$D$12,A15)&gt;0),"Ja","Nein"))</f>
        <v>Nein</v>
      </c>
      <c r="O15" s="20">
        <v>44</v>
      </c>
      <c r="P15" s="23">
        <f>IF(C15="","",IFERROR(VLOOKUP(C15,Einstellungen!$G$4:$H$9,2,FALSE),Einstellungen!$B$4))</f>
        <v>14.2</v>
      </c>
      <c r="Q15" s="23">
        <f t="shared" si="5"/>
        <v>92.3</v>
      </c>
      <c r="R15" s="23">
        <f>IF(M15="","",ROUND(M15*P15*Einstellungen!$B$5,2))</f>
        <v>10.65</v>
      </c>
      <c r="S15" s="23">
        <f>IF(N15="Ja",ROUND(J15*P15*Einstellungen!$B$6,2),0)</f>
        <v>0</v>
      </c>
      <c r="T15" s="23">
        <f t="shared" si="6"/>
        <v>102.95</v>
      </c>
      <c r="U15" s="22" t="str">
        <f t="shared" si="7"/>
        <v/>
      </c>
      <c r="V15" s="21" t="str">
        <f>IF(A15="","",IF(OR(AND(I15&gt;6,H15&lt;30),AND(I15&gt;9,H15&lt;45),AND(U15&lt;&gt;"",U15&lt;Einstellungen!$B$7),P15&lt;Einstellungen!$B$4,J15&gt;10),"Prüfen","OK"))</f>
        <v>OK</v>
      </c>
      <c r="W15" s="16"/>
    </row>
    <row r="16" spans="1:23" x14ac:dyDescent="0.25">
      <c r="A16" s="15">
        <v>46031</v>
      </c>
      <c r="B16" s="21" t="str">
        <f t="shared" si="0"/>
        <v>Fr</v>
      </c>
      <c r="C16" s="16" t="s">
        <v>33</v>
      </c>
      <c r="D16" s="16" t="s">
        <v>34</v>
      </c>
      <c r="E16" s="16" t="s">
        <v>47</v>
      </c>
      <c r="F16" s="17">
        <v>0.375</v>
      </c>
      <c r="G16" s="17">
        <v>0.64583333333333337</v>
      </c>
      <c r="H16" s="18">
        <v>20</v>
      </c>
      <c r="I16" s="22">
        <f t="shared" si="1"/>
        <v>6.5000000000000009</v>
      </c>
      <c r="J16" s="22">
        <f t="shared" si="2"/>
        <v>6.1666666666666679</v>
      </c>
      <c r="K16" s="19">
        <v>6</v>
      </c>
      <c r="L16" s="22">
        <f t="shared" si="3"/>
        <v>0.16666666666666785</v>
      </c>
      <c r="M16" s="22">
        <f t="shared" si="4"/>
        <v>0</v>
      </c>
      <c r="N16" s="21" t="str">
        <f>IF(A16="","",IF(OR(WEEKDAY(A16,2)=7,COUNTIF(Einstellungen!$D$4:$D$12,A16)&gt;0),"Ja","Nein"))</f>
        <v>Nein</v>
      </c>
      <c r="O16" s="20">
        <v>0</v>
      </c>
      <c r="P16" s="23">
        <f>IF(C16="","",IFERROR(VLOOKUP(C16,Einstellungen!$G$4:$H$9,2,FALSE),Einstellungen!$B$4))</f>
        <v>13.9</v>
      </c>
      <c r="Q16" s="23">
        <f t="shared" si="5"/>
        <v>85.72</v>
      </c>
      <c r="R16" s="23">
        <f>IF(M16="","",ROUND(M16*P16*Einstellungen!$B$5,2))</f>
        <v>0</v>
      </c>
      <c r="S16" s="23">
        <f>IF(N16="Ja",ROUND(J16*P16*Einstellungen!$B$6,2),0)</f>
        <v>0</v>
      </c>
      <c r="T16" s="23">
        <f t="shared" si="6"/>
        <v>85.72</v>
      </c>
      <c r="U16" s="22" t="str">
        <f t="shared" si="7"/>
        <v/>
      </c>
      <c r="V16" s="21" t="str">
        <f>IF(A16="","",IF(OR(AND(I16&gt;6,H16&lt;30),AND(I16&gt;9,H16&lt;45),AND(U16&lt;&gt;"",U16&lt;Einstellungen!$B$7),P16&lt;Einstellungen!$B$4,J16&gt;10),"Prüfen","OK"))</f>
        <v>Prüfen</v>
      </c>
      <c r="W16" s="16" t="s">
        <v>48</v>
      </c>
    </row>
    <row r="17" spans="1:23" x14ac:dyDescent="0.25">
      <c r="A17" s="15">
        <v>46032</v>
      </c>
      <c r="B17" s="21" t="str">
        <f t="shared" si="0"/>
        <v>Sa</v>
      </c>
      <c r="C17" s="16" t="s">
        <v>35</v>
      </c>
      <c r="D17" s="16" t="s">
        <v>36</v>
      </c>
      <c r="E17" s="16" t="s">
        <v>49</v>
      </c>
      <c r="F17" s="17">
        <v>0.79166666666666663</v>
      </c>
      <c r="G17" s="17">
        <v>0.125</v>
      </c>
      <c r="H17" s="18">
        <v>45</v>
      </c>
      <c r="I17" s="22">
        <f t="shared" si="1"/>
        <v>8</v>
      </c>
      <c r="J17" s="22">
        <f t="shared" si="2"/>
        <v>7.25</v>
      </c>
      <c r="K17" s="19">
        <v>7.5</v>
      </c>
      <c r="L17" s="22">
        <f t="shared" si="3"/>
        <v>-0.25</v>
      </c>
      <c r="M17" s="22">
        <f t="shared" si="4"/>
        <v>5</v>
      </c>
      <c r="N17" s="21" t="str">
        <f>IF(A17="","",IF(OR(WEEKDAY(A17,2)=7,COUNTIF(Einstellungen!$D$4:$D$12,A17)&gt;0),"Ja","Nein"))</f>
        <v>Nein</v>
      </c>
      <c r="O17" s="20">
        <v>65</v>
      </c>
      <c r="P17" s="23">
        <f>IF(C17="","",IFERROR(VLOOKUP(C17,Einstellungen!$G$4:$H$9,2,FALSE),Einstellungen!$B$4))</f>
        <v>15</v>
      </c>
      <c r="Q17" s="23">
        <f t="shared" si="5"/>
        <v>108.75</v>
      </c>
      <c r="R17" s="23">
        <f>IF(M17="","",ROUND(M17*P17*Einstellungen!$B$5,2))</f>
        <v>18.75</v>
      </c>
      <c r="S17" s="23">
        <f>IF(N17="Ja",ROUND(J17*P17*Einstellungen!$B$6,2),0)</f>
        <v>0</v>
      </c>
      <c r="T17" s="23">
        <f t="shared" si="6"/>
        <v>127.5</v>
      </c>
      <c r="U17" s="22" t="str">
        <f t="shared" si="7"/>
        <v/>
      </c>
      <c r="V17" s="21" t="str">
        <f>IF(A17="","",IF(OR(AND(I17&gt;6,H17&lt;30),AND(I17&gt;9,H17&lt;45),AND(U17&lt;&gt;"",U17&lt;Einstellungen!$B$7),P17&lt;Einstellungen!$B$4,J17&gt;10),"Prüfen","OK"))</f>
        <v>OK</v>
      </c>
      <c r="W17" s="16" t="s">
        <v>50</v>
      </c>
    </row>
    <row r="18" spans="1:23" x14ac:dyDescent="0.25">
      <c r="A18" s="15">
        <v>46033</v>
      </c>
      <c r="B18" s="21" t="str">
        <f t="shared" si="0"/>
        <v>So</v>
      </c>
      <c r="C18" s="16" t="s">
        <v>39</v>
      </c>
      <c r="D18" s="16" t="s">
        <v>51</v>
      </c>
      <c r="E18" s="16" t="s">
        <v>40</v>
      </c>
      <c r="F18" s="17">
        <v>0.41666666666666669</v>
      </c>
      <c r="G18" s="17">
        <v>0.66666666666666663</v>
      </c>
      <c r="H18" s="18">
        <v>30</v>
      </c>
      <c r="I18" s="22">
        <f t="shared" si="1"/>
        <v>5.9999999999999982</v>
      </c>
      <c r="J18" s="22">
        <f t="shared" si="2"/>
        <v>5.4999999999999982</v>
      </c>
      <c r="K18" s="19">
        <v>5.5</v>
      </c>
      <c r="L18" s="22">
        <f t="shared" si="3"/>
        <v>-1.7763568394002505E-15</v>
      </c>
      <c r="M18" s="22">
        <f t="shared" si="4"/>
        <v>0</v>
      </c>
      <c r="N18" s="21" t="str">
        <f>IF(A18="","",IF(OR(WEEKDAY(A18,2)=7,COUNTIF(Einstellungen!$D$4:$D$12,A18)&gt;0),"Ja","Nein"))</f>
        <v>Ja</v>
      </c>
      <c r="O18" s="20">
        <v>29</v>
      </c>
      <c r="P18" s="23">
        <f>IF(C18="","",IFERROR(VLOOKUP(C18,Einstellungen!$G$4:$H$9,2,FALSE),Einstellungen!$B$4))</f>
        <v>14.5</v>
      </c>
      <c r="Q18" s="23">
        <f t="shared" si="5"/>
        <v>79.75</v>
      </c>
      <c r="R18" s="23">
        <f>IF(M18="","",ROUND(M18*P18*Einstellungen!$B$5,2))</f>
        <v>0</v>
      </c>
      <c r="S18" s="23">
        <f>IF(N18="Ja",ROUND(J18*P18*Einstellungen!$B$6,2),0)</f>
        <v>39.880000000000003</v>
      </c>
      <c r="T18" s="23">
        <f t="shared" si="6"/>
        <v>119.63</v>
      </c>
      <c r="U18" s="22" t="str">
        <f t="shared" si="7"/>
        <v/>
      </c>
      <c r="V18" s="21" t="str">
        <f>IF(A18="","",IF(OR(AND(I18&gt;6,H18&lt;30),AND(I18&gt;9,H18&lt;45),AND(U18&lt;&gt;"",U18&lt;Einstellungen!$B$7),P18&lt;Einstellungen!$B$4,J18&gt;10),"Prüfen","OK"))</f>
        <v>OK</v>
      </c>
      <c r="W18" s="16" t="s">
        <v>41</v>
      </c>
    </row>
    <row r="19" spans="1:23" x14ac:dyDescent="0.25">
      <c r="A19" s="15">
        <v>46034</v>
      </c>
      <c r="B19" s="21" t="str">
        <f t="shared" si="0"/>
        <v>Mo</v>
      </c>
      <c r="C19" s="16" t="s">
        <v>42</v>
      </c>
      <c r="D19" s="16" t="s">
        <v>43</v>
      </c>
      <c r="E19" s="16" t="s">
        <v>44</v>
      </c>
      <c r="F19" s="17">
        <v>0.75</v>
      </c>
      <c r="G19" s="17">
        <v>0.91666666666666663</v>
      </c>
      <c r="H19" s="18">
        <v>0</v>
      </c>
      <c r="I19" s="22">
        <f t="shared" si="1"/>
        <v>3.9999999999999991</v>
      </c>
      <c r="J19" s="22">
        <f t="shared" si="2"/>
        <v>3.9999999999999991</v>
      </c>
      <c r="K19" s="19">
        <v>4</v>
      </c>
      <c r="L19" s="22">
        <f t="shared" si="3"/>
        <v>-8.8817841970012523E-16</v>
      </c>
      <c r="M19" s="22">
        <f t="shared" si="4"/>
        <v>0</v>
      </c>
      <c r="N19" s="21" t="str">
        <f>IF(A19="","",IF(OR(WEEKDAY(A19,2)=7,COUNTIF(Einstellungen!$D$4:$D$12,A19)&gt;0),"Ja","Nein"))</f>
        <v>Nein</v>
      </c>
      <c r="O19" s="20">
        <v>0</v>
      </c>
      <c r="P19" s="23">
        <f>IF(C19="","",IFERROR(VLOOKUP(C19,Einstellungen!$G$4:$H$9,2,FALSE),Einstellungen!$B$4))</f>
        <v>13.9</v>
      </c>
      <c r="Q19" s="23">
        <f t="shared" si="5"/>
        <v>55.6</v>
      </c>
      <c r="R19" s="23">
        <f>IF(M19="","",ROUND(M19*P19*Einstellungen!$B$5,2))</f>
        <v>0</v>
      </c>
      <c r="S19" s="23">
        <f>IF(N19="Ja",ROUND(J19*P19*Einstellungen!$B$6,2),0)</f>
        <v>0</v>
      </c>
      <c r="T19" s="23">
        <f t="shared" si="6"/>
        <v>55.6</v>
      </c>
      <c r="U19" s="22" t="str">
        <f t="shared" si="7"/>
        <v/>
      </c>
      <c r="V19" s="21" t="str">
        <f>IF(A19="","",IF(OR(AND(I19&gt;6,H19&lt;30),AND(I19&gt;9,H19&lt;45),AND(U19&lt;&gt;"",U19&lt;Einstellungen!$B$7),P19&lt;Einstellungen!$B$4,J19&gt;10),"Prüfen","OK"))</f>
        <v>OK</v>
      </c>
      <c r="W19" s="16"/>
    </row>
    <row r="20" spans="1:23" x14ac:dyDescent="0.25">
      <c r="A20" s="15">
        <v>46036</v>
      </c>
      <c r="B20" s="21" t="str">
        <f t="shared" si="0"/>
        <v>Mi</v>
      </c>
      <c r="C20" s="16" t="s">
        <v>45</v>
      </c>
      <c r="D20" s="16" t="s">
        <v>46</v>
      </c>
      <c r="E20" s="16" t="s">
        <v>37</v>
      </c>
      <c r="F20" s="17">
        <v>0.66666666666666663</v>
      </c>
      <c r="G20" s="17">
        <v>0.97916666666666663</v>
      </c>
      <c r="H20" s="18">
        <v>30</v>
      </c>
      <c r="I20" s="22">
        <f t="shared" si="1"/>
        <v>7.5</v>
      </c>
      <c r="J20" s="22">
        <f t="shared" si="2"/>
        <v>7</v>
      </c>
      <c r="K20" s="19">
        <v>7</v>
      </c>
      <c r="L20" s="22">
        <f t="shared" si="3"/>
        <v>0</v>
      </c>
      <c r="M20" s="22">
        <f t="shared" si="4"/>
        <v>1.5</v>
      </c>
      <c r="N20" s="21" t="str">
        <f>IF(A20="","",IF(OR(WEEKDAY(A20,2)=7,COUNTIF(Einstellungen!$D$4:$D$12,A20)&gt;0),"Ja","Nein"))</f>
        <v>Nein</v>
      </c>
      <c r="O20" s="20">
        <v>18</v>
      </c>
      <c r="P20" s="23">
        <f>IF(C20="","",IFERROR(VLOOKUP(C20,Einstellungen!$G$4:$H$9,2,FALSE),Einstellungen!$B$4))</f>
        <v>16</v>
      </c>
      <c r="Q20" s="23">
        <f t="shared" si="5"/>
        <v>112</v>
      </c>
      <c r="R20" s="23">
        <f>IF(M20="","",ROUND(M20*P20*Einstellungen!$B$5,2))</f>
        <v>6</v>
      </c>
      <c r="S20" s="23">
        <f>IF(N20="Ja",ROUND(J20*P20*Einstellungen!$B$6,2),0)</f>
        <v>0</v>
      </c>
      <c r="T20" s="23">
        <f t="shared" si="6"/>
        <v>118</v>
      </c>
      <c r="U20" s="22" t="str">
        <f t="shared" si="7"/>
        <v/>
      </c>
      <c r="V20" s="21" t="str">
        <f>IF(A20="","",IF(OR(AND(I20&gt;6,H20&lt;30),AND(I20&gt;9,H20&lt;45),AND(U20&lt;&gt;"",U20&lt;Einstellungen!$B$7),P20&lt;Einstellungen!$B$4,J20&gt;10),"Prüfen","OK"))</f>
        <v>OK</v>
      </c>
      <c r="W20" s="16"/>
    </row>
    <row r="21" spans="1:23" x14ac:dyDescent="0.25">
      <c r="A21" s="15">
        <v>46038</v>
      </c>
      <c r="B21" s="21" t="str">
        <f t="shared" si="0"/>
        <v>Fr</v>
      </c>
      <c r="C21" s="16" t="s">
        <v>29</v>
      </c>
      <c r="D21" s="16" t="s">
        <v>30</v>
      </c>
      <c r="E21" s="16" t="s">
        <v>31</v>
      </c>
      <c r="F21" s="17">
        <v>0.70833333333333337</v>
      </c>
      <c r="G21" s="17">
        <v>2.0833333333333332E-2</v>
      </c>
      <c r="H21" s="18">
        <v>30</v>
      </c>
      <c r="I21" s="22">
        <f t="shared" si="1"/>
        <v>7.4999999999999973</v>
      </c>
      <c r="J21" s="22">
        <f t="shared" si="2"/>
        <v>6.9999999999999973</v>
      </c>
      <c r="K21" s="19">
        <v>7</v>
      </c>
      <c r="L21" s="22">
        <f t="shared" si="3"/>
        <v>-2.6645352591003757E-15</v>
      </c>
      <c r="M21" s="22">
        <f t="shared" si="4"/>
        <v>2.5</v>
      </c>
      <c r="N21" s="21" t="str">
        <f>IF(A21="","",IF(OR(WEEKDAY(A21,2)=7,COUNTIF(Einstellungen!$D$4:$D$12,A21)&gt;0),"Ja","Nein"))</f>
        <v>Nein</v>
      </c>
      <c r="O21" s="20">
        <v>52</v>
      </c>
      <c r="P21" s="23">
        <f>IF(C21="","",IFERROR(VLOOKUP(C21,Einstellungen!$G$4:$H$9,2,FALSE),Einstellungen!$B$4))</f>
        <v>14.2</v>
      </c>
      <c r="Q21" s="23">
        <f t="shared" si="5"/>
        <v>99.4</v>
      </c>
      <c r="R21" s="23">
        <f>IF(M21="","",ROUND(M21*P21*Einstellungen!$B$5,2))</f>
        <v>8.8800000000000008</v>
      </c>
      <c r="S21" s="23">
        <f>IF(N21="Ja",ROUND(J21*P21*Einstellungen!$B$6,2),0)</f>
        <v>0</v>
      </c>
      <c r="T21" s="23">
        <f t="shared" si="6"/>
        <v>108.28</v>
      </c>
      <c r="U21" s="22" t="str">
        <f t="shared" si="7"/>
        <v/>
      </c>
      <c r="V21" s="21" t="str">
        <f>IF(A21="","",IF(OR(AND(I21&gt;6,H21&lt;30),AND(I21&gt;9,H21&lt;45),AND(U21&lt;&gt;"",U21&lt;Einstellungen!$B$7),P21&lt;Einstellungen!$B$4,J21&gt;10),"Prüfen","OK"))</f>
        <v>OK</v>
      </c>
      <c r="W21" s="16"/>
    </row>
    <row r="22" spans="1:23" x14ac:dyDescent="0.25">
      <c r="A22" s="15">
        <v>46039</v>
      </c>
      <c r="B22" s="21" t="str">
        <f t="shared" si="0"/>
        <v>Sa</v>
      </c>
      <c r="C22" s="16" t="s">
        <v>33</v>
      </c>
      <c r="D22" s="16" t="s">
        <v>34</v>
      </c>
      <c r="E22" s="16" t="s">
        <v>49</v>
      </c>
      <c r="F22" s="17">
        <v>0.625</v>
      </c>
      <c r="G22" s="17">
        <v>0.97916666666666663</v>
      </c>
      <c r="H22" s="18">
        <v>45</v>
      </c>
      <c r="I22" s="22">
        <f t="shared" si="1"/>
        <v>8.5</v>
      </c>
      <c r="J22" s="22">
        <f t="shared" si="2"/>
        <v>7.75</v>
      </c>
      <c r="K22" s="19">
        <v>8</v>
      </c>
      <c r="L22" s="22">
        <f t="shared" si="3"/>
        <v>-0.25</v>
      </c>
      <c r="M22" s="22">
        <f t="shared" si="4"/>
        <v>1.5</v>
      </c>
      <c r="N22" s="21" t="str">
        <f>IF(A22="","",IF(OR(WEEKDAY(A22,2)=7,COUNTIF(Einstellungen!$D$4:$D$12,A22)&gt;0),"Ja","Nein"))</f>
        <v>Nein</v>
      </c>
      <c r="O22" s="20">
        <v>0</v>
      </c>
      <c r="P22" s="23">
        <f>IF(C22="","",IFERROR(VLOOKUP(C22,Einstellungen!$G$4:$H$9,2,FALSE),Einstellungen!$B$4))</f>
        <v>13.9</v>
      </c>
      <c r="Q22" s="23">
        <f t="shared" si="5"/>
        <v>107.73</v>
      </c>
      <c r="R22" s="23">
        <f>IF(M22="","",ROUND(M22*P22*Einstellungen!$B$5,2))</f>
        <v>5.21</v>
      </c>
      <c r="S22" s="23">
        <f>IF(N22="Ja",ROUND(J22*P22*Einstellungen!$B$6,2),0)</f>
        <v>0</v>
      </c>
      <c r="T22" s="23">
        <f t="shared" si="6"/>
        <v>112.94</v>
      </c>
      <c r="U22" s="22" t="str">
        <f t="shared" si="7"/>
        <v/>
      </c>
      <c r="V22" s="21" t="str">
        <f>IF(A22="","",IF(OR(AND(I22&gt;6,H22&lt;30),AND(I22&gt;9,H22&lt;45),AND(U22&lt;&gt;"",U22&lt;Einstellungen!$B$7),P22&lt;Einstellungen!$B$4,J22&gt;10),"Prüfen","OK"))</f>
        <v>OK</v>
      </c>
      <c r="W22" s="16"/>
    </row>
    <row r="23" spans="1:23" x14ac:dyDescent="0.25">
      <c r="A23" s="15">
        <v>46040</v>
      </c>
      <c r="B23" s="21" t="str">
        <f t="shared" si="0"/>
        <v>So</v>
      </c>
      <c r="C23" s="16" t="s">
        <v>35</v>
      </c>
      <c r="D23" s="16" t="s">
        <v>36</v>
      </c>
      <c r="E23" s="16" t="s">
        <v>37</v>
      </c>
      <c r="F23" s="17">
        <v>0.79166666666666663</v>
      </c>
      <c r="G23" s="17">
        <v>0.10416666666666667</v>
      </c>
      <c r="H23" s="18">
        <v>30</v>
      </c>
      <c r="I23" s="22">
        <f t="shared" si="1"/>
        <v>7.5000000000000027</v>
      </c>
      <c r="J23" s="22">
        <f t="shared" si="2"/>
        <v>7.0000000000000027</v>
      </c>
      <c r="K23" s="19">
        <v>7</v>
      </c>
      <c r="L23" s="22">
        <f t="shared" si="3"/>
        <v>2.6645352591003757E-15</v>
      </c>
      <c r="M23" s="22">
        <f t="shared" si="4"/>
        <v>4.5</v>
      </c>
      <c r="N23" s="21" t="str">
        <f>IF(A23="","",IF(OR(WEEKDAY(A23,2)=7,COUNTIF(Einstellungen!$D$4:$D$12,A23)&gt;0),"Ja","Nein"))</f>
        <v>Ja</v>
      </c>
      <c r="O23" s="20">
        <v>57</v>
      </c>
      <c r="P23" s="23">
        <f>IF(C23="","",IFERROR(VLOOKUP(C23,Einstellungen!$G$4:$H$9,2,FALSE),Einstellungen!$B$4))</f>
        <v>15</v>
      </c>
      <c r="Q23" s="23">
        <f t="shared" si="5"/>
        <v>105</v>
      </c>
      <c r="R23" s="23">
        <f>IF(M23="","",ROUND(M23*P23*Einstellungen!$B$5,2))</f>
        <v>16.88</v>
      </c>
      <c r="S23" s="23">
        <f>IF(N23="Ja",ROUND(J23*P23*Einstellungen!$B$6,2),0)</f>
        <v>52.5</v>
      </c>
      <c r="T23" s="23">
        <f t="shared" si="6"/>
        <v>174.38</v>
      </c>
      <c r="U23" s="22" t="str">
        <f t="shared" si="7"/>
        <v/>
      </c>
      <c r="V23" s="21" t="str">
        <f>IF(A23="","",IF(OR(AND(I23&gt;6,H23&lt;30),AND(I23&gt;9,H23&lt;45),AND(U23&lt;&gt;"",U23&lt;Einstellungen!$B$7),P23&lt;Einstellungen!$B$4,J23&gt;10),"Prüfen","OK"))</f>
        <v>OK</v>
      </c>
      <c r="W23" s="16" t="s">
        <v>52</v>
      </c>
    </row>
    <row r="24" spans="1:23" x14ac:dyDescent="0.25">
      <c r="A24" s="15">
        <v>46042</v>
      </c>
      <c r="B24" s="21" t="str">
        <f t="shared" si="0"/>
        <v>Di</v>
      </c>
      <c r="C24" s="16" t="s">
        <v>39</v>
      </c>
      <c r="D24" s="16" t="s">
        <v>30</v>
      </c>
      <c r="E24" s="16" t="s">
        <v>47</v>
      </c>
      <c r="F24" s="17">
        <v>0.33333333333333331</v>
      </c>
      <c r="G24" s="17">
        <v>0.58333333333333337</v>
      </c>
      <c r="H24" s="18">
        <v>0</v>
      </c>
      <c r="I24" s="22">
        <f t="shared" si="1"/>
        <v>6.0000000000000018</v>
      </c>
      <c r="J24" s="22">
        <f t="shared" si="2"/>
        <v>6.0000000000000018</v>
      </c>
      <c r="K24" s="19">
        <v>6</v>
      </c>
      <c r="L24" s="22">
        <f t="shared" si="3"/>
        <v>1.7763568394002505E-15</v>
      </c>
      <c r="M24" s="22">
        <f t="shared" si="4"/>
        <v>0</v>
      </c>
      <c r="N24" s="21" t="str">
        <f>IF(A24="","",IF(OR(WEEKDAY(A24,2)=7,COUNTIF(Einstellungen!$D$4:$D$12,A24)&gt;0),"Ja","Nein"))</f>
        <v>Nein</v>
      </c>
      <c r="O24" s="20">
        <v>20</v>
      </c>
      <c r="P24" s="23">
        <f>IF(C24="","",IFERROR(VLOOKUP(C24,Einstellungen!$G$4:$H$9,2,FALSE),Einstellungen!$B$4))</f>
        <v>14.5</v>
      </c>
      <c r="Q24" s="23">
        <f t="shared" si="5"/>
        <v>87</v>
      </c>
      <c r="R24" s="23">
        <f>IF(M24="","",ROUND(M24*P24*Einstellungen!$B$5,2))</f>
        <v>0</v>
      </c>
      <c r="S24" s="23">
        <f>IF(N24="Ja",ROUND(J24*P24*Einstellungen!$B$6,2),0)</f>
        <v>0</v>
      </c>
      <c r="T24" s="23">
        <f t="shared" si="6"/>
        <v>87</v>
      </c>
      <c r="U24" s="22" t="str">
        <f t="shared" si="7"/>
        <v/>
      </c>
      <c r="V24" s="21" t="str">
        <f>IF(A24="","",IF(OR(AND(I24&gt;6,H24&lt;30),AND(I24&gt;9,H24&lt;45),AND(U24&lt;&gt;"",U24&lt;Einstellungen!$B$7),P24&lt;Einstellungen!$B$4,J24&gt;10),"Prüfen","OK"))</f>
        <v>OK</v>
      </c>
      <c r="W24" s="16"/>
    </row>
    <row r="25" spans="1:23" x14ac:dyDescent="0.25">
      <c r="A25" s="15">
        <v>46043</v>
      </c>
      <c r="B25" s="21" t="str">
        <f t="shared" si="0"/>
        <v>Mi</v>
      </c>
      <c r="C25" s="16" t="s">
        <v>42</v>
      </c>
      <c r="D25" s="16" t="s">
        <v>43</v>
      </c>
      <c r="E25" s="16" t="s">
        <v>40</v>
      </c>
      <c r="F25" s="17">
        <v>0.45833333333333331</v>
      </c>
      <c r="G25" s="17">
        <v>0.73958333333333337</v>
      </c>
      <c r="H25" s="18">
        <v>30</v>
      </c>
      <c r="I25" s="22">
        <f t="shared" si="1"/>
        <v>6.7500000000000018</v>
      </c>
      <c r="J25" s="22">
        <f t="shared" si="2"/>
        <v>6.2500000000000018</v>
      </c>
      <c r="K25" s="19">
        <v>6</v>
      </c>
      <c r="L25" s="22">
        <f t="shared" si="3"/>
        <v>0.25000000000000178</v>
      </c>
      <c r="M25" s="22">
        <f t="shared" si="4"/>
        <v>0</v>
      </c>
      <c r="N25" s="21" t="str">
        <f>IF(A25="","",IF(OR(WEEKDAY(A25,2)=7,COUNTIF(Einstellungen!$D$4:$D$12,A25)&gt;0),"Ja","Nein"))</f>
        <v>Nein</v>
      </c>
      <c r="O25" s="20">
        <v>0</v>
      </c>
      <c r="P25" s="23">
        <f>IF(C25="","",IFERROR(VLOOKUP(C25,Einstellungen!$G$4:$H$9,2,FALSE),Einstellungen!$B$4))</f>
        <v>13.9</v>
      </c>
      <c r="Q25" s="23">
        <f t="shared" si="5"/>
        <v>86.88</v>
      </c>
      <c r="R25" s="23">
        <f>IF(M25="","",ROUND(M25*P25*Einstellungen!$B$5,2))</f>
        <v>0</v>
      </c>
      <c r="S25" s="23">
        <f>IF(N25="Ja",ROUND(J25*P25*Einstellungen!$B$6,2),0)</f>
        <v>0</v>
      </c>
      <c r="T25" s="23">
        <f t="shared" si="6"/>
        <v>86.88</v>
      </c>
      <c r="U25" s="22" t="str">
        <f t="shared" si="7"/>
        <v/>
      </c>
      <c r="V25" s="21" t="str">
        <f>IF(A25="","",IF(OR(AND(I25&gt;6,H25&lt;30),AND(I25&gt;9,H25&lt;45),AND(U25&lt;&gt;"",U25&lt;Einstellungen!$B$7),P25&lt;Einstellungen!$B$4,J25&gt;10),"Prüfen","OK"))</f>
        <v>OK</v>
      </c>
      <c r="W25" s="16"/>
    </row>
    <row r="26" spans="1:23" x14ac:dyDescent="0.25">
      <c r="A26" s="15">
        <v>46045</v>
      </c>
      <c r="B26" s="21" t="str">
        <f t="shared" si="0"/>
        <v>Fr</v>
      </c>
      <c r="C26" s="16" t="s">
        <v>45</v>
      </c>
      <c r="D26" s="16" t="s">
        <v>46</v>
      </c>
      <c r="E26" s="16" t="s">
        <v>49</v>
      </c>
      <c r="F26" s="17">
        <v>0.58333333333333337</v>
      </c>
      <c r="G26" s="17">
        <v>2.0833333333333332E-2</v>
      </c>
      <c r="H26" s="18">
        <v>45</v>
      </c>
      <c r="I26" s="22">
        <f t="shared" si="1"/>
        <v>10.499999999999996</v>
      </c>
      <c r="J26" s="22">
        <f t="shared" si="2"/>
        <v>9.7499999999999964</v>
      </c>
      <c r="K26" s="19">
        <v>9</v>
      </c>
      <c r="L26" s="22">
        <f t="shared" si="3"/>
        <v>0.74999999999999645</v>
      </c>
      <c r="M26" s="22">
        <f t="shared" si="4"/>
        <v>2.5</v>
      </c>
      <c r="N26" s="21" t="str">
        <f>IF(A26="","",IF(OR(WEEKDAY(A26,2)=7,COUNTIF(Einstellungen!$D$4:$D$12,A26)&gt;0),"Ja","Nein"))</f>
        <v>Nein</v>
      </c>
      <c r="O26" s="20">
        <v>22</v>
      </c>
      <c r="P26" s="23">
        <f>IF(C26="","",IFERROR(VLOOKUP(C26,Einstellungen!$G$4:$H$9,2,FALSE),Einstellungen!$B$4))</f>
        <v>16</v>
      </c>
      <c r="Q26" s="23">
        <f t="shared" si="5"/>
        <v>156</v>
      </c>
      <c r="R26" s="23">
        <f>IF(M26="","",ROUND(M26*P26*Einstellungen!$B$5,2))</f>
        <v>10</v>
      </c>
      <c r="S26" s="23">
        <f>IF(N26="Ja",ROUND(J26*P26*Einstellungen!$B$6,2),0)</f>
        <v>0</v>
      </c>
      <c r="T26" s="23">
        <f t="shared" si="6"/>
        <v>166</v>
      </c>
      <c r="U26" s="22" t="str">
        <f t="shared" si="7"/>
        <v/>
      </c>
      <c r="V26" s="21" t="str">
        <f>IF(A26="","",IF(OR(AND(I26&gt;6,H26&lt;30),AND(I26&gt;9,H26&lt;45),AND(U26&lt;&gt;"",U26&lt;Einstellungen!$B$7),P26&lt;Einstellungen!$B$4,J26&gt;10),"Prüfen","OK"))</f>
        <v>OK</v>
      </c>
      <c r="W26" s="16" t="s">
        <v>53</v>
      </c>
    </row>
    <row r="27" spans="1:23" x14ac:dyDescent="0.25">
      <c r="A27" s="15">
        <v>46046</v>
      </c>
      <c r="B27" s="21" t="str">
        <f t="shared" si="0"/>
        <v>Sa</v>
      </c>
      <c r="C27" s="16" t="s">
        <v>29</v>
      </c>
      <c r="D27" s="16" t="s">
        <v>30</v>
      </c>
      <c r="E27" s="16" t="s">
        <v>31</v>
      </c>
      <c r="F27" s="17">
        <v>0.75</v>
      </c>
      <c r="G27" s="17">
        <v>0.95833333333333337</v>
      </c>
      <c r="H27" s="18">
        <v>0</v>
      </c>
      <c r="I27" s="22">
        <f t="shared" si="1"/>
        <v>5.0000000000000009</v>
      </c>
      <c r="J27" s="22">
        <f t="shared" si="2"/>
        <v>5.0000000000000009</v>
      </c>
      <c r="K27" s="19">
        <v>5</v>
      </c>
      <c r="L27" s="22">
        <f t="shared" si="3"/>
        <v>8.8817841970012523E-16</v>
      </c>
      <c r="M27" s="22">
        <f t="shared" si="4"/>
        <v>1</v>
      </c>
      <c r="N27" s="21" t="str">
        <f>IF(A27="","",IF(OR(WEEKDAY(A27,2)=7,COUNTIF(Einstellungen!$D$4:$D$12,A27)&gt;0),"Ja","Nein"))</f>
        <v>Nein</v>
      </c>
      <c r="O27" s="20">
        <v>36</v>
      </c>
      <c r="P27" s="23">
        <f>IF(C27="","",IFERROR(VLOOKUP(C27,Einstellungen!$G$4:$H$9,2,FALSE),Einstellungen!$B$4))</f>
        <v>14.2</v>
      </c>
      <c r="Q27" s="23">
        <f t="shared" si="5"/>
        <v>71</v>
      </c>
      <c r="R27" s="23">
        <f>IF(M27="","",ROUND(M27*P27*Einstellungen!$B$5,2))</f>
        <v>3.55</v>
      </c>
      <c r="S27" s="23">
        <f>IF(N27="Ja",ROUND(J27*P27*Einstellungen!$B$6,2),0)</f>
        <v>0</v>
      </c>
      <c r="T27" s="23">
        <f t="shared" si="6"/>
        <v>74.55</v>
      </c>
      <c r="U27" s="22" t="str">
        <f t="shared" si="7"/>
        <v/>
      </c>
      <c r="V27" s="21" t="str">
        <f>IF(A27="","",IF(OR(AND(I27&gt;6,H27&lt;30),AND(I27&gt;9,H27&lt;45),AND(U27&lt;&gt;"",U27&lt;Einstellungen!$B$7),P27&lt;Einstellungen!$B$4,J27&gt;10),"Prüfen","OK"))</f>
        <v>OK</v>
      </c>
      <c r="W27" s="16"/>
    </row>
    <row r="28" spans="1:23" x14ac:dyDescent="0.25">
      <c r="A28" s="15">
        <v>46047</v>
      </c>
      <c r="B28" s="21" t="str">
        <f t="shared" si="0"/>
        <v>So</v>
      </c>
      <c r="C28" s="16" t="s">
        <v>33</v>
      </c>
      <c r="D28" s="16" t="s">
        <v>34</v>
      </c>
      <c r="E28" s="16" t="s">
        <v>40</v>
      </c>
      <c r="F28" s="17">
        <v>0.41666666666666669</v>
      </c>
      <c r="G28" s="17">
        <v>0.66666666666666663</v>
      </c>
      <c r="H28" s="18">
        <v>30</v>
      </c>
      <c r="I28" s="22">
        <f t="shared" si="1"/>
        <v>5.9999999999999982</v>
      </c>
      <c r="J28" s="22">
        <f t="shared" si="2"/>
        <v>5.4999999999999982</v>
      </c>
      <c r="K28" s="19">
        <v>5.5</v>
      </c>
      <c r="L28" s="22">
        <f t="shared" si="3"/>
        <v>-1.7763568394002505E-15</v>
      </c>
      <c r="M28" s="22">
        <f t="shared" si="4"/>
        <v>0</v>
      </c>
      <c r="N28" s="21" t="str">
        <f>IF(A28="","",IF(OR(WEEKDAY(A28,2)=7,COUNTIF(Einstellungen!$D$4:$D$12,A28)&gt;0),"Ja","Nein"))</f>
        <v>Ja</v>
      </c>
      <c r="O28" s="20">
        <v>0</v>
      </c>
      <c r="P28" s="23">
        <f>IF(C28="","",IFERROR(VLOOKUP(C28,Einstellungen!$G$4:$H$9,2,FALSE),Einstellungen!$B$4))</f>
        <v>13.9</v>
      </c>
      <c r="Q28" s="23">
        <f t="shared" si="5"/>
        <v>76.45</v>
      </c>
      <c r="R28" s="23">
        <f>IF(M28="","",ROUND(M28*P28*Einstellungen!$B$5,2))</f>
        <v>0</v>
      </c>
      <c r="S28" s="23">
        <f>IF(N28="Ja",ROUND(J28*P28*Einstellungen!$B$6,2),0)</f>
        <v>38.229999999999997</v>
      </c>
      <c r="T28" s="23">
        <f t="shared" si="6"/>
        <v>114.68</v>
      </c>
      <c r="U28" s="22" t="str">
        <f t="shared" si="7"/>
        <v/>
      </c>
      <c r="V28" s="21" t="str">
        <f>IF(A28="","",IF(OR(AND(I28&gt;6,H28&lt;30),AND(I28&gt;9,H28&lt;45),AND(U28&lt;&gt;"",U28&lt;Einstellungen!$B$7),P28&lt;Einstellungen!$B$4,J28&gt;10),"Prüfen","OK"))</f>
        <v>OK</v>
      </c>
      <c r="W28" s="16" t="s">
        <v>41</v>
      </c>
    </row>
    <row r="29" spans="1:23" x14ac:dyDescent="0.25">
      <c r="A29" s="15">
        <v>46054</v>
      </c>
      <c r="B29" s="21" t="str">
        <f t="shared" si="0"/>
        <v>So</v>
      </c>
      <c r="C29" s="16" t="s">
        <v>35</v>
      </c>
      <c r="D29" s="16" t="s">
        <v>36</v>
      </c>
      <c r="E29" s="16" t="s">
        <v>37</v>
      </c>
      <c r="F29" s="17">
        <v>0.83333333333333337</v>
      </c>
      <c r="G29" s="17">
        <v>8.3333333333333329E-2</v>
      </c>
      <c r="H29" s="18">
        <v>30</v>
      </c>
      <c r="I29" s="22">
        <f t="shared" si="1"/>
        <v>5.9999999999999973</v>
      </c>
      <c r="J29" s="22">
        <f t="shared" si="2"/>
        <v>5.4999999999999973</v>
      </c>
      <c r="K29" s="19">
        <v>5.5</v>
      </c>
      <c r="L29" s="22">
        <f t="shared" si="3"/>
        <v>-2.6645352591003757E-15</v>
      </c>
      <c r="M29" s="22">
        <f t="shared" si="4"/>
        <v>4</v>
      </c>
      <c r="N29" s="21" t="str">
        <f>IF(A29="","",IF(OR(WEEKDAY(A29,2)=7,COUNTIF(Einstellungen!$D$4:$D$12,A29)&gt;0),"Ja","Nein"))</f>
        <v>Ja</v>
      </c>
      <c r="O29" s="20">
        <v>46</v>
      </c>
      <c r="P29" s="23">
        <f>IF(C29="","",IFERROR(VLOOKUP(C29,Einstellungen!$G$4:$H$9,2,FALSE),Einstellungen!$B$4))</f>
        <v>15</v>
      </c>
      <c r="Q29" s="23">
        <f t="shared" si="5"/>
        <v>82.5</v>
      </c>
      <c r="R29" s="23">
        <f>IF(M29="","",ROUND(M29*P29*Einstellungen!$B$5,2))</f>
        <v>15</v>
      </c>
      <c r="S29" s="23">
        <f>IF(N29="Ja",ROUND(J29*P29*Einstellungen!$B$6,2),0)</f>
        <v>41.25</v>
      </c>
      <c r="T29" s="23">
        <f t="shared" si="6"/>
        <v>138.75</v>
      </c>
      <c r="U29" s="22" t="str">
        <f t="shared" si="7"/>
        <v/>
      </c>
      <c r="V29" s="21" t="str">
        <f>IF(A29="","",IF(OR(AND(I29&gt;6,H29&lt;30),AND(I29&gt;9,H29&lt;45),AND(U29&lt;&gt;"",U29&lt;Einstellungen!$B$7),P29&lt;Einstellungen!$B$4,J29&gt;10),"Prüfen","OK"))</f>
        <v>OK</v>
      </c>
      <c r="W29" s="16" t="s">
        <v>41</v>
      </c>
    </row>
    <row r="30" spans="1:23" x14ac:dyDescent="0.25">
      <c r="A30" s="15">
        <v>46056</v>
      </c>
      <c r="B30" s="21" t="str">
        <f t="shared" si="0"/>
        <v>Di</v>
      </c>
      <c r="C30" s="16" t="s">
        <v>39</v>
      </c>
      <c r="D30" s="16" t="s">
        <v>30</v>
      </c>
      <c r="E30" s="16" t="s">
        <v>31</v>
      </c>
      <c r="F30" s="17">
        <v>0.70833333333333337</v>
      </c>
      <c r="G30" s="17">
        <v>0.95833333333333337</v>
      </c>
      <c r="H30" s="18">
        <v>30</v>
      </c>
      <c r="I30" s="22">
        <f t="shared" si="1"/>
        <v>6</v>
      </c>
      <c r="J30" s="22">
        <f t="shared" si="2"/>
        <v>5.5</v>
      </c>
      <c r="K30" s="19">
        <v>5.5</v>
      </c>
      <c r="L30" s="22">
        <f t="shared" si="3"/>
        <v>0</v>
      </c>
      <c r="M30" s="22">
        <f t="shared" si="4"/>
        <v>1</v>
      </c>
      <c r="N30" s="21" t="str">
        <f>IF(A30="","",IF(OR(WEEKDAY(A30,2)=7,COUNTIF(Einstellungen!$D$4:$D$12,A30)&gt;0),"Ja","Nein"))</f>
        <v>Nein</v>
      </c>
      <c r="O30" s="20">
        <v>28</v>
      </c>
      <c r="P30" s="23">
        <f>IF(C30="","",IFERROR(VLOOKUP(C30,Einstellungen!$G$4:$H$9,2,FALSE),Einstellungen!$B$4))</f>
        <v>14.5</v>
      </c>
      <c r="Q30" s="23">
        <f t="shared" si="5"/>
        <v>79.75</v>
      </c>
      <c r="R30" s="23">
        <f>IF(M30="","",ROUND(M30*P30*Einstellungen!$B$5,2))</f>
        <v>3.63</v>
      </c>
      <c r="S30" s="23">
        <f>IF(N30="Ja",ROUND(J30*P30*Einstellungen!$B$6,2),0)</f>
        <v>0</v>
      </c>
      <c r="T30" s="23">
        <f t="shared" si="6"/>
        <v>83.38</v>
      </c>
      <c r="U30" s="22" t="str">
        <f t="shared" si="7"/>
        <v/>
      </c>
      <c r="V30" s="21" t="str">
        <f>IF(A30="","",IF(OR(AND(I30&gt;6,H30&lt;30),AND(I30&gt;9,H30&lt;45),AND(U30&lt;&gt;"",U30&lt;Einstellungen!$B$7),P30&lt;Einstellungen!$B$4,J30&gt;10),"Prüfen","OK"))</f>
        <v>OK</v>
      </c>
      <c r="W30" s="16"/>
    </row>
    <row r="31" spans="1:23" x14ac:dyDescent="0.25">
      <c r="A31" s="15">
        <v>46058</v>
      </c>
      <c r="B31" s="21" t="str">
        <f t="shared" si="0"/>
        <v>Do</v>
      </c>
      <c r="C31" s="16" t="s">
        <v>42</v>
      </c>
      <c r="D31" s="16" t="s">
        <v>43</v>
      </c>
      <c r="E31" s="16" t="s">
        <v>44</v>
      </c>
      <c r="F31" s="17">
        <v>0.5</v>
      </c>
      <c r="G31" s="17">
        <v>0.66666666666666663</v>
      </c>
      <c r="H31" s="18">
        <v>0</v>
      </c>
      <c r="I31" s="22">
        <f t="shared" si="1"/>
        <v>3.9999999999999991</v>
      </c>
      <c r="J31" s="22">
        <f t="shared" si="2"/>
        <v>3.9999999999999991</v>
      </c>
      <c r="K31" s="19">
        <v>4</v>
      </c>
      <c r="L31" s="22">
        <f t="shared" si="3"/>
        <v>-8.8817841970012523E-16</v>
      </c>
      <c r="M31" s="22">
        <f t="shared" si="4"/>
        <v>0</v>
      </c>
      <c r="N31" s="21" t="str">
        <f>IF(A31="","",IF(OR(WEEKDAY(A31,2)=7,COUNTIF(Einstellungen!$D$4:$D$12,A31)&gt;0),"Ja","Nein"))</f>
        <v>Nein</v>
      </c>
      <c r="O31" s="20">
        <v>0</v>
      </c>
      <c r="P31" s="23">
        <f>IF(C31="","",IFERROR(VLOOKUP(C31,Einstellungen!$G$4:$H$9,2,FALSE),Einstellungen!$B$4))</f>
        <v>13.9</v>
      </c>
      <c r="Q31" s="23">
        <f t="shared" si="5"/>
        <v>55.6</v>
      </c>
      <c r="R31" s="23">
        <f>IF(M31="","",ROUND(M31*P31*Einstellungen!$B$5,2))</f>
        <v>0</v>
      </c>
      <c r="S31" s="23">
        <f>IF(N31="Ja",ROUND(J31*P31*Einstellungen!$B$6,2),0)</f>
        <v>0</v>
      </c>
      <c r="T31" s="23">
        <f t="shared" si="6"/>
        <v>55.6</v>
      </c>
      <c r="U31" s="22" t="str">
        <f t="shared" si="7"/>
        <v/>
      </c>
      <c r="V31" s="21" t="str">
        <f>IF(A31="","",IF(OR(AND(I31&gt;6,H31&lt;30),AND(I31&gt;9,H31&lt;45),AND(U31&lt;&gt;"",U31&lt;Einstellungen!$B$7),P31&lt;Einstellungen!$B$4,J31&gt;10),"Prüfen","OK"))</f>
        <v>OK</v>
      </c>
      <c r="W31" s="16"/>
    </row>
    <row r="32" spans="1:23" x14ac:dyDescent="0.25">
      <c r="A32" s="15">
        <v>46059</v>
      </c>
      <c r="B32" s="21" t="str">
        <f t="shared" si="0"/>
        <v>Fr</v>
      </c>
      <c r="C32" s="16" t="s">
        <v>45</v>
      </c>
      <c r="D32" s="16" t="s">
        <v>46</v>
      </c>
      <c r="E32" s="16" t="s">
        <v>47</v>
      </c>
      <c r="F32" s="17">
        <v>0.33333333333333331</v>
      </c>
      <c r="G32" s="17">
        <v>0.66666666666666663</v>
      </c>
      <c r="H32" s="18">
        <v>30</v>
      </c>
      <c r="I32" s="22">
        <f t="shared" si="1"/>
        <v>8</v>
      </c>
      <c r="J32" s="22">
        <f t="shared" si="2"/>
        <v>7.5</v>
      </c>
      <c r="K32" s="19">
        <v>7.5</v>
      </c>
      <c r="L32" s="22">
        <f t="shared" si="3"/>
        <v>0</v>
      </c>
      <c r="M32" s="22">
        <f t="shared" si="4"/>
        <v>0</v>
      </c>
      <c r="N32" s="21" t="str">
        <f>IF(A32="","",IF(OR(WEEKDAY(A32,2)=7,COUNTIF(Einstellungen!$D$4:$D$12,A32)&gt;0),"Ja","Nein"))</f>
        <v>Nein</v>
      </c>
      <c r="O32" s="20">
        <v>12</v>
      </c>
      <c r="P32" s="23">
        <f>IF(C32="","",IFERROR(VLOOKUP(C32,Einstellungen!$G$4:$H$9,2,FALSE),Einstellungen!$B$4))</f>
        <v>16</v>
      </c>
      <c r="Q32" s="23">
        <f t="shared" si="5"/>
        <v>120</v>
      </c>
      <c r="R32" s="23">
        <f>IF(M32="","",ROUND(M32*P32*Einstellungen!$B$5,2))</f>
        <v>0</v>
      </c>
      <c r="S32" s="23">
        <f>IF(N32="Ja",ROUND(J32*P32*Einstellungen!$B$6,2),0)</f>
        <v>0</v>
      </c>
      <c r="T32" s="23">
        <f t="shared" si="6"/>
        <v>120</v>
      </c>
      <c r="U32" s="22" t="str">
        <f t="shared" si="7"/>
        <v/>
      </c>
      <c r="V32" s="21" t="str">
        <f>IF(A32="","",IF(OR(AND(I32&gt;6,H32&lt;30),AND(I32&gt;9,H32&lt;45),AND(U32&lt;&gt;"",U32&lt;Einstellungen!$B$7),P32&lt;Einstellungen!$B$4,J32&gt;10),"Prüfen","OK"))</f>
        <v>OK</v>
      </c>
      <c r="W32" s="16"/>
    </row>
    <row r="33" spans="1:23" x14ac:dyDescent="0.25">
      <c r="A33" s="15"/>
      <c r="B33" s="21" t="str">
        <f t="shared" si="0"/>
        <v/>
      </c>
      <c r="C33" s="16"/>
      <c r="D33" s="16"/>
      <c r="E33" s="16"/>
      <c r="F33" s="17"/>
      <c r="G33" s="17"/>
      <c r="H33" s="18"/>
      <c r="I33" s="22" t="str">
        <f t="shared" si="1"/>
        <v/>
      </c>
      <c r="J33" s="22" t="str">
        <f t="shared" si="2"/>
        <v/>
      </c>
      <c r="K33" s="19"/>
      <c r="L33" s="22" t="str">
        <f t="shared" si="3"/>
        <v/>
      </c>
      <c r="M33" s="22" t="str">
        <f t="shared" si="4"/>
        <v/>
      </c>
      <c r="N33" s="21" t="str">
        <f>IF(A33="","",IF(OR(WEEKDAY(A33,2)=7,COUNTIF(Einstellungen!$D$4:$D$12,A33)&gt;0),"Ja","Nein"))</f>
        <v/>
      </c>
      <c r="O33" s="20"/>
      <c r="P33" s="23" t="str">
        <f>IF(C33="","",IFERROR(VLOOKUP(C33,Einstellungen!$G$4:$H$9,2,FALSE),Einstellungen!$B$4))</f>
        <v/>
      </c>
      <c r="Q33" s="23" t="str">
        <f t="shared" si="5"/>
        <v/>
      </c>
      <c r="R33" s="23" t="str">
        <f>IF(M33="","",ROUND(M33*P33*Einstellungen!$B$5,2))</f>
        <v/>
      </c>
      <c r="S33" s="23">
        <f>IF(N33="Ja",ROUND(J33*P33*Einstellungen!$B$6,2),0)</f>
        <v>0</v>
      </c>
      <c r="T33" s="23" t="str">
        <f t="shared" si="6"/>
        <v/>
      </c>
      <c r="U33" s="22" t="str">
        <f t="shared" si="7"/>
        <v/>
      </c>
      <c r="V33" s="21" t="str">
        <f>IF(A33="","",IF(OR(AND(I33&gt;6,H33&lt;30),AND(I33&gt;9,H33&lt;45),AND(U33&lt;&gt;"",U33&lt;Einstellungen!$B$7),P33&lt;Einstellungen!$B$4,J33&gt;10),"Prüfen","OK"))</f>
        <v/>
      </c>
      <c r="W33" s="16"/>
    </row>
    <row r="34" spans="1:23" x14ac:dyDescent="0.25">
      <c r="A34" s="15"/>
      <c r="B34" s="21" t="str">
        <f t="shared" si="0"/>
        <v/>
      </c>
      <c r="C34" s="16"/>
      <c r="D34" s="16"/>
      <c r="E34" s="16"/>
      <c r="F34" s="17"/>
      <c r="G34" s="17"/>
      <c r="H34" s="18"/>
      <c r="I34" s="22" t="str">
        <f t="shared" si="1"/>
        <v/>
      </c>
      <c r="J34" s="22" t="str">
        <f t="shared" si="2"/>
        <v/>
      </c>
      <c r="K34" s="19"/>
      <c r="L34" s="22" t="str">
        <f t="shared" si="3"/>
        <v/>
      </c>
      <c r="M34" s="22" t="str">
        <f t="shared" si="4"/>
        <v/>
      </c>
      <c r="N34" s="21" t="str">
        <f>IF(A34="","",IF(OR(WEEKDAY(A34,2)=7,COUNTIF(Einstellungen!$D$4:$D$12,A34)&gt;0),"Ja","Nein"))</f>
        <v/>
      </c>
      <c r="O34" s="20"/>
      <c r="P34" s="23" t="str">
        <f>IF(C34="","",IFERROR(VLOOKUP(C34,Einstellungen!$G$4:$H$9,2,FALSE),Einstellungen!$B$4))</f>
        <v/>
      </c>
      <c r="Q34" s="23" t="str">
        <f t="shared" si="5"/>
        <v/>
      </c>
      <c r="R34" s="23" t="str">
        <f>IF(M34="","",ROUND(M34*P34*Einstellungen!$B$5,2))</f>
        <v/>
      </c>
      <c r="S34" s="23">
        <f>IF(N34="Ja",ROUND(J34*P34*Einstellungen!$B$6,2),0)</f>
        <v>0</v>
      </c>
      <c r="T34" s="23" t="str">
        <f t="shared" si="6"/>
        <v/>
      </c>
      <c r="U34" s="22" t="str">
        <f t="shared" si="7"/>
        <v/>
      </c>
      <c r="V34" s="21" t="str">
        <f>IF(A34="","",IF(OR(AND(I34&gt;6,H34&lt;30),AND(I34&gt;9,H34&lt;45),AND(U34&lt;&gt;"",U34&lt;Einstellungen!$B$7),P34&lt;Einstellungen!$B$4,J34&gt;10),"Prüfen","OK"))</f>
        <v/>
      </c>
      <c r="W34" s="16"/>
    </row>
    <row r="35" spans="1:23" x14ac:dyDescent="0.25">
      <c r="A35" s="15"/>
      <c r="B35" s="21" t="str">
        <f t="shared" si="0"/>
        <v/>
      </c>
      <c r="C35" s="16"/>
      <c r="D35" s="16"/>
      <c r="E35" s="16"/>
      <c r="F35" s="17"/>
      <c r="G35" s="17"/>
      <c r="H35" s="18"/>
      <c r="I35" s="22" t="str">
        <f t="shared" si="1"/>
        <v/>
      </c>
      <c r="J35" s="22" t="str">
        <f t="shared" si="2"/>
        <v/>
      </c>
      <c r="K35" s="19"/>
      <c r="L35" s="22" t="str">
        <f t="shared" si="3"/>
        <v/>
      </c>
      <c r="M35" s="22" t="str">
        <f t="shared" si="4"/>
        <v/>
      </c>
      <c r="N35" s="21" t="str">
        <f>IF(A35="","",IF(OR(WEEKDAY(A35,2)=7,COUNTIF(Einstellungen!$D$4:$D$12,A35)&gt;0),"Ja","Nein"))</f>
        <v/>
      </c>
      <c r="O35" s="20"/>
      <c r="P35" s="23" t="str">
        <f>IF(C35="","",IFERROR(VLOOKUP(C35,Einstellungen!$G$4:$H$9,2,FALSE),Einstellungen!$B$4))</f>
        <v/>
      </c>
      <c r="Q35" s="23" t="str">
        <f t="shared" si="5"/>
        <v/>
      </c>
      <c r="R35" s="23" t="str">
        <f>IF(M35="","",ROUND(M35*P35*Einstellungen!$B$5,2))</f>
        <v/>
      </c>
      <c r="S35" s="23">
        <f>IF(N35="Ja",ROUND(J35*P35*Einstellungen!$B$6,2),0)</f>
        <v>0</v>
      </c>
      <c r="T35" s="23" t="str">
        <f t="shared" si="6"/>
        <v/>
      </c>
      <c r="U35" s="22" t="str">
        <f t="shared" si="7"/>
        <v/>
      </c>
      <c r="V35" s="21" t="str">
        <f>IF(A35="","",IF(OR(AND(I35&gt;6,H35&lt;30),AND(I35&gt;9,H35&lt;45),AND(U35&lt;&gt;"",U35&lt;Einstellungen!$B$7),P35&lt;Einstellungen!$B$4,J35&gt;10),"Prüfen","OK"))</f>
        <v/>
      </c>
      <c r="W35" s="16"/>
    </row>
    <row r="36" spans="1:23" x14ac:dyDescent="0.25">
      <c r="A36" s="15"/>
      <c r="B36" s="21" t="str">
        <f t="shared" si="0"/>
        <v/>
      </c>
      <c r="C36" s="16"/>
      <c r="D36" s="16"/>
      <c r="E36" s="16"/>
      <c r="F36" s="17"/>
      <c r="G36" s="17"/>
      <c r="H36" s="18"/>
      <c r="I36" s="22" t="str">
        <f t="shared" si="1"/>
        <v/>
      </c>
      <c r="J36" s="22" t="str">
        <f t="shared" si="2"/>
        <v/>
      </c>
      <c r="K36" s="19"/>
      <c r="L36" s="22" t="str">
        <f t="shared" si="3"/>
        <v/>
      </c>
      <c r="M36" s="22" t="str">
        <f t="shared" si="4"/>
        <v/>
      </c>
      <c r="N36" s="21" t="str">
        <f>IF(A36="","",IF(OR(WEEKDAY(A36,2)=7,COUNTIF(Einstellungen!$D$4:$D$12,A36)&gt;0),"Ja","Nein"))</f>
        <v/>
      </c>
      <c r="O36" s="20"/>
      <c r="P36" s="23" t="str">
        <f>IF(C36="","",IFERROR(VLOOKUP(C36,Einstellungen!$G$4:$H$9,2,FALSE),Einstellungen!$B$4))</f>
        <v/>
      </c>
      <c r="Q36" s="23" t="str">
        <f t="shared" si="5"/>
        <v/>
      </c>
      <c r="R36" s="23" t="str">
        <f>IF(M36="","",ROUND(M36*P36*Einstellungen!$B$5,2))</f>
        <v/>
      </c>
      <c r="S36" s="23">
        <f>IF(N36="Ja",ROUND(J36*P36*Einstellungen!$B$6,2),0)</f>
        <v>0</v>
      </c>
      <c r="T36" s="23" t="str">
        <f t="shared" si="6"/>
        <v/>
      </c>
      <c r="U36" s="22" t="str">
        <f t="shared" si="7"/>
        <v/>
      </c>
      <c r="V36" s="21" t="str">
        <f>IF(A36="","",IF(OR(AND(I36&gt;6,H36&lt;30),AND(I36&gt;9,H36&lt;45),AND(U36&lt;&gt;"",U36&lt;Einstellungen!$B$7),P36&lt;Einstellungen!$B$4,J36&gt;10),"Prüfen","OK"))</f>
        <v/>
      </c>
      <c r="W36" s="16"/>
    </row>
    <row r="37" spans="1:23" x14ac:dyDescent="0.25">
      <c r="A37" s="15"/>
      <c r="B37" s="21" t="str">
        <f t="shared" si="0"/>
        <v/>
      </c>
      <c r="C37" s="16"/>
      <c r="D37" s="16"/>
      <c r="E37" s="16"/>
      <c r="F37" s="17"/>
      <c r="G37" s="17"/>
      <c r="H37" s="18"/>
      <c r="I37" s="22" t="str">
        <f t="shared" si="1"/>
        <v/>
      </c>
      <c r="J37" s="22" t="str">
        <f t="shared" si="2"/>
        <v/>
      </c>
      <c r="K37" s="19"/>
      <c r="L37" s="22" t="str">
        <f t="shared" si="3"/>
        <v/>
      </c>
      <c r="M37" s="22" t="str">
        <f t="shared" si="4"/>
        <v/>
      </c>
      <c r="N37" s="21" t="str">
        <f>IF(A37="","",IF(OR(WEEKDAY(A37,2)=7,COUNTIF(Einstellungen!$D$4:$D$12,A37)&gt;0),"Ja","Nein"))</f>
        <v/>
      </c>
      <c r="O37" s="20"/>
      <c r="P37" s="23" t="str">
        <f>IF(C37="","",IFERROR(VLOOKUP(C37,Einstellungen!$G$4:$H$9,2,FALSE),Einstellungen!$B$4))</f>
        <v/>
      </c>
      <c r="Q37" s="23" t="str">
        <f t="shared" si="5"/>
        <v/>
      </c>
      <c r="R37" s="23" t="str">
        <f>IF(M37="","",ROUND(M37*P37*Einstellungen!$B$5,2))</f>
        <v/>
      </c>
      <c r="S37" s="23">
        <f>IF(N37="Ja",ROUND(J37*P37*Einstellungen!$B$6,2),0)</f>
        <v>0</v>
      </c>
      <c r="T37" s="23" t="str">
        <f t="shared" si="6"/>
        <v/>
      </c>
      <c r="U37" s="22" t="str">
        <f t="shared" si="7"/>
        <v/>
      </c>
      <c r="V37" s="21" t="str">
        <f>IF(A37="","",IF(OR(AND(I37&gt;6,H37&lt;30),AND(I37&gt;9,H37&lt;45),AND(U37&lt;&gt;"",U37&lt;Einstellungen!$B$7),P37&lt;Einstellungen!$B$4,J37&gt;10),"Prüfen","OK"))</f>
        <v/>
      </c>
      <c r="W37" s="16"/>
    </row>
    <row r="38" spans="1:23" x14ac:dyDescent="0.25">
      <c r="A38" s="15"/>
      <c r="B38" s="21" t="str">
        <f t="shared" si="0"/>
        <v/>
      </c>
      <c r="C38" s="16"/>
      <c r="D38" s="16"/>
      <c r="E38" s="16"/>
      <c r="F38" s="17"/>
      <c r="G38" s="17"/>
      <c r="H38" s="18"/>
      <c r="I38" s="22" t="str">
        <f t="shared" si="1"/>
        <v/>
      </c>
      <c r="J38" s="22" t="str">
        <f t="shared" si="2"/>
        <v/>
      </c>
      <c r="K38" s="19"/>
      <c r="L38" s="22" t="str">
        <f t="shared" si="3"/>
        <v/>
      </c>
      <c r="M38" s="22" t="str">
        <f t="shared" si="4"/>
        <v/>
      </c>
      <c r="N38" s="21" t="str">
        <f>IF(A38="","",IF(OR(WEEKDAY(A38,2)=7,COUNTIF(Einstellungen!$D$4:$D$12,A38)&gt;0),"Ja","Nein"))</f>
        <v/>
      </c>
      <c r="O38" s="20"/>
      <c r="P38" s="23" t="str">
        <f>IF(C38="","",IFERROR(VLOOKUP(C38,Einstellungen!$G$4:$H$9,2,FALSE),Einstellungen!$B$4))</f>
        <v/>
      </c>
      <c r="Q38" s="23" t="str">
        <f t="shared" si="5"/>
        <v/>
      </c>
      <c r="R38" s="23" t="str">
        <f>IF(M38="","",ROUND(M38*P38*Einstellungen!$B$5,2))</f>
        <v/>
      </c>
      <c r="S38" s="23">
        <f>IF(N38="Ja",ROUND(J38*P38*Einstellungen!$B$6,2),0)</f>
        <v>0</v>
      </c>
      <c r="T38" s="23" t="str">
        <f t="shared" si="6"/>
        <v/>
      </c>
      <c r="U38" s="22" t="str">
        <f t="shared" si="7"/>
        <v/>
      </c>
      <c r="V38" s="21" t="str">
        <f>IF(A38="","",IF(OR(AND(I38&gt;6,H38&lt;30),AND(I38&gt;9,H38&lt;45),AND(U38&lt;&gt;"",U38&lt;Einstellungen!$B$7),P38&lt;Einstellungen!$B$4,J38&gt;10),"Prüfen","OK"))</f>
        <v/>
      </c>
      <c r="W38" s="16"/>
    </row>
    <row r="39" spans="1:23" x14ac:dyDescent="0.25">
      <c r="A39" s="15"/>
      <c r="B39" s="21" t="str">
        <f t="shared" si="0"/>
        <v/>
      </c>
      <c r="C39" s="16"/>
      <c r="D39" s="16"/>
      <c r="E39" s="16"/>
      <c r="F39" s="17"/>
      <c r="G39" s="17"/>
      <c r="H39" s="18"/>
      <c r="I39" s="22" t="str">
        <f t="shared" si="1"/>
        <v/>
      </c>
      <c r="J39" s="22" t="str">
        <f t="shared" si="2"/>
        <v/>
      </c>
      <c r="K39" s="19"/>
      <c r="L39" s="22" t="str">
        <f t="shared" si="3"/>
        <v/>
      </c>
      <c r="M39" s="22" t="str">
        <f t="shared" si="4"/>
        <v/>
      </c>
      <c r="N39" s="21" t="str">
        <f>IF(A39="","",IF(OR(WEEKDAY(A39,2)=7,COUNTIF(Einstellungen!$D$4:$D$12,A39)&gt;0),"Ja","Nein"))</f>
        <v/>
      </c>
      <c r="O39" s="20"/>
      <c r="P39" s="23" t="str">
        <f>IF(C39="","",IFERROR(VLOOKUP(C39,Einstellungen!$G$4:$H$9,2,FALSE),Einstellungen!$B$4))</f>
        <v/>
      </c>
      <c r="Q39" s="23" t="str">
        <f t="shared" si="5"/>
        <v/>
      </c>
      <c r="R39" s="23" t="str">
        <f>IF(M39="","",ROUND(M39*P39*Einstellungen!$B$5,2))</f>
        <v/>
      </c>
      <c r="S39" s="23">
        <f>IF(N39="Ja",ROUND(J39*P39*Einstellungen!$B$6,2),0)</f>
        <v>0</v>
      </c>
      <c r="T39" s="23" t="str">
        <f t="shared" si="6"/>
        <v/>
      </c>
      <c r="U39" s="22" t="str">
        <f t="shared" si="7"/>
        <v/>
      </c>
      <c r="V39" s="21" t="str">
        <f>IF(A39="","",IF(OR(AND(I39&gt;6,H39&lt;30),AND(I39&gt;9,H39&lt;45),AND(U39&lt;&gt;"",U39&lt;Einstellungen!$B$7),P39&lt;Einstellungen!$B$4,J39&gt;10),"Prüfen","OK"))</f>
        <v/>
      </c>
      <c r="W39" s="16"/>
    </row>
    <row r="40" spans="1:23" x14ac:dyDescent="0.25">
      <c r="A40" s="15"/>
      <c r="B40" s="21" t="str">
        <f t="shared" si="0"/>
        <v/>
      </c>
      <c r="C40" s="16"/>
      <c r="D40" s="16"/>
      <c r="E40" s="16"/>
      <c r="F40" s="17"/>
      <c r="G40" s="17"/>
      <c r="H40" s="18"/>
      <c r="I40" s="22" t="str">
        <f t="shared" si="1"/>
        <v/>
      </c>
      <c r="J40" s="22" t="str">
        <f t="shared" si="2"/>
        <v/>
      </c>
      <c r="K40" s="19"/>
      <c r="L40" s="22" t="str">
        <f t="shared" si="3"/>
        <v/>
      </c>
      <c r="M40" s="22" t="str">
        <f t="shared" si="4"/>
        <v/>
      </c>
      <c r="N40" s="21" t="str">
        <f>IF(A40="","",IF(OR(WEEKDAY(A40,2)=7,COUNTIF(Einstellungen!$D$4:$D$12,A40)&gt;0),"Ja","Nein"))</f>
        <v/>
      </c>
      <c r="O40" s="20"/>
      <c r="P40" s="23" t="str">
        <f>IF(C40="","",IFERROR(VLOOKUP(C40,Einstellungen!$G$4:$H$9,2,FALSE),Einstellungen!$B$4))</f>
        <v/>
      </c>
      <c r="Q40" s="23" t="str">
        <f t="shared" si="5"/>
        <v/>
      </c>
      <c r="R40" s="23" t="str">
        <f>IF(M40="","",ROUND(M40*P40*Einstellungen!$B$5,2))</f>
        <v/>
      </c>
      <c r="S40" s="23">
        <f>IF(N40="Ja",ROUND(J40*P40*Einstellungen!$B$6,2),0)</f>
        <v>0</v>
      </c>
      <c r="T40" s="23" t="str">
        <f t="shared" si="6"/>
        <v/>
      </c>
      <c r="U40" s="22" t="str">
        <f t="shared" si="7"/>
        <v/>
      </c>
      <c r="V40" s="21" t="str">
        <f>IF(A40="","",IF(OR(AND(I40&gt;6,H40&lt;30),AND(I40&gt;9,H40&lt;45),AND(U40&lt;&gt;"",U40&lt;Einstellungen!$B$7),P40&lt;Einstellungen!$B$4,J40&gt;10),"Prüfen","OK"))</f>
        <v/>
      </c>
      <c r="W40" s="16"/>
    </row>
    <row r="41" spans="1:23" x14ac:dyDescent="0.25">
      <c r="A41" s="15"/>
      <c r="B41" s="21" t="str">
        <f t="shared" ref="B41:B72" si="8">IF(A41="","",CHOOSE(WEEKDAY(A41,2),"Mo","Di","Mi","Do","Fr","Sa","So"))</f>
        <v/>
      </c>
      <c r="C41" s="16"/>
      <c r="D41" s="16"/>
      <c r="E41" s="16"/>
      <c r="F41" s="17"/>
      <c r="G41" s="17"/>
      <c r="H41" s="18"/>
      <c r="I41" s="22" t="str">
        <f t="shared" ref="I41:I72" si="9">IF(OR(A41="",F41="",G41=""),"",((G41+IF(G41&lt;F41,1,0))-F41)*24)</f>
        <v/>
      </c>
      <c r="J41" s="22" t="str">
        <f t="shared" ref="J41:J72" si="10">IF(I41="","",MAX(0,I41-H41/60))</f>
        <v/>
      </c>
      <c r="K41" s="19"/>
      <c r="L41" s="22" t="str">
        <f t="shared" ref="L41:L72" si="11">IF(J41="","",J41-K41)</f>
        <v/>
      </c>
      <c r="M41" s="22" t="str">
        <f t="shared" ref="M41:M72" si="12">IF(OR(F41="",G41=""),"",ROUND((IF(F41&lt;TIME(6,0,0),MAX(0,MIN(G41+IF(G41&lt;F41,1,0),TIME(6,0,0))-F41),0)+MAX(0,MIN(G41+IF(G41&lt;F41,1,0),1+TIME(6,0,0))-MAX(F41,TIME(22,0,0))))*24,2))</f>
        <v/>
      </c>
      <c r="N41" s="21" t="str">
        <f>IF(A41="","",IF(OR(WEEKDAY(A41,2)=7,COUNTIF(Einstellungen!$D$4:$D$12,A41)&gt;0),"Ja","Nein"))</f>
        <v/>
      </c>
      <c r="O41" s="20"/>
      <c r="P41" s="23" t="str">
        <f>IF(C41="","",IFERROR(VLOOKUP(C41,Einstellungen!$G$4:$H$9,2,FALSE),Einstellungen!$B$4))</f>
        <v/>
      </c>
      <c r="Q41" s="23" t="str">
        <f t="shared" ref="Q41:Q72" si="13">IF(J41="","",ROUND(J41*P41,2))</f>
        <v/>
      </c>
      <c r="R41" s="23" t="str">
        <f>IF(M41="","",ROUND(M41*P41*Einstellungen!$B$5,2))</f>
        <v/>
      </c>
      <c r="S41" s="23">
        <f>IF(N41="Ja",ROUND(J41*P41*Einstellungen!$B$6,2),0)</f>
        <v>0</v>
      </c>
      <c r="T41" s="23" t="str">
        <f t="shared" ref="T41:T72" si="14">IF(Q41="","",ROUND(Q41+R41+S41,2))</f>
        <v/>
      </c>
      <c r="U41" s="22" t="str">
        <f t="shared" ref="U41:U72" si="15">IF(OR(A41="",F41="",C41="",ROW()=9),"",IF(C41=C40,ROUND(((A41+F41)-(A40+G40+IF(G40&lt;F40,1,0)))*24,2),""))</f>
        <v/>
      </c>
      <c r="V41" s="21" t="str">
        <f>IF(A41="","",IF(OR(AND(I41&gt;6,H41&lt;30),AND(I41&gt;9,H41&lt;45),AND(U41&lt;&gt;"",U41&lt;Einstellungen!$B$7),P41&lt;Einstellungen!$B$4,J41&gt;10),"Prüfen","OK"))</f>
        <v/>
      </c>
      <c r="W41" s="16"/>
    </row>
    <row r="42" spans="1:23" x14ac:dyDescent="0.25">
      <c r="A42" s="15"/>
      <c r="B42" s="21" t="str">
        <f t="shared" si="8"/>
        <v/>
      </c>
      <c r="C42" s="16"/>
      <c r="D42" s="16"/>
      <c r="E42" s="16"/>
      <c r="F42" s="17"/>
      <c r="G42" s="17"/>
      <c r="H42" s="18"/>
      <c r="I42" s="22" t="str">
        <f t="shared" si="9"/>
        <v/>
      </c>
      <c r="J42" s="22" t="str">
        <f t="shared" si="10"/>
        <v/>
      </c>
      <c r="K42" s="19"/>
      <c r="L42" s="22" t="str">
        <f t="shared" si="11"/>
        <v/>
      </c>
      <c r="M42" s="22" t="str">
        <f t="shared" si="12"/>
        <v/>
      </c>
      <c r="N42" s="21" t="str">
        <f>IF(A42="","",IF(OR(WEEKDAY(A42,2)=7,COUNTIF(Einstellungen!$D$4:$D$12,A42)&gt;0),"Ja","Nein"))</f>
        <v/>
      </c>
      <c r="O42" s="20"/>
      <c r="P42" s="23" t="str">
        <f>IF(C42="","",IFERROR(VLOOKUP(C42,Einstellungen!$G$4:$H$9,2,FALSE),Einstellungen!$B$4))</f>
        <v/>
      </c>
      <c r="Q42" s="23" t="str">
        <f t="shared" si="13"/>
        <v/>
      </c>
      <c r="R42" s="23" t="str">
        <f>IF(M42="","",ROUND(M42*P42*Einstellungen!$B$5,2))</f>
        <v/>
      </c>
      <c r="S42" s="23">
        <f>IF(N42="Ja",ROUND(J42*P42*Einstellungen!$B$6,2),0)</f>
        <v>0</v>
      </c>
      <c r="T42" s="23" t="str">
        <f t="shared" si="14"/>
        <v/>
      </c>
      <c r="U42" s="22" t="str">
        <f t="shared" si="15"/>
        <v/>
      </c>
      <c r="V42" s="21" t="str">
        <f>IF(A42="","",IF(OR(AND(I42&gt;6,H42&lt;30),AND(I42&gt;9,H42&lt;45),AND(U42&lt;&gt;"",U42&lt;Einstellungen!$B$7),P42&lt;Einstellungen!$B$4,J42&gt;10),"Prüfen","OK"))</f>
        <v/>
      </c>
      <c r="W42" s="16"/>
    </row>
    <row r="43" spans="1:23" x14ac:dyDescent="0.25">
      <c r="A43" s="15"/>
      <c r="B43" s="21" t="str">
        <f t="shared" si="8"/>
        <v/>
      </c>
      <c r="C43" s="16"/>
      <c r="D43" s="16"/>
      <c r="E43" s="16"/>
      <c r="F43" s="17"/>
      <c r="G43" s="17"/>
      <c r="H43" s="18"/>
      <c r="I43" s="22" t="str">
        <f t="shared" si="9"/>
        <v/>
      </c>
      <c r="J43" s="22" t="str">
        <f t="shared" si="10"/>
        <v/>
      </c>
      <c r="K43" s="19"/>
      <c r="L43" s="22" t="str">
        <f t="shared" si="11"/>
        <v/>
      </c>
      <c r="M43" s="22" t="str">
        <f t="shared" si="12"/>
        <v/>
      </c>
      <c r="N43" s="21" t="str">
        <f>IF(A43="","",IF(OR(WEEKDAY(A43,2)=7,COUNTIF(Einstellungen!$D$4:$D$12,A43)&gt;0),"Ja","Nein"))</f>
        <v/>
      </c>
      <c r="O43" s="20"/>
      <c r="P43" s="23" t="str">
        <f>IF(C43="","",IFERROR(VLOOKUP(C43,Einstellungen!$G$4:$H$9,2,FALSE),Einstellungen!$B$4))</f>
        <v/>
      </c>
      <c r="Q43" s="23" t="str">
        <f t="shared" si="13"/>
        <v/>
      </c>
      <c r="R43" s="23" t="str">
        <f>IF(M43="","",ROUND(M43*P43*Einstellungen!$B$5,2))</f>
        <v/>
      </c>
      <c r="S43" s="23">
        <f>IF(N43="Ja",ROUND(J43*P43*Einstellungen!$B$6,2),0)</f>
        <v>0</v>
      </c>
      <c r="T43" s="23" t="str">
        <f t="shared" si="14"/>
        <v/>
      </c>
      <c r="U43" s="22" t="str">
        <f t="shared" si="15"/>
        <v/>
      </c>
      <c r="V43" s="21" t="str">
        <f>IF(A43="","",IF(OR(AND(I43&gt;6,H43&lt;30),AND(I43&gt;9,H43&lt;45),AND(U43&lt;&gt;"",U43&lt;Einstellungen!$B$7),P43&lt;Einstellungen!$B$4,J43&gt;10),"Prüfen","OK"))</f>
        <v/>
      </c>
      <c r="W43" s="16"/>
    </row>
    <row r="44" spans="1:23" x14ac:dyDescent="0.25">
      <c r="A44" s="15"/>
      <c r="B44" s="21" t="str">
        <f t="shared" si="8"/>
        <v/>
      </c>
      <c r="C44" s="16"/>
      <c r="D44" s="16"/>
      <c r="E44" s="16"/>
      <c r="F44" s="17"/>
      <c r="G44" s="17"/>
      <c r="H44" s="18"/>
      <c r="I44" s="22" t="str">
        <f t="shared" si="9"/>
        <v/>
      </c>
      <c r="J44" s="22" t="str">
        <f t="shared" si="10"/>
        <v/>
      </c>
      <c r="K44" s="19"/>
      <c r="L44" s="22" t="str">
        <f t="shared" si="11"/>
        <v/>
      </c>
      <c r="M44" s="22" t="str">
        <f t="shared" si="12"/>
        <v/>
      </c>
      <c r="N44" s="21" t="str">
        <f>IF(A44="","",IF(OR(WEEKDAY(A44,2)=7,COUNTIF(Einstellungen!$D$4:$D$12,A44)&gt;0),"Ja","Nein"))</f>
        <v/>
      </c>
      <c r="O44" s="20"/>
      <c r="P44" s="23" t="str">
        <f>IF(C44="","",IFERROR(VLOOKUP(C44,Einstellungen!$G$4:$H$9,2,FALSE),Einstellungen!$B$4))</f>
        <v/>
      </c>
      <c r="Q44" s="23" t="str">
        <f t="shared" si="13"/>
        <v/>
      </c>
      <c r="R44" s="23" t="str">
        <f>IF(M44="","",ROUND(M44*P44*Einstellungen!$B$5,2))</f>
        <v/>
      </c>
      <c r="S44" s="23">
        <f>IF(N44="Ja",ROUND(J44*P44*Einstellungen!$B$6,2),0)</f>
        <v>0</v>
      </c>
      <c r="T44" s="23" t="str">
        <f t="shared" si="14"/>
        <v/>
      </c>
      <c r="U44" s="22" t="str">
        <f t="shared" si="15"/>
        <v/>
      </c>
      <c r="V44" s="21" t="str">
        <f>IF(A44="","",IF(OR(AND(I44&gt;6,H44&lt;30),AND(I44&gt;9,H44&lt;45),AND(U44&lt;&gt;"",U44&lt;Einstellungen!$B$7),P44&lt;Einstellungen!$B$4,J44&gt;10),"Prüfen","OK"))</f>
        <v/>
      </c>
      <c r="W44" s="16"/>
    </row>
    <row r="45" spans="1:23" x14ac:dyDescent="0.25">
      <c r="A45" s="15"/>
      <c r="B45" s="21" t="str">
        <f t="shared" si="8"/>
        <v/>
      </c>
      <c r="C45" s="16"/>
      <c r="D45" s="16"/>
      <c r="E45" s="16"/>
      <c r="F45" s="17"/>
      <c r="G45" s="17"/>
      <c r="H45" s="18"/>
      <c r="I45" s="22" t="str">
        <f t="shared" si="9"/>
        <v/>
      </c>
      <c r="J45" s="22" t="str">
        <f t="shared" si="10"/>
        <v/>
      </c>
      <c r="K45" s="19"/>
      <c r="L45" s="22" t="str">
        <f t="shared" si="11"/>
        <v/>
      </c>
      <c r="M45" s="22" t="str">
        <f t="shared" si="12"/>
        <v/>
      </c>
      <c r="N45" s="21" t="str">
        <f>IF(A45="","",IF(OR(WEEKDAY(A45,2)=7,COUNTIF(Einstellungen!$D$4:$D$12,A45)&gt;0),"Ja","Nein"))</f>
        <v/>
      </c>
      <c r="O45" s="20"/>
      <c r="P45" s="23" t="str">
        <f>IF(C45="","",IFERROR(VLOOKUP(C45,Einstellungen!$G$4:$H$9,2,FALSE),Einstellungen!$B$4))</f>
        <v/>
      </c>
      <c r="Q45" s="23" t="str">
        <f t="shared" si="13"/>
        <v/>
      </c>
      <c r="R45" s="23" t="str">
        <f>IF(M45="","",ROUND(M45*P45*Einstellungen!$B$5,2))</f>
        <v/>
      </c>
      <c r="S45" s="23">
        <f>IF(N45="Ja",ROUND(J45*P45*Einstellungen!$B$6,2),0)</f>
        <v>0</v>
      </c>
      <c r="T45" s="23" t="str">
        <f t="shared" si="14"/>
        <v/>
      </c>
      <c r="U45" s="22" t="str">
        <f t="shared" si="15"/>
        <v/>
      </c>
      <c r="V45" s="21" t="str">
        <f>IF(A45="","",IF(OR(AND(I45&gt;6,H45&lt;30),AND(I45&gt;9,H45&lt;45),AND(U45&lt;&gt;"",U45&lt;Einstellungen!$B$7),P45&lt;Einstellungen!$B$4,J45&gt;10),"Prüfen","OK"))</f>
        <v/>
      </c>
      <c r="W45" s="16"/>
    </row>
    <row r="46" spans="1:23" x14ac:dyDescent="0.25">
      <c r="A46" s="15"/>
      <c r="B46" s="21" t="str">
        <f t="shared" si="8"/>
        <v/>
      </c>
      <c r="C46" s="16"/>
      <c r="D46" s="16"/>
      <c r="E46" s="16"/>
      <c r="F46" s="17"/>
      <c r="G46" s="17"/>
      <c r="H46" s="18"/>
      <c r="I46" s="22" t="str">
        <f t="shared" si="9"/>
        <v/>
      </c>
      <c r="J46" s="22" t="str">
        <f t="shared" si="10"/>
        <v/>
      </c>
      <c r="K46" s="19"/>
      <c r="L46" s="22" t="str">
        <f t="shared" si="11"/>
        <v/>
      </c>
      <c r="M46" s="22" t="str">
        <f t="shared" si="12"/>
        <v/>
      </c>
      <c r="N46" s="21" t="str">
        <f>IF(A46="","",IF(OR(WEEKDAY(A46,2)=7,COUNTIF(Einstellungen!$D$4:$D$12,A46)&gt;0),"Ja","Nein"))</f>
        <v/>
      </c>
      <c r="O46" s="20"/>
      <c r="P46" s="23" t="str">
        <f>IF(C46="","",IFERROR(VLOOKUP(C46,Einstellungen!$G$4:$H$9,2,FALSE),Einstellungen!$B$4))</f>
        <v/>
      </c>
      <c r="Q46" s="23" t="str">
        <f t="shared" si="13"/>
        <v/>
      </c>
      <c r="R46" s="23" t="str">
        <f>IF(M46="","",ROUND(M46*P46*Einstellungen!$B$5,2))</f>
        <v/>
      </c>
      <c r="S46" s="23">
        <f>IF(N46="Ja",ROUND(J46*P46*Einstellungen!$B$6,2),0)</f>
        <v>0</v>
      </c>
      <c r="T46" s="23" t="str">
        <f t="shared" si="14"/>
        <v/>
      </c>
      <c r="U46" s="22" t="str">
        <f t="shared" si="15"/>
        <v/>
      </c>
      <c r="V46" s="21" t="str">
        <f>IF(A46="","",IF(OR(AND(I46&gt;6,H46&lt;30),AND(I46&gt;9,H46&lt;45),AND(U46&lt;&gt;"",U46&lt;Einstellungen!$B$7),P46&lt;Einstellungen!$B$4,J46&gt;10),"Prüfen","OK"))</f>
        <v/>
      </c>
      <c r="W46" s="16"/>
    </row>
    <row r="47" spans="1:23" x14ac:dyDescent="0.25">
      <c r="A47" s="15"/>
      <c r="B47" s="21" t="str">
        <f t="shared" si="8"/>
        <v/>
      </c>
      <c r="C47" s="16"/>
      <c r="D47" s="16"/>
      <c r="E47" s="16"/>
      <c r="F47" s="17"/>
      <c r="G47" s="17"/>
      <c r="H47" s="18"/>
      <c r="I47" s="22" t="str">
        <f t="shared" si="9"/>
        <v/>
      </c>
      <c r="J47" s="22" t="str">
        <f t="shared" si="10"/>
        <v/>
      </c>
      <c r="K47" s="19"/>
      <c r="L47" s="22" t="str">
        <f t="shared" si="11"/>
        <v/>
      </c>
      <c r="M47" s="22" t="str">
        <f t="shared" si="12"/>
        <v/>
      </c>
      <c r="N47" s="21" t="str">
        <f>IF(A47="","",IF(OR(WEEKDAY(A47,2)=7,COUNTIF(Einstellungen!$D$4:$D$12,A47)&gt;0),"Ja","Nein"))</f>
        <v/>
      </c>
      <c r="O47" s="20"/>
      <c r="P47" s="23" t="str">
        <f>IF(C47="","",IFERROR(VLOOKUP(C47,Einstellungen!$G$4:$H$9,2,FALSE),Einstellungen!$B$4))</f>
        <v/>
      </c>
      <c r="Q47" s="23" t="str">
        <f t="shared" si="13"/>
        <v/>
      </c>
      <c r="R47" s="23" t="str">
        <f>IF(M47="","",ROUND(M47*P47*Einstellungen!$B$5,2))</f>
        <v/>
      </c>
      <c r="S47" s="23">
        <f>IF(N47="Ja",ROUND(J47*P47*Einstellungen!$B$6,2),0)</f>
        <v>0</v>
      </c>
      <c r="T47" s="23" t="str">
        <f t="shared" si="14"/>
        <v/>
      </c>
      <c r="U47" s="22" t="str">
        <f t="shared" si="15"/>
        <v/>
      </c>
      <c r="V47" s="21" t="str">
        <f>IF(A47="","",IF(OR(AND(I47&gt;6,H47&lt;30),AND(I47&gt;9,H47&lt;45),AND(U47&lt;&gt;"",U47&lt;Einstellungen!$B$7),P47&lt;Einstellungen!$B$4,J47&gt;10),"Prüfen","OK"))</f>
        <v/>
      </c>
      <c r="W47" s="16"/>
    </row>
    <row r="48" spans="1:23" x14ac:dyDescent="0.25">
      <c r="A48" s="15"/>
      <c r="B48" s="21" t="str">
        <f t="shared" si="8"/>
        <v/>
      </c>
      <c r="C48" s="16"/>
      <c r="D48" s="16"/>
      <c r="E48" s="16"/>
      <c r="F48" s="17"/>
      <c r="G48" s="17"/>
      <c r="H48" s="18"/>
      <c r="I48" s="22" t="str">
        <f t="shared" si="9"/>
        <v/>
      </c>
      <c r="J48" s="22" t="str">
        <f t="shared" si="10"/>
        <v/>
      </c>
      <c r="K48" s="19"/>
      <c r="L48" s="22" t="str">
        <f t="shared" si="11"/>
        <v/>
      </c>
      <c r="M48" s="22" t="str">
        <f t="shared" si="12"/>
        <v/>
      </c>
      <c r="N48" s="21" t="str">
        <f>IF(A48="","",IF(OR(WEEKDAY(A48,2)=7,COUNTIF(Einstellungen!$D$4:$D$12,A48)&gt;0),"Ja","Nein"))</f>
        <v/>
      </c>
      <c r="O48" s="20"/>
      <c r="P48" s="23" t="str">
        <f>IF(C48="","",IFERROR(VLOOKUP(C48,Einstellungen!$G$4:$H$9,2,FALSE),Einstellungen!$B$4))</f>
        <v/>
      </c>
      <c r="Q48" s="23" t="str">
        <f t="shared" si="13"/>
        <v/>
      </c>
      <c r="R48" s="23" t="str">
        <f>IF(M48="","",ROUND(M48*P48*Einstellungen!$B$5,2))</f>
        <v/>
      </c>
      <c r="S48" s="23">
        <f>IF(N48="Ja",ROUND(J48*P48*Einstellungen!$B$6,2),0)</f>
        <v>0</v>
      </c>
      <c r="T48" s="23" t="str">
        <f t="shared" si="14"/>
        <v/>
      </c>
      <c r="U48" s="22" t="str">
        <f t="shared" si="15"/>
        <v/>
      </c>
      <c r="V48" s="21" t="str">
        <f>IF(A48="","",IF(OR(AND(I48&gt;6,H48&lt;30),AND(I48&gt;9,H48&lt;45),AND(U48&lt;&gt;"",U48&lt;Einstellungen!$B$7),P48&lt;Einstellungen!$B$4,J48&gt;10),"Prüfen","OK"))</f>
        <v/>
      </c>
      <c r="W48" s="16"/>
    </row>
    <row r="49" spans="1:23" x14ac:dyDescent="0.25">
      <c r="A49" s="15"/>
      <c r="B49" s="21" t="str">
        <f t="shared" si="8"/>
        <v/>
      </c>
      <c r="C49" s="16"/>
      <c r="D49" s="16"/>
      <c r="E49" s="16"/>
      <c r="F49" s="17"/>
      <c r="G49" s="17"/>
      <c r="H49" s="18"/>
      <c r="I49" s="22" t="str">
        <f t="shared" si="9"/>
        <v/>
      </c>
      <c r="J49" s="22" t="str">
        <f t="shared" si="10"/>
        <v/>
      </c>
      <c r="K49" s="19"/>
      <c r="L49" s="22" t="str">
        <f t="shared" si="11"/>
        <v/>
      </c>
      <c r="M49" s="22" t="str">
        <f t="shared" si="12"/>
        <v/>
      </c>
      <c r="N49" s="21" t="str">
        <f>IF(A49="","",IF(OR(WEEKDAY(A49,2)=7,COUNTIF(Einstellungen!$D$4:$D$12,A49)&gt;0),"Ja","Nein"))</f>
        <v/>
      </c>
      <c r="O49" s="20"/>
      <c r="P49" s="23" t="str">
        <f>IF(C49="","",IFERROR(VLOOKUP(C49,Einstellungen!$G$4:$H$9,2,FALSE),Einstellungen!$B$4))</f>
        <v/>
      </c>
      <c r="Q49" s="23" t="str">
        <f t="shared" si="13"/>
        <v/>
      </c>
      <c r="R49" s="23" t="str">
        <f>IF(M49="","",ROUND(M49*P49*Einstellungen!$B$5,2))</f>
        <v/>
      </c>
      <c r="S49" s="23">
        <f>IF(N49="Ja",ROUND(J49*P49*Einstellungen!$B$6,2),0)</f>
        <v>0</v>
      </c>
      <c r="T49" s="23" t="str">
        <f t="shared" si="14"/>
        <v/>
      </c>
      <c r="U49" s="22" t="str">
        <f t="shared" si="15"/>
        <v/>
      </c>
      <c r="V49" s="21" t="str">
        <f>IF(A49="","",IF(OR(AND(I49&gt;6,H49&lt;30),AND(I49&gt;9,H49&lt;45),AND(U49&lt;&gt;"",U49&lt;Einstellungen!$B$7),P49&lt;Einstellungen!$B$4,J49&gt;10),"Prüfen","OK"))</f>
        <v/>
      </c>
      <c r="W49" s="16"/>
    </row>
    <row r="50" spans="1:23" x14ac:dyDescent="0.25">
      <c r="A50" s="15"/>
      <c r="B50" s="21" t="str">
        <f t="shared" si="8"/>
        <v/>
      </c>
      <c r="C50" s="16"/>
      <c r="D50" s="16"/>
      <c r="E50" s="16"/>
      <c r="F50" s="17"/>
      <c r="G50" s="17"/>
      <c r="H50" s="18"/>
      <c r="I50" s="22" t="str">
        <f t="shared" si="9"/>
        <v/>
      </c>
      <c r="J50" s="22" t="str">
        <f t="shared" si="10"/>
        <v/>
      </c>
      <c r="K50" s="19"/>
      <c r="L50" s="22" t="str">
        <f t="shared" si="11"/>
        <v/>
      </c>
      <c r="M50" s="22" t="str">
        <f t="shared" si="12"/>
        <v/>
      </c>
      <c r="N50" s="21" t="str">
        <f>IF(A50="","",IF(OR(WEEKDAY(A50,2)=7,COUNTIF(Einstellungen!$D$4:$D$12,A50)&gt;0),"Ja","Nein"))</f>
        <v/>
      </c>
      <c r="O50" s="20"/>
      <c r="P50" s="23" t="str">
        <f>IF(C50="","",IFERROR(VLOOKUP(C50,Einstellungen!$G$4:$H$9,2,FALSE),Einstellungen!$B$4))</f>
        <v/>
      </c>
      <c r="Q50" s="23" t="str">
        <f t="shared" si="13"/>
        <v/>
      </c>
      <c r="R50" s="23" t="str">
        <f>IF(M50="","",ROUND(M50*P50*Einstellungen!$B$5,2))</f>
        <v/>
      </c>
      <c r="S50" s="23">
        <f>IF(N50="Ja",ROUND(J50*P50*Einstellungen!$B$6,2),0)</f>
        <v>0</v>
      </c>
      <c r="T50" s="23" t="str">
        <f t="shared" si="14"/>
        <v/>
      </c>
      <c r="U50" s="22" t="str">
        <f t="shared" si="15"/>
        <v/>
      </c>
      <c r="V50" s="21" t="str">
        <f>IF(A50="","",IF(OR(AND(I50&gt;6,H50&lt;30),AND(I50&gt;9,H50&lt;45),AND(U50&lt;&gt;"",U50&lt;Einstellungen!$B$7),P50&lt;Einstellungen!$B$4,J50&gt;10),"Prüfen","OK"))</f>
        <v/>
      </c>
      <c r="W50" s="16"/>
    </row>
    <row r="51" spans="1:23" x14ac:dyDescent="0.25">
      <c r="A51" s="15"/>
      <c r="B51" s="21" t="str">
        <f t="shared" si="8"/>
        <v/>
      </c>
      <c r="C51" s="16"/>
      <c r="D51" s="16"/>
      <c r="E51" s="16"/>
      <c r="F51" s="17"/>
      <c r="G51" s="17"/>
      <c r="H51" s="18"/>
      <c r="I51" s="22" t="str">
        <f t="shared" si="9"/>
        <v/>
      </c>
      <c r="J51" s="22" t="str">
        <f t="shared" si="10"/>
        <v/>
      </c>
      <c r="K51" s="19"/>
      <c r="L51" s="22" t="str">
        <f t="shared" si="11"/>
        <v/>
      </c>
      <c r="M51" s="22" t="str">
        <f t="shared" si="12"/>
        <v/>
      </c>
      <c r="N51" s="21" t="str">
        <f>IF(A51="","",IF(OR(WEEKDAY(A51,2)=7,COUNTIF(Einstellungen!$D$4:$D$12,A51)&gt;0),"Ja","Nein"))</f>
        <v/>
      </c>
      <c r="O51" s="20"/>
      <c r="P51" s="23" t="str">
        <f>IF(C51="","",IFERROR(VLOOKUP(C51,Einstellungen!$G$4:$H$9,2,FALSE),Einstellungen!$B$4))</f>
        <v/>
      </c>
      <c r="Q51" s="23" t="str">
        <f t="shared" si="13"/>
        <v/>
      </c>
      <c r="R51" s="23" t="str">
        <f>IF(M51="","",ROUND(M51*P51*Einstellungen!$B$5,2))</f>
        <v/>
      </c>
      <c r="S51" s="23">
        <f>IF(N51="Ja",ROUND(J51*P51*Einstellungen!$B$6,2),0)</f>
        <v>0</v>
      </c>
      <c r="T51" s="23" t="str">
        <f t="shared" si="14"/>
        <v/>
      </c>
      <c r="U51" s="22" t="str">
        <f t="shared" si="15"/>
        <v/>
      </c>
      <c r="V51" s="21" t="str">
        <f>IF(A51="","",IF(OR(AND(I51&gt;6,H51&lt;30),AND(I51&gt;9,H51&lt;45),AND(U51&lt;&gt;"",U51&lt;Einstellungen!$B$7),P51&lt;Einstellungen!$B$4,J51&gt;10),"Prüfen","OK"))</f>
        <v/>
      </c>
      <c r="W51" s="16"/>
    </row>
    <row r="52" spans="1:23" x14ac:dyDescent="0.25">
      <c r="A52" s="15"/>
      <c r="B52" s="21" t="str">
        <f t="shared" si="8"/>
        <v/>
      </c>
      <c r="C52" s="16"/>
      <c r="D52" s="16"/>
      <c r="E52" s="16"/>
      <c r="F52" s="17"/>
      <c r="G52" s="17"/>
      <c r="H52" s="18"/>
      <c r="I52" s="22" t="str">
        <f t="shared" si="9"/>
        <v/>
      </c>
      <c r="J52" s="22" t="str">
        <f t="shared" si="10"/>
        <v/>
      </c>
      <c r="K52" s="19"/>
      <c r="L52" s="22" t="str">
        <f t="shared" si="11"/>
        <v/>
      </c>
      <c r="M52" s="22" t="str">
        <f t="shared" si="12"/>
        <v/>
      </c>
      <c r="N52" s="21" t="str">
        <f>IF(A52="","",IF(OR(WEEKDAY(A52,2)=7,COUNTIF(Einstellungen!$D$4:$D$12,A52)&gt;0),"Ja","Nein"))</f>
        <v/>
      </c>
      <c r="O52" s="20"/>
      <c r="P52" s="23" t="str">
        <f>IF(C52="","",IFERROR(VLOOKUP(C52,Einstellungen!$G$4:$H$9,2,FALSE),Einstellungen!$B$4))</f>
        <v/>
      </c>
      <c r="Q52" s="23" t="str">
        <f t="shared" si="13"/>
        <v/>
      </c>
      <c r="R52" s="23" t="str">
        <f>IF(M52="","",ROUND(M52*P52*Einstellungen!$B$5,2))</f>
        <v/>
      </c>
      <c r="S52" s="23">
        <f>IF(N52="Ja",ROUND(J52*P52*Einstellungen!$B$6,2),0)</f>
        <v>0</v>
      </c>
      <c r="T52" s="23" t="str">
        <f t="shared" si="14"/>
        <v/>
      </c>
      <c r="U52" s="22" t="str">
        <f t="shared" si="15"/>
        <v/>
      </c>
      <c r="V52" s="21" t="str">
        <f>IF(A52="","",IF(OR(AND(I52&gt;6,H52&lt;30),AND(I52&gt;9,H52&lt;45),AND(U52&lt;&gt;"",U52&lt;Einstellungen!$B$7),P52&lt;Einstellungen!$B$4,J52&gt;10),"Prüfen","OK"))</f>
        <v/>
      </c>
      <c r="W52" s="16"/>
    </row>
    <row r="53" spans="1:23" x14ac:dyDescent="0.25">
      <c r="A53" s="15"/>
      <c r="B53" s="21" t="str">
        <f t="shared" si="8"/>
        <v/>
      </c>
      <c r="C53" s="16"/>
      <c r="D53" s="16"/>
      <c r="E53" s="16"/>
      <c r="F53" s="17"/>
      <c r="G53" s="17"/>
      <c r="H53" s="18"/>
      <c r="I53" s="22" t="str">
        <f t="shared" si="9"/>
        <v/>
      </c>
      <c r="J53" s="22" t="str">
        <f t="shared" si="10"/>
        <v/>
      </c>
      <c r="K53" s="19"/>
      <c r="L53" s="22" t="str">
        <f t="shared" si="11"/>
        <v/>
      </c>
      <c r="M53" s="22" t="str">
        <f t="shared" si="12"/>
        <v/>
      </c>
      <c r="N53" s="21" t="str">
        <f>IF(A53="","",IF(OR(WEEKDAY(A53,2)=7,COUNTIF(Einstellungen!$D$4:$D$12,A53)&gt;0),"Ja","Nein"))</f>
        <v/>
      </c>
      <c r="O53" s="20"/>
      <c r="P53" s="23" t="str">
        <f>IF(C53="","",IFERROR(VLOOKUP(C53,Einstellungen!$G$4:$H$9,2,FALSE),Einstellungen!$B$4))</f>
        <v/>
      </c>
      <c r="Q53" s="23" t="str">
        <f t="shared" si="13"/>
        <v/>
      </c>
      <c r="R53" s="23" t="str">
        <f>IF(M53="","",ROUND(M53*P53*Einstellungen!$B$5,2))</f>
        <v/>
      </c>
      <c r="S53" s="23">
        <f>IF(N53="Ja",ROUND(J53*P53*Einstellungen!$B$6,2),0)</f>
        <v>0</v>
      </c>
      <c r="T53" s="23" t="str">
        <f t="shared" si="14"/>
        <v/>
      </c>
      <c r="U53" s="22" t="str">
        <f t="shared" si="15"/>
        <v/>
      </c>
      <c r="V53" s="21" t="str">
        <f>IF(A53="","",IF(OR(AND(I53&gt;6,H53&lt;30),AND(I53&gt;9,H53&lt;45),AND(U53&lt;&gt;"",U53&lt;Einstellungen!$B$7),P53&lt;Einstellungen!$B$4,J53&gt;10),"Prüfen","OK"))</f>
        <v/>
      </c>
      <c r="W53" s="16"/>
    </row>
    <row r="54" spans="1:23" x14ac:dyDescent="0.25">
      <c r="A54" s="15"/>
      <c r="B54" s="21" t="str">
        <f t="shared" si="8"/>
        <v/>
      </c>
      <c r="C54" s="16"/>
      <c r="D54" s="16"/>
      <c r="E54" s="16"/>
      <c r="F54" s="17"/>
      <c r="G54" s="17"/>
      <c r="H54" s="18"/>
      <c r="I54" s="22" t="str">
        <f t="shared" si="9"/>
        <v/>
      </c>
      <c r="J54" s="22" t="str">
        <f t="shared" si="10"/>
        <v/>
      </c>
      <c r="K54" s="19"/>
      <c r="L54" s="22" t="str">
        <f t="shared" si="11"/>
        <v/>
      </c>
      <c r="M54" s="22" t="str">
        <f t="shared" si="12"/>
        <v/>
      </c>
      <c r="N54" s="21" t="str">
        <f>IF(A54="","",IF(OR(WEEKDAY(A54,2)=7,COUNTIF(Einstellungen!$D$4:$D$12,A54)&gt;0),"Ja","Nein"))</f>
        <v/>
      </c>
      <c r="O54" s="20"/>
      <c r="P54" s="23" t="str">
        <f>IF(C54="","",IFERROR(VLOOKUP(C54,Einstellungen!$G$4:$H$9,2,FALSE),Einstellungen!$B$4))</f>
        <v/>
      </c>
      <c r="Q54" s="23" t="str">
        <f t="shared" si="13"/>
        <v/>
      </c>
      <c r="R54" s="23" t="str">
        <f>IF(M54="","",ROUND(M54*P54*Einstellungen!$B$5,2))</f>
        <v/>
      </c>
      <c r="S54" s="23">
        <f>IF(N54="Ja",ROUND(J54*P54*Einstellungen!$B$6,2),0)</f>
        <v>0</v>
      </c>
      <c r="T54" s="23" t="str">
        <f t="shared" si="14"/>
        <v/>
      </c>
      <c r="U54" s="22" t="str">
        <f t="shared" si="15"/>
        <v/>
      </c>
      <c r="V54" s="21" t="str">
        <f>IF(A54="","",IF(OR(AND(I54&gt;6,H54&lt;30),AND(I54&gt;9,H54&lt;45),AND(U54&lt;&gt;"",U54&lt;Einstellungen!$B$7),P54&lt;Einstellungen!$B$4,J54&gt;10),"Prüfen","OK"))</f>
        <v/>
      </c>
      <c r="W54" s="16"/>
    </row>
    <row r="55" spans="1:23" x14ac:dyDescent="0.25">
      <c r="A55" s="15"/>
      <c r="B55" s="21" t="str">
        <f t="shared" si="8"/>
        <v/>
      </c>
      <c r="C55" s="16"/>
      <c r="D55" s="16"/>
      <c r="E55" s="16"/>
      <c r="F55" s="17"/>
      <c r="G55" s="17"/>
      <c r="H55" s="18"/>
      <c r="I55" s="22" t="str">
        <f t="shared" si="9"/>
        <v/>
      </c>
      <c r="J55" s="22" t="str">
        <f t="shared" si="10"/>
        <v/>
      </c>
      <c r="K55" s="19"/>
      <c r="L55" s="22" t="str">
        <f t="shared" si="11"/>
        <v/>
      </c>
      <c r="M55" s="22" t="str">
        <f t="shared" si="12"/>
        <v/>
      </c>
      <c r="N55" s="21" t="str">
        <f>IF(A55="","",IF(OR(WEEKDAY(A55,2)=7,COUNTIF(Einstellungen!$D$4:$D$12,A55)&gt;0),"Ja","Nein"))</f>
        <v/>
      </c>
      <c r="O55" s="20"/>
      <c r="P55" s="23" t="str">
        <f>IF(C55="","",IFERROR(VLOOKUP(C55,Einstellungen!$G$4:$H$9,2,FALSE),Einstellungen!$B$4))</f>
        <v/>
      </c>
      <c r="Q55" s="23" t="str">
        <f t="shared" si="13"/>
        <v/>
      </c>
      <c r="R55" s="23" t="str">
        <f>IF(M55="","",ROUND(M55*P55*Einstellungen!$B$5,2))</f>
        <v/>
      </c>
      <c r="S55" s="23">
        <f>IF(N55="Ja",ROUND(J55*P55*Einstellungen!$B$6,2),0)</f>
        <v>0</v>
      </c>
      <c r="T55" s="23" t="str">
        <f t="shared" si="14"/>
        <v/>
      </c>
      <c r="U55" s="22" t="str">
        <f t="shared" si="15"/>
        <v/>
      </c>
      <c r="V55" s="21" t="str">
        <f>IF(A55="","",IF(OR(AND(I55&gt;6,H55&lt;30),AND(I55&gt;9,H55&lt;45),AND(U55&lt;&gt;"",U55&lt;Einstellungen!$B$7),P55&lt;Einstellungen!$B$4,J55&gt;10),"Prüfen","OK"))</f>
        <v/>
      </c>
      <c r="W55" s="16"/>
    </row>
    <row r="56" spans="1:23" x14ac:dyDescent="0.25">
      <c r="A56" s="15"/>
      <c r="B56" s="21" t="str">
        <f t="shared" si="8"/>
        <v/>
      </c>
      <c r="C56" s="16"/>
      <c r="D56" s="16"/>
      <c r="E56" s="16"/>
      <c r="F56" s="17"/>
      <c r="G56" s="17"/>
      <c r="H56" s="18"/>
      <c r="I56" s="22" t="str">
        <f t="shared" si="9"/>
        <v/>
      </c>
      <c r="J56" s="22" t="str">
        <f t="shared" si="10"/>
        <v/>
      </c>
      <c r="K56" s="19"/>
      <c r="L56" s="22" t="str">
        <f t="shared" si="11"/>
        <v/>
      </c>
      <c r="M56" s="22" t="str">
        <f t="shared" si="12"/>
        <v/>
      </c>
      <c r="N56" s="21" t="str">
        <f>IF(A56="","",IF(OR(WEEKDAY(A56,2)=7,COUNTIF(Einstellungen!$D$4:$D$12,A56)&gt;0),"Ja","Nein"))</f>
        <v/>
      </c>
      <c r="O56" s="20"/>
      <c r="P56" s="23" t="str">
        <f>IF(C56="","",IFERROR(VLOOKUP(C56,Einstellungen!$G$4:$H$9,2,FALSE),Einstellungen!$B$4))</f>
        <v/>
      </c>
      <c r="Q56" s="23" t="str">
        <f t="shared" si="13"/>
        <v/>
      </c>
      <c r="R56" s="23" t="str">
        <f>IF(M56="","",ROUND(M56*P56*Einstellungen!$B$5,2))</f>
        <v/>
      </c>
      <c r="S56" s="23">
        <f>IF(N56="Ja",ROUND(J56*P56*Einstellungen!$B$6,2),0)</f>
        <v>0</v>
      </c>
      <c r="T56" s="23" t="str">
        <f t="shared" si="14"/>
        <v/>
      </c>
      <c r="U56" s="22" t="str">
        <f t="shared" si="15"/>
        <v/>
      </c>
      <c r="V56" s="21" t="str">
        <f>IF(A56="","",IF(OR(AND(I56&gt;6,H56&lt;30),AND(I56&gt;9,H56&lt;45),AND(U56&lt;&gt;"",U56&lt;Einstellungen!$B$7),P56&lt;Einstellungen!$B$4,J56&gt;10),"Prüfen","OK"))</f>
        <v/>
      </c>
      <c r="W56" s="16"/>
    </row>
    <row r="57" spans="1:23" x14ac:dyDescent="0.25">
      <c r="A57" s="15"/>
      <c r="B57" s="21" t="str">
        <f t="shared" si="8"/>
        <v/>
      </c>
      <c r="C57" s="16"/>
      <c r="D57" s="16"/>
      <c r="E57" s="16"/>
      <c r="F57" s="17"/>
      <c r="G57" s="17"/>
      <c r="H57" s="18"/>
      <c r="I57" s="22" t="str">
        <f t="shared" si="9"/>
        <v/>
      </c>
      <c r="J57" s="22" t="str">
        <f t="shared" si="10"/>
        <v/>
      </c>
      <c r="K57" s="19"/>
      <c r="L57" s="22" t="str">
        <f t="shared" si="11"/>
        <v/>
      </c>
      <c r="M57" s="22" t="str">
        <f t="shared" si="12"/>
        <v/>
      </c>
      <c r="N57" s="21" t="str">
        <f>IF(A57="","",IF(OR(WEEKDAY(A57,2)=7,COUNTIF(Einstellungen!$D$4:$D$12,A57)&gt;0),"Ja","Nein"))</f>
        <v/>
      </c>
      <c r="O57" s="20"/>
      <c r="P57" s="23" t="str">
        <f>IF(C57="","",IFERROR(VLOOKUP(C57,Einstellungen!$G$4:$H$9,2,FALSE),Einstellungen!$B$4))</f>
        <v/>
      </c>
      <c r="Q57" s="23" t="str">
        <f t="shared" si="13"/>
        <v/>
      </c>
      <c r="R57" s="23" t="str">
        <f>IF(M57="","",ROUND(M57*P57*Einstellungen!$B$5,2))</f>
        <v/>
      </c>
      <c r="S57" s="23">
        <f>IF(N57="Ja",ROUND(J57*P57*Einstellungen!$B$6,2),0)</f>
        <v>0</v>
      </c>
      <c r="T57" s="23" t="str">
        <f t="shared" si="14"/>
        <v/>
      </c>
      <c r="U57" s="22" t="str">
        <f t="shared" si="15"/>
        <v/>
      </c>
      <c r="V57" s="21" t="str">
        <f>IF(A57="","",IF(OR(AND(I57&gt;6,H57&lt;30),AND(I57&gt;9,H57&lt;45),AND(U57&lt;&gt;"",U57&lt;Einstellungen!$B$7),P57&lt;Einstellungen!$B$4,J57&gt;10),"Prüfen","OK"))</f>
        <v/>
      </c>
      <c r="W57" s="16"/>
    </row>
    <row r="58" spans="1:23" x14ac:dyDescent="0.25">
      <c r="A58" s="15"/>
      <c r="B58" s="21" t="str">
        <f t="shared" si="8"/>
        <v/>
      </c>
      <c r="C58" s="16"/>
      <c r="D58" s="16"/>
      <c r="E58" s="16"/>
      <c r="F58" s="17"/>
      <c r="G58" s="17"/>
      <c r="H58" s="18"/>
      <c r="I58" s="22" t="str">
        <f t="shared" si="9"/>
        <v/>
      </c>
      <c r="J58" s="22" t="str">
        <f t="shared" si="10"/>
        <v/>
      </c>
      <c r="K58" s="19"/>
      <c r="L58" s="22" t="str">
        <f t="shared" si="11"/>
        <v/>
      </c>
      <c r="M58" s="22" t="str">
        <f t="shared" si="12"/>
        <v/>
      </c>
      <c r="N58" s="21" t="str">
        <f>IF(A58="","",IF(OR(WEEKDAY(A58,2)=7,COUNTIF(Einstellungen!$D$4:$D$12,A58)&gt;0),"Ja","Nein"))</f>
        <v/>
      </c>
      <c r="O58" s="20"/>
      <c r="P58" s="23" t="str">
        <f>IF(C58="","",IFERROR(VLOOKUP(C58,Einstellungen!$G$4:$H$9,2,FALSE),Einstellungen!$B$4))</f>
        <v/>
      </c>
      <c r="Q58" s="23" t="str">
        <f t="shared" si="13"/>
        <v/>
      </c>
      <c r="R58" s="23" t="str">
        <f>IF(M58="","",ROUND(M58*P58*Einstellungen!$B$5,2))</f>
        <v/>
      </c>
      <c r="S58" s="23">
        <f>IF(N58="Ja",ROUND(J58*P58*Einstellungen!$B$6,2),0)</f>
        <v>0</v>
      </c>
      <c r="T58" s="23" t="str">
        <f t="shared" si="14"/>
        <v/>
      </c>
      <c r="U58" s="22" t="str">
        <f t="shared" si="15"/>
        <v/>
      </c>
      <c r="V58" s="21" t="str">
        <f>IF(A58="","",IF(OR(AND(I58&gt;6,H58&lt;30),AND(I58&gt;9,H58&lt;45),AND(U58&lt;&gt;"",U58&lt;Einstellungen!$B$7),P58&lt;Einstellungen!$B$4,J58&gt;10),"Prüfen","OK"))</f>
        <v/>
      </c>
      <c r="W58" s="16"/>
    </row>
    <row r="59" spans="1:23" x14ac:dyDescent="0.25">
      <c r="A59" s="15"/>
      <c r="B59" s="21" t="str">
        <f t="shared" si="8"/>
        <v/>
      </c>
      <c r="C59" s="16"/>
      <c r="D59" s="16"/>
      <c r="E59" s="16"/>
      <c r="F59" s="17"/>
      <c r="G59" s="17"/>
      <c r="H59" s="18"/>
      <c r="I59" s="22" t="str">
        <f t="shared" si="9"/>
        <v/>
      </c>
      <c r="J59" s="22" t="str">
        <f t="shared" si="10"/>
        <v/>
      </c>
      <c r="K59" s="19"/>
      <c r="L59" s="22" t="str">
        <f t="shared" si="11"/>
        <v/>
      </c>
      <c r="M59" s="22" t="str">
        <f t="shared" si="12"/>
        <v/>
      </c>
      <c r="N59" s="21" t="str">
        <f>IF(A59="","",IF(OR(WEEKDAY(A59,2)=7,COUNTIF(Einstellungen!$D$4:$D$12,A59)&gt;0),"Ja","Nein"))</f>
        <v/>
      </c>
      <c r="O59" s="20"/>
      <c r="P59" s="23" t="str">
        <f>IF(C59="","",IFERROR(VLOOKUP(C59,Einstellungen!$G$4:$H$9,2,FALSE),Einstellungen!$B$4))</f>
        <v/>
      </c>
      <c r="Q59" s="23" t="str">
        <f t="shared" si="13"/>
        <v/>
      </c>
      <c r="R59" s="23" t="str">
        <f>IF(M59="","",ROUND(M59*P59*Einstellungen!$B$5,2))</f>
        <v/>
      </c>
      <c r="S59" s="23">
        <f>IF(N59="Ja",ROUND(J59*P59*Einstellungen!$B$6,2),0)</f>
        <v>0</v>
      </c>
      <c r="T59" s="23" t="str">
        <f t="shared" si="14"/>
        <v/>
      </c>
      <c r="U59" s="22" t="str">
        <f t="shared" si="15"/>
        <v/>
      </c>
      <c r="V59" s="21" t="str">
        <f>IF(A59="","",IF(OR(AND(I59&gt;6,H59&lt;30),AND(I59&gt;9,H59&lt;45),AND(U59&lt;&gt;"",U59&lt;Einstellungen!$B$7),P59&lt;Einstellungen!$B$4,J59&gt;10),"Prüfen","OK"))</f>
        <v/>
      </c>
      <c r="W59" s="16"/>
    </row>
    <row r="60" spans="1:23" x14ac:dyDescent="0.25">
      <c r="A60" s="15"/>
      <c r="B60" s="21" t="str">
        <f t="shared" si="8"/>
        <v/>
      </c>
      <c r="C60" s="16"/>
      <c r="D60" s="16"/>
      <c r="E60" s="16"/>
      <c r="F60" s="17"/>
      <c r="G60" s="17"/>
      <c r="H60" s="18"/>
      <c r="I60" s="22" t="str">
        <f t="shared" si="9"/>
        <v/>
      </c>
      <c r="J60" s="22" t="str">
        <f t="shared" si="10"/>
        <v/>
      </c>
      <c r="K60" s="19"/>
      <c r="L60" s="22" t="str">
        <f t="shared" si="11"/>
        <v/>
      </c>
      <c r="M60" s="22" t="str">
        <f t="shared" si="12"/>
        <v/>
      </c>
      <c r="N60" s="21" t="str">
        <f>IF(A60="","",IF(OR(WEEKDAY(A60,2)=7,COUNTIF(Einstellungen!$D$4:$D$12,A60)&gt;0),"Ja","Nein"))</f>
        <v/>
      </c>
      <c r="O60" s="20"/>
      <c r="P60" s="23" t="str">
        <f>IF(C60="","",IFERROR(VLOOKUP(C60,Einstellungen!$G$4:$H$9,2,FALSE),Einstellungen!$B$4))</f>
        <v/>
      </c>
      <c r="Q60" s="23" t="str">
        <f t="shared" si="13"/>
        <v/>
      </c>
      <c r="R60" s="23" t="str">
        <f>IF(M60="","",ROUND(M60*P60*Einstellungen!$B$5,2))</f>
        <v/>
      </c>
      <c r="S60" s="23">
        <f>IF(N60="Ja",ROUND(J60*P60*Einstellungen!$B$6,2),0)</f>
        <v>0</v>
      </c>
      <c r="T60" s="23" t="str">
        <f t="shared" si="14"/>
        <v/>
      </c>
      <c r="U60" s="22" t="str">
        <f t="shared" si="15"/>
        <v/>
      </c>
      <c r="V60" s="21" t="str">
        <f>IF(A60="","",IF(OR(AND(I60&gt;6,H60&lt;30),AND(I60&gt;9,H60&lt;45),AND(U60&lt;&gt;"",U60&lt;Einstellungen!$B$7),P60&lt;Einstellungen!$B$4,J60&gt;10),"Prüfen","OK"))</f>
        <v/>
      </c>
      <c r="W60" s="16"/>
    </row>
    <row r="61" spans="1:23" x14ac:dyDescent="0.25">
      <c r="A61" s="15"/>
      <c r="B61" s="21" t="str">
        <f t="shared" si="8"/>
        <v/>
      </c>
      <c r="C61" s="16"/>
      <c r="D61" s="16"/>
      <c r="E61" s="16"/>
      <c r="F61" s="17"/>
      <c r="G61" s="17"/>
      <c r="H61" s="18"/>
      <c r="I61" s="22" t="str">
        <f t="shared" si="9"/>
        <v/>
      </c>
      <c r="J61" s="22" t="str">
        <f t="shared" si="10"/>
        <v/>
      </c>
      <c r="K61" s="19"/>
      <c r="L61" s="22" t="str">
        <f t="shared" si="11"/>
        <v/>
      </c>
      <c r="M61" s="22" t="str">
        <f t="shared" si="12"/>
        <v/>
      </c>
      <c r="N61" s="21" t="str">
        <f>IF(A61="","",IF(OR(WEEKDAY(A61,2)=7,COUNTIF(Einstellungen!$D$4:$D$12,A61)&gt;0),"Ja","Nein"))</f>
        <v/>
      </c>
      <c r="O61" s="20"/>
      <c r="P61" s="23" t="str">
        <f>IF(C61="","",IFERROR(VLOOKUP(C61,Einstellungen!$G$4:$H$9,2,FALSE),Einstellungen!$B$4))</f>
        <v/>
      </c>
      <c r="Q61" s="23" t="str">
        <f t="shared" si="13"/>
        <v/>
      </c>
      <c r="R61" s="23" t="str">
        <f>IF(M61="","",ROUND(M61*P61*Einstellungen!$B$5,2))</f>
        <v/>
      </c>
      <c r="S61" s="23">
        <f>IF(N61="Ja",ROUND(J61*P61*Einstellungen!$B$6,2),0)</f>
        <v>0</v>
      </c>
      <c r="T61" s="23" t="str">
        <f t="shared" si="14"/>
        <v/>
      </c>
      <c r="U61" s="22" t="str">
        <f t="shared" si="15"/>
        <v/>
      </c>
      <c r="V61" s="21" t="str">
        <f>IF(A61="","",IF(OR(AND(I61&gt;6,H61&lt;30),AND(I61&gt;9,H61&lt;45),AND(U61&lt;&gt;"",U61&lt;Einstellungen!$B$7),P61&lt;Einstellungen!$B$4,J61&gt;10),"Prüfen","OK"))</f>
        <v/>
      </c>
      <c r="W61" s="16"/>
    </row>
    <row r="62" spans="1:23" x14ac:dyDescent="0.25">
      <c r="A62" s="15"/>
      <c r="B62" s="21" t="str">
        <f t="shared" si="8"/>
        <v/>
      </c>
      <c r="C62" s="16"/>
      <c r="D62" s="16"/>
      <c r="E62" s="16"/>
      <c r="F62" s="17"/>
      <c r="G62" s="17"/>
      <c r="H62" s="18"/>
      <c r="I62" s="22" t="str">
        <f t="shared" si="9"/>
        <v/>
      </c>
      <c r="J62" s="22" t="str">
        <f t="shared" si="10"/>
        <v/>
      </c>
      <c r="K62" s="19"/>
      <c r="L62" s="22" t="str">
        <f t="shared" si="11"/>
        <v/>
      </c>
      <c r="M62" s="22" t="str">
        <f t="shared" si="12"/>
        <v/>
      </c>
      <c r="N62" s="21" t="str">
        <f>IF(A62="","",IF(OR(WEEKDAY(A62,2)=7,COUNTIF(Einstellungen!$D$4:$D$12,A62)&gt;0),"Ja","Nein"))</f>
        <v/>
      </c>
      <c r="O62" s="20"/>
      <c r="P62" s="23" t="str">
        <f>IF(C62="","",IFERROR(VLOOKUP(C62,Einstellungen!$G$4:$H$9,2,FALSE),Einstellungen!$B$4))</f>
        <v/>
      </c>
      <c r="Q62" s="23" t="str">
        <f t="shared" si="13"/>
        <v/>
      </c>
      <c r="R62" s="23" t="str">
        <f>IF(M62="","",ROUND(M62*P62*Einstellungen!$B$5,2))</f>
        <v/>
      </c>
      <c r="S62" s="23">
        <f>IF(N62="Ja",ROUND(J62*P62*Einstellungen!$B$6,2),0)</f>
        <v>0</v>
      </c>
      <c r="T62" s="23" t="str">
        <f t="shared" si="14"/>
        <v/>
      </c>
      <c r="U62" s="22" t="str">
        <f t="shared" si="15"/>
        <v/>
      </c>
      <c r="V62" s="21" t="str">
        <f>IF(A62="","",IF(OR(AND(I62&gt;6,H62&lt;30),AND(I62&gt;9,H62&lt;45),AND(U62&lt;&gt;"",U62&lt;Einstellungen!$B$7),P62&lt;Einstellungen!$B$4,J62&gt;10),"Prüfen","OK"))</f>
        <v/>
      </c>
      <c r="W62" s="16"/>
    </row>
    <row r="63" spans="1:23" x14ac:dyDescent="0.25">
      <c r="A63" s="15"/>
      <c r="B63" s="21" t="str">
        <f t="shared" si="8"/>
        <v/>
      </c>
      <c r="C63" s="16"/>
      <c r="D63" s="16"/>
      <c r="E63" s="16"/>
      <c r="F63" s="17"/>
      <c r="G63" s="17"/>
      <c r="H63" s="18"/>
      <c r="I63" s="22" t="str">
        <f t="shared" si="9"/>
        <v/>
      </c>
      <c r="J63" s="22" t="str">
        <f t="shared" si="10"/>
        <v/>
      </c>
      <c r="K63" s="19"/>
      <c r="L63" s="22" t="str">
        <f t="shared" si="11"/>
        <v/>
      </c>
      <c r="M63" s="22" t="str">
        <f t="shared" si="12"/>
        <v/>
      </c>
      <c r="N63" s="21" t="str">
        <f>IF(A63="","",IF(OR(WEEKDAY(A63,2)=7,COUNTIF(Einstellungen!$D$4:$D$12,A63)&gt;0),"Ja","Nein"))</f>
        <v/>
      </c>
      <c r="O63" s="20"/>
      <c r="P63" s="23" t="str">
        <f>IF(C63="","",IFERROR(VLOOKUP(C63,Einstellungen!$G$4:$H$9,2,FALSE),Einstellungen!$B$4))</f>
        <v/>
      </c>
      <c r="Q63" s="23" t="str">
        <f t="shared" si="13"/>
        <v/>
      </c>
      <c r="R63" s="23" t="str">
        <f>IF(M63="","",ROUND(M63*P63*Einstellungen!$B$5,2))</f>
        <v/>
      </c>
      <c r="S63" s="23">
        <f>IF(N63="Ja",ROUND(J63*P63*Einstellungen!$B$6,2),0)</f>
        <v>0</v>
      </c>
      <c r="T63" s="23" t="str">
        <f t="shared" si="14"/>
        <v/>
      </c>
      <c r="U63" s="22" t="str">
        <f t="shared" si="15"/>
        <v/>
      </c>
      <c r="V63" s="21" t="str">
        <f>IF(A63="","",IF(OR(AND(I63&gt;6,H63&lt;30),AND(I63&gt;9,H63&lt;45),AND(U63&lt;&gt;"",U63&lt;Einstellungen!$B$7),P63&lt;Einstellungen!$B$4,J63&gt;10),"Prüfen","OK"))</f>
        <v/>
      </c>
      <c r="W63" s="16"/>
    </row>
    <row r="64" spans="1:23" x14ac:dyDescent="0.25">
      <c r="A64" s="15"/>
      <c r="B64" s="21" t="str">
        <f t="shared" si="8"/>
        <v/>
      </c>
      <c r="C64" s="16"/>
      <c r="D64" s="16"/>
      <c r="E64" s="16"/>
      <c r="F64" s="17"/>
      <c r="G64" s="17"/>
      <c r="H64" s="18"/>
      <c r="I64" s="22" t="str">
        <f t="shared" si="9"/>
        <v/>
      </c>
      <c r="J64" s="22" t="str">
        <f t="shared" si="10"/>
        <v/>
      </c>
      <c r="K64" s="19"/>
      <c r="L64" s="22" t="str">
        <f t="shared" si="11"/>
        <v/>
      </c>
      <c r="M64" s="22" t="str">
        <f t="shared" si="12"/>
        <v/>
      </c>
      <c r="N64" s="21" t="str">
        <f>IF(A64="","",IF(OR(WEEKDAY(A64,2)=7,COUNTIF(Einstellungen!$D$4:$D$12,A64)&gt;0),"Ja","Nein"))</f>
        <v/>
      </c>
      <c r="O64" s="20"/>
      <c r="P64" s="23" t="str">
        <f>IF(C64="","",IFERROR(VLOOKUP(C64,Einstellungen!$G$4:$H$9,2,FALSE),Einstellungen!$B$4))</f>
        <v/>
      </c>
      <c r="Q64" s="23" t="str">
        <f t="shared" si="13"/>
        <v/>
      </c>
      <c r="R64" s="23" t="str">
        <f>IF(M64="","",ROUND(M64*P64*Einstellungen!$B$5,2))</f>
        <v/>
      </c>
      <c r="S64" s="23">
        <f>IF(N64="Ja",ROUND(J64*P64*Einstellungen!$B$6,2),0)</f>
        <v>0</v>
      </c>
      <c r="T64" s="23" t="str">
        <f t="shared" si="14"/>
        <v/>
      </c>
      <c r="U64" s="22" t="str">
        <f t="shared" si="15"/>
        <v/>
      </c>
      <c r="V64" s="21" t="str">
        <f>IF(A64="","",IF(OR(AND(I64&gt;6,H64&lt;30),AND(I64&gt;9,H64&lt;45),AND(U64&lt;&gt;"",U64&lt;Einstellungen!$B$7),P64&lt;Einstellungen!$B$4,J64&gt;10),"Prüfen","OK"))</f>
        <v/>
      </c>
      <c r="W64" s="16"/>
    </row>
    <row r="65" spans="1:23" x14ac:dyDescent="0.25">
      <c r="A65" s="15"/>
      <c r="B65" s="21" t="str">
        <f t="shared" si="8"/>
        <v/>
      </c>
      <c r="C65" s="16"/>
      <c r="D65" s="16"/>
      <c r="E65" s="16"/>
      <c r="F65" s="17"/>
      <c r="G65" s="17"/>
      <c r="H65" s="18"/>
      <c r="I65" s="22" t="str">
        <f t="shared" si="9"/>
        <v/>
      </c>
      <c r="J65" s="22" t="str">
        <f t="shared" si="10"/>
        <v/>
      </c>
      <c r="K65" s="19"/>
      <c r="L65" s="22" t="str">
        <f t="shared" si="11"/>
        <v/>
      </c>
      <c r="M65" s="22" t="str">
        <f t="shared" si="12"/>
        <v/>
      </c>
      <c r="N65" s="21" t="str">
        <f>IF(A65="","",IF(OR(WEEKDAY(A65,2)=7,COUNTIF(Einstellungen!$D$4:$D$12,A65)&gt;0),"Ja","Nein"))</f>
        <v/>
      </c>
      <c r="O65" s="20"/>
      <c r="P65" s="23" t="str">
        <f>IF(C65="","",IFERROR(VLOOKUP(C65,Einstellungen!$G$4:$H$9,2,FALSE),Einstellungen!$B$4))</f>
        <v/>
      </c>
      <c r="Q65" s="23" t="str">
        <f t="shared" si="13"/>
        <v/>
      </c>
      <c r="R65" s="23" t="str">
        <f>IF(M65="","",ROUND(M65*P65*Einstellungen!$B$5,2))</f>
        <v/>
      </c>
      <c r="S65" s="23">
        <f>IF(N65="Ja",ROUND(J65*P65*Einstellungen!$B$6,2),0)</f>
        <v>0</v>
      </c>
      <c r="T65" s="23" t="str">
        <f t="shared" si="14"/>
        <v/>
      </c>
      <c r="U65" s="22" t="str">
        <f t="shared" si="15"/>
        <v/>
      </c>
      <c r="V65" s="21" t="str">
        <f>IF(A65="","",IF(OR(AND(I65&gt;6,H65&lt;30),AND(I65&gt;9,H65&lt;45),AND(U65&lt;&gt;"",U65&lt;Einstellungen!$B$7),P65&lt;Einstellungen!$B$4,J65&gt;10),"Prüfen","OK"))</f>
        <v/>
      </c>
      <c r="W65" s="16"/>
    </row>
    <row r="66" spans="1:23" x14ac:dyDescent="0.25">
      <c r="A66" s="15"/>
      <c r="B66" s="21" t="str">
        <f t="shared" si="8"/>
        <v/>
      </c>
      <c r="C66" s="16"/>
      <c r="D66" s="16"/>
      <c r="E66" s="16"/>
      <c r="F66" s="17"/>
      <c r="G66" s="17"/>
      <c r="H66" s="18"/>
      <c r="I66" s="22" t="str">
        <f t="shared" si="9"/>
        <v/>
      </c>
      <c r="J66" s="22" t="str">
        <f t="shared" si="10"/>
        <v/>
      </c>
      <c r="K66" s="19"/>
      <c r="L66" s="22" t="str">
        <f t="shared" si="11"/>
        <v/>
      </c>
      <c r="M66" s="22" t="str">
        <f t="shared" si="12"/>
        <v/>
      </c>
      <c r="N66" s="21" t="str">
        <f>IF(A66="","",IF(OR(WEEKDAY(A66,2)=7,COUNTIF(Einstellungen!$D$4:$D$12,A66)&gt;0),"Ja","Nein"))</f>
        <v/>
      </c>
      <c r="O66" s="20"/>
      <c r="P66" s="23" t="str">
        <f>IF(C66="","",IFERROR(VLOOKUP(C66,Einstellungen!$G$4:$H$9,2,FALSE),Einstellungen!$B$4))</f>
        <v/>
      </c>
      <c r="Q66" s="23" t="str">
        <f t="shared" si="13"/>
        <v/>
      </c>
      <c r="R66" s="23" t="str">
        <f>IF(M66="","",ROUND(M66*P66*Einstellungen!$B$5,2))</f>
        <v/>
      </c>
      <c r="S66" s="23">
        <f>IF(N66="Ja",ROUND(J66*P66*Einstellungen!$B$6,2),0)</f>
        <v>0</v>
      </c>
      <c r="T66" s="23" t="str">
        <f t="shared" si="14"/>
        <v/>
      </c>
      <c r="U66" s="22" t="str">
        <f t="shared" si="15"/>
        <v/>
      </c>
      <c r="V66" s="21" t="str">
        <f>IF(A66="","",IF(OR(AND(I66&gt;6,H66&lt;30),AND(I66&gt;9,H66&lt;45),AND(U66&lt;&gt;"",U66&lt;Einstellungen!$B$7),P66&lt;Einstellungen!$B$4,J66&gt;10),"Prüfen","OK"))</f>
        <v/>
      </c>
      <c r="W66" s="16"/>
    </row>
    <row r="67" spans="1:23" x14ac:dyDescent="0.25">
      <c r="A67" s="15"/>
      <c r="B67" s="21" t="str">
        <f t="shared" si="8"/>
        <v/>
      </c>
      <c r="C67" s="16"/>
      <c r="D67" s="16"/>
      <c r="E67" s="16"/>
      <c r="F67" s="17"/>
      <c r="G67" s="17"/>
      <c r="H67" s="18"/>
      <c r="I67" s="22" t="str">
        <f t="shared" si="9"/>
        <v/>
      </c>
      <c r="J67" s="22" t="str">
        <f t="shared" si="10"/>
        <v/>
      </c>
      <c r="K67" s="19"/>
      <c r="L67" s="22" t="str">
        <f t="shared" si="11"/>
        <v/>
      </c>
      <c r="M67" s="22" t="str">
        <f t="shared" si="12"/>
        <v/>
      </c>
      <c r="N67" s="21" t="str">
        <f>IF(A67="","",IF(OR(WEEKDAY(A67,2)=7,COUNTIF(Einstellungen!$D$4:$D$12,A67)&gt;0),"Ja","Nein"))</f>
        <v/>
      </c>
      <c r="O67" s="20"/>
      <c r="P67" s="23" t="str">
        <f>IF(C67="","",IFERROR(VLOOKUP(C67,Einstellungen!$G$4:$H$9,2,FALSE),Einstellungen!$B$4))</f>
        <v/>
      </c>
      <c r="Q67" s="23" t="str">
        <f t="shared" si="13"/>
        <v/>
      </c>
      <c r="R67" s="23" t="str">
        <f>IF(M67="","",ROUND(M67*P67*Einstellungen!$B$5,2))</f>
        <v/>
      </c>
      <c r="S67" s="23">
        <f>IF(N67="Ja",ROUND(J67*P67*Einstellungen!$B$6,2),0)</f>
        <v>0</v>
      </c>
      <c r="T67" s="23" t="str">
        <f t="shared" si="14"/>
        <v/>
      </c>
      <c r="U67" s="22" t="str">
        <f t="shared" si="15"/>
        <v/>
      </c>
      <c r="V67" s="21" t="str">
        <f>IF(A67="","",IF(OR(AND(I67&gt;6,H67&lt;30),AND(I67&gt;9,H67&lt;45),AND(U67&lt;&gt;"",U67&lt;Einstellungen!$B$7),P67&lt;Einstellungen!$B$4,J67&gt;10),"Prüfen","OK"))</f>
        <v/>
      </c>
      <c r="W67" s="16"/>
    </row>
    <row r="68" spans="1:23" x14ac:dyDescent="0.25">
      <c r="A68" s="15"/>
      <c r="B68" s="21" t="str">
        <f t="shared" si="8"/>
        <v/>
      </c>
      <c r="C68" s="16"/>
      <c r="D68" s="16"/>
      <c r="E68" s="16"/>
      <c r="F68" s="17"/>
      <c r="G68" s="17"/>
      <c r="H68" s="18"/>
      <c r="I68" s="22" t="str">
        <f t="shared" si="9"/>
        <v/>
      </c>
      <c r="J68" s="22" t="str">
        <f t="shared" si="10"/>
        <v/>
      </c>
      <c r="K68" s="19"/>
      <c r="L68" s="22" t="str">
        <f t="shared" si="11"/>
        <v/>
      </c>
      <c r="M68" s="22" t="str">
        <f t="shared" si="12"/>
        <v/>
      </c>
      <c r="N68" s="21" t="str">
        <f>IF(A68="","",IF(OR(WEEKDAY(A68,2)=7,COUNTIF(Einstellungen!$D$4:$D$12,A68)&gt;0),"Ja","Nein"))</f>
        <v/>
      </c>
      <c r="O68" s="20"/>
      <c r="P68" s="23" t="str">
        <f>IF(C68="","",IFERROR(VLOOKUP(C68,Einstellungen!$G$4:$H$9,2,FALSE),Einstellungen!$B$4))</f>
        <v/>
      </c>
      <c r="Q68" s="23" t="str">
        <f t="shared" si="13"/>
        <v/>
      </c>
      <c r="R68" s="23" t="str">
        <f>IF(M68="","",ROUND(M68*P68*Einstellungen!$B$5,2))</f>
        <v/>
      </c>
      <c r="S68" s="23">
        <f>IF(N68="Ja",ROUND(J68*P68*Einstellungen!$B$6,2),0)</f>
        <v>0</v>
      </c>
      <c r="T68" s="23" t="str">
        <f t="shared" si="14"/>
        <v/>
      </c>
      <c r="U68" s="22" t="str">
        <f t="shared" si="15"/>
        <v/>
      </c>
      <c r="V68" s="21" t="str">
        <f>IF(A68="","",IF(OR(AND(I68&gt;6,H68&lt;30),AND(I68&gt;9,H68&lt;45),AND(U68&lt;&gt;"",U68&lt;Einstellungen!$B$7),P68&lt;Einstellungen!$B$4,J68&gt;10),"Prüfen","OK"))</f>
        <v/>
      </c>
      <c r="W68" s="16"/>
    </row>
    <row r="69" spans="1:23" x14ac:dyDescent="0.25">
      <c r="A69" s="15"/>
      <c r="B69" s="21" t="str">
        <f t="shared" si="8"/>
        <v/>
      </c>
      <c r="C69" s="16"/>
      <c r="D69" s="16"/>
      <c r="E69" s="16"/>
      <c r="F69" s="17"/>
      <c r="G69" s="17"/>
      <c r="H69" s="18"/>
      <c r="I69" s="22" t="str">
        <f t="shared" si="9"/>
        <v/>
      </c>
      <c r="J69" s="22" t="str">
        <f t="shared" si="10"/>
        <v/>
      </c>
      <c r="K69" s="19"/>
      <c r="L69" s="22" t="str">
        <f t="shared" si="11"/>
        <v/>
      </c>
      <c r="M69" s="22" t="str">
        <f t="shared" si="12"/>
        <v/>
      </c>
      <c r="N69" s="21" t="str">
        <f>IF(A69="","",IF(OR(WEEKDAY(A69,2)=7,COUNTIF(Einstellungen!$D$4:$D$12,A69)&gt;0),"Ja","Nein"))</f>
        <v/>
      </c>
      <c r="O69" s="20"/>
      <c r="P69" s="23" t="str">
        <f>IF(C69="","",IFERROR(VLOOKUP(C69,Einstellungen!$G$4:$H$9,2,FALSE),Einstellungen!$B$4))</f>
        <v/>
      </c>
      <c r="Q69" s="23" t="str">
        <f t="shared" si="13"/>
        <v/>
      </c>
      <c r="R69" s="23" t="str">
        <f>IF(M69="","",ROUND(M69*P69*Einstellungen!$B$5,2))</f>
        <v/>
      </c>
      <c r="S69" s="23">
        <f>IF(N69="Ja",ROUND(J69*P69*Einstellungen!$B$6,2),0)</f>
        <v>0</v>
      </c>
      <c r="T69" s="23" t="str">
        <f t="shared" si="14"/>
        <v/>
      </c>
      <c r="U69" s="22" t="str">
        <f t="shared" si="15"/>
        <v/>
      </c>
      <c r="V69" s="21" t="str">
        <f>IF(A69="","",IF(OR(AND(I69&gt;6,H69&lt;30),AND(I69&gt;9,H69&lt;45),AND(U69&lt;&gt;"",U69&lt;Einstellungen!$B$7),P69&lt;Einstellungen!$B$4,J69&gt;10),"Prüfen","OK"))</f>
        <v/>
      </c>
      <c r="W69" s="16"/>
    </row>
    <row r="70" spans="1:23" x14ac:dyDescent="0.25">
      <c r="A70" s="15"/>
      <c r="B70" s="21" t="str">
        <f t="shared" si="8"/>
        <v/>
      </c>
      <c r="C70" s="16"/>
      <c r="D70" s="16"/>
      <c r="E70" s="16"/>
      <c r="F70" s="17"/>
      <c r="G70" s="17"/>
      <c r="H70" s="18"/>
      <c r="I70" s="22" t="str">
        <f t="shared" si="9"/>
        <v/>
      </c>
      <c r="J70" s="22" t="str">
        <f t="shared" si="10"/>
        <v/>
      </c>
      <c r="K70" s="19"/>
      <c r="L70" s="22" t="str">
        <f t="shared" si="11"/>
        <v/>
      </c>
      <c r="M70" s="22" t="str">
        <f t="shared" si="12"/>
        <v/>
      </c>
      <c r="N70" s="21" t="str">
        <f>IF(A70="","",IF(OR(WEEKDAY(A70,2)=7,COUNTIF(Einstellungen!$D$4:$D$12,A70)&gt;0),"Ja","Nein"))</f>
        <v/>
      </c>
      <c r="O70" s="20"/>
      <c r="P70" s="23" t="str">
        <f>IF(C70="","",IFERROR(VLOOKUP(C70,Einstellungen!$G$4:$H$9,2,FALSE),Einstellungen!$B$4))</f>
        <v/>
      </c>
      <c r="Q70" s="23" t="str">
        <f t="shared" si="13"/>
        <v/>
      </c>
      <c r="R70" s="23" t="str">
        <f>IF(M70="","",ROUND(M70*P70*Einstellungen!$B$5,2))</f>
        <v/>
      </c>
      <c r="S70" s="23">
        <f>IF(N70="Ja",ROUND(J70*P70*Einstellungen!$B$6,2),0)</f>
        <v>0</v>
      </c>
      <c r="T70" s="23" t="str">
        <f t="shared" si="14"/>
        <v/>
      </c>
      <c r="U70" s="22" t="str">
        <f t="shared" si="15"/>
        <v/>
      </c>
      <c r="V70" s="21" t="str">
        <f>IF(A70="","",IF(OR(AND(I70&gt;6,H70&lt;30),AND(I70&gt;9,H70&lt;45),AND(U70&lt;&gt;"",U70&lt;Einstellungen!$B$7),P70&lt;Einstellungen!$B$4,J70&gt;10),"Prüfen","OK"))</f>
        <v/>
      </c>
      <c r="W70" s="16"/>
    </row>
    <row r="71" spans="1:23" x14ac:dyDescent="0.25">
      <c r="A71" s="15"/>
      <c r="B71" s="21" t="str">
        <f t="shared" si="8"/>
        <v/>
      </c>
      <c r="C71" s="16"/>
      <c r="D71" s="16"/>
      <c r="E71" s="16"/>
      <c r="F71" s="17"/>
      <c r="G71" s="17"/>
      <c r="H71" s="18"/>
      <c r="I71" s="22" t="str">
        <f t="shared" si="9"/>
        <v/>
      </c>
      <c r="J71" s="22" t="str">
        <f t="shared" si="10"/>
        <v/>
      </c>
      <c r="K71" s="19"/>
      <c r="L71" s="22" t="str">
        <f t="shared" si="11"/>
        <v/>
      </c>
      <c r="M71" s="22" t="str">
        <f t="shared" si="12"/>
        <v/>
      </c>
      <c r="N71" s="21" t="str">
        <f>IF(A71="","",IF(OR(WEEKDAY(A71,2)=7,COUNTIF(Einstellungen!$D$4:$D$12,A71)&gt;0),"Ja","Nein"))</f>
        <v/>
      </c>
      <c r="O71" s="20"/>
      <c r="P71" s="23" t="str">
        <f>IF(C71="","",IFERROR(VLOOKUP(C71,Einstellungen!$G$4:$H$9,2,FALSE),Einstellungen!$B$4))</f>
        <v/>
      </c>
      <c r="Q71" s="23" t="str">
        <f t="shared" si="13"/>
        <v/>
      </c>
      <c r="R71" s="23" t="str">
        <f>IF(M71="","",ROUND(M71*P71*Einstellungen!$B$5,2))</f>
        <v/>
      </c>
      <c r="S71" s="23">
        <f>IF(N71="Ja",ROUND(J71*P71*Einstellungen!$B$6,2),0)</f>
        <v>0</v>
      </c>
      <c r="T71" s="23" t="str">
        <f t="shared" si="14"/>
        <v/>
      </c>
      <c r="U71" s="22" t="str">
        <f t="shared" si="15"/>
        <v/>
      </c>
      <c r="V71" s="21" t="str">
        <f>IF(A71="","",IF(OR(AND(I71&gt;6,H71&lt;30),AND(I71&gt;9,H71&lt;45),AND(U71&lt;&gt;"",U71&lt;Einstellungen!$B$7),P71&lt;Einstellungen!$B$4,J71&gt;10),"Prüfen","OK"))</f>
        <v/>
      </c>
      <c r="W71" s="16"/>
    </row>
    <row r="72" spans="1:23" x14ac:dyDescent="0.25">
      <c r="A72" s="15"/>
      <c r="B72" s="21" t="str">
        <f t="shared" si="8"/>
        <v/>
      </c>
      <c r="C72" s="16"/>
      <c r="D72" s="16"/>
      <c r="E72" s="16"/>
      <c r="F72" s="17"/>
      <c r="G72" s="17"/>
      <c r="H72" s="18"/>
      <c r="I72" s="22" t="str">
        <f t="shared" si="9"/>
        <v/>
      </c>
      <c r="J72" s="22" t="str">
        <f t="shared" si="10"/>
        <v/>
      </c>
      <c r="K72" s="19"/>
      <c r="L72" s="22" t="str">
        <f t="shared" si="11"/>
        <v/>
      </c>
      <c r="M72" s="22" t="str">
        <f t="shared" si="12"/>
        <v/>
      </c>
      <c r="N72" s="21" t="str">
        <f>IF(A72="","",IF(OR(WEEKDAY(A72,2)=7,COUNTIF(Einstellungen!$D$4:$D$12,A72)&gt;0),"Ja","Nein"))</f>
        <v/>
      </c>
      <c r="O72" s="20"/>
      <c r="P72" s="23" t="str">
        <f>IF(C72="","",IFERROR(VLOOKUP(C72,Einstellungen!$G$4:$H$9,2,FALSE),Einstellungen!$B$4))</f>
        <v/>
      </c>
      <c r="Q72" s="23" t="str">
        <f t="shared" si="13"/>
        <v/>
      </c>
      <c r="R72" s="23" t="str">
        <f>IF(M72="","",ROUND(M72*P72*Einstellungen!$B$5,2))</f>
        <v/>
      </c>
      <c r="S72" s="23">
        <f>IF(N72="Ja",ROUND(J72*P72*Einstellungen!$B$6,2),0)</f>
        <v>0</v>
      </c>
      <c r="T72" s="23" t="str">
        <f t="shared" si="14"/>
        <v/>
      </c>
      <c r="U72" s="22" t="str">
        <f t="shared" si="15"/>
        <v/>
      </c>
      <c r="V72" s="21" t="str">
        <f>IF(A72="","",IF(OR(AND(I72&gt;6,H72&lt;30),AND(I72&gt;9,H72&lt;45),AND(U72&lt;&gt;"",U72&lt;Einstellungen!$B$7),P72&lt;Einstellungen!$B$4,J72&gt;10),"Prüfen","OK"))</f>
        <v/>
      </c>
      <c r="W72" s="16"/>
    </row>
    <row r="73" spans="1:23" x14ac:dyDescent="0.25">
      <c r="A73" s="15"/>
      <c r="B73" s="21" t="str">
        <f t="shared" ref="B73:B104" si="16">IF(A73="","",CHOOSE(WEEKDAY(A73,2),"Mo","Di","Mi","Do","Fr","Sa","So"))</f>
        <v/>
      </c>
      <c r="C73" s="16"/>
      <c r="D73" s="16"/>
      <c r="E73" s="16"/>
      <c r="F73" s="17"/>
      <c r="G73" s="17"/>
      <c r="H73" s="18"/>
      <c r="I73" s="22" t="str">
        <f t="shared" ref="I73:I104" si="17">IF(OR(A73="",F73="",G73=""),"",((G73+IF(G73&lt;F73,1,0))-F73)*24)</f>
        <v/>
      </c>
      <c r="J73" s="22" t="str">
        <f t="shared" ref="J73:J104" si="18">IF(I73="","",MAX(0,I73-H73/60))</f>
        <v/>
      </c>
      <c r="K73" s="19"/>
      <c r="L73" s="22" t="str">
        <f t="shared" ref="L73:L104" si="19">IF(J73="","",J73-K73)</f>
        <v/>
      </c>
      <c r="M73" s="22" t="str">
        <f t="shared" ref="M73:M104" si="20">IF(OR(F73="",G73=""),"",ROUND((IF(F73&lt;TIME(6,0,0),MAX(0,MIN(G73+IF(G73&lt;F73,1,0),TIME(6,0,0))-F73),0)+MAX(0,MIN(G73+IF(G73&lt;F73,1,0),1+TIME(6,0,0))-MAX(F73,TIME(22,0,0))))*24,2))</f>
        <v/>
      </c>
      <c r="N73" s="21" t="str">
        <f>IF(A73="","",IF(OR(WEEKDAY(A73,2)=7,COUNTIF(Einstellungen!$D$4:$D$12,A73)&gt;0),"Ja","Nein"))</f>
        <v/>
      </c>
      <c r="O73" s="20"/>
      <c r="P73" s="23" t="str">
        <f>IF(C73="","",IFERROR(VLOOKUP(C73,Einstellungen!$G$4:$H$9,2,FALSE),Einstellungen!$B$4))</f>
        <v/>
      </c>
      <c r="Q73" s="23" t="str">
        <f t="shared" ref="Q73:Q104" si="21">IF(J73="","",ROUND(J73*P73,2))</f>
        <v/>
      </c>
      <c r="R73" s="23" t="str">
        <f>IF(M73="","",ROUND(M73*P73*Einstellungen!$B$5,2))</f>
        <v/>
      </c>
      <c r="S73" s="23">
        <f>IF(N73="Ja",ROUND(J73*P73*Einstellungen!$B$6,2),0)</f>
        <v>0</v>
      </c>
      <c r="T73" s="23" t="str">
        <f t="shared" ref="T73:T104" si="22">IF(Q73="","",ROUND(Q73+R73+S73,2))</f>
        <v/>
      </c>
      <c r="U73" s="22" t="str">
        <f t="shared" ref="U73:U104" si="23">IF(OR(A73="",F73="",C73="",ROW()=9),"",IF(C73=C72,ROUND(((A73+F73)-(A72+G72+IF(G72&lt;F72,1,0)))*24,2),""))</f>
        <v/>
      </c>
      <c r="V73" s="21" t="str">
        <f>IF(A73="","",IF(OR(AND(I73&gt;6,H73&lt;30),AND(I73&gt;9,H73&lt;45),AND(U73&lt;&gt;"",U73&lt;Einstellungen!$B$7),P73&lt;Einstellungen!$B$4,J73&gt;10),"Prüfen","OK"))</f>
        <v/>
      </c>
      <c r="W73" s="16"/>
    </row>
    <row r="74" spans="1:23" x14ac:dyDescent="0.25">
      <c r="A74" s="15"/>
      <c r="B74" s="21" t="str">
        <f t="shared" si="16"/>
        <v/>
      </c>
      <c r="C74" s="16"/>
      <c r="D74" s="16"/>
      <c r="E74" s="16"/>
      <c r="F74" s="17"/>
      <c r="G74" s="17"/>
      <c r="H74" s="18"/>
      <c r="I74" s="22" t="str">
        <f t="shared" si="17"/>
        <v/>
      </c>
      <c r="J74" s="22" t="str">
        <f t="shared" si="18"/>
        <v/>
      </c>
      <c r="K74" s="19"/>
      <c r="L74" s="22" t="str">
        <f t="shared" si="19"/>
        <v/>
      </c>
      <c r="M74" s="22" t="str">
        <f t="shared" si="20"/>
        <v/>
      </c>
      <c r="N74" s="21" t="str">
        <f>IF(A74="","",IF(OR(WEEKDAY(A74,2)=7,COUNTIF(Einstellungen!$D$4:$D$12,A74)&gt;0),"Ja","Nein"))</f>
        <v/>
      </c>
      <c r="O74" s="20"/>
      <c r="P74" s="23" t="str">
        <f>IF(C74="","",IFERROR(VLOOKUP(C74,Einstellungen!$G$4:$H$9,2,FALSE),Einstellungen!$B$4))</f>
        <v/>
      </c>
      <c r="Q74" s="23" t="str">
        <f t="shared" si="21"/>
        <v/>
      </c>
      <c r="R74" s="23" t="str">
        <f>IF(M74="","",ROUND(M74*P74*Einstellungen!$B$5,2))</f>
        <v/>
      </c>
      <c r="S74" s="23">
        <f>IF(N74="Ja",ROUND(J74*P74*Einstellungen!$B$6,2),0)</f>
        <v>0</v>
      </c>
      <c r="T74" s="23" t="str">
        <f t="shared" si="22"/>
        <v/>
      </c>
      <c r="U74" s="22" t="str">
        <f t="shared" si="23"/>
        <v/>
      </c>
      <c r="V74" s="21" t="str">
        <f>IF(A74="","",IF(OR(AND(I74&gt;6,H74&lt;30),AND(I74&gt;9,H74&lt;45),AND(U74&lt;&gt;"",U74&lt;Einstellungen!$B$7),P74&lt;Einstellungen!$B$4,J74&gt;10),"Prüfen","OK"))</f>
        <v/>
      </c>
      <c r="W74" s="16"/>
    </row>
    <row r="75" spans="1:23" x14ac:dyDescent="0.25">
      <c r="A75" s="15"/>
      <c r="B75" s="21" t="str">
        <f t="shared" si="16"/>
        <v/>
      </c>
      <c r="C75" s="16"/>
      <c r="D75" s="16"/>
      <c r="E75" s="16"/>
      <c r="F75" s="17"/>
      <c r="G75" s="17"/>
      <c r="H75" s="18"/>
      <c r="I75" s="22" t="str">
        <f t="shared" si="17"/>
        <v/>
      </c>
      <c r="J75" s="22" t="str">
        <f t="shared" si="18"/>
        <v/>
      </c>
      <c r="K75" s="19"/>
      <c r="L75" s="22" t="str">
        <f t="shared" si="19"/>
        <v/>
      </c>
      <c r="M75" s="22" t="str">
        <f t="shared" si="20"/>
        <v/>
      </c>
      <c r="N75" s="21" t="str">
        <f>IF(A75="","",IF(OR(WEEKDAY(A75,2)=7,COUNTIF(Einstellungen!$D$4:$D$12,A75)&gt;0),"Ja","Nein"))</f>
        <v/>
      </c>
      <c r="O75" s="20"/>
      <c r="P75" s="23" t="str">
        <f>IF(C75="","",IFERROR(VLOOKUP(C75,Einstellungen!$G$4:$H$9,2,FALSE),Einstellungen!$B$4))</f>
        <v/>
      </c>
      <c r="Q75" s="23" t="str">
        <f t="shared" si="21"/>
        <v/>
      </c>
      <c r="R75" s="23" t="str">
        <f>IF(M75="","",ROUND(M75*P75*Einstellungen!$B$5,2))</f>
        <v/>
      </c>
      <c r="S75" s="23">
        <f>IF(N75="Ja",ROUND(J75*P75*Einstellungen!$B$6,2),0)</f>
        <v>0</v>
      </c>
      <c r="T75" s="23" t="str">
        <f t="shared" si="22"/>
        <v/>
      </c>
      <c r="U75" s="22" t="str">
        <f t="shared" si="23"/>
        <v/>
      </c>
      <c r="V75" s="21" t="str">
        <f>IF(A75="","",IF(OR(AND(I75&gt;6,H75&lt;30),AND(I75&gt;9,H75&lt;45),AND(U75&lt;&gt;"",U75&lt;Einstellungen!$B$7),P75&lt;Einstellungen!$B$4,J75&gt;10),"Prüfen","OK"))</f>
        <v/>
      </c>
      <c r="W75" s="16"/>
    </row>
    <row r="76" spans="1:23" x14ac:dyDescent="0.25">
      <c r="A76" s="15"/>
      <c r="B76" s="21" t="str">
        <f t="shared" si="16"/>
        <v/>
      </c>
      <c r="C76" s="16"/>
      <c r="D76" s="16"/>
      <c r="E76" s="16"/>
      <c r="F76" s="17"/>
      <c r="G76" s="17"/>
      <c r="H76" s="18"/>
      <c r="I76" s="22" t="str">
        <f t="shared" si="17"/>
        <v/>
      </c>
      <c r="J76" s="22" t="str">
        <f t="shared" si="18"/>
        <v/>
      </c>
      <c r="K76" s="19"/>
      <c r="L76" s="22" t="str">
        <f t="shared" si="19"/>
        <v/>
      </c>
      <c r="M76" s="22" t="str">
        <f t="shared" si="20"/>
        <v/>
      </c>
      <c r="N76" s="21" t="str">
        <f>IF(A76="","",IF(OR(WEEKDAY(A76,2)=7,COUNTIF(Einstellungen!$D$4:$D$12,A76)&gt;0),"Ja","Nein"))</f>
        <v/>
      </c>
      <c r="O76" s="20"/>
      <c r="P76" s="23" t="str">
        <f>IF(C76="","",IFERROR(VLOOKUP(C76,Einstellungen!$G$4:$H$9,2,FALSE),Einstellungen!$B$4))</f>
        <v/>
      </c>
      <c r="Q76" s="23" t="str">
        <f t="shared" si="21"/>
        <v/>
      </c>
      <c r="R76" s="23" t="str">
        <f>IF(M76="","",ROUND(M76*P76*Einstellungen!$B$5,2))</f>
        <v/>
      </c>
      <c r="S76" s="23">
        <f>IF(N76="Ja",ROUND(J76*P76*Einstellungen!$B$6,2),0)</f>
        <v>0</v>
      </c>
      <c r="T76" s="23" t="str">
        <f t="shared" si="22"/>
        <v/>
      </c>
      <c r="U76" s="22" t="str">
        <f t="shared" si="23"/>
        <v/>
      </c>
      <c r="V76" s="21" t="str">
        <f>IF(A76="","",IF(OR(AND(I76&gt;6,H76&lt;30),AND(I76&gt;9,H76&lt;45),AND(U76&lt;&gt;"",U76&lt;Einstellungen!$B$7),P76&lt;Einstellungen!$B$4,J76&gt;10),"Prüfen","OK"))</f>
        <v/>
      </c>
      <c r="W76" s="16"/>
    </row>
    <row r="77" spans="1:23" x14ac:dyDescent="0.25">
      <c r="A77" s="15"/>
      <c r="B77" s="21" t="str">
        <f t="shared" si="16"/>
        <v/>
      </c>
      <c r="C77" s="16"/>
      <c r="D77" s="16"/>
      <c r="E77" s="16"/>
      <c r="F77" s="17"/>
      <c r="G77" s="17"/>
      <c r="H77" s="18"/>
      <c r="I77" s="22" t="str">
        <f t="shared" si="17"/>
        <v/>
      </c>
      <c r="J77" s="22" t="str">
        <f t="shared" si="18"/>
        <v/>
      </c>
      <c r="K77" s="19"/>
      <c r="L77" s="22" t="str">
        <f t="shared" si="19"/>
        <v/>
      </c>
      <c r="M77" s="22" t="str">
        <f t="shared" si="20"/>
        <v/>
      </c>
      <c r="N77" s="21" t="str">
        <f>IF(A77="","",IF(OR(WEEKDAY(A77,2)=7,COUNTIF(Einstellungen!$D$4:$D$12,A77)&gt;0),"Ja","Nein"))</f>
        <v/>
      </c>
      <c r="O77" s="20"/>
      <c r="P77" s="23" t="str">
        <f>IF(C77="","",IFERROR(VLOOKUP(C77,Einstellungen!$G$4:$H$9,2,FALSE),Einstellungen!$B$4))</f>
        <v/>
      </c>
      <c r="Q77" s="23" t="str">
        <f t="shared" si="21"/>
        <v/>
      </c>
      <c r="R77" s="23" t="str">
        <f>IF(M77="","",ROUND(M77*P77*Einstellungen!$B$5,2))</f>
        <v/>
      </c>
      <c r="S77" s="23">
        <f>IF(N77="Ja",ROUND(J77*P77*Einstellungen!$B$6,2),0)</f>
        <v>0</v>
      </c>
      <c r="T77" s="23" t="str">
        <f t="shared" si="22"/>
        <v/>
      </c>
      <c r="U77" s="22" t="str">
        <f t="shared" si="23"/>
        <v/>
      </c>
      <c r="V77" s="21" t="str">
        <f>IF(A77="","",IF(OR(AND(I77&gt;6,H77&lt;30),AND(I77&gt;9,H77&lt;45),AND(U77&lt;&gt;"",U77&lt;Einstellungen!$B$7),P77&lt;Einstellungen!$B$4,J77&gt;10),"Prüfen","OK"))</f>
        <v/>
      </c>
      <c r="W77" s="16"/>
    </row>
    <row r="78" spans="1:23" x14ac:dyDescent="0.25">
      <c r="A78" s="15"/>
      <c r="B78" s="21" t="str">
        <f t="shared" si="16"/>
        <v/>
      </c>
      <c r="C78" s="16"/>
      <c r="D78" s="16"/>
      <c r="E78" s="16"/>
      <c r="F78" s="17"/>
      <c r="G78" s="17"/>
      <c r="H78" s="18"/>
      <c r="I78" s="22" t="str">
        <f t="shared" si="17"/>
        <v/>
      </c>
      <c r="J78" s="22" t="str">
        <f t="shared" si="18"/>
        <v/>
      </c>
      <c r="K78" s="19"/>
      <c r="L78" s="22" t="str">
        <f t="shared" si="19"/>
        <v/>
      </c>
      <c r="M78" s="22" t="str">
        <f t="shared" si="20"/>
        <v/>
      </c>
      <c r="N78" s="21" t="str">
        <f>IF(A78="","",IF(OR(WEEKDAY(A78,2)=7,COUNTIF(Einstellungen!$D$4:$D$12,A78)&gt;0),"Ja","Nein"))</f>
        <v/>
      </c>
      <c r="O78" s="20"/>
      <c r="P78" s="23" t="str">
        <f>IF(C78="","",IFERROR(VLOOKUP(C78,Einstellungen!$G$4:$H$9,2,FALSE),Einstellungen!$B$4))</f>
        <v/>
      </c>
      <c r="Q78" s="23" t="str">
        <f t="shared" si="21"/>
        <v/>
      </c>
      <c r="R78" s="23" t="str">
        <f>IF(M78="","",ROUND(M78*P78*Einstellungen!$B$5,2))</f>
        <v/>
      </c>
      <c r="S78" s="23">
        <f>IF(N78="Ja",ROUND(J78*P78*Einstellungen!$B$6,2),0)</f>
        <v>0</v>
      </c>
      <c r="T78" s="23" t="str">
        <f t="shared" si="22"/>
        <v/>
      </c>
      <c r="U78" s="22" t="str">
        <f t="shared" si="23"/>
        <v/>
      </c>
      <c r="V78" s="21" t="str">
        <f>IF(A78="","",IF(OR(AND(I78&gt;6,H78&lt;30),AND(I78&gt;9,H78&lt;45),AND(U78&lt;&gt;"",U78&lt;Einstellungen!$B$7),P78&lt;Einstellungen!$B$4,J78&gt;10),"Prüfen","OK"))</f>
        <v/>
      </c>
      <c r="W78" s="16"/>
    </row>
    <row r="79" spans="1:23" x14ac:dyDescent="0.25">
      <c r="A79" s="15"/>
      <c r="B79" s="21" t="str">
        <f t="shared" si="16"/>
        <v/>
      </c>
      <c r="C79" s="16"/>
      <c r="D79" s="16"/>
      <c r="E79" s="16"/>
      <c r="F79" s="17"/>
      <c r="G79" s="17"/>
      <c r="H79" s="18"/>
      <c r="I79" s="22" t="str">
        <f t="shared" si="17"/>
        <v/>
      </c>
      <c r="J79" s="22" t="str">
        <f t="shared" si="18"/>
        <v/>
      </c>
      <c r="K79" s="19"/>
      <c r="L79" s="22" t="str">
        <f t="shared" si="19"/>
        <v/>
      </c>
      <c r="M79" s="22" t="str">
        <f t="shared" si="20"/>
        <v/>
      </c>
      <c r="N79" s="21" t="str">
        <f>IF(A79="","",IF(OR(WEEKDAY(A79,2)=7,COUNTIF(Einstellungen!$D$4:$D$12,A79)&gt;0),"Ja","Nein"))</f>
        <v/>
      </c>
      <c r="O79" s="20"/>
      <c r="P79" s="23" t="str">
        <f>IF(C79="","",IFERROR(VLOOKUP(C79,Einstellungen!$G$4:$H$9,2,FALSE),Einstellungen!$B$4))</f>
        <v/>
      </c>
      <c r="Q79" s="23" t="str">
        <f t="shared" si="21"/>
        <v/>
      </c>
      <c r="R79" s="23" t="str">
        <f>IF(M79="","",ROUND(M79*P79*Einstellungen!$B$5,2))</f>
        <v/>
      </c>
      <c r="S79" s="23">
        <f>IF(N79="Ja",ROUND(J79*P79*Einstellungen!$B$6,2),0)</f>
        <v>0</v>
      </c>
      <c r="T79" s="23" t="str">
        <f t="shared" si="22"/>
        <v/>
      </c>
      <c r="U79" s="22" t="str">
        <f t="shared" si="23"/>
        <v/>
      </c>
      <c r="V79" s="21" t="str">
        <f>IF(A79="","",IF(OR(AND(I79&gt;6,H79&lt;30),AND(I79&gt;9,H79&lt;45),AND(U79&lt;&gt;"",U79&lt;Einstellungen!$B$7),P79&lt;Einstellungen!$B$4,J79&gt;10),"Prüfen","OK"))</f>
        <v/>
      </c>
      <c r="W79" s="16"/>
    </row>
    <row r="80" spans="1:23" x14ac:dyDescent="0.25">
      <c r="A80" s="15"/>
      <c r="B80" s="21" t="str">
        <f t="shared" si="16"/>
        <v/>
      </c>
      <c r="C80" s="16"/>
      <c r="D80" s="16"/>
      <c r="E80" s="16"/>
      <c r="F80" s="17"/>
      <c r="G80" s="17"/>
      <c r="H80" s="18"/>
      <c r="I80" s="22" t="str">
        <f t="shared" si="17"/>
        <v/>
      </c>
      <c r="J80" s="22" t="str">
        <f t="shared" si="18"/>
        <v/>
      </c>
      <c r="K80" s="19"/>
      <c r="L80" s="22" t="str">
        <f t="shared" si="19"/>
        <v/>
      </c>
      <c r="M80" s="22" t="str">
        <f t="shared" si="20"/>
        <v/>
      </c>
      <c r="N80" s="21" t="str">
        <f>IF(A80="","",IF(OR(WEEKDAY(A80,2)=7,COUNTIF(Einstellungen!$D$4:$D$12,A80)&gt;0),"Ja","Nein"))</f>
        <v/>
      </c>
      <c r="O80" s="20"/>
      <c r="P80" s="23" t="str">
        <f>IF(C80="","",IFERROR(VLOOKUP(C80,Einstellungen!$G$4:$H$9,2,FALSE),Einstellungen!$B$4))</f>
        <v/>
      </c>
      <c r="Q80" s="23" t="str">
        <f t="shared" si="21"/>
        <v/>
      </c>
      <c r="R80" s="23" t="str">
        <f>IF(M80="","",ROUND(M80*P80*Einstellungen!$B$5,2))</f>
        <v/>
      </c>
      <c r="S80" s="23">
        <f>IF(N80="Ja",ROUND(J80*P80*Einstellungen!$B$6,2),0)</f>
        <v>0</v>
      </c>
      <c r="T80" s="23" t="str">
        <f t="shared" si="22"/>
        <v/>
      </c>
      <c r="U80" s="22" t="str">
        <f t="shared" si="23"/>
        <v/>
      </c>
      <c r="V80" s="21" t="str">
        <f>IF(A80="","",IF(OR(AND(I80&gt;6,H80&lt;30),AND(I80&gt;9,H80&lt;45),AND(U80&lt;&gt;"",U80&lt;Einstellungen!$B$7),P80&lt;Einstellungen!$B$4,J80&gt;10),"Prüfen","OK"))</f>
        <v/>
      </c>
      <c r="W80" s="16"/>
    </row>
    <row r="81" spans="1:23" x14ac:dyDescent="0.25">
      <c r="A81" s="15"/>
      <c r="B81" s="21" t="str">
        <f t="shared" si="16"/>
        <v/>
      </c>
      <c r="C81" s="16"/>
      <c r="D81" s="16"/>
      <c r="E81" s="16"/>
      <c r="F81" s="17"/>
      <c r="G81" s="17"/>
      <c r="H81" s="18"/>
      <c r="I81" s="22" t="str">
        <f t="shared" si="17"/>
        <v/>
      </c>
      <c r="J81" s="22" t="str">
        <f t="shared" si="18"/>
        <v/>
      </c>
      <c r="K81" s="19"/>
      <c r="L81" s="22" t="str">
        <f t="shared" si="19"/>
        <v/>
      </c>
      <c r="M81" s="22" t="str">
        <f t="shared" si="20"/>
        <v/>
      </c>
      <c r="N81" s="21" t="str">
        <f>IF(A81="","",IF(OR(WEEKDAY(A81,2)=7,COUNTIF(Einstellungen!$D$4:$D$12,A81)&gt;0),"Ja","Nein"))</f>
        <v/>
      </c>
      <c r="O81" s="20"/>
      <c r="P81" s="23" t="str">
        <f>IF(C81="","",IFERROR(VLOOKUP(C81,Einstellungen!$G$4:$H$9,2,FALSE),Einstellungen!$B$4))</f>
        <v/>
      </c>
      <c r="Q81" s="23" t="str">
        <f t="shared" si="21"/>
        <v/>
      </c>
      <c r="R81" s="23" t="str">
        <f>IF(M81="","",ROUND(M81*P81*Einstellungen!$B$5,2))</f>
        <v/>
      </c>
      <c r="S81" s="23">
        <f>IF(N81="Ja",ROUND(J81*P81*Einstellungen!$B$6,2),0)</f>
        <v>0</v>
      </c>
      <c r="T81" s="23" t="str">
        <f t="shared" si="22"/>
        <v/>
      </c>
      <c r="U81" s="22" t="str">
        <f t="shared" si="23"/>
        <v/>
      </c>
      <c r="V81" s="21" t="str">
        <f>IF(A81="","",IF(OR(AND(I81&gt;6,H81&lt;30),AND(I81&gt;9,H81&lt;45),AND(U81&lt;&gt;"",U81&lt;Einstellungen!$B$7),P81&lt;Einstellungen!$B$4,J81&gt;10),"Prüfen","OK"))</f>
        <v/>
      </c>
      <c r="W81" s="16"/>
    </row>
    <row r="82" spans="1:23" x14ac:dyDescent="0.25">
      <c r="A82" s="15"/>
      <c r="B82" s="21" t="str">
        <f t="shared" si="16"/>
        <v/>
      </c>
      <c r="C82" s="16"/>
      <c r="D82" s="16"/>
      <c r="E82" s="16"/>
      <c r="F82" s="17"/>
      <c r="G82" s="17"/>
      <c r="H82" s="18"/>
      <c r="I82" s="22" t="str">
        <f t="shared" si="17"/>
        <v/>
      </c>
      <c r="J82" s="22" t="str">
        <f t="shared" si="18"/>
        <v/>
      </c>
      <c r="K82" s="19"/>
      <c r="L82" s="22" t="str">
        <f t="shared" si="19"/>
        <v/>
      </c>
      <c r="M82" s="22" t="str">
        <f t="shared" si="20"/>
        <v/>
      </c>
      <c r="N82" s="21" t="str">
        <f>IF(A82="","",IF(OR(WEEKDAY(A82,2)=7,COUNTIF(Einstellungen!$D$4:$D$12,A82)&gt;0),"Ja","Nein"))</f>
        <v/>
      </c>
      <c r="O82" s="20"/>
      <c r="P82" s="23" t="str">
        <f>IF(C82="","",IFERROR(VLOOKUP(C82,Einstellungen!$G$4:$H$9,2,FALSE),Einstellungen!$B$4))</f>
        <v/>
      </c>
      <c r="Q82" s="23" t="str">
        <f t="shared" si="21"/>
        <v/>
      </c>
      <c r="R82" s="23" t="str">
        <f>IF(M82="","",ROUND(M82*P82*Einstellungen!$B$5,2))</f>
        <v/>
      </c>
      <c r="S82" s="23">
        <f>IF(N82="Ja",ROUND(J82*P82*Einstellungen!$B$6,2),0)</f>
        <v>0</v>
      </c>
      <c r="T82" s="23" t="str">
        <f t="shared" si="22"/>
        <v/>
      </c>
      <c r="U82" s="22" t="str">
        <f t="shared" si="23"/>
        <v/>
      </c>
      <c r="V82" s="21" t="str">
        <f>IF(A82="","",IF(OR(AND(I82&gt;6,H82&lt;30),AND(I82&gt;9,H82&lt;45),AND(U82&lt;&gt;"",U82&lt;Einstellungen!$B$7),P82&lt;Einstellungen!$B$4,J82&gt;10),"Prüfen","OK"))</f>
        <v/>
      </c>
      <c r="W82" s="16"/>
    </row>
    <row r="83" spans="1:23" x14ac:dyDescent="0.25">
      <c r="A83" s="15"/>
      <c r="B83" s="21" t="str">
        <f t="shared" si="16"/>
        <v/>
      </c>
      <c r="C83" s="16"/>
      <c r="D83" s="16"/>
      <c r="E83" s="16"/>
      <c r="F83" s="17"/>
      <c r="G83" s="17"/>
      <c r="H83" s="18"/>
      <c r="I83" s="22" t="str">
        <f t="shared" si="17"/>
        <v/>
      </c>
      <c r="J83" s="22" t="str">
        <f t="shared" si="18"/>
        <v/>
      </c>
      <c r="K83" s="19"/>
      <c r="L83" s="22" t="str">
        <f t="shared" si="19"/>
        <v/>
      </c>
      <c r="M83" s="22" t="str">
        <f t="shared" si="20"/>
        <v/>
      </c>
      <c r="N83" s="21" t="str">
        <f>IF(A83="","",IF(OR(WEEKDAY(A83,2)=7,COUNTIF(Einstellungen!$D$4:$D$12,A83)&gt;0),"Ja","Nein"))</f>
        <v/>
      </c>
      <c r="O83" s="20"/>
      <c r="P83" s="23" t="str">
        <f>IF(C83="","",IFERROR(VLOOKUP(C83,Einstellungen!$G$4:$H$9,2,FALSE),Einstellungen!$B$4))</f>
        <v/>
      </c>
      <c r="Q83" s="23" t="str">
        <f t="shared" si="21"/>
        <v/>
      </c>
      <c r="R83" s="23" t="str">
        <f>IF(M83="","",ROUND(M83*P83*Einstellungen!$B$5,2))</f>
        <v/>
      </c>
      <c r="S83" s="23">
        <f>IF(N83="Ja",ROUND(J83*P83*Einstellungen!$B$6,2),0)</f>
        <v>0</v>
      </c>
      <c r="T83" s="23" t="str">
        <f t="shared" si="22"/>
        <v/>
      </c>
      <c r="U83" s="22" t="str">
        <f t="shared" si="23"/>
        <v/>
      </c>
      <c r="V83" s="21" t="str">
        <f>IF(A83="","",IF(OR(AND(I83&gt;6,H83&lt;30),AND(I83&gt;9,H83&lt;45),AND(U83&lt;&gt;"",U83&lt;Einstellungen!$B$7),P83&lt;Einstellungen!$B$4,J83&gt;10),"Prüfen","OK"))</f>
        <v/>
      </c>
      <c r="W83" s="16"/>
    </row>
    <row r="84" spans="1:23" x14ac:dyDescent="0.25">
      <c r="A84" s="15"/>
      <c r="B84" s="21" t="str">
        <f t="shared" si="16"/>
        <v/>
      </c>
      <c r="C84" s="16"/>
      <c r="D84" s="16"/>
      <c r="E84" s="16"/>
      <c r="F84" s="17"/>
      <c r="G84" s="17"/>
      <c r="H84" s="18"/>
      <c r="I84" s="22" t="str">
        <f t="shared" si="17"/>
        <v/>
      </c>
      <c r="J84" s="22" t="str">
        <f t="shared" si="18"/>
        <v/>
      </c>
      <c r="K84" s="19"/>
      <c r="L84" s="22" t="str">
        <f t="shared" si="19"/>
        <v/>
      </c>
      <c r="M84" s="22" t="str">
        <f t="shared" si="20"/>
        <v/>
      </c>
      <c r="N84" s="21" t="str">
        <f>IF(A84="","",IF(OR(WEEKDAY(A84,2)=7,COUNTIF(Einstellungen!$D$4:$D$12,A84)&gt;0),"Ja","Nein"))</f>
        <v/>
      </c>
      <c r="O84" s="20"/>
      <c r="P84" s="23" t="str">
        <f>IF(C84="","",IFERROR(VLOOKUP(C84,Einstellungen!$G$4:$H$9,2,FALSE),Einstellungen!$B$4))</f>
        <v/>
      </c>
      <c r="Q84" s="23" t="str">
        <f t="shared" si="21"/>
        <v/>
      </c>
      <c r="R84" s="23" t="str">
        <f>IF(M84="","",ROUND(M84*P84*Einstellungen!$B$5,2))</f>
        <v/>
      </c>
      <c r="S84" s="23">
        <f>IF(N84="Ja",ROUND(J84*P84*Einstellungen!$B$6,2),0)</f>
        <v>0</v>
      </c>
      <c r="T84" s="23" t="str">
        <f t="shared" si="22"/>
        <v/>
      </c>
      <c r="U84" s="22" t="str">
        <f t="shared" si="23"/>
        <v/>
      </c>
      <c r="V84" s="21" t="str">
        <f>IF(A84="","",IF(OR(AND(I84&gt;6,H84&lt;30),AND(I84&gt;9,H84&lt;45),AND(U84&lt;&gt;"",U84&lt;Einstellungen!$B$7),P84&lt;Einstellungen!$B$4,J84&gt;10),"Prüfen","OK"))</f>
        <v/>
      </c>
      <c r="W84" s="16"/>
    </row>
    <row r="85" spans="1:23" x14ac:dyDescent="0.25">
      <c r="A85" s="15"/>
      <c r="B85" s="21" t="str">
        <f t="shared" si="16"/>
        <v/>
      </c>
      <c r="C85" s="16"/>
      <c r="D85" s="16"/>
      <c r="E85" s="16"/>
      <c r="F85" s="17"/>
      <c r="G85" s="17"/>
      <c r="H85" s="18"/>
      <c r="I85" s="22" t="str">
        <f t="shared" si="17"/>
        <v/>
      </c>
      <c r="J85" s="22" t="str">
        <f t="shared" si="18"/>
        <v/>
      </c>
      <c r="K85" s="19"/>
      <c r="L85" s="22" t="str">
        <f t="shared" si="19"/>
        <v/>
      </c>
      <c r="M85" s="22" t="str">
        <f t="shared" si="20"/>
        <v/>
      </c>
      <c r="N85" s="21" t="str">
        <f>IF(A85="","",IF(OR(WEEKDAY(A85,2)=7,COUNTIF(Einstellungen!$D$4:$D$12,A85)&gt;0),"Ja","Nein"))</f>
        <v/>
      </c>
      <c r="O85" s="20"/>
      <c r="P85" s="23" t="str">
        <f>IF(C85="","",IFERROR(VLOOKUP(C85,Einstellungen!$G$4:$H$9,2,FALSE),Einstellungen!$B$4))</f>
        <v/>
      </c>
      <c r="Q85" s="23" t="str">
        <f t="shared" si="21"/>
        <v/>
      </c>
      <c r="R85" s="23" t="str">
        <f>IF(M85="","",ROUND(M85*P85*Einstellungen!$B$5,2))</f>
        <v/>
      </c>
      <c r="S85" s="23">
        <f>IF(N85="Ja",ROUND(J85*P85*Einstellungen!$B$6,2),0)</f>
        <v>0</v>
      </c>
      <c r="T85" s="23" t="str">
        <f t="shared" si="22"/>
        <v/>
      </c>
      <c r="U85" s="22" t="str">
        <f t="shared" si="23"/>
        <v/>
      </c>
      <c r="V85" s="21" t="str">
        <f>IF(A85="","",IF(OR(AND(I85&gt;6,H85&lt;30),AND(I85&gt;9,H85&lt;45),AND(U85&lt;&gt;"",U85&lt;Einstellungen!$B$7),P85&lt;Einstellungen!$B$4,J85&gt;10),"Prüfen","OK"))</f>
        <v/>
      </c>
      <c r="W85" s="16"/>
    </row>
    <row r="86" spans="1:23" x14ac:dyDescent="0.25">
      <c r="A86" s="15"/>
      <c r="B86" s="21" t="str">
        <f t="shared" si="16"/>
        <v/>
      </c>
      <c r="C86" s="16"/>
      <c r="D86" s="16"/>
      <c r="E86" s="16"/>
      <c r="F86" s="17"/>
      <c r="G86" s="17"/>
      <c r="H86" s="18"/>
      <c r="I86" s="22" t="str">
        <f t="shared" si="17"/>
        <v/>
      </c>
      <c r="J86" s="22" t="str">
        <f t="shared" si="18"/>
        <v/>
      </c>
      <c r="K86" s="19"/>
      <c r="L86" s="22" t="str">
        <f t="shared" si="19"/>
        <v/>
      </c>
      <c r="M86" s="22" t="str">
        <f t="shared" si="20"/>
        <v/>
      </c>
      <c r="N86" s="21" t="str">
        <f>IF(A86="","",IF(OR(WEEKDAY(A86,2)=7,COUNTIF(Einstellungen!$D$4:$D$12,A86)&gt;0),"Ja","Nein"))</f>
        <v/>
      </c>
      <c r="O86" s="20"/>
      <c r="P86" s="23" t="str">
        <f>IF(C86="","",IFERROR(VLOOKUP(C86,Einstellungen!$G$4:$H$9,2,FALSE),Einstellungen!$B$4))</f>
        <v/>
      </c>
      <c r="Q86" s="23" t="str">
        <f t="shared" si="21"/>
        <v/>
      </c>
      <c r="R86" s="23" t="str">
        <f>IF(M86="","",ROUND(M86*P86*Einstellungen!$B$5,2))</f>
        <v/>
      </c>
      <c r="S86" s="23">
        <f>IF(N86="Ja",ROUND(J86*P86*Einstellungen!$B$6,2),0)</f>
        <v>0</v>
      </c>
      <c r="T86" s="23" t="str">
        <f t="shared" si="22"/>
        <v/>
      </c>
      <c r="U86" s="22" t="str">
        <f t="shared" si="23"/>
        <v/>
      </c>
      <c r="V86" s="21" t="str">
        <f>IF(A86="","",IF(OR(AND(I86&gt;6,H86&lt;30),AND(I86&gt;9,H86&lt;45),AND(U86&lt;&gt;"",U86&lt;Einstellungen!$B$7),P86&lt;Einstellungen!$B$4,J86&gt;10),"Prüfen","OK"))</f>
        <v/>
      </c>
      <c r="W86" s="16"/>
    </row>
    <row r="87" spans="1:23" x14ac:dyDescent="0.25">
      <c r="A87" s="15"/>
      <c r="B87" s="21" t="str">
        <f t="shared" si="16"/>
        <v/>
      </c>
      <c r="C87" s="16"/>
      <c r="D87" s="16"/>
      <c r="E87" s="16"/>
      <c r="F87" s="17"/>
      <c r="G87" s="17"/>
      <c r="H87" s="18"/>
      <c r="I87" s="22" t="str">
        <f t="shared" si="17"/>
        <v/>
      </c>
      <c r="J87" s="22" t="str">
        <f t="shared" si="18"/>
        <v/>
      </c>
      <c r="K87" s="19"/>
      <c r="L87" s="22" t="str">
        <f t="shared" si="19"/>
        <v/>
      </c>
      <c r="M87" s="22" t="str">
        <f t="shared" si="20"/>
        <v/>
      </c>
      <c r="N87" s="21" t="str">
        <f>IF(A87="","",IF(OR(WEEKDAY(A87,2)=7,COUNTIF(Einstellungen!$D$4:$D$12,A87)&gt;0),"Ja","Nein"))</f>
        <v/>
      </c>
      <c r="O87" s="20"/>
      <c r="P87" s="23" t="str">
        <f>IF(C87="","",IFERROR(VLOOKUP(C87,Einstellungen!$G$4:$H$9,2,FALSE),Einstellungen!$B$4))</f>
        <v/>
      </c>
      <c r="Q87" s="23" t="str">
        <f t="shared" si="21"/>
        <v/>
      </c>
      <c r="R87" s="23" t="str">
        <f>IF(M87="","",ROUND(M87*P87*Einstellungen!$B$5,2))</f>
        <v/>
      </c>
      <c r="S87" s="23">
        <f>IF(N87="Ja",ROUND(J87*P87*Einstellungen!$B$6,2),0)</f>
        <v>0</v>
      </c>
      <c r="T87" s="23" t="str">
        <f t="shared" si="22"/>
        <v/>
      </c>
      <c r="U87" s="22" t="str">
        <f t="shared" si="23"/>
        <v/>
      </c>
      <c r="V87" s="21" t="str">
        <f>IF(A87="","",IF(OR(AND(I87&gt;6,H87&lt;30),AND(I87&gt;9,H87&lt;45),AND(U87&lt;&gt;"",U87&lt;Einstellungen!$B$7),P87&lt;Einstellungen!$B$4,J87&gt;10),"Prüfen","OK"))</f>
        <v/>
      </c>
      <c r="W87" s="16"/>
    </row>
    <row r="88" spans="1:23" x14ac:dyDescent="0.25">
      <c r="A88" s="15"/>
      <c r="B88" s="21" t="str">
        <f t="shared" si="16"/>
        <v/>
      </c>
      <c r="C88" s="16"/>
      <c r="D88" s="16"/>
      <c r="E88" s="16"/>
      <c r="F88" s="17"/>
      <c r="G88" s="17"/>
      <c r="H88" s="18"/>
      <c r="I88" s="22" t="str">
        <f t="shared" si="17"/>
        <v/>
      </c>
      <c r="J88" s="22" t="str">
        <f t="shared" si="18"/>
        <v/>
      </c>
      <c r="K88" s="19"/>
      <c r="L88" s="22" t="str">
        <f t="shared" si="19"/>
        <v/>
      </c>
      <c r="M88" s="22" t="str">
        <f t="shared" si="20"/>
        <v/>
      </c>
      <c r="N88" s="21" t="str">
        <f>IF(A88="","",IF(OR(WEEKDAY(A88,2)=7,COUNTIF(Einstellungen!$D$4:$D$12,A88)&gt;0),"Ja","Nein"))</f>
        <v/>
      </c>
      <c r="O88" s="20"/>
      <c r="P88" s="23" t="str">
        <f>IF(C88="","",IFERROR(VLOOKUP(C88,Einstellungen!$G$4:$H$9,2,FALSE),Einstellungen!$B$4))</f>
        <v/>
      </c>
      <c r="Q88" s="23" t="str">
        <f t="shared" si="21"/>
        <v/>
      </c>
      <c r="R88" s="23" t="str">
        <f>IF(M88="","",ROUND(M88*P88*Einstellungen!$B$5,2))</f>
        <v/>
      </c>
      <c r="S88" s="23">
        <f>IF(N88="Ja",ROUND(J88*P88*Einstellungen!$B$6,2),0)</f>
        <v>0</v>
      </c>
      <c r="T88" s="23" t="str">
        <f t="shared" si="22"/>
        <v/>
      </c>
      <c r="U88" s="22" t="str">
        <f t="shared" si="23"/>
        <v/>
      </c>
      <c r="V88" s="21" t="str">
        <f>IF(A88="","",IF(OR(AND(I88&gt;6,H88&lt;30),AND(I88&gt;9,H88&lt;45),AND(U88&lt;&gt;"",U88&lt;Einstellungen!$B$7),P88&lt;Einstellungen!$B$4,J88&gt;10),"Prüfen","OK"))</f>
        <v/>
      </c>
      <c r="W88" s="16"/>
    </row>
    <row r="89" spans="1:23" x14ac:dyDescent="0.25">
      <c r="A89" s="15"/>
      <c r="B89" s="21" t="str">
        <f t="shared" si="16"/>
        <v/>
      </c>
      <c r="C89" s="16"/>
      <c r="D89" s="16"/>
      <c r="E89" s="16"/>
      <c r="F89" s="17"/>
      <c r="G89" s="17"/>
      <c r="H89" s="18"/>
      <c r="I89" s="22" t="str">
        <f t="shared" si="17"/>
        <v/>
      </c>
      <c r="J89" s="22" t="str">
        <f t="shared" si="18"/>
        <v/>
      </c>
      <c r="K89" s="19"/>
      <c r="L89" s="22" t="str">
        <f t="shared" si="19"/>
        <v/>
      </c>
      <c r="M89" s="22" t="str">
        <f t="shared" si="20"/>
        <v/>
      </c>
      <c r="N89" s="21" t="str">
        <f>IF(A89="","",IF(OR(WEEKDAY(A89,2)=7,COUNTIF(Einstellungen!$D$4:$D$12,A89)&gt;0),"Ja","Nein"))</f>
        <v/>
      </c>
      <c r="O89" s="20"/>
      <c r="P89" s="23" t="str">
        <f>IF(C89="","",IFERROR(VLOOKUP(C89,Einstellungen!$G$4:$H$9,2,FALSE),Einstellungen!$B$4))</f>
        <v/>
      </c>
      <c r="Q89" s="23" t="str">
        <f t="shared" si="21"/>
        <v/>
      </c>
      <c r="R89" s="23" t="str">
        <f>IF(M89="","",ROUND(M89*P89*Einstellungen!$B$5,2))</f>
        <v/>
      </c>
      <c r="S89" s="23">
        <f>IF(N89="Ja",ROUND(J89*P89*Einstellungen!$B$6,2),0)</f>
        <v>0</v>
      </c>
      <c r="T89" s="23" t="str">
        <f t="shared" si="22"/>
        <v/>
      </c>
      <c r="U89" s="22" t="str">
        <f t="shared" si="23"/>
        <v/>
      </c>
      <c r="V89" s="21" t="str">
        <f>IF(A89="","",IF(OR(AND(I89&gt;6,H89&lt;30),AND(I89&gt;9,H89&lt;45),AND(U89&lt;&gt;"",U89&lt;Einstellungen!$B$7),P89&lt;Einstellungen!$B$4,J89&gt;10),"Prüfen","OK"))</f>
        <v/>
      </c>
      <c r="W89" s="16"/>
    </row>
    <row r="90" spans="1:23" x14ac:dyDescent="0.25">
      <c r="A90" s="15"/>
      <c r="B90" s="21" t="str">
        <f t="shared" si="16"/>
        <v/>
      </c>
      <c r="C90" s="16"/>
      <c r="D90" s="16"/>
      <c r="E90" s="16"/>
      <c r="F90" s="17"/>
      <c r="G90" s="17"/>
      <c r="H90" s="18"/>
      <c r="I90" s="22" t="str">
        <f t="shared" si="17"/>
        <v/>
      </c>
      <c r="J90" s="22" t="str">
        <f t="shared" si="18"/>
        <v/>
      </c>
      <c r="K90" s="19"/>
      <c r="L90" s="22" t="str">
        <f t="shared" si="19"/>
        <v/>
      </c>
      <c r="M90" s="22" t="str">
        <f t="shared" si="20"/>
        <v/>
      </c>
      <c r="N90" s="21" t="str">
        <f>IF(A90="","",IF(OR(WEEKDAY(A90,2)=7,COUNTIF(Einstellungen!$D$4:$D$12,A90)&gt;0),"Ja","Nein"))</f>
        <v/>
      </c>
      <c r="O90" s="20"/>
      <c r="P90" s="23" t="str">
        <f>IF(C90="","",IFERROR(VLOOKUP(C90,Einstellungen!$G$4:$H$9,2,FALSE),Einstellungen!$B$4))</f>
        <v/>
      </c>
      <c r="Q90" s="23" t="str">
        <f t="shared" si="21"/>
        <v/>
      </c>
      <c r="R90" s="23" t="str">
        <f>IF(M90="","",ROUND(M90*P90*Einstellungen!$B$5,2))</f>
        <v/>
      </c>
      <c r="S90" s="23">
        <f>IF(N90="Ja",ROUND(J90*P90*Einstellungen!$B$6,2),0)</f>
        <v>0</v>
      </c>
      <c r="T90" s="23" t="str">
        <f t="shared" si="22"/>
        <v/>
      </c>
      <c r="U90" s="22" t="str">
        <f t="shared" si="23"/>
        <v/>
      </c>
      <c r="V90" s="21" t="str">
        <f>IF(A90="","",IF(OR(AND(I90&gt;6,H90&lt;30),AND(I90&gt;9,H90&lt;45),AND(U90&lt;&gt;"",U90&lt;Einstellungen!$B$7),P90&lt;Einstellungen!$B$4,J90&gt;10),"Prüfen","OK"))</f>
        <v/>
      </c>
      <c r="W90" s="16"/>
    </row>
    <row r="91" spans="1:23" x14ac:dyDescent="0.25">
      <c r="A91" s="15"/>
      <c r="B91" s="21" t="str">
        <f t="shared" si="16"/>
        <v/>
      </c>
      <c r="C91" s="16"/>
      <c r="D91" s="16"/>
      <c r="E91" s="16"/>
      <c r="F91" s="17"/>
      <c r="G91" s="17"/>
      <c r="H91" s="18"/>
      <c r="I91" s="22" t="str">
        <f t="shared" si="17"/>
        <v/>
      </c>
      <c r="J91" s="22" t="str">
        <f t="shared" si="18"/>
        <v/>
      </c>
      <c r="K91" s="19"/>
      <c r="L91" s="22" t="str">
        <f t="shared" si="19"/>
        <v/>
      </c>
      <c r="M91" s="22" t="str">
        <f t="shared" si="20"/>
        <v/>
      </c>
      <c r="N91" s="21" t="str">
        <f>IF(A91="","",IF(OR(WEEKDAY(A91,2)=7,COUNTIF(Einstellungen!$D$4:$D$12,A91)&gt;0),"Ja","Nein"))</f>
        <v/>
      </c>
      <c r="O91" s="20"/>
      <c r="P91" s="23" t="str">
        <f>IF(C91="","",IFERROR(VLOOKUP(C91,Einstellungen!$G$4:$H$9,2,FALSE),Einstellungen!$B$4))</f>
        <v/>
      </c>
      <c r="Q91" s="23" t="str">
        <f t="shared" si="21"/>
        <v/>
      </c>
      <c r="R91" s="23" t="str">
        <f>IF(M91="","",ROUND(M91*P91*Einstellungen!$B$5,2))</f>
        <v/>
      </c>
      <c r="S91" s="23">
        <f>IF(N91="Ja",ROUND(J91*P91*Einstellungen!$B$6,2),0)</f>
        <v>0</v>
      </c>
      <c r="T91" s="23" t="str">
        <f t="shared" si="22"/>
        <v/>
      </c>
      <c r="U91" s="22" t="str">
        <f t="shared" si="23"/>
        <v/>
      </c>
      <c r="V91" s="21" t="str">
        <f>IF(A91="","",IF(OR(AND(I91&gt;6,H91&lt;30),AND(I91&gt;9,H91&lt;45),AND(U91&lt;&gt;"",U91&lt;Einstellungen!$B$7),P91&lt;Einstellungen!$B$4,J91&gt;10),"Prüfen","OK"))</f>
        <v/>
      </c>
      <c r="W91" s="16"/>
    </row>
    <row r="92" spans="1:23" x14ac:dyDescent="0.25">
      <c r="A92" s="15"/>
      <c r="B92" s="21" t="str">
        <f t="shared" si="16"/>
        <v/>
      </c>
      <c r="C92" s="16"/>
      <c r="D92" s="16"/>
      <c r="E92" s="16"/>
      <c r="F92" s="17"/>
      <c r="G92" s="17"/>
      <c r="H92" s="18"/>
      <c r="I92" s="22" t="str">
        <f t="shared" si="17"/>
        <v/>
      </c>
      <c r="J92" s="22" t="str">
        <f t="shared" si="18"/>
        <v/>
      </c>
      <c r="K92" s="19"/>
      <c r="L92" s="22" t="str">
        <f t="shared" si="19"/>
        <v/>
      </c>
      <c r="M92" s="22" t="str">
        <f t="shared" si="20"/>
        <v/>
      </c>
      <c r="N92" s="21" t="str">
        <f>IF(A92="","",IF(OR(WEEKDAY(A92,2)=7,COUNTIF(Einstellungen!$D$4:$D$12,A92)&gt;0),"Ja","Nein"))</f>
        <v/>
      </c>
      <c r="O92" s="20"/>
      <c r="P92" s="23" t="str">
        <f>IF(C92="","",IFERROR(VLOOKUP(C92,Einstellungen!$G$4:$H$9,2,FALSE),Einstellungen!$B$4))</f>
        <v/>
      </c>
      <c r="Q92" s="23" t="str">
        <f t="shared" si="21"/>
        <v/>
      </c>
      <c r="R92" s="23" t="str">
        <f>IF(M92="","",ROUND(M92*P92*Einstellungen!$B$5,2))</f>
        <v/>
      </c>
      <c r="S92" s="23">
        <f>IF(N92="Ja",ROUND(J92*P92*Einstellungen!$B$6,2),0)</f>
        <v>0</v>
      </c>
      <c r="T92" s="23" t="str">
        <f t="shared" si="22"/>
        <v/>
      </c>
      <c r="U92" s="22" t="str">
        <f t="shared" si="23"/>
        <v/>
      </c>
      <c r="V92" s="21" t="str">
        <f>IF(A92="","",IF(OR(AND(I92&gt;6,H92&lt;30),AND(I92&gt;9,H92&lt;45),AND(U92&lt;&gt;"",U92&lt;Einstellungen!$B$7),P92&lt;Einstellungen!$B$4,J92&gt;10),"Prüfen","OK"))</f>
        <v/>
      </c>
      <c r="W92" s="16"/>
    </row>
    <row r="93" spans="1:23" x14ac:dyDescent="0.25">
      <c r="A93" s="15"/>
      <c r="B93" s="21" t="str">
        <f t="shared" si="16"/>
        <v/>
      </c>
      <c r="C93" s="16"/>
      <c r="D93" s="16"/>
      <c r="E93" s="16"/>
      <c r="F93" s="17"/>
      <c r="G93" s="17"/>
      <c r="H93" s="18"/>
      <c r="I93" s="22" t="str">
        <f t="shared" si="17"/>
        <v/>
      </c>
      <c r="J93" s="22" t="str">
        <f t="shared" si="18"/>
        <v/>
      </c>
      <c r="K93" s="19"/>
      <c r="L93" s="22" t="str">
        <f t="shared" si="19"/>
        <v/>
      </c>
      <c r="M93" s="22" t="str">
        <f t="shared" si="20"/>
        <v/>
      </c>
      <c r="N93" s="21" t="str">
        <f>IF(A93="","",IF(OR(WEEKDAY(A93,2)=7,COUNTIF(Einstellungen!$D$4:$D$12,A93)&gt;0),"Ja","Nein"))</f>
        <v/>
      </c>
      <c r="O93" s="20"/>
      <c r="P93" s="23" t="str">
        <f>IF(C93="","",IFERROR(VLOOKUP(C93,Einstellungen!$G$4:$H$9,2,FALSE),Einstellungen!$B$4))</f>
        <v/>
      </c>
      <c r="Q93" s="23" t="str">
        <f t="shared" si="21"/>
        <v/>
      </c>
      <c r="R93" s="23" t="str">
        <f>IF(M93="","",ROUND(M93*P93*Einstellungen!$B$5,2))</f>
        <v/>
      </c>
      <c r="S93" s="23">
        <f>IF(N93="Ja",ROUND(J93*P93*Einstellungen!$B$6,2),0)</f>
        <v>0</v>
      </c>
      <c r="T93" s="23" t="str">
        <f t="shared" si="22"/>
        <v/>
      </c>
      <c r="U93" s="22" t="str">
        <f t="shared" si="23"/>
        <v/>
      </c>
      <c r="V93" s="21" t="str">
        <f>IF(A93="","",IF(OR(AND(I93&gt;6,H93&lt;30),AND(I93&gt;9,H93&lt;45),AND(U93&lt;&gt;"",U93&lt;Einstellungen!$B$7),P93&lt;Einstellungen!$B$4,J93&gt;10),"Prüfen","OK"))</f>
        <v/>
      </c>
      <c r="W93" s="16"/>
    </row>
    <row r="94" spans="1:23" x14ac:dyDescent="0.25">
      <c r="A94" s="15"/>
      <c r="B94" s="21" t="str">
        <f t="shared" si="16"/>
        <v/>
      </c>
      <c r="C94" s="16"/>
      <c r="D94" s="16"/>
      <c r="E94" s="16"/>
      <c r="F94" s="17"/>
      <c r="G94" s="17"/>
      <c r="H94" s="18"/>
      <c r="I94" s="22" t="str">
        <f t="shared" si="17"/>
        <v/>
      </c>
      <c r="J94" s="22" t="str">
        <f t="shared" si="18"/>
        <v/>
      </c>
      <c r="K94" s="19"/>
      <c r="L94" s="22" t="str">
        <f t="shared" si="19"/>
        <v/>
      </c>
      <c r="M94" s="22" t="str">
        <f t="shared" si="20"/>
        <v/>
      </c>
      <c r="N94" s="21" t="str">
        <f>IF(A94="","",IF(OR(WEEKDAY(A94,2)=7,COUNTIF(Einstellungen!$D$4:$D$12,A94)&gt;0),"Ja","Nein"))</f>
        <v/>
      </c>
      <c r="O94" s="20"/>
      <c r="P94" s="23" t="str">
        <f>IF(C94="","",IFERROR(VLOOKUP(C94,Einstellungen!$G$4:$H$9,2,FALSE),Einstellungen!$B$4))</f>
        <v/>
      </c>
      <c r="Q94" s="23" t="str">
        <f t="shared" si="21"/>
        <v/>
      </c>
      <c r="R94" s="23" t="str">
        <f>IF(M94="","",ROUND(M94*P94*Einstellungen!$B$5,2))</f>
        <v/>
      </c>
      <c r="S94" s="23">
        <f>IF(N94="Ja",ROUND(J94*P94*Einstellungen!$B$6,2),0)</f>
        <v>0</v>
      </c>
      <c r="T94" s="23" t="str">
        <f t="shared" si="22"/>
        <v/>
      </c>
      <c r="U94" s="22" t="str">
        <f t="shared" si="23"/>
        <v/>
      </c>
      <c r="V94" s="21" t="str">
        <f>IF(A94="","",IF(OR(AND(I94&gt;6,H94&lt;30),AND(I94&gt;9,H94&lt;45),AND(U94&lt;&gt;"",U94&lt;Einstellungen!$B$7),P94&lt;Einstellungen!$B$4,J94&gt;10),"Prüfen","OK"))</f>
        <v/>
      </c>
      <c r="W94" s="16"/>
    </row>
    <row r="95" spans="1:23" x14ac:dyDescent="0.25">
      <c r="A95" s="15"/>
      <c r="B95" s="21" t="str">
        <f t="shared" si="16"/>
        <v/>
      </c>
      <c r="C95" s="16"/>
      <c r="D95" s="16"/>
      <c r="E95" s="16"/>
      <c r="F95" s="17"/>
      <c r="G95" s="17"/>
      <c r="H95" s="18"/>
      <c r="I95" s="22" t="str">
        <f t="shared" si="17"/>
        <v/>
      </c>
      <c r="J95" s="22" t="str">
        <f t="shared" si="18"/>
        <v/>
      </c>
      <c r="K95" s="19"/>
      <c r="L95" s="22" t="str">
        <f t="shared" si="19"/>
        <v/>
      </c>
      <c r="M95" s="22" t="str">
        <f t="shared" si="20"/>
        <v/>
      </c>
      <c r="N95" s="21" t="str">
        <f>IF(A95="","",IF(OR(WEEKDAY(A95,2)=7,COUNTIF(Einstellungen!$D$4:$D$12,A95)&gt;0),"Ja","Nein"))</f>
        <v/>
      </c>
      <c r="O95" s="20"/>
      <c r="P95" s="23" t="str">
        <f>IF(C95="","",IFERROR(VLOOKUP(C95,Einstellungen!$G$4:$H$9,2,FALSE),Einstellungen!$B$4))</f>
        <v/>
      </c>
      <c r="Q95" s="23" t="str">
        <f t="shared" si="21"/>
        <v/>
      </c>
      <c r="R95" s="23" t="str">
        <f>IF(M95="","",ROUND(M95*P95*Einstellungen!$B$5,2))</f>
        <v/>
      </c>
      <c r="S95" s="23">
        <f>IF(N95="Ja",ROUND(J95*P95*Einstellungen!$B$6,2),0)</f>
        <v>0</v>
      </c>
      <c r="T95" s="23" t="str">
        <f t="shared" si="22"/>
        <v/>
      </c>
      <c r="U95" s="22" t="str">
        <f t="shared" si="23"/>
        <v/>
      </c>
      <c r="V95" s="21" t="str">
        <f>IF(A95="","",IF(OR(AND(I95&gt;6,H95&lt;30),AND(I95&gt;9,H95&lt;45),AND(U95&lt;&gt;"",U95&lt;Einstellungen!$B$7),P95&lt;Einstellungen!$B$4,J95&gt;10),"Prüfen","OK"))</f>
        <v/>
      </c>
      <c r="W95" s="16"/>
    </row>
    <row r="96" spans="1:23" x14ac:dyDescent="0.25">
      <c r="A96" s="15"/>
      <c r="B96" s="21" t="str">
        <f t="shared" si="16"/>
        <v/>
      </c>
      <c r="C96" s="16"/>
      <c r="D96" s="16"/>
      <c r="E96" s="16"/>
      <c r="F96" s="17"/>
      <c r="G96" s="17"/>
      <c r="H96" s="18"/>
      <c r="I96" s="22" t="str">
        <f t="shared" si="17"/>
        <v/>
      </c>
      <c r="J96" s="22" t="str">
        <f t="shared" si="18"/>
        <v/>
      </c>
      <c r="K96" s="19"/>
      <c r="L96" s="22" t="str">
        <f t="shared" si="19"/>
        <v/>
      </c>
      <c r="M96" s="22" t="str">
        <f t="shared" si="20"/>
        <v/>
      </c>
      <c r="N96" s="21" t="str">
        <f>IF(A96="","",IF(OR(WEEKDAY(A96,2)=7,COUNTIF(Einstellungen!$D$4:$D$12,A96)&gt;0),"Ja","Nein"))</f>
        <v/>
      </c>
      <c r="O96" s="20"/>
      <c r="P96" s="23" t="str">
        <f>IF(C96="","",IFERROR(VLOOKUP(C96,Einstellungen!$G$4:$H$9,2,FALSE),Einstellungen!$B$4))</f>
        <v/>
      </c>
      <c r="Q96" s="23" t="str">
        <f t="shared" si="21"/>
        <v/>
      </c>
      <c r="R96" s="23" t="str">
        <f>IF(M96="","",ROUND(M96*P96*Einstellungen!$B$5,2))</f>
        <v/>
      </c>
      <c r="S96" s="23">
        <f>IF(N96="Ja",ROUND(J96*P96*Einstellungen!$B$6,2),0)</f>
        <v>0</v>
      </c>
      <c r="T96" s="23" t="str">
        <f t="shared" si="22"/>
        <v/>
      </c>
      <c r="U96" s="22" t="str">
        <f t="shared" si="23"/>
        <v/>
      </c>
      <c r="V96" s="21" t="str">
        <f>IF(A96="","",IF(OR(AND(I96&gt;6,H96&lt;30),AND(I96&gt;9,H96&lt;45),AND(U96&lt;&gt;"",U96&lt;Einstellungen!$B$7),P96&lt;Einstellungen!$B$4,J96&gt;10),"Prüfen","OK"))</f>
        <v/>
      </c>
      <c r="W96" s="16"/>
    </row>
    <row r="97" spans="1:23" x14ac:dyDescent="0.25">
      <c r="A97" s="15"/>
      <c r="B97" s="21" t="str">
        <f t="shared" si="16"/>
        <v/>
      </c>
      <c r="C97" s="16"/>
      <c r="D97" s="16"/>
      <c r="E97" s="16"/>
      <c r="F97" s="17"/>
      <c r="G97" s="17"/>
      <c r="H97" s="18"/>
      <c r="I97" s="22" t="str">
        <f t="shared" si="17"/>
        <v/>
      </c>
      <c r="J97" s="22" t="str">
        <f t="shared" si="18"/>
        <v/>
      </c>
      <c r="K97" s="19"/>
      <c r="L97" s="22" t="str">
        <f t="shared" si="19"/>
        <v/>
      </c>
      <c r="M97" s="22" t="str">
        <f t="shared" si="20"/>
        <v/>
      </c>
      <c r="N97" s="21" t="str">
        <f>IF(A97="","",IF(OR(WEEKDAY(A97,2)=7,COUNTIF(Einstellungen!$D$4:$D$12,A97)&gt;0),"Ja","Nein"))</f>
        <v/>
      </c>
      <c r="O97" s="20"/>
      <c r="P97" s="23" t="str">
        <f>IF(C97="","",IFERROR(VLOOKUP(C97,Einstellungen!$G$4:$H$9,2,FALSE),Einstellungen!$B$4))</f>
        <v/>
      </c>
      <c r="Q97" s="23" t="str">
        <f t="shared" si="21"/>
        <v/>
      </c>
      <c r="R97" s="23" t="str">
        <f>IF(M97="","",ROUND(M97*P97*Einstellungen!$B$5,2))</f>
        <v/>
      </c>
      <c r="S97" s="23">
        <f>IF(N97="Ja",ROUND(J97*P97*Einstellungen!$B$6,2),0)</f>
        <v>0</v>
      </c>
      <c r="T97" s="23" t="str">
        <f t="shared" si="22"/>
        <v/>
      </c>
      <c r="U97" s="22" t="str">
        <f t="shared" si="23"/>
        <v/>
      </c>
      <c r="V97" s="21" t="str">
        <f>IF(A97="","",IF(OR(AND(I97&gt;6,H97&lt;30),AND(I97&gt;9,H97&lt;45),AND(U97&lt;&gt;"",U97&lt;Einstellungen!$B$7),P97&lt;Einstellungen!$B$4,J97&gt;10),"Prüfen","OK"))</f>
        <v/>
      </c>
      <c r="W97" s="16"/>
    </row>
    <row r="98" spans="1:23" x14ac:dyDescent="0.25">
      <c r="A98" s="15"/>
      <c r="B98" s="21" t="str">
        <f t="shared" si="16"/>
        <v/>
      </c>
      <c r="C98" s="16"/>
      <c r="D98" s="16"/>
      <c r="E98" s="16"/>
      <c r="F98" s="17"/>
      <c r="G98" s="17"/>
      <c r="H98" s="18"/>
      <c r="I98" s="22" t="str">
        <f t="shared" si="17"/>
        <v/>
      </c>
      <c r="J98" s="22" t="str">
        <f t="shared" si="18"/>
        <v/>
      </c>
      <c r="K98" s="19"/>
      <c r="L98" s="22" t="str">
        <f t="shared" si="19"/>
        <v/>
      </c>
      <c r="M98" s="22" t="str">
        <f t="shared" si="20"/>
        <v/>
      </c>
      <c r="N98" s="21" t="str">
        <f>IF(A98="","",IF(OR(WEEKDAY(A98,2)=7,COUNTIF(Einstellungen!$D$4:$D$12,A98)&gt;0),"Ja","Nein"))</f>
        <v/>
      </c>
      <c r="O98" s="20"/>
      <c r="P98" s="23" t="str">
        <f>IF(C98="","",IFERROR(VLOOKUP(C98,Einstellungen!$G$4:$H$9,2,FALSE),Einstellungen!$B$4))</f>
        <v/>
      </c>
      <c r="Q98" s="23" t="str">
        <f t="shared" si="21"/>
        <v/>
      </c>
      <c r="R98" s="23" t="str">
        <f>IF(M98="","",ROUND(M98*P98*Einstellungen!$B$5,2))</f>
        <v/>
      </c>
      <c r="S98" s="23">
        <f>IF(N98="Ja",ROUND(J98*P98*Einstellungen!$B$6,2),0)</f>
        <v>0</v>
      </c>
      <c r="T98" s="23" t="str">
        <f t="shared" si="22"/>
        <v/>
      </c>
      <c r="U98" s="22" t="str">
        <f t="shared" si="23"/>
        <v/>
      </c>
      <c r="V98" s="21" t="str">
        <f>IF(A98="","",IF(OR(AND(I98&gt;6,H98&lt;30),AND(I98&gt;9,H98&lt;45),AND(U98&lt;&gt;"",U98&lt;Einstellungen!$B$7),P98&lt;Einstellungen!$B$4,J98&gt;10),"Prüfen","OK"))</f>
        <v/>
      </c>
      <c r="W98" s="16"/>
    </row>
    <row r="99" spans="1:23" x14ac:dyDescent="0.25">
      <c r="A99" s="15"/>
      <c r="B99" s="21" t="str">
        <f t="shared" si="16"/>
        <v/>
      </c>
      <c r="C99" s="16"/>
      <c r="D99" s="16"/>
      <c r="E99" s="16"/>
      <c r="F99" s="17"/>
      <c r="G99" s="17"/>
      <c r="H99" s="18"/>
      <c r="I99" s="22" t="str">
        <f t="shared" si="17"/>
        <v/>
      </c>
      <c r="J99" s="22" t="str">
        <f t="shared" si="18"/>
        <v/>
      </c>
      <c r="K99" s="19"/>
      <c r="L99" s="22" t="str">
        <f t="shared" si="19"/>
        <v/>
      </c>
      <c r="M99" s="22" t="str">
        <f t="shared" si="20"/>
        <v/>
      </c>
      <c r="N99" s="21" t="str">
        <f>IF(A99="","",IF(OR(WEEKDAY(A99,2)=7,COUNTIF(Einstellungen!$D$4:$D$12,A99)&gt;0),"Ja","Nein"))</f>
        <v/>
      </c>
      <c r="O99" s="20"/>
      <c r="P99" s="23" t="str">
        <f>IF(C99="","",IFERROR(VLOOKUP(C99,Einstellungen!$G$4:$H$9,2,FALSE),Einstellungen!$B$4))</f>
        <v/>
      </c>
      <c r="Q99" s="23" t="str">
        <f t="shared" si="21"/>
        <v/>
      </c>
      <c r="R99" s="23" t="str">
        <f>IF(M99="","",ROUND(M99*P99*Einstellungen!$B$5,2))</f>
        <v/>
      </c>
      <c r="S99" s="23">
        <f>IF(N99="Ja",ROUND(J99*P99*Einstellungen!$B$6,2),0)</f>
        <v>0</v>
      </c>
      <c r="T99" s="23" t="str">
        <f t="shared" si="22"/>
        <v/>
      </c>
      <c r="U99" s="22" t="str">
        <f t="shared" si="23"/>
        <v/>
      </c>
      <c r="V99" s="21" t="str">
        <f>IF(A99="","",IF(OR(AND(I99&gt;6,H99&lt;30),AND(I99&gt;9,H99&lt;45),AND(U99&lt;&gt;"",U99&lt;Einstellungen!$B$7),P99&lt;Einstellungen!$B$4,J99&gt;10),"Prüfen","OK"))</f>
        <v/>
      </c>
      <c r="W99" s="16"/>
    </row>
    <row r="100" spans="1:23" x14ac:dyDescent="0.25">
      <c r="A100" s="15"/>
      <c r="B100" s="21" t="str">
        <f t="shared" si="16"/>
        <v/>
      </c>
      <c r="C100" s="16"/>
      <c r="D100" s="16"/>
      <c r="E100" s="16"/>
      <c r="F100" s="17"/>
      <c r="G100" s="17"/>
      <c r="H100" s="18"/>
      <c r="I100" s="22" t="str">
        <f t="shared" si="17"/>
        <v/>
      </c>
      <c r="J100" s="22" t="str">
        <f t="shared" si="18"/>
        <v/>
      </c>
      <c r="K100" s="19"/>
      <c r="L100" s="22" t="str">
        <f t="shared" si="19"/>
        <v/>
      </c>
      <c r="M100" s="22" t="str">
        <f t="shared" si="20"/>
        <v/>
      </c>
      <c r="N100" s="21" t="str">
        <f>IF(A100="","",IF(OR(WEEKDAY(A100,2)=7,COUNTIF(Einstellungen!$D$4:$D$12,A100)&gt;0),"Ja","Nein"))</f>
        <v/>
      </c>
      <c r="O100" s="20"/>
      <c r="P100" s="23" t="str">
        <f>IF(C100="","",IFERROR(VLOOKUP(C100,Einstellungen!$G$4:$H$9,2,FALSE),Einstellungen!$B$4))</f>
        <v/>
      </c>
      <c r="Q100" s="23" t="str">
        <f t="shared" si="21"/>
        <v/>
      </c>
      <c r="R100" s="23" t="str">
        <f>IF(M100="","",ROUND(M100*P100*Einstellungen!$B$5,2))</f>
        <v/>
      </c>
      <c r="S100" s="23">
        <f>IF(N100="Ja",ROUND(J100*P100*Einstellungen!$B$6,2),0)</f>
        <v>0</v>
      </c>
      <c r="T100" s="23" t="str">
        <f t="shared" si="22"/>
        <v/>
      </c>
      <c r="U100" s="22" t="str">
        <f t="shared" si="23"/>
        <v/>
      </c>
      <c r="V100" s="21" t="str">
        <f>IF(A100="","",IF(OR(AND(I100&gt;6,H100&lt;30),AND(I100&gt;9,H100&lt;45),AND(U100&lt;&gt;"",U100&lt;Einstellungen!$B$7),P100&lt;Einstellungen!$B$4,J100&gt;10),"Prüfen","OK"))</f>
        <v/>
      </c>
      <c r="W100" s="16"/>
    </row>
    <row r="101" spans="1:23" x14ac:dyDescent="0.25">
      <c r="A101" s="15"/>
      <c r="B101" s="21" t="str">
        <f t="shared" si="16"/>
        <v/>
      </c>
      <c r="C101" s="16"/>
      <c r="D101" s="16"/>
      <c r="E101" s="16"/>
      <c r="F101" s="17"/>
      <c r="G101" s="17"/>
      <c r="H101" s="18"/>
      <c r="I101" s="22" t="str">
        <f t="shared" si="17"/>
        <v/>
      </c>
      <c r="J101" s="22" t="str">
        <f t="shared" si="18"/>
        <v/>
      </c>
      <c r="K101" s="19"/>
      <c r="L101" s="22" t="str">
        <f t="shared" si="19"/>
        <v/>
      </c>
      <c r="M101" s="22" t="str">
        <f t="shared" si="20"/>
        <v/>
      </c>
      <c r="N101" s="21" t="str">
        <f>IF(A101="","",IF(OR(WEEKDAY(A101,2)=7,COUNTIF(Einstellungen!$D$4:$D$12,A101)&gt;0),"Ja","Nein"))</f>
        <v/>
      </c>
      <c r="O101" s="20"/>
      <c r="P101" s="23" t="str">
        <f>IF(C101="","",IFERROR(VLOOKUP(C101,Einstellungen!$G$4:$H$9,2,FALSE),Einstellungen!$B$4))</f>
        <v/>
      </c>
      <c r="Q101" s="23" t="str">
        <f t="shared" si="21"/>
        <v/>
      </c>
      <c r="R101" s="23" t="str">
        <f>IF(M101="","",ROUND(M101*P101*Einstellungen!$B$5,2))</f>
        <v/>
      </c>
      <c r="S101" s="23">
        <f>IF(N101="Ja",ROUND(J101*P101*Einstellungen!$B$6,2),0)</f>
        <v>0</v>
      </c>
      <c r="T101" s="23" t="str">
        <f t="shared" si="22"/>
        <v/>
      </c>
      <c r="U101" s="22" t="str">
        <f t="shared" si="23"/>
        <v/>
      </c>
      <c r="V101" s="21" t="str">
        <f>IF(A101="","",IF(OR(AND(I101&gt;6,H101&lt;30),AND(I101&gt;9,H101&lt;45),AND(U101&lt;&gt;"",U101&lt;Einstellungen!$B$7),P101&lt;Einstellungen!$B$4,J101&gt;10),"Prüfen","OK"))</f>
        <v/>
      </c>
      <c r="W101" s="16"/>
    </row>
    <row r="102" spans="1:23" x14ac:dyDescent="0.25">
      <c r="A102" s="15"/>
      <c r="B102" s="21" t="str">
        <f t="shared" si="16"/>
        <v/>
      </c>
      <c r="C102" s="16"/>
      <c r="D102" s="16"/>
      <c r="E102" s="16"/>
      <c r="F102" s="17"/>
      <c r="G102" s="17"/>
      <c r="H102" s="18"/>
      <c r="I102" s="22" t="str">
        <f t="shared" si="17"/>
        <v/>
      </c>
      <c r="J102" s="22" t="str">
        <f t="shared" si="18"/>
        <v/>
      </c>
      <c r="K102" s="19"/>
      <c r="L102" s="22" t="str">
        <f t="shared" si="19"/>
        <v/>
      </c>
      <c r="M102" s="22" t="str">
        <f t="shared" si="20"/>
        <v/>
      </c>
      <c r="N102" s="21" t="str">
        <f>IF(A102="","",IF(OR(WEEKDAY(A102,2)=7,COUNTIF(Einstellungen!$D$4:$D$12,A102)&gt;0),"Ja","Nein"))</f>
        <v/>
      </c>
      <c r="O102" s="20"/>
      <c r="P102" s="23" t="str">
        <f>IF(C102="","",IFERROR(VLOOKUP(C102,Einstellungen!$G$4:$H$9,2,FALSE),Einstellungen!$B$4))</f>
        <v/>
      </c>
      <c r="Q102" s="23" t="str">
        <f t="shared" si="21"/>
        <v/>
      </c>
      <c r="R102" s="23" t="str">
        <f>IF(M102="","",ROUND(M102*P102*Einstellungen!$B$5,2))</f>
        <v/>
      </c>
      <c r="S102" s="23">
        <f>IF(N102="Ja",ROUND(J102*P102*Einstellungen!$B$6,2),0)</f>
        <v>0</v>
      </c>
      <c r="T102" s="23" t="str">
        <f t="shared" si="22"/>
        <v/>
      </c>
      <c r="U102" s="22" t="str">
        <f t="shared" si="23"/>
        <v/>
      </c>
      <c r="V102" s="21" t="str">
        <f>IF(A102="","",IF(OR(AND(I102&gt;6,H102&lt;30),AND(I102&gt;9,H102&lt;45),AND(U102&lt;&gt;"",U102&lt;Einstellungen!$B$7),P102&lt;Einstellungen!$B$4,J102&gt;10),"Prüfen","OK"))</f>
        <v/>
      </c>
      <c r="W102" s="16"/>
    </row>
    <row r="103" spans="1:23" x14ac:dyDescent="0.25">
      <c r="A103" s="15"/>
      <c r="B103" s="21" t="str">
        <f t="shared" si="16"/>
        <v/>
      </c>
      <c r="C103" s="16"/>
      <c r="D103" s="16"/>
      <c r="E103" s="16"/>
      <c r="F103" s="17"/>
      <c r="G103" s="17"/>
      <c r="H103" s="18"/>
      <c r="I103" s="22" t="str">
        <f t="shared" si="17"/>
        <v/>
      </c>
      <c r="J103" s="22" t="str">
        <f t="shared" si="18"/>
        <v/>
      </c>
      <c r="K103" s="19"/>
      <c r="L103" s="22" t="str">
        <f t="shared" si="19"/>
        <v/>
      </c>
      <c r="M103" s="22" t="str">
        <f t="shared" si="20"/>
        <v/>
      </c>
      <c r="N103" s="21" t="str">
        <f>IF(A103="","",IF(OR(WEEKDAY(A103,2)=7,COUNTIF(Einstellungen!$D$4:$D$12,A103)&gt;0),"Ja","Nein"))</f>
        <v/>
      </c>
      <c r="O103" s="20"/>
      <c r="P103" s="23" t="str">
        <f>IF(C103="","",IFERROR(VLOOKUP(C103,Einstellungen!$G$4:$H$9,2,FALSE),Einstellungen!$B$4))</f>
        <v/>
      </c>
      <c r="Q103" s="23" t="str">
        <f t="shared" si="21"/>
        <v/>
      </c>
      <c r="R103" s="23" t="str">
        <f>IF(M103="","",ROUND(M103*P103*Einstellungen!$B$5,2))</f>
        <v/>
      </c>
      <c r="S103" s="23">
        <f>IF(N103="Ja",ROUND(J103*P103*Einstellungen!$B$6,2),0)</f>
        <v>0</v>
      </c>
      <c r="T103" s="23" t="str">
        <f t="shared" si="22"/>
        <v/>
      </c>
      <c r="U103" s="22" t="str">
        <f t="shared" si="23"/>
        <v/>
      </c>
      <c r="V103" s="21" t="str">
        <f>IF(A103="","",IF(OR(AND(I103&gt;6,H103&lt;30),AND(I103&gt;9,H103&lt;45),AND(U103&lt;&gt;"",U103&lt;Einstellungen!$B$7),P103&lt;Einstellungen!$B$4,J103&gt;10),"Prüfen","OK"))</f>
        <v/>
      </c>
      <c r="W103" s="16"/>
    </row>
    <row r="104" spans="1:23" x14ac:dyDescent="0.25">
      <c r="A104" s="15"/>
      <c r="B104" s="21" t="str">
        <f t="shared" si="16"/>
        <v/>
      </c>
      <c r="C104" s="16"/>
      <c r="D104" s="16"/>
      <c r="E104" s="16"/>
      <c r="F104" s="17"/>
      <c r="G104" s="17"/>
      <c r="H104" s="18"/>
      <c r="I104" s="22" t="str">
        <f t="shared" si="17"/>
        <v/>
      </c>
      <c r="J104" s="22" t="str">
        <f t="shared" si="18"/>
        <v/>
      </c>
      <c r="K104" s="19"/>
      <c r="L104" s="22" t="str">
        <f t="shared" si="19"/>
        <v/>
      </c>
      <c r="M104" s="22" t="str">
        <f t="shared" si="20"/>
        <v/>
      </c>
      <c r="N104" s="21" t="str">
        <f>IF(A104="","",IF(OR(WEEKDAY(A104,2)=7,COUNTIF(Einstellungen!$D$4:$D$12,A104)&gt;0),"Ja","Nein"))</f>
        <v/>
      </c>
      <c r="O104" s="20"/>
      <c r="P104" s="23" t="str">
        <f>IF(C104="","",IFERROR(VLOOKUP(C104,Einstellungen!$G$4:$H$9,2,FALSE),Einstellungen!$B$4))</f>
        <v/>
      </c>
      <c r="Q104" s="23" t="str">
        <f t="shared" si="21"/>
        <v/>
      </c>
      <c r="R104" s="23" t="str">
        <f>IF(M104="","",ROUND(M104*P104*Einstellungen!$B$5,2))</f>
        <v/>
      </c>
      <c r="S104" s="23">
        <f>IF(N104="Ja",ROUND(J104*P104*Einstellungen!$B$6,2),0)</f>
        <v>0</v>
      </c>
      <c r="T104" s="23" t="str">
        <f t="shared" si="22"/>
        <v/>
      </c>
      <c r="U104" s="22" t="str">
        <f t="shared" si="23"/>
        <v/>
      </c>
      <c r="V104" s="21" t="str">
        <f>IF(A104="","",IF(OR(AND(I104&gt;6,H104&lt;30),AND(I104&gt;9,H104&lt;45),AND(U104&lt;&gt;"",U104&lt;Einstellungen!$B$7),P104&lt;Einstellungen!$B$4,J104&gt;10),"Prüfen","OK"))</f>
        <v/>
      </c>
      <c r="W104" s="16"/>
    </row>
    <row r="105" spans="1:23" x14ac:dyDescent="0.25">
      <c r="A105" s="15"/>
      <c r="B105" s="21" t="str">
        <f t="shared" ref="B105:B136" si="24">IF(A105="","",CHOOSE(WEEKDAY(A105,2),"Mo","Di","Mi","Do","Fr","Sa","So"))</f>
        <v/>
      </c>
      <c r="C105" s="16"/>
      <c r="D105" s="16"/>
      <c r="E105" s="16"/>
      <c r="F105" s="17"/>
      <c r="G105" s="17"/>
      <c r="H105" s="18"/>
      <c r="I105" s="22" t="str">
        <f t="shared" ref="I105:I128" si="25">IF(OR(A105="",F105="",G105=""),"",((G105+IF(G105&lt;F105,1,0))-F105)*24)</f>
        <v/>
      </c>
      <c r="J105" s="22" t="str">
        <f t="shared" ref="J105:J136" si="26">IF(I105="","",MAX(0,I105-H105/60))</f>
        <v/>
      </c>
      <c r="K105" s="19"/>
      <c r="L105" s="22" t="str">
        <f t="shared" ref="L105:L136" si="27">IF(J105="","",J105-K105)</f>
        <v/>
      </c>
      <c r="M105" s="22" t="str">
        <f t="shared" ref="M105:M128" si="28">IF(OR(F105="",G105=""),"",ROUND((IF(F105&lt;TIME(6,0,0),MAX(0,MIN(G105+IF(G105&lt;F105,1,0),TIME(6,0,0))-F105),0)+MAX(0,MIN(G105+IF(G105&lt;F105,1,0),1+TIME(6,0,0))-MAX(F105,TIME(22,0,0))))*24,2))</f>
        <v/>
      </c>
      <c r="N105" s="21" t="str">
        <f>IF(A105="","",IF(OR(WEEKDAY(A105,2)=7,COUNTIF(Einstellungen!$D$4:$D$12,A105)&gt;0),"Ja","Nein"))</f>
        <v/>
      </c>
      <c r="O105" s="20"/>
      <c r="P105" s="23" t="str">
        <f>IF(C105="","",IFERROR(VLOOKUP(C105,Einstellungen!$G$4:$H$9,2,FALSE),Einstellungen!$B$4))</f>
        <v/>
      </c>
      <c r="Q105" s="23" t="str">
        <f t="shared" ref="Q105:Q136" si="29">IF(J105="","",ROUND(J105*P105,2))</f>
        <v/>
      </c>
      <c r="R105" s="23" t="str">
        <f>IF(M105="","",ROUND(M105*P105*Einstellungen!$B$5,2))</f>
        <v/>
      </c>
      <c r="S105" s="23">
        <f>IF(N105="Ja",ROUND(J105*P105*Einstellungen!$B$6,2),0)</f>
        <v>0</v>
      </c>
      <c r="T105" s="23" t="str">
        <f t="shared" ref="T105:T136" si="30">IF(Q105="","",ROUND(Q105+R105+S105,2))</f>
        <v/>
      </c>
      <c r="U105" s="22" t="str">
        <f t="shared" ref="U105:U128" si="31">IF(OR(A105="",F105="",C105="",ROW()=9),"",IF(C105=C104,ROUND(((A105+F105)-(A104+G104+IF(G104&lt;F104,1,0)))*24,2),""))</f>
        <v/>
      </c>
      <c r="V105" s="21" t="str">
        <f>IF(A105="","",IF(OR(AND(I105&gt;6,H105&lt;30),AND(I105&gt;9,H105&lt;45),AND(U105&lt;&gt;"",U105&lt;Einstellungen!$B$7),P105&lt;Einstellungen!$B$4,J105&gt;10),"Prüfen","OK"))</f>
        <v/>
      </c>
      <c r="W105" s="16"/>
    </row>
    <row r="106" spans="1:23" x14ac:dyDescent="0.25">
      <c r="A106" s="15"/>
      <c r="B106" s="21" t="str">
        <f t="shared" si="24"/>
        <v/>
      </c>
      <c r="C106" s="16"/>
      <c r="D106" s="16"/>
      <c r="E106" s="16"/>
      <c r="F106" s="17"/>
      <c r="G106" s="17"/>
      <c r="H106" s="18"/>
      <c r="I106" s="22" t="str">
        <f t="shared" si="25"/>
        <v/>
      </c>
      <c r="J106" s="22" t="str">
        <f t="shared" si="26"/>
        <v/>
      </c>
      <c r="K106" s="19"/>
      <c r="L106" s="22" t="str">
        <f t="shared" si="27"/>
        <v/>
      </c>
      <c r="M106" s="22" t="str">
        <f t="shared" si="28"/>
        <v/>
      </c>
      <c r="N106" s="21" t="str">
        <f>IF(A106="","",IF(OR(WEEKDAY(A106,2)=7,COUNTIF(Einstellungen!$D$4:$D$12,A106)&gt;0),"Ja","Nein"))</f>
        <v/>
      </c>
      <c r="O106" s="20"/>
      <c r="P106" s="23" t="str">
        <f>IF(C106="","",IFERROR(VLOOKUP(C106,Einstellungen!$G$4:$H$9,2,FALSE),Einstellungen!$B$4))</f>
        <v/>
      </c>
      <c r="Q106" s="23" t="str">
        <f t="shared" si="29"/>
        <v/>
      </c>
      <c r="R106" s="23" t="str">
        <f>IF(M106="","",ROUND(M106*P106*Einstellungen!$B$5,2))</f>
        <v/>
      </c>
      <c r="S106" s="23">
        <f>IF(N106="Ja",ROUND(J106*P106*Einstellungen!$B$6,2),0)</f>
        <v>0</v>
      </c>
      <c r="T106" s="23" t="str">
        <f t="shared" si="30"/>
        <v/>
      </c>
      <c r="U106" s="22" t="str">
        <f t="shared" si="31"/>
        <v/>
      </c>
      <c r="V106" s="21" t="str">
        <f>IF(A106="","",IF(OR(AND(I106&gt;6,H106&lt;30),AND(I106&gt;9,H106&lt;45),AND(U106&lt;&gt;"",U106&lt;Einstellungen!$B$7),P106&lt;Einstellungen!$B$4,J106&gt;10),"Prüfen","OK"))</f>
        <v/>
      </c>
      <c r="W106" s="16"/>
    </row>
    <row r="107" spans="1:23" x14ac:dyDescent="0.25">
      <c r="A107" s="15"/>
      <c r="B107" s="21" t="str">
        <f t="shared" si="24"/>
        <v/>
      </c>
      <c r="C107" s="16"/>
      <c r="D107" s="16"/>
      <c r="E107" s="16"/>
      <c r="F107" s="17"/>
      <c r="G107" s="17"/>
      <c r="H107" s="18"/>
      <c r="I107" s="22" t="str">
        <f t="shared" si="25"/>
        <v/>
      </c>
      <c r="J107" s="22" t="str">
        <f t="shared" si="26"/>
        <v/>
      </c>
      <c r="K107" s="19"/>
      <c r="L107" s="22" t="str">
        <f t="shared" si="27"/>
        <v/>
      </c>
      <c r="M107" s="22" t="str">
        <f t="shared" si="28"/>
        <v/>
      </c>
      <c r="N107" s="21" t="str">
        <f>IF(A107="","",IF(OR(WEEKDAY(A107,2)=7,COUNTIF(Einstellungen!$D$4:$D$12,A107)&gt;0),"Ja","Nein"))</f>
        <v/>
      </c>
      <c r="O107" s="20"/>
      <c r="P107" s="23" t="str">
        <f>IF(C107="","",IFERROR(VLOOKUP(C107,Einstellungen!$G$4:$H$9,2,FALSE),Einstellungen!$B$4))</f>
        <v/>
      </c>
      <c r="Q107" s="23" t="str">
        <f t="shared" si="29"/>
        <v/>
      </c>
      <c r="R107" s="23" t="str">
        <f>IF(M107="","",ROUND(M107*P107*Einstellungen!$B$5,2))</f>
        <v/>
      </c>
      <c r="S107" s="23">
        <f>IF(N107="Ja",ROUND(J107*P107*Einstellungen!$B$6,2),0)</f>
        <v>0</v>
      </c>
      <c r="T107" s="23" t="str">
        <f t="shared" si="30"/>
        <v/>
      </c>
      <c r="U107" s="22" t="str">
        <f t="shared" si="31"/>
        <v/>
      </c>
      <c r="V107" s="21" t="str">
        <f>IF(A107="","",IF(OR(AND(I107&gt;6,H107&lt;30),AND(I107&gt;9,H107&lt;45),AND(U107&lt;&gt;"",U107&lt;Einstellungen!$B$7),P107&lt;Einstellungen!$B$4,J107&gt;10),"Prüfen","OK"))</f>
        <v/>
      </c>
      <c r="W107" s="16"/>
    </row>
    <row r="108" spans="1:23" x14ac:dyDescent="0.25">
      <c r="A108" s="15"/>
      <c r="B108" s="21" t="str">
        <f t="shared" si="24"/>
        <v/>
      </c>
      <c r="C108" s="16"/>
      <c r="D108" s="16"/>
      <c r="E108" s="16"/>
      <c r="F108" s="17"/>
      <c r="G108" s="17"/>
      <c r="H108" s="18"/>
      <c r="I108" s="22" t="str">
        <f t="shared" si="25"/>
        <v/>
      </c>
      <c r="J108" s="22" t="str">
        <f t="shared" si="26"/>
        <v/>
      </c>
      <c r="K108" s="19"/>
      <c r="L108" s="22" t="str">
        <f t="shared" si="27"/>
        <v/>
      </c>
      <c r="M108" s="22" t="str">
        <f t="shared" si="28"/>
        <v/>
      </c>
      <c r="N108" s="21" t="str">
        <f>IF(A108="","",IF(OR(WEEKDAY(A108,2)=7,COUNTIF(Einstellungen!$D$4:$D$12,A108)&gt;0),"Ja","Nein"))</f>
        <v/>
      </c>
      <c r="O108" s="20"/>
      <c r="P108" s="23" t="str">
        <f>IF(C108="","",IFERROR(VLOOKUP(C108,Einstellungen!$G$4:$H$9,2,FALSE),Einstellungen!$B$4))</f>
        <v/>
      </c>
      <c r="Q108" s="23" t="str">
        <f t="shared" si="29"/>
        <v/>
      </c>
      <c r="R108" s="23" t="str">
        <f>IF(M108="","",ROUND(M108*P108*Einstellungen!$B$5,2))</f>
        <v/>
      </c>
      <c r="S108" s="23">
        <f>IF(N108="Ja",ROUND(J108*P108*Einstellungen!$B$6,2),0)</f>
        <v>0</v>
      </c>
      <c r="T108" s="23" t="str">
        <f t="shared" si="30"/>
        <v/>
      </c>
      <c r="U108" s="22" t="str">
        <f t="shared" si="31"/>
        <v/>
      </c>
      <c r="V108" s="21" t="str">
        <f>IF(A108="","",IF(OR(AND(I108&gt;6,H108&lt;30),AND(I108&gt;9,H108&lt;45),AND(U108&lt;&gt;"",U108&lt;Einstellungen!$B$7),P108&lt;Einstellungen!$B$4,J108&gt;10),"Prüfen","OK"))</f>
        <v/>
      </c>
      <c r="W108" s="16"/>
    </row>
    <row r="109" spans="1:23" x14ac:dyDescent="0.25">
      <c r="A109" s="15"/>
      <c r="B109" s="21" t="str">
        <f t="shared" si="24"/>
        <v/>
      </c>
      <c r="C109" s="16"/>
      <c r="D109" s="16"/>
      <c r="E109" s="16"/>
      <c r="F109" s="17"/>
      <c r="G109" s="17"/>
      <c r="H109" s="18"/>
      <c r="I109" s="22" t="str">
        <f t="shared" si="25"/>
        <v/>
      </c>
      <c r="J109" s="22" t="str">
        <f t="shared" si="26"/>
        <v/>
      </c>
      <c r="K109" s="19"/>
      <c r="L109" s="22" t="str">
        <f t="shared" si="27"/>
        <v/>
      </c>
      <c r="M109" s="22" t="str">
        <f t="shared" si="28"/>
        <v/>
      </c>
      <c r="N109" s="21" t="str">
        <f>IF(A109="","",IF(OR(WEEKDAY(A109,2)=7,COUNTIF(Einstellungen!$D$4:$D$12,A109)&gt;0),"Ja","Nein"))</f>
        <v/>
      </c>
      <c r="O109" s="20"/>
      <c r="P109" s="23" t="str">
        <f>IF(C109="","",IFERROR(VLOOKUP(C109,Einstellungen!$G$4:$H$9,2,FALSE),Einstellungen!$B$4))</f>
        <v/>
      </c>
      <c r="Q109" s="23" t="str">
        <f t="shared" si="29"/>
        <v/>
      </c>
      <c r="R109" s="23" t="str">
        <f>IF(M109="","",ROUND(M109*P109*Einstellungen!$B$5,2))</f>
        <v/>
      </c>
      <c r="S109" s="23">
        <f>IF(N109="Ja",ROUND(J109*P109*Einstellungen!$B$6,2),0)</f>
        <v>0</v>
      </c>
      <c r="T109" s="23" t="str">
        <f t="shared" si="30"/>
        <v/>
      </c>
      <c r="U109" s="22" t="str">
        <f t="shared" si="31"/>
        <v/>
      </c>
      <c r="V109" s="21" t="str">
        <f>IF(A109="","",IF(OR(AND(I109&gt;6,H109&lt;30),AND(I109&gt;9,H109&lt;45),AND(U109&lt;&gt;"",U109&lt;Einstellungen!$B$7),P109&lt;Einstellungen!$B$4,J109&gt;10),"Prüfen","OK"))</f>
        <v/>
      </c>
      <c r="W109" s="16"/>
    </row>
    <row r="110" spans="1:23" x14ac:dyDescent="0.25">
      <c r="A110" s="15"/>
      <c r="B110" s="21" t="str">
        <f t="shared" si="24"/>
        <v/>
      </c>
      <c r="C110" s="16"/>
      <c r="D110" s="16"/>
      <c r="E110" s="16"/>
      <c r="F110" s="17"/>
      <c r="G110" s="17"/>
      <c r="H110" s="18"/>
      <c r="I110" s="22" t="str">
        <f t="shared" si="25"/>
        <v/>
      </c>
      <c r="J110" s="22" t="str">
        <f t="shared" si="26"/>
        <v/>
      </c>
      <c r="K110" s="19"/>
      <c r="L110" s="22" t="str">
        <f t="shared" si="27"/>
        <v/>
      </c>
      <c r="M110" s="22" t="str">
        <f t="shared" si="28"/>
        <v/>
      </c>
      <c r="N110" s="21" t="str">
        <f>IF(A110="","",IF(OR(WEEKDAY(A110,2)=7,COUNTIF(Einstellungen!$D$4:$D$12,A110)&gt;0),"Ja","Nein"))</f>
        <v/>
      </c>
      <c r="O110" s="20"/>
      <c r="P110" s="23" t="str">
        <f>IF(C110="","",IFERROR(VLOOKUP(C110,Einstellungen!$G$4:$H$9,2,FALSE),Einstellungen!$B$4))</f>
        <v/>
      </c>
      <c r="Q110" s="23" t="str">
        <f t="shared" si="29"/>
        <v/>
      </c>
      <c r="R110" s="23" t="str">
        <f>IF(M110="","",ROUND(M110*P110*Einstellungen!$B$5,2))</f>
        <v/>
      </c>
      <c r="S110" s="23">
        <f>IF(N110="Ja",ROUND(J110*P110*Einstellungen!$B$6,2),0)</f>
        <v>0</v>
      </c>
      <c r="T110" s="23" t="str">
        <f t="shared" si="30"/>
        <v/>
      </c>
      <c r="U110" s="22" t="str">
        <f t="shared" si="31"/>
        <v/>
      </c>
      <c r="V110" s="21" t="str">
        <f>IF(A110="","",IF(OR(AND(I110&gt;6,H110&lt;30),AND(I110&gt;9,H110&lt;45),AND(U110&lt;&gt;"",U110&lt;Einstellungen!$B$7),P110&lt;Einstellungen!$B$4,J110&gt;10),"Prüfen","OK"))</f>
        <v/>
      </c>
      <c r="W110" s="16"/>
    </row>
    <row r="111" spans="1:23" x14ac:dyDescent="0.25">
      <c r="A111" s="15"/>
      <c r="B111" s="21" t="str">
        <f t="shared" si="24"/>
        <v/>
      </c>
      <c r="C111" s="16"/>
      <c r="D111" s="16"/>
      <c r="E111" s="16"/>
      <c r="F111" s="17"/>
      <c r="G111" s="17"/>
      <c r="H111" s="18"/>
      <c r="I111" s="22" t="str">
        <f t="shared" si="25"/>
        <v/>
      </c>
      <c r="J111" s="22" t="str">
        <f t="shared" si="26"/>
        <v/>
      </c>
      <c r="K111" s="19"/>
      <c r="L111" s="22" t="str">
        <f t="shared" si="27"/>
        <v/>
      </c>
      <c r="M111" s="22" t="str">
        <f t="shared" si="28"/>
        <v/>
      </c>
      <c r="N111" s="21" t="str">
        <f>IF(A111="","",IF(OR(WEEKDAY(A111,2)=7,COUNTIF(Einstellungen!$D$4:$D$12,A111)&gt;0),"Ja","Nein"))</f>
        <v/>
      </c>
      <c r="O111" s="20"/>
      <c r="P111" s="23" t="str">
        <f>IF(C111="","",IFERROR(VLOOKUP(C111,Einstellungen!$G$4:$H$9,2,FALSE),Einstellungen!$B$4))</f>
        <v/>
      </c>
      <c r="Q111" s="23" t="str">
        <f t="shared" si="29"/>
        <v/>
      </c>
      <c r="R111" s="23" t="str">
        <f>IF(M111="","",ROUND(M111*P111*Einstellungen!$B$5,2))</f>
        <v/>
      </c>
      <c r="S111" s="23">
        <f>IF(N111="Ja",ROUND(J111*P111*Einstellungen!$B$6,2),0)</f>
        <v>0</v>
      </c>
      <c r="T111" s="23" t="str">
        <f t="shared" si="30"/>
        <v/>
      </c>
      <c r="U111" s="22" t="str">
        <f t="shared" si="31"/>
        <v/>
      </c>
      <c r="V111" s="21" t="str">
        <f>IF(A111="","",IF(OR(AND(I111&gt;6,H111&lt;30),AND(I111&gt;9,H111&lt;45),AND(U111&lt;&gt;"",U111&lt;Einstellungen!$B$7),P111&lt;Einstellungen!$B$4,J111&gt;10),"Prüfen","OK"))</f>
        <v/>
      </c>
      <c r="W111" s="16"/>
    </row>
    <row r="112" spans="1:23" x14ac:dyDescent="0.25">
      <c r="A112" s="15"/>
      <c r="B112" s="21" t="str">
        <f t="shared" si="24"/>
        <v/>
      </c>
      <c r="C112" s="16"/>
      <c r="D112" s="16"/>
      <c r="E112" s="16"/>
      <c r="F112" s="17"/>
      <c r="G112" s="17"/>
      <c r="H112" s="18"/>
      <c r="I112" s="22" t="str">
        <f t="shared" si="25"/>
        <v/>
      </c>
      <c r="J112" s="22" t="str">
        <f t="shared" si="26"/>
        <v/>
      </c>
      <c r="K112" s="19"/>
      <c r="L112" s="22" t="str">
        <f t="shared" si="27"/>
        <v/>
      </c>
      <c r="M112" s="22" t="str">
        <f t="shared" si="28"/>
        <v/>
      </c>
      <c r="N112" s="21" t="str">
        <f>IF(A112="","",IF(OR(WEEKDAY(A112,2)=7,COUNTIF(Einstellungen!$D$4:$D$12,A112)&gt;0),"Ja","Nein"))</f>
        <v/>
      </c>
      <c r="O112" s="20"/>
      <c r="P112" s="23" t="str">
        <f>IF(C112="","",IFERROR(VLOOKUP(C112,Einstellungen!$G$4:$H$9,2,FALSE),Einstellungen!$B$4))</f>
        <v/>
      </c>
      <c r="Q112" s="23" t="str">
        <f t="shared" si="29"/>
        <v/>
      </c>
      <c r="R112" s="23" t="str">
        <f>IF(M112="","",ROUND(M112*P112*Einstellungen!$B$5,2))</f>
        <v/>
      </c>
      <c r="S112" s="23">
        <f>IF(N112="Ja",ROUND(J112*P112*Einstellungen!$B$6,2),0)</f>
        <v>0</v>
      </c>
      <c r="T112" s="23" t="str">
        <f t="shared" si="30"/>
        <v/>
      </c>
      <c r="U112" s="22" t="str">
        <f t="shared" si="31"/>
        <v/>
      </c>
      <c r="V112" s="21" t="str">
        <f>IF(A112="","",IF(OR(AND(I112&gt;6,H112&lt;30),AND(I112&gt;9,H112&lt;45),AND(U112&lt;&gt;"",U112&lt;Einstellungen!$B$7),P112&lt;Einstellungen!$B$4,J112&gt;10),"Prüfen","OK"))</f>
        <v/>
      </c>
      <c r="W112" s="16"/>
    </row>
    <row r="113" spans="1:23" x14ac:dyDescent="0.25">
      <c r="A113" s="15"/>
      <c r="B113" s="21" t="str">
        <f t="shared" si="24"/>
        <v/>
      </c>
      <c r="C113" s="16"/>
      <c r="D113" s="16"/>
      <c r="E113" s="16"/>
      <c r="F113" s="17"/>
      <c r="G113" s="17"/>
      <c r="H113" s="18"/>
      <c r="I113" s="22" t="str">
        <f t="shared" si="25"/>
        <v/>
      </c>
      <c r="J113" s="22" t="str">
        <f t="shared" si="26"/>
        <v/>
      </c>
      <c r="K113" s="19"/>
      <c r="L113" s="22" t="str">
        <f t="shared" si="27"/>
        <v/>
      </c>
      <c r="M113" s="22" t="str">
        <f t="shared" si="28"/>
        <v/>
      </c>
      <c r="N113" s="21" t="str">
        <f>IF(A113="","",IF(OR(WEEKDAY(A113,2)=7,COUNTIF(Einstellungen!$D$4:$D$12,A113)&gt;0),"Ja","Nein"))</f>
        <v/>
      </c>
      <c r="O113" s="20"/>
      <c r="P113" s="23" t="str">
        <f>IF(C113="","",IFERROR(VLOOKUP(C113,Einstellungen!$G$4:$H$9,2,FALSE),Einstellungen!$B$4))</f>
        <v/>
      </c>
      <c r="Q113" s="23" t="str">
        <f t="shared" si="29"/>
        <v/>
      </c>
      <c r="R113" s="23" t="str">
        <f>IF(M113="","",ROUND(M113*P113*Einstellungen!$B$5,2))</f>
        <v/>
      </c>
      <c r="S113" s="23">
        <f>IF(N113="Ja",ROUND(J113*P113*Einstellungen!$B$6,2),0)</f>
        <v>0</v>
      </c>
      <c r="T113" s="23" t="str">
        <f t="shared" si="30"/>
        <v/>
      </c>
      <c r="U113" s="22" t="str">
        <f t="shared" si="31"/>
        <v/>
      </c>
      <c r="V113" s="21" t="str">
        <f>IF(A113="","",IF(OR(AND(I113&gt;6,H113&lt;30),AND(I113&gt;9,H113&lt;45),AND(U113&lt;&gt;"",U113&lt;Einstellungen!$B$7),P113&lt;Einstellungen!$B$4,J113&gt;10),"Prüfen","OK"))</f>
        <v/>
      </c>
      <c r="W113" s="16"/>
    </row>
    <row r="114" spans="1:23" x14ac:dyDescent="0.25">
      <c r="A114" s="15"/>
      <c r="B114" s="21" t="str">
        <f t="shared" si="24"/>
        <v/>
      </c>
      <c r="C114" s="16"/>
      <c r="D114" s="16"/>
      <c r="E114" s="16"/>
      <c r="F114" s="17"/>
      <c r="G114" s="17"/>
      <c r="H114" s="18"/>
      <c r="I114" s="22" t="str">
        <f t="shared" si="25"/>
        <v/>
      </c>
      <c r="J114" s="22" t="str">
        <f t="shared" si="26"/>
        <v/>
      </c>
      <c r="K114" s="19"/>
      <c r="L114" s="22" t="str">
        <f t="shared" si="27"/>
        <v/>
      </c>
      <c r="M114" s="22" t="str">
        <f t="shared" si="28"/>
        <v/>
      </c>
      <c r="N114" s="21" t="str">
        <f>IF(A114="","",IF(OR(WEEKDAY(A114,2)=7,COUNTIF(Einstellungen!$D$4:$D$12,A114)&gt;0),"Ja","Nein"))</f>
        <v/>
      </c>
      <c r="O114" s="20"/>
      <c r="P114" s="23" t="str">
        <f>IF(C114="","",IFERROR(VLOOKUP(C114,Einstellungen!$G$4:$H$9,2,FALSE),Einstellungen!$B$4))</f>
        <v/>
      </c>
      <c r="Q114" s="23" t="str">
        <f t="shared" si="29"/>
        <v/>
      </c>
      <c r="R114" s="23" t="str">
        <f>IF(M114="","",ROUND(M114*P114*Einstellungen!$B$5,2))</f>
        <v/>
      </c>
      <c r="S114" s="23">
        <f>IF(N114="Ja",ROUND(J114*P114*Einstellungen!$B$6,2),0)</f>
        <v>0</v>
      </c>
      <c r="T114" s="23" t="str">
        <f t="shared" si="30"/>
        <v/>
      </c>
      <c r="U114" s="22" t="str">
        <f t="shared" si="31"/>
        <v/>
      </c>
      <c r="V114" s="21" t="str">
        <f>IF(A114="","",IF(OR(AND(I114&gt;6,H114&lt;30),AND(I114&gt;9,H114&lt;45),AND(U114&lt;&gt;"",U114&lt;Einstellungen!$B$7),P114&lt;Einstellungen!$B$4,J114&gt;10),"Prüfen","OK"))</f>
        <v/>
      </c>
      <c r="W114" s="16"/>
    </row>
    <row r="115" spans="1:23" x14ac:dyDescent="0.25">
      <c r="A115" s="15"/>
      <c r="B115" s="21" t="str">
        <f t="shared" si="24"/>
        <v/>
      </c>
      <c r="C115" s="16"/>
      <c r="D115" s="16"/>
      <c r="E115" s="16"/>
      <c r="F115" s="17"/>
      <c r="G115" s="17"/>
      <c r="H115" s="18"/>
      <c r="I115" s="22" t="str">
        <f t="shared" si="25"/>
        <v/>
      </c>
      <c r="J115" s="22" t="str">
        <f t="shared" si="26"/>
        <v/>
      </c>
      <c r="K115" s="19"/>
      <c r="L115" s="22" t="str">
        <f t="shared" si="27"/>
        <v/>
      </c>
      <c r="M115" s="22" t="str">
        <f t="shared" si="28"/>
        <v/>
      </c>
      <c r="N115" s="21" t="str">
        <f>IF(A115="","",IF(OR(WEEKDAY(A115,2)=7,COUNTIF(Einstellungen!$D$4:$D$12,A115)&gt;0),"Ja","Nein"))</f>
        <v/>
      </c>
      <c r="O115" s="20"/>
      <c r="P115" s="23" t="str">
        <f>IF(C115="","",IFERROR(VLOOKUP(C115,Einstellungen!$G$4:$H$9,2,FALSE),Einstellungen!$B$4))</f>
        <v/>
      </c>
      <c r="Q115" s="23" t="str">
        <f t="shared" si="29"/>
        <v/>
      </c>
      <c r="R115" s="23" t="str">
        <f>IF(M115="","",ROUND(M115*P115*Einstellungen!$B$5,2))</f>
        <v/>
      </c>
      <c r="S115" s="23">
        <f>IF(N115="Ja",ROUND(J115*P115*Einstellungen!$B$6,2),0)</f>
        <v>0</v>
      </c>
      <c r="T115" s="23" t="str">
        <f t="shared" si="30"/>
        <v/>
      </c>
      <c r="U115" s="22" t="str">
        <f t="shared" si="31"/>
        <v/>
      </c>
      <c r="V115" s="21" t="str">
        <f>IF(A115="","",IF(OR(AND(I115&gt;6,H115&lt;30),AND(I115&gt;9,H115&lt;45),AND(U115&lt;&gt;"",U115&lt;Einstellungen!$B$7),P115&lt;Einstellungen!$B$4,J115&gt;10),"Prüfen","OK"))</f>
        <v/>
      </c>
      <c r="W115" s="16"/>
    </row>
    <row r="116" spans="1:23" x14ac:dyDescent="0.25">
      <c r="A116" s="15"/>
      <c r="B116" s="21" t="str">
        <f t="shared" si="24"/>
        <v/>
      </c>
      <c r="C116" s="16"/>
      <c r="D116" s="16"/>
      <c r="E116" s="16"/>
      <c r="F116" s="17"/>
      <c r="G116" s="17"/>
      <c r="H116" s="18"/>
      <c r="I116" s="22" t="str">
        <f t="shared" si="25"/>
        <v/>
      </c>
      <c r="J116" s="22" t="str">
        <f t="shared" si="26"/>
        <v/>
      </c>
      <c r="K116" s="19"/>
      <c r="L116" s="22" t="str">
        <f t="shared" si="27"/>
        <v/>
      </c>
      <c r="M116" s="22" t="str">
        <f t="shared" si="28"/>
        <v/>
      </c>
      <c r="N116" s="21" t="str">
        <f>IF(A116="","",IF(OR(WEEKDAY(A116,2)=7,COUNTIF(Einstellungen!$D$4:$D$12,A116)&gt;0),"Ja","Nein"))</f>
        <v/>
      </c>
      <c r="O116" s="20"/>
      <c r="P116" s="23" t="str">
        <f>IF(C116="","",IFERROR(VLOOKUP(C116,Einstellungen!$G$4:$H$9,2,FALSE),Einstellungen!$B$4))</f>
        <v/>
      </c>
      <c r="Q116" s="23" t="str">
        <f t="shared" si="29"/>
        <v/>
      </c>
      <c r="R116" s="23" t="str">
        <f>IF(M116="","",ROUND(M116*P116*Einstellungen!$B$5,2))</f>
        <v/>
      </c>
      <c r="S116" s="23">
        <f>IF(N116="Ja",ROUND(J116*P116*Einstellungen!$B$6,2),0)</f>
        <v>0</v>
      </c>
      <c r="T116" s="23" t="str">
        <f t="shared" si="30"/>
        <v/>
      </c>
      <c r="U116" s="22" t="str">
        <f t="shared" si="31"/>
        <v/>
      </c>
      <c r="V116" s="21" t="str">
        <f>IF(A116="","",IF(OR(AND(I116&gt;6,H116&lt;30),AND(I116&gt;9,H116&lt;45),AND(U116&lt;&gt;"",U116&lt;Einstellungen!$B$7),P116&lt;Einstellungen!$B$4,J116&gt;10),"Prüfen","OK"))</f>
        <v/>
      </c>
      <c r="W116" s="16"/>
    </row>
    <row r="117" spans="1:23" x14ac:dyDescent="0.25">
      <c r="A117" s="15"/>
      <c r="B117" s="21" t="str">
        <f t="shared" si="24"/>
        <v/>
      </c>
      <c r="C117" s="16"/>
      <c r="D117" s="16"/>
      <c r="E117" s="16"/>
      <c r="F117" s="17"/>
      <c r="G117" s="17"/>
      <c r="H117" s="18"/>
      <c r="I117" s="22" t="str">
        <f t="shared" si="25"/>
        <v/>
      </c>
      <c r="J117" s="22" t="str">
        <f t="shared" si="26"/>
        <v/>
      </c>
      <c r="K117" s="19"/>
      <c r="L117" s="22" t="str">
        <f t="shared" si="27"/>
        <v/>
      </c>
      <c r="M117" s="22" t="str">
        <f t="shared" si="28"/>
        <v/>
      </c>
      <c r="N117" s="21" t="str">
        <f>IF(A117="","",IF(OR(WEEKDAY(A117,2)=7,COUNTIF(Einstellungen!$D$4:$D$12,A117)&gt;0),"Ja","Nein"))</f>
        <v/>
      </c>
      <c r="O117" s="20"/>
      <c r="P117" s="23" t="str">
        <f>IF(C117="","",IFERROR(VLOOKUP(C117,Einstellungen!$G$4:$H$9,2,FALSE),Einstellungen!$B$4))</f>
        <v/>
      </c>
      <c r="Q117" s="23" t="str">
        <f t="shared" si="29"/>
        <v/>
      </c>
      <c r="R117" s="23" t="str">
        <f>IF(M117="","",ROUND(M117*P117*Einstellungen!$B$5,2))</f>
        <v/>
      </c>
      <c r="S117" s="23">
        <f>IF(N117="Ja",ROUND(J117*P117*Einstellungen!$B$6,2),0)</f>
        <v>0</v>
      </c>
      <c r="T117" s="23" t="str">
        <f t="shared" si="30"/>
        <v/>
      </c>
      <c r="U117" s="22" t="str">
        <f t="shared" si="31"/>
        <v/>
      </c>
      <c r="V117" s="21" t="str">
        <f>IF(A117="","",IF(OR(AND(I117&gt;6,H117&lt;30),AND(I117&gt;9,H117&lt;45),AND(U117&lt;&gt;"",U117&lt;Einstellungen!$B$7),P117&lt;Einstellungen!$B$4,J117&gt;10),"Prüfen","OK"))</f>
        <v/>
      </c>
      <c r="W117" s="16"/>
    </row>
    <row r="118" spans="1:23" x14ac:dyDescent="0.25">
      <c r="A118" s="15"/>
      <c r="B118" s="21" t="str">
        <f t="shared" si="24"/>
        <v/>
      </c>
      <c r="C118" s="16"/>
      <c r="D118" s="16"/>
      <c r="E118" s="16"/>
      <c r="F118" s="17"/>
      <c r="G118" s="17"/>
      <c r="H118" s="18"/>
      <c r="I118" s="22" t="str">
        <f t="shared" si="25"/>
        <v/>
      </c>
      <c r="J118" s="22" t="str">
        <f t="shared" si="26"/>
        <v/>
      </c>
      <c r="K118" s="19"/>
      <c r="L118" s="22" t="str">
        <f t="shared" si="27"/>
        <v/>
      </c>
      <c r="M118" s="22" t="str">
        <f t="shared" si="28"/>
        <v/>
      </c>
      <c r="N118" s="21" t="str">
        <f>IF(A118="","",IF(OR(WEEKDAY(A118,2)=7,COUNTIF(Einstellungen!$D$4:$D$12,A118)&gt;0),"Ja","Nein"))</f>
        <v/>
      </c>
      <c r="O118" s="20"/>
      <c r="P118" s="23" t="str">
        <f>IF(C118="","",IFERROR(VLOOKUP(C118,Einstellungen!$G$4:$H$9,2,FALSE),Einstellungen!$B$4))</f>
        <v/>
      </c>
      <c r="Q118" s="23" t="str">
        <f t="shared" si="29"/>
        <v/>
      </c>
      <c r="R118" s="23" t="str">
        <f>IF(M118="","",ROUND(M118*P118*Einstellungen!$B$5,2))</f>
        <v/>
      </c>
      <c r="S118" s="23">
        <f>IF(N118="Ja",ROUND(J118*P118*Einstellungen!$B$6,2),0)</f>
        <v>0</v>
      </c>
      <c r="T118" s="23" t="str">
        <f t="shared" si="30"/>
        <v/>
      </c>
      <c r="U118" s="22" t="str">
        <f t="shared" si="31"/>
        <v/>
      </c>
      <c r="V118" s="21" t="str">
        <f>IF(A118="","",IF(OR(AND(I118&gt;6,H118&lt;30),AND(I118&gt;9,H118&lt;45),AND(U118&lt;&gt;"",U118&lt;Einstellungen!$B$7),P118&lt;Einstellungen!$B$4,J118&gt;10),"Prüfen","OK"))</f>
        <v/>
      </c>
      <c r="W118" s="16"/>
    </row>
    <row r="119" spans="1:23" x14ac:dyDescent="0.25">
      <c r="A119" s="15"/>
      <c r="B119" s="21" t="str">
        <f t="shared" si="24"/>
        <v/>
      </c>
      <c r="C119" s="16"/>
      <c r="D119" s="16"/>
      <c r="E119" s="16"/>
      <c r="F119" s="17"/>
      <c r="G119" s="17"/>
      <c r="H119" s="18"/>
      <c r="I119" s="22" t="str">
        <f t="shared" si="25"/>
        <v/>
      </c>
      <c r="J119" s="22" t="str">
        <f t="shared" si="26"/>
        <v/>
      </c>
      <c r="K119" s="19"/>
      <c r="L119" s="22" t="str">
        <f t="shared" si="27"/>
        <v/>
      </c>
      <c r="M119" s="22" t="str">
        <f t="shared" si="28"/>
        <v/>
      </c>
      <c r="N119" s="21" t="str">
        <f>IF(A119="","",IF(OR(WEEKDAY(A119,2)=7,COUNTIF(Einstellungen!$D$4:$D$12,A119)&gt;0),"Ja","Nein"))</f>
        <v/>
      </c>
      <c r="O119" s="20"/>
      <c r="P119" s="23" t="str">
        <f>IF(C119="","",IFERROR(VLOOKUP(C119,Einstellungen!$G$4:$H$9,2,FALSE),Einstellungen!$B$4))</f>
        <v/>
      </c>
      <c r="Q119" s="23" t="str">
        <f t="shared" si="29"/>
        <v/>
      </c>
      <c r="R119" s="23" t="str">
        <f>IF(M119="","",ROUND(M119*P119*Einstellungen!$B$5,2))</f>
        <v/>
      </c>
      <c r="S119" s="23">
        <f>IF(N119="Ja",ROUND(J119*P119*Einstellungen!$B$6,2),0)</f>
        <v>0</v>
      </c>
      <c r="T119" s="23" t="str">
        <f t="shared" si="30"/>
        <v/>
      </c>
      <c r="U119" s="22" t="str">
        <f t="shared" si="31"/>
        <v/>
      </c>
      <c r="V119" s="21" t="str">
        <f>IF(A119="","",IF(OR(AND(I119&gt;6,H119&lt;30),AND(I119&gt;9,H119&lt;45),AND(U119&lt;&gt;"",U119&lt;Einstellungen!$B$7),P119&lt;Einstellungen!$B$4,J119&gt;10),"Prüfen","OK"))</f>
        <v/>
      </c>
      <c r="W119" s="16"/>
    </row>
    <row r="120" spans="1:23" x14ac:dyDescent="0.25">
      <c r="A120" s="15"/>
      <c r="B120" s="21" t="str">
        <f t="shared" si="24"/>
        <v/>
      </c>
      <c r="C120" s="16"/>
      <c r="D120" s="16"/>
      <c r="E120" s="16"/>
      <c r="F120" s="17"/>
      <c r="G120" s="17"/>
      <c r="H120" s="18"/>
      <c r="I120" s="22" t="str">
        <f t="shared" si="25"/>
        <v/>
      </c>
      <c r="J120" s="22" t="str">
        <f t="shared" si="26"/>
        <v/>
      </c>
      <c r="K120" s="19"/>
      <c r="L120" s="22" t="str">
        <f t="shared" si="27"/>
        <v/>
      </c>
      <c r="M120" s="22" t="str">
        <f t="shared" si="28"/>
        <v/>
      </c>
      <c r="N120" s="21" t="str">
        <f>IF(A120="","",IF(OR(WEEKDAY(A120,2)=7,COUNTIF(Einstellungen!$D$4:$D$12,A120)&gt;0),"Ja","Nein"))</f>
        <v/>
      </c>
      <c r="O120" s="20"/>
      <c r="P120" s="23" t="str">
        <f>IF(C120="","",IFERROR(VLOOKUP(C120,Einstellungen!$G$4:$H$9,2,FALSE),Einstellungen!$B$4))</f>
        <v/>
      </c>
      <c r="Q120" s="23" t="str">
        <f t="shared" si="29"/>
        <v/>
      </c>
      <c r="R120" s="23" t="str">
        <f>IF(M120="","",ROUND(M120*P120*Einstellungen!$B$5,2))</f>
        <v/>
      </c>
      <c r="S120" s="23">
        <f>IF(N120="Ja",ROUND(J120*P120*Einstellungen!$B$6,2),0)</f>
        <v>0</v>
      </c>
      <c r="T120" s="23" t="str">
        <f t="shared" si="30"/>
        <v/>
      </c>
      <c r="U120" s="22" t="str">
        <f t="shared" si="31"/>
        <v/>
      </c>
      <c r="V120" s="21" t="str">
        <f>IF(A120="","",IF(OR(AND(I120&gt;6,H120&lt;30),AND(I120&gt;9,H120&lt;45),AND(U120&lt;&gt;"",U120&lt;Einstellungen!$B$7),P120&lt;Einstellungen!$B$4,J120&gt;10),"Prüfen","OK"))</f>
        <v/>
      </c>
      <c r="W120" s="16"/>
    </row>
    <row r="121" spans="1:23" x14ac:dyDescent="0.25">
      <c r="A121" s="15"/>
      <c r="B121" s="21" t="str">
        <f t="shared" si="24"/>
        <v/>
      </c>
      <c r="C121" s="16"/>
      <c r="D121" s="16"/>
      <c r="E121" s="16"/>
      <c r="F121" s="17"/>
      <c r="G121" s="17"/>
      <c r="H121" s="18"/>
      <c r="I121" s="22" t="str">
        <f t="shared" si="25"/>
        <v/>
      </c>
      <c r="J121" s="22" t="str">
        <f t="shared" si="26"/>
        <v/>
      </c>
      <c r="K121" s="19"/>
      <c r="L121" s="22" t="str">
        <f t="shared" si="27"/>
        <v/>
      </c>
      <c r="M121" s="22" t="str">
        <f t="shared" si="28"/>
        <v/>
      </c>
      <c r="N121" s="21" t="str">
        <f>IF(A121="","",IF(OR(WEEKDAY(A121,2)=7,COUNTIF(Einstellungen!$D$4:$D$12,A121)&gt;0),"Ja","Nein"))</f>
        <v/>
      </c>
      <c r="O121" s="20"/>
      <c r="P121" s="23" t="str">
        <f>IF(C121="","",IFERROR(VLOOKUP(C121,Einstellungen!$G$4:$H$9,2,FALSE),Einstellungen!$B$4))</f>
        <v/>
      </c>
      <c r="Q121" s="23" t="str">
        <f t="shared" si="29"/>
        <v/>
      </c>
      <c r="R121" s="23" t="str">
        <f>IF(M121="","",ROUND(M121*P121*Einstellungen!$B$5,2))</f>
        <v/>
      </c>
      <c r="S121" s="23">
        <f>IF(N121="Ja",ROUND(J121*P121*Einstellungen!$B$6,2),0)</f>
        <v>0</v>
      </c>
      <c r="T121" s="23" t="str">
        <f t="shared" si="30"/>
        <v/>
      </c>
      <c r="U121" s="22" t="str">
        <f t="shared" si="31"/>
        <v/>
      </c>
      <c r="V121" s="21" t="str">
        <f>IF(A121="","",IF(OR(AND(I121&gt;6,H121&lt;30),AND(I121&gt;9,H121&lt;45),AND(U121&lt;&gt;"",U121&lt;Einstellungen!$B$7),P121&lt;Einstellungen!$B$4,J121&gt;10),"Prüfen","OK"))</f>
        <v/>
      </c>
      <c r="W121" s="16"/>
    </row>
    <row r="122" spans="1:23" x14ac:dyDescent="0.25">
      <c r="A122" s="15"/>
      <c r="B122" s="21" t="str">
        <f t="shared" si="24"/>
        <v/>
      </c>
      <c r="C122" s="16"/>
      <c r="D122" s="16"/>
      <c r="E122" s="16"/>
      <c r="F122" s="17"/>
      <c r="G122" s="17"/>
      <c r="H122" s="18"/>
      <c r="I122" s="22" t="str">
        <f t="shared" si="25"/>
        <v/>
      </c>
      <c r="J122" s="22" t="str">
        <f t="shared" si="26"/>
        <v/>
      </c>
      <c r="K122" s="19"/>
      <c r="L122" s="22" t="str">
        <f t="shared" si="27"/>
        <v/>
      </c>
      <c r="M122" s="22" t="str">
        <f t="shared" si="28"/>
        <v/>
      </c>
      <c r="N122" s="21" t="str">
        <f>IF(A122="","",IF(OR(WEEKDAY(A122,2)=7,COUNTIF(Einstellungen!$D$4:$D$12,A122)&gt;0),"Ja","Nein"))</f>
        <v/>
      </c>
      <c r="O122" s="20"/>
      <c r="P122" s="23" t="str">
        <f>IF(C122="","",IFERROR(VLOOKUP(C122,Einstellungen!$G$4:$H$9,2,FALSE),Einstellungen!$B$4))</f>
        <v/>
      </c>
      <c r="Q122" s="23" t="str">
        <f t="shared" si="29"/>
        <v/>
      </c>
      <c r="R122" s="23" t="str">
        <f>IF(M122="","",ROUND(M122*P122*Einstellungen!$B$5,2))</f>
        <v/>
      </c>
      <c r="S122" s="23">
        <f>IF(N122="Ja",ROUND(J122*P122*Einstellungen!$B$6,2),0)</f>
        <v>0</v>
      </c>
      <c r="T122" s="23" t="str">
        <f t="shared" si="30"/>
        <v/>
      </c>
      <c r="U122" s="22" t="str">
        <f t="shared" si="31"/>
        <v/>
      </c>
      <c r="V122" s="21" t="str">
        <f>IF(A122="","",IF(OR(AND(I122&gt;6,H122&lt;30),AND(I122&gt;9,H122&lt;45),AND(U122&lt;&gt;"",U122&lt;Einstellungen!$B$7),P122&lt;Einstellungen!$B$4,J122&gt;10),"Prüfen","OK"))</f>
        <v/>
      </c>
      <c r="W122" s="16"/>
    </row>
    <row r="123" spans="1:23" x14ac:dyDescent="0.25">
      <c r="A123" s="15"/>
      <c r="B123" s="21" t="str">
        <f t="shared" si="24"/>
        <v/>
      </c>
      <c r="C123" s="16"/>
      <c r="D123" s="16"/>
      <c r="E123" s="16"/>
      <c r="F123" s="17"/>
      <c r="G123" s="17"/>
      <c r="H123" s="18"/>
      <c r="I123" s="22" t="str">
        <f t="shared" si="25"/>
        <v/>
      </c>
      <c r="J123" s="22" t="str">
        <f t="shared" si="26"/>
        <v/>
      </c>
      <c r="K123" s="19"/>
      <c r="L123" s="22" t="str">
        <f t="shared" si="27"/>
        <v/>
      </c>
      <c r="M123" s="22" t="str">
        <f t="shared" si="28"/>
        <v/>
      </c>
      <c r="N123" s="21" t="str">
        <f>IF(A123="","",IF(OR(WEEKDAY(A123,2)=7,COUNTIF(Einstellungen!$D$4:$D$12,A123)&gt;0),"Ja","Nein"))</f>
        <v/>
      </c>
      <c r="O123" s="20"/>
      <c r="P123" s="23" t="str">
        <f>IF(C123="","",IFERROR(VLOOKUP(C123,Einstellungen!$G$4:$H$9,2,FALSE),Einstellungen!$B$4))</f>
        <v/>
      </c>
      <c r="Q123" s="23" t="str">
        <f t="shared" si="29"/>
        <v/>
      </c>
      <c r="R123" s="23" t="str">
        <f>IF(M123="","",ROUND(M123*P123*Einstellungen!$B$5,2))</f>
        <v/>
      </c>
      <c r="S123" s="23">
        <f>IF(N123="Ja",ROUND(J123*P123*Einstellungen!$B$6,2),0)</f>
        <v>0</v>
      </c>
      <c r="T123" s="23" t="str">
        <f t="shared" si="30"/>
        <v/>
      </c>
      <c r="U123" s="22" t="str">
        <f t="shared" si="31"/>
        <v/>
      </c>
      <c r="V123" s="21" t="str">
        <f>IF(A123="","",IF(OR(AND(I123&gt;6,H123&lt;30),AND(I123&gt;9,H123&lt;45),AND(U123&lt;&gt;"",U123&lt;Einstellungen!$B$7),P123&lt;Einstellungen!$B$4,J123&gt;10),"Prüfen","OK"))</f>
        <v/>
      </c>
      <c r="W123" s="16"/>
    </row>
    <row r="124" spans="1:23" x14ac:dyDescent="0.25">
      <c r="A124" s="15"/>
      <c r="B124" s="21" t="str">
        <f t="shared" si="24"/>
        <v/>
      </c>
      <c r="C124" s="16"/>
      <c r="D124" s="16"/>
      <c r="E124" s="16"/>
      <c r="F124" s="17"/>
      <c r="G124" s="17"/>
      <c r="H124" s="18"/>
      <c r="I124" s="22" t="str">
        <f t="shared" si="25"/>
        <v/>
      </c>
      <c r="J124" s="22" t="str">
        <f t="shared" si="26"/>
        <v/>
      </c>
      <c r="K124" s="19"/>
      <c r="L124" s="22" t="str">
        <f t="shared" si="27"/>
        <v/>
      </c>
      <c r="M124" s="22" t="str">
        <f t="shared" si="28"/>
        <v/>
      </c>
      <c r="N124" s="21" t="str">
        <f>IF(A124="","",IF(OR(WEEKDAY(A124,2)=7,COUNTIF(Einstellungen!$D$4:$D$12,A124)&gt;0),"Ja","Nein"))</f>
        <v/>
      </c>
      <c r="O124" s="20"/>
      <c r="P124" s="23" t="str">
        <f>IF(C124="","",IFERROR(VLOOKUP(C124,Einstellungen!$G$4:$H$9,2,FALSE),Einstellungen!$B$4))</f>
        <v/>
      </c>
      <c r="Q124" s="23" t="str">
        <f t="shared" si="29"/>
        <v/>
      </c>
      <c r="R124" s="23" t="str">
        <f>IF(M124="","",ROUND(M124*P124*Einstellungen!$B$5,2))</f>
        <v/>
      </c>
      <c r="S124" s="23">
        <f>IF(N124="Ja",ROUND(J124*P124*Einstellungen!$B$6,2),0)</f>
        <v>0</v>
      </c>
      <c r="T124" s="23" t="str">
        <f t="shared" si="30"/>
        <v/>
      </c>
      <c r="U124" s="22" t="str">
        <f t="shared" si="31"/>
        <v/>
      </c>
      <c r="V124" s="21" t="str">
        <f>IF(A124="","",IF(OR(AND(I124&gt;6,H124&lt;30),AND(I124&gt;9,H124&lt;45),AND(U124&lt;&gt;"",U124&lt;Einstellungen!$B$7),P124&lt;Einstellungen!$B$4,J124&gt;10),"Prüfen","OK"))</f>
        <v/>
      </c>
      <c r="W124" s="16"/>
    </row>
    <row r="125" spans="1:23" x14ac:dyDescent="0.25">
      <c r="A125" s="15"/>
      <c r="B125" s="21" t="str">
        <f t="shared" si="24"/>
        <v/>
      </c>
      <c r="C125" s="16"/>
      <c r="D125" s="16"/>
      <c r="E125" s="16"/>
      <c r="F125" s="17"/>
      <c r="G125" s="17"/>
      <c r="H125" s="18"/>
      <c r="I125" s="22" t="str">
        <f t="shared" si="25"/>
        <v/>
      </c>
      <c r="J125" s="22" t="str">
        <f t="shared" si="26"/>
        <v/>
      </c>
      <c r="K125" s="19"/>
      <c r="L125" s="22" t="str">
        <f t="shared" si="27"/>
        <v/>
      </c>
      <c r="M125" s="22" t="str">
        <f t="shared" si="28"/>
        <v/>
      </c>
      <c r="N125" s="21" t="str">
        <f>IF(A125="","",IF(OR(WEEKDAY(A125,2)=7,COUNTIF(Einstellungen!$D$4:$D$12,A125)&gt;0),"Ja","Nein"))</f>
        <v/>
      </c>
      <c r="O125" s="20"/>
      <c r="P125" s="23" t="str">
        <f>IF(C125="","",IFERROR(VLOOKUP(C125,Einstellungen!$G$4:$H$9,2,FALSE),Einstellungen!$B$4))</f>
        <v/>
      </c>
      <c r="Q125" s="23" t="str">
        <f t="shared" si="29"/>
        <v/>
      </c>
      <c r="R125" s="23" t="str">
        <f>IF(M125="","",ROUND(M125*P125*Einstellungen!$B$5,2))</f>
        <v/>
      </c>
      <c r="S125" s="23">
        <f>IF(N125="Ja",ROUND(J125*P125*Einstellungen!$B$6,2),0)</f>
        <v>0</v>
      </c>
      <c r="T125" s="23" t="str">
        <f t="shared" si="30"/>
        <v/>
      </c>
      <c r="U125" s="22" t="str">
        <f t="shared" si="31"/>
        <v/>
      </c>
      <c r="V125" s="21" t="str">
        <f>IF(A125="","",IF(OR(AND(I125&gt;6,H125&lt;30),AND(I125&gt;9,H125&lt;45),AND(U125&lt;&gt;"",U125&lt;Einstellungen!$B$7),P125&lt;Einstellungen!$B$4,J125&gt;10),"Prüfen","OK"))</f>
        <v/>
      </c>
      <c r="W125" s="16"/>
    </row>
    <row r="126" spans="1:23" x14ac:dyDescent="0.25">
      <c r="A126" s="15"/>
      <c r="B126" s="21" t="str">
        <f t="shared" si="24"/>
        <v/>
      </c>
      <c r="C126" s="16"/>
      <c r="D126" s="16"/>
      <c r="E126" s="16"/>
      <c r="F126" s="17"/>
      <c r="G126" s="17"/>
      <c r="H126" s="18"/>
      <c r="I126" s="22" t="str">
        <f t="shared" si="25"/>
        <v/>
      </c>
      <c r="J126" s="22" t="str">
        <f t="shared" si="26"/>
        <v/>
      </c>
      <c r="K126" s="19"/>
      <c r="L126" s="22" t="str">
        <f t="shared" si="27"/>
        <v/>
      </c>
      <c r="M126" s="22" t="str">
        <f t="shared" si="28"/>
        <v/>
      </c>
      <c r="N126" s="21" t="str">
        <f>IF(A126="","",IF(OR(WEEKDAY(A126,2)=7,COUNTIF(Einstellungen!$D$4:$D$12,A126)&gt;0),"Ja","Nein"))</f>
        <v/>
      </c>
      <c r="O126" s="20"/>
      <c r="P126" s="23" t="str">
        <f>IF(C126="","",IFERROR(VLOOKUP(C126,Einstellungen!$G$4:$H$9,2,FALSE),Einstellungen!$B$4))</f>
        <v/>
      </c>
      <c r="Q126" s="23" t="str">
        <f t="shared" si="29"/>
        <v/>
      </c>
      <c r="R126" s="23" t="str">
        <f>IF(M126="","",ROUND(M126*P126*Einstellungen!$B$5,2))</f>
        <v/>
      </c>
      <c r="S126" s="23">
        <f>IF(N126="Ja",ROUND(J126*P126*Einstellungen!$B$6,2),0)</f>
        <v>0</v>
      </c>
      <c r="T126" s="23" t="str">
        <f t="shared" si="30"/>
        <v/>
      </c>
      <c r="U126" s="22" t="str">
        <f t="shared" si="31"/>
        <v/>
      </c>
      <c r="V126" s="21" t="str">
        <f>IF(A126="","",IF(OR(AND(I126&gt;6,H126&lt;30),AND(I126&gt;9,H126&lt;45),AND(U126&lt;&gt;"",U126&lt;Einstellungen!$B$7),P126&lt;Einstellungen!$B$4,J126&gt;10),"Prüfen","OK"))</f>
        <v/>
      </c>
      <c r="W126" s="16"/>
    </row>
    <row r="127" spans="1:23" x14ac:dyDescent="0.25">
      <c r="A127" s="15"/>
      <c r="B127" s="21" t="str">
        <f t="shared" si="24"/>
        <v/>
      </c>
      <c r="C127" s="16"/>
      <c r="D127" s="16"/>
      <c r="E127" s="16"/>
      <c r="F127" s="17"/>
      <c r="G127" s="17"/>
      <c r="H127" s="18"/>
      <c r="I127" s="22" t="str">
        <f t="shared" si="25"/>
        <v/>
      </c>
      <c r="J127" s="22" t="str">
        <f t="shared" si="26"/>
        <v/>
      </c>
      <c r="K127" s="19"/>
      <c r="L127" s="22" t="str">
        <f t="shared" si="27"/>
        <v/>
      </c>
      <c r="M127" s="22" t="str">
        <f t="shared" si="28"/>
        <v/>
      </c>
      <c r="N127" s="21" t="str">
        <f>IF(A127="","",IF(OR(WEEKDAY(A127,2)=7,COUNTIF(Einstellungen!$D$4:$D$12,A127)&gt;0),"Ja","Nein"))</f>
        <v/>
      </c>
      <c r="O127" s="20"/>
      <c r="P127" s="23" t="str">
        <f>IF(C127="","",IFERROR(VLOOKUP(C127,Einstellungen!$G$4:$H$9,2,FALSE),Einstellungen!$B$4))</f>
        <v/>
      </c>
      <c r="Q127" s="23" t="str">
        <f t="shared" si="29"/>
        <v/>
      </c>
      <c r="R127" s="23" t="str">
        <f>IF(M127="","",ROUND(M127*P127*Einstellungen!$B$5,2))</f>
        <v/>
      </c>
      <c r="S127" s="23">
        <f>IF(N127="Ja",ROUND(J127*P127*Einstellungen!$B$6,2),0)</f>
        <v>0</v>
      </c>
      <c r="T127" s="23" t="str">
        <f t="shared" si="30"/>
        <v/>
      </c>
      <c r="U127" s="22" t="str">
        <f t="shared" si="31"/>
        <v/>
      </c>
      <c r="V127" s="21" t="str">
        <f>IF(A127="","",IF(OR(AND(I127&gt;6,H127&lt;30),AND(I127&gt;9,H127&lt;45),AND(U127&lt;&gt;"",U127&lt;Einstellungen!$B$7),P127&lt;Einstellungen!$B$4,J127&gt;10),"Prüfen","OK"))</f>
        <v/>
      </c>
      <c r="W127" s="16"/>
    </row>
    <row r="128" spans="1:23" x14ac:dyDescent="0.25">
      <c r="A128" s="15"/>
      <c r="B128" s="21" t="str">
        <f t="shared" si="24"/>
        <v/>
      </c>
      <c r="C128" s="16"/>
      <c r="D128" s="16"/>
      <c r="E128" s="16"/>
      <c r="F128" s="17"/>
      <c r="G128" s="17"/>
      <c r="H128" s="18"/>
      <c r="I128" s="22" t="str">
        <f t="shared" si="25"/>
        <v/>
      </c>
      <c r="J128" s="22" t="str">
        <f t="shared" si="26"/>
        <v/>
      </c>
      <c r="K128" s="19"/>
      <c r="L128" s="22" t="str">
        <f t="shared" si="27"/>
        <v/>
      </c>
      <c r="M128" s="22" t="str">
        <f t="shared" si="28"/>
        <v/>
      </c>
      <c r="N128" s="21" t="str">
        <f>IF(A128="","",IF(OR(WEEKDAY(A128,2)=7,COUNTIF(Einstellungen!$D$4:$D$12,A128)&gt;0),"Ja","Nein"))</f>
        <v/>
      </c>
      <c r="O128" s="20"/>
      <c r="P128" s="23" t="str">
        <f>IF(C128="","",IFERROR(VLOOKUP(C128,Einstellungen!$G$4:$H$9,2,FALSE),Einstellungen!$B$4))</f>
        <v/>
      </c>
      <c r="Q128" s="23" t="str">
        <f t="shared" si="29"/>
        <v/>
      </c>
      <c r="R128" s="23" t="str">
        <f>IF(M128="","",ROUND(M128*P128*Einstellungen!$B$5,2))</f>
        <v/>
      </c>
      <c r="S128" s="23">
        <f>IF(N128="Ja",ROUND(J128*P128*Einstellungen!$B$6,2),0)</f>
        <v>0</v>
      </c>
      <c r="T128" s="23" t="str">
        <f t="shared" si="30"/>
        <v/>
      </c>
      <c r="U128" s="22" t="str">
        <f t="shared" si="31"/>
        <v/>
      </c>
      <c r="V128" s="21" t="str">
        <f>IF(A128="","",IF(OR(AND(I128&gt;6,H128&lt;30),AND(I128&gt;9,H128&lt;45),AND(U128&lt;&gt;"",U128&lt;Einstellungen!$B$7),P128&lt;Einstellungen!$B$4,J128&gt;10),"Prüfen","OK"))</f>
        <v/>
      </c>
      <c r="W128" s="16"/>
    </row>
  </sheetData>
  <mergeCells count="2">
    <mergeCell ref="A2:W2"/>
    <mergeCell ref="A1:W1"/>
  </mergeCells>
  <conditionalFormatting sqref="J9:J128">
    <cfRule type="dataBar" priority="4">
      <dataBar>
        <cfvo type="min"/>
        <cfvo type="max"/>
        <color rgb="FF16A34A"/>
      </dataBar>
    </cfRule>
    <cfRule type="dataBar" priority="5">
      <dataBar>
        <cfvo type="min"/>
        <cfvo type="max"/>
        <color rgb="FF16A34A"/>
      </dataBar>
      <extLst>
        <ext xmlns:x14="http://schemas.microsoft.com/office/spreadsheetml/2009/9/main" uri="{B025F937-C7B1-47D3-B67F-A62EFF666E3E}">
          <x14:id>{99723531-A244-8488-1CD6-DC393F0F8FCA}</x14:id>
        </ext>
      </extLst>
    </cfRule>
  </conditionalFormatting>
  <conditionalFormatting sqref="L9:L128">
    <cfRule type="cellIs" dxfId="6" priority="3" operator="lessThan">
      <formula>0</formula>
    </cfRule>
  </conditionalFormatting>
  <conditionalFormatting sqref="V9:V128">
    <cfRule type="expression" dxfId="5" priority="1">
      <formula>$V9="Prüfen"</formula>
    </cfRule>
    <cfRule type="expression" dxfId="4" priority="2">
      <formula>$V9="OK"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723531-A244-8488-1CD6-DC393F0F8FCA}">
            <x14:dataBar>
              <x14:cfvo type="min"/>
              <x14:cfvo type="max"/>
              <x14:negativeFillColor auto="1"/>
              <x14:axisColor auto="1"/>
            </x14:dataBar>
          </x14:cfRule>
          <xm:sqref>J9:J128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Einstellungen!$G$4:$G$9</xm:f>
          </x14:formula1>
          <xm:sqref>C9:C128</xm:sqref>
        </x14:dataValidation>
        <x14:dataValidation type="list" xr:uid="{00000000-0002-0000-0000-000001000000}">
          <x14:formula1>
            <xm:f>Einstellungen!$L$4:$L$9</xm:f>
          </x14:formula1>
          <xm:sqref>D9:D128</xm:sqref>
        </x14:dataValidation>
        <x14:dataValidation type="list" xr:uid="{00000000-0002-0000-0000-000002000000}">
          <x14:formula1>
            <xm:f>Einstellungen!$N$4:$N$9</xm:f>
          </x14:formula1>
          <xm:sqref>E9:E128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workbookViewId="0"/>
  </sheetViews>
  <sheetFormatPr baseColWidth="10" defaultColWidth="9" defaultRowHeight="15" x14ac:dyDescent="0.25"/>
  <cols>
    <col min="1" max="1" width="18" customWidth="1"/>
    <col min="2" max="3" width="14" customWidth="1"/>
    <col min="4" max="5" width="15" customWidth="1"/>
    <col min="6" max="6" width="12" customWidth="1"/>
    <col min="7" max="7" width="14" customWidth="1"/>
    <col min="8" max="8" width="16" customWidth="1"/>
    <col min="9" max="9" width="4" customWidth="1"/>
    <col min="10" max="14" width="16" customWidth="1"/>
  </cols>
  <sheetData>
    <row r="1" spans="1:14" ht="30" customHeight="1" x14ac:dyDescent="0.25">
      <c r="A1" s="10" t="s">
        <v>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7.95" customHeight="1" x14ac:dyDescent="0.25">
      <c r="A2" s="11" t="s">
        <v>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4" spans="1:14" x14ac:dyDescent="0.25">
      <c r="A4" s="2" t="s">
        <v>56</v>
      </c>
      <c r="B4" s="24" t="s">
        <v>57</v>
      </c>
      <c r="C4" s="25" t="s">
        <v>58</v>
      </c>
      <c r="D4" s="24">
        <f>MATCH(B4,Einstellungen!$L$13:$L$24,0)</f>
        <v>1</v>
      </c>
    </row>
    <row r="5" spans="1:14" x14ac:dyDescent="0.25">
      <c r="A5" s="2" t="s">
        <v>1</v>
      </c>
      <c r="B5" s="24">
        <v>2026</v>
      </c>
      <c r="C5" s="25" t="s">
        <v>59</v>
      </c>
      <c r="D5" s="24" t="str">
        <f>TEXT(DATE(B5,D4,1),"dd.mm.yyyy")&amp;" - "&amp;TEXT(EOMONTH(DATE(B5,D4,1),0),"dd.mm.yyyy")</f>
        <v>01.01.yyyy - 31.01.yyyy</v>
      </c>
    </row>
    <row r="7" spans="1:14" ht="30" x14ac:dyDescent="0.25">
      <c r="A7" s="13" t="s">
        <v>60</v>
      </c>
      <c r="B7" s="13" t="s">
        <v>6</v>
      </c>
      <c r="C7" s="13" t="s">
        <v>61</v>
      </c>
      <c r="D7" s="13" t="s">
        <v>21</v>
      </c>
      <c r="E7" s="13" t="s">
        <v>62</v>
      </c>
      <c r="F7" s="13" t="s">
        <v>63</v>
      </c>
      <c r="G7" s="13" t="s">
        <v>64</v>
      </c>
      <c r="H7" s="13" t="s">
        <v>65</v>
      </c>
    </row>
    <row r="8" spans="1:14" ht="15.75" x14ac:dyDescent="0.25">
      <c r="A8" s="26">
        <f>SUMIFS(Zeiterfassung!$J$9:$J$128,Zeiterfassung!$A$9:$A$128,"&gt;="&amp;DATE($B$5,$D$4,1),Zeiterfassung!$A$9:$A$128,"&lt;"&amp;EDATE(DATE($B$5,$D$4,1),1))</f>
        <v>126.66666666666667</v>
      </c>
      <c r="B8" s="27">
        <f>SUMIFS(Zeiterfassung!$T$9:$T$128,Zeiterfassung!$A$9:$A$128,"&gt;="&amp;DATE($B$5,$D$4,1),Zeiterfassung!$A$9:$A$128,"&lt;"&amp;EDATE(DATE($B$5,$D$4,1),1))</f>
        <v>2130.0700000000002</v>
      </c>
      <c r="C8" s="26">
        <f>SUMIFS(Zeiterfassung!$M$9:$M$128,Zeiterfassung!$A$9:$A$128,"&gt;="&amp;DATE($B$5,$D$4,1),Zeiterfassung!$A$9:$A$128,"&lt;"&amp;EDATE(DATE($B$5,$D$4,1),1))</f>
        <v>28</v>
      </c>
      <c r="D8" s="27">
        <f>SUMIFS(Zeiterfassung!$O$9:$O$128,Zeiterfassung!$A$9:$A$128,"&gt;="&amp;DATE($B$5,$D$4,1),Zeiterfassung!$A$9:$A$128,"&lt;"&amp;EDATE(DATE($B$5,$D$4,1),1))</f>
        <v>451</v>
      </c>
      <c r="E8" s="35">
        <f>COUNTIFS(Zeiterfassung!$A$9:$A$128,"&gt;="&amp;DATE($B$5,$D$4,1),Zeiterfassung!$A$9:$A$128,"&lt;"&amp;EDATE(DATE($B$5,$D$4,1),1))</f>
        <v>20</v>
      </c>
      <c r="F8" s="35">
        <f>COUNTIFS(Zeiterfassung!$A$9:$A$128,"&gt;="&amp;DATE($B$5,$D$4,1),Zeiterfassung!$A$9:$A$128,"&lt;"&amp;EDATE(DATE($B$5,$D$4,1),1),Zeiterfassung!$V$9:$V$128,"Prüfen")</f>
        <v>1</v>
      </c>
      <c r="G8" s="26">
        <f>IFERROR(A8/E8,0)</f>
        <v>6.3333333333333339</v>
      </c>
      <c r="H8" s="27">
        <f>IFERROR(B8/E8,0)</f>
        <v>106.5035</v>
      </c>
    </row>
    <row r="11" spans="1:14" x14ac:dyDescent="0.25">
      <c r="A11" s="28" t="s">
        <v>9</v>
      </c>
      <c r="B11" s="28" t="s">
        <v>10</v>
      </c>
      <c r="C11" s="28" t="s">
        <v>16</v>
      </c>
      <c r="D11" s="28" t="s">
        <v>19</v>
      </c>
      <c r="E11" s="28" t="s">
        <v>21</v>
      </c>
      <c r="F11" s="28" t="s">
        <v>6</v>
      </c>
      <c r="G11" s="28" t="s">
        <v>62</v>
      </c>
      <c r="H11" s="28" t="s">
        <v>63</v>
      </c>
    </row>
    <row r="12" spans="1:14" x14ac:dyDescent="0.25">
      <c r="A12" s="32" t="s">
        <v>29</v>
      </c>
      <c r="B12" s="32" t="str">
        <f>IFERROR(VLOOKUP(A12,Einstellungen!$G$4:$I$9,3,FALSE),"")</f>
        <v>Service</v>
      </c>
      <c r="C12" s="33">
        <f>SUMIFS(Zeiterfassung!$J$9:$J$128,Zeiterfassung!$C$9:$C$128,$A12,Zeiterfassung!$A$9:$A$128,"&gt;="&amp;DATE($B$5,$D$4,1),Zeiterfassung!$A$9:$A$128,"&lt;"&amp;EDATE(DATE($B$5,$D$4,1),1))</f>
        <v>24.499999999999996</v>
      </c>
      <c r="D12" s="33">
        <f>SUMIFS(Zeiterfassung!$M$9:$M$128,Zeiterfassung!$C$9:$C$128,$A12,Zeiterfassung!$A$9:$A$128,"&gt;="&amp;DATE($B$5,$D$4,1),Zeiterfassung!$A$9:$A$128,"&lt;"&amp;EDATE(DATE($B$5,$D$4,1),1))</f>
        <v>8</v>
      </c>
      <c r="E12" s="34">
        <f>SUMIFS(Zeiterfassung!$O$9:$O$128,Zeiterfassung!$C$9:$C$128,$A12,Zeiterfassung!$A$9:$A$128,"&gt;="&amp;DATE($B$5,$D$4,1),Zeiterfassung!$A$9:$A$128,"&lt;"&amp;EDATE(DATE($B$5,$D$4,1),1))</f>
        <v>156</v>
      </c>
      <c r="F12" s="34">
        <f>SUMIFS(Zeiterfassung!$T$9:$T$128,Zeiterfassung!$C$9:$C$128,$A12,Zeiterfassung!$A$9:$A$128,"&gt;="&amp;DATE($B$5,$D$4,1),Zeiterfassung!$A$9:$A$128,"&lt;"&amp;EDATE(DATE($B$5,$D$4,1),1))</f>
        <v>376.31</v>
      </c>
      <c r="G12" s="36">
        <f>COUNTIFS(Zeiterfassung!$C$9:$C$128,$A12,Zeiterfassung!$A$9:$A$128,"&gt;="&amp;DATE($B$5,$D$4,1),Zeiterfassung!$A$9:$A$128,"&lt;"&amp;EDATE(DATE($B$5,$D$4,1),1))</f>
        <v>4</v>
      </c>
      <c r="H12" s="36">
        <f>COUNTIFS(Zeiterfassung!$C$9:$C$128,$A12,Zeiterfassung!$A$9:$A$128,"&gt;="&amp;DATE($B$5,$D$4,1),Zeiterfassung!$A$9:$A$128,"&lt;"&amp;EDATE(DATE($B$5,$D$4,1),1),Zeiterfassung!$V$9:$V$128,"Prüfen")</f>
        <v>0</v>
      </c>
    </row>
    <row r="13" spans="1:14" x14ac:dyDescent="0.25">
      <c r="A13" s="32" t="s">
        <v>33</v>
      </c>
      <c r="B13" s="32" t="str">
        <f>IFERROR(VLOOKUP(A13,Einstellungen!$G$4:$I$9,3,FALSE),"")</f>
        <v>Küche</v>
      </c>
      <c r="C13" s="33">
        <f>SUMIFS(Zeiterfassung!$J$9:$J$128,Zeiterfassung!$C$9:$C$128,$A13,Zeiterfassung!$A$9:$A$128,"&gt;="&amp;DATE($B$5,$D$4,1),Zeiterfassung!$A$9:$A$128,"&lt;"&amp;EDATE(DATE($B$5,$D$4,1),1))</f>
        <v>25.916666666666671</v>
      </c>
      <c r="D13" s="33">
        <f>SUMIFS(Zeiterfassung!$M$9:$M$128,Zeiterfassung!$C$9:$C$128,$A13,Zeiterfassung!$A$9:$A$128,"&gt;="&amp;DATE($B$5,$D$4,1),Zeiterfassung!$A$9:$A$128,"&lt;"&amp;EDATE(DATE($B$5,$D$4,1),1))</f>
        <v>2.5</v>
      </c>
      <c r="E13" s="34">
        <f>SUMIFS(Zeiterfassung!$O$9:$O$128,Zeiterfassung!$C$9:$C$128,$A13,Zeiterfassung!$A$9:$A$128,"&gt;="&amp;DATE($B$5,$D$4,1),Zeiterfassung!$A$9:$A$128,"&lt;"&amp;EDATE(DATE($B$5,$D$4,1),1))</f>
        <v>0</v>
      </c>
      <c r="F13" s="34">
        <f>SUMIFS(Zeiterfassung!$T$9:$T$128,Zeiterfassung!$C$9:$C$128,$A13,Zeiterfassung!$A$9:$A$128,"&gt;="&amp;DATE($B$5,$D$4,1),Zeiterfassung!$A$9:$A$128,"&lt;"&amp;EDATE(DATE($B$5,$D$4,1),1))</f>
        <v>407.17</v>
      </c>
      <c r="G13" s="36">
        <f>COUNTIFS(Zeiterfassung!$C$9:$C$128,$A13,Zeiterfassung!$A$9:$A$128,"&gt;="&amp;DATE($B$5,$D$4,1),Zeiterfassung!$A$9:$A$128,"&lt;"&amp;EDATE(DATE($B$5,$D$4,1),1))</f>
        <v>4</v>
      </c>
      <c r="H13" s="36">
        <f>COUNTIFS(Zeiterfassung!$C$9:$C$128,$A13,Zeiterfassung!$A$9:$A$128,"&gt;="&amp;DATE($B$5,$D$4,1),Zeiterfassung!$A$9:$A$128,"&lt;"&amp;EDATE(DATE($B$5,$D$4,1),1),Zeiterfassung!$V$9:$V$128,"Prüfen")</f>
        <v>1</v>
      </c>
    </row>
    <row r="14" spans="1:14" x14ac:dyDescent="0.25">
      <c r="A14" s="32" t="s">
        <v>35</v>
      </c>
      <c r="B14" s="32" t="str">
        <f>IFERROR(VLOOKUP(A14,Einstellungen!$G$4:$I$9,3,FALSE),"")</f>
        <v>Bar</v>
      </c>
      <c r="C14" s="33">
        <f>SUMIFS(Zeiterfassung!$J$9:$J$128,Zeiterfassung!$C$9:$C$128,$A14,Zeiterfassung!$A$9:$A$128,"&gt;="&amp;DATE($B$5,$D$4,1),Zeiterfassung!$A$9:$A$128,"&lt;"&amp;EDATE(DATE($B$5,$D$4,1),1))</f>
        <v>19.75</v>
      </c>
      <c r="D14" s="33">
        <f>SUMIFS(Zeiterfassung!$M$9:$M$128,Zeiterfassung!$C$9:$C$128,$A14,Zeiterfassung!$A$9:$A$128,"&gt;="&amp;DATE($B$5,$D$4,1),Zeiterfassung!$A$9:$A$128,"&lt;"&amp;EDATE(DATE($B$5,$D$4,1),1))</f>
        <v>13.5</v>
      </c>
      <c r="E14" s="34">
        <f>SUMIFS(Zeiterfassung!$O$9:$O$128,Zeiterfassung!$C$9:$C$128,$A14,Zeiterfassung!$A$9:$A$128,"&gt;="&amp;DATE($B$5,$D$4,1),Zeiterfassung!$A$9:$A$128,"&lt;"&amp;EDATE(DATE($B$5,$D$4,1),1))</f>
        <v>160</v>
      </c>
      <c r="F14" s="34">
        <f>SUMIFS(Zeiterfassung!$T$9:$T$128,Zeiterfassung!$C$9:$C$128,$A14,Zeiterfassung!$A$9:$A$128,"&gt;="&amp;DATE($B$5,$D$4,1),Zeiterfassung!$A$9:$A$128,"&lt;"&amp;EDATE(DATE($B$5,$D$4,1),1))</f>
        <v>399.38</v>
      </c>
      <c r="G14" s="36">
        <f>COUNTIFS(Zeiterfassung!$C$9:$C$128,$A14,Zeiterfassung!$A$9:$A$128,"&gt;="&amp;DATE($B$5,$D$4,1),Zeiterfassung!$A$9:$A$128,"&lt;"&amp;EDATE(DATE($B$5,$D$4,1),1))</f>
        <v>3</v>
      </c>
      <c r="H14" s="36">
        <f>COUNTIFS(Zeiterfassung!$C$9:$C$128,$A14,Zeiterfassung!$A$9:$A$128,"&gt;="&amp;DATE($B$5,$D$4,1),Zeiterfassung!$A$9:$A$128,"&lt;"&amp;EDATE(DATE($B$5,$D$4,1),1),Zeiterfassung!$V$9:$V$128,"Prüfen")</f>
        <v>0</v>
      </c>
    </row>
    <row r="15" spans="1:14" x14ac:dyDescent="0.25">
      <c r="A15" s="32" t="s">
        <v>39</v>
      </c>
      <c r="B15" s="32" t="str">
        <f>IFERROR(VLOOKUP(A15,Einstellungen!$G$4:$I$9,3,FALSE),"")</f>
        <v>Service</v>
      </c>
      <c r="C15" s="33">
        <f>SUMIFS(Zeiterfassung!$J$9:$J$128,Zeiterfassung!$C$9:$C$128,$A15,Zeiterfassung!$A$9:$A$128,"&gt;="&amp;DATE($B$5,$D$4,1),Zeiterfassung!$A$9:$A$128,"&lt;"&amp;EDATE(DATE($B$5,$D$4,1),1))</f>
        <v>17.5</v>
      </c>
      <c r="D15" s="33">
        <f>SUMIFS(Zeiterfassung!$M$9:$M$128,Zeiterfassung!$C$9:$C$128,$A15,Zeiterfassung!$A$9:$A$128,"&gt;="&amp;DATE($B$5,$D$4,1),Zeiterfassung!$A$9:$A$128,"&lt;"&amp;EDATE(DATE($B$5,$D$4,1),1))</f>
        <v>0</v>
      </c>
      <c r="E15" s="34">
        <f>SUMIFS(Zeiterfassung!$O$9:$O$128,Zeiterfassung!$C$9:$C$128,$A15,Zeiterfassung!$A$9:$A$128,"&gt;="&amp;DATE($B$5,$D$4,1),Zeiterfassung!$A$9:$A$128,"&lt;"&amp;EDATE(DATE($B$5,$D$4,1),1))</f>
        <v>80</v>
      </c>
      <c r="F15" s="34">
        <f>SUMIFS(Zeiterfassung!$T$9:$T$128,Zeiterfassung!$C$9:$C$128,$A15,Zeiterfassung!$A$9:$A$128,"&gt;="&amp;DATE($B$5,$D$4,1),Zeiterfassung!$A$9:$A$128,"&lt;"&amp;EDATE(DATE($B$5,$D$4,1),1))</f>
        <v>337.13</v>
      </c>
      <c r="G15" s="36">
        <f>COUNTIFS(Zeiterfassung!$C$9:$C$128,$A15,Zeiterfassung!$A$9:$A$128,"&gt;="&amp;DATE($B$5,$D$4,1),Zeiterfassung!$A$9:$A$128,"&lt;"&amp;EDATE(DATE($B$5,$D$4,1),1))</f>
        <v>3</v>
      </c>
      <c r="H15" s="36">
        <f>COUNTIFS(Zeiterfassung!$C$9:$C$128,$A15,Zeiterfassung!$A$9:$A$128,"&gt;="&amp;DATE($B$5,$D$4,1),Zeiterfassung!$A$9:$A$128,"&lt;"&amp;EDATE(DATE($B$5,$D$4,1),1),Zeiterfassung!$V$9:$V$128,"Prüfen")</f>
        <v>0</v>
      </c>
    </row>
    <row r="16" spans="1:14" x14ac:dyDescent="0.25">
      <c r="A16" s="32" t="s">
        <v>42</v>
      </c>
      <c r="B16" s="32" t="str">
        <f>IFERROR(VLOOKUP(A16,Einstellungen!$G$4:$I$9,3,FALSE),"")</f>
        <v>Spüle</v>
      </c>
      <c r="C16" s="33">
        <f>SUMIFS(Zeiterfassung!$J$9:$J$128,Zeiterfassung!$C$9:$C$128,$A16,Zeiterfassung!$A$9:$A$128,"&gt;="&amp;DATE($B$5,$D$4,1),Zeiterfassung!$A$9:$A$128,"&lt;"&amp;EDATE(DATE($B$5,$D$4,1),1))</f>
        <v>14.25</v>
      </c>
      <c r="D16" s="33">
        <f>SUMIFS(Zeiterfassung!$M$9:$M$128,Zeiterfassung!$C$9:$C$128,$A16,Zeiterfassung!$A$9:$A$128,"&gt;="&amp;DATE($B$5,$D$4,1),Zeiterfassung!$A$9:$A$128,"&lt;"&amp;EDATE(DATE($B$5,$D$4,1),1))</f>
        <v>0</v>
      </c>
      <c r="E16" s="34">
        <f>SUMIFS(Zeiterfassung!$O$9:$O$128,Zeiterfassung!$C$9:$C$128,$A16,Zeiterfassung!$A$9:$A$128,"&gt;="&amp;DATE($B$5,$D$4,1),Zeiterfassung!$A$9:$A$128,"&lt;"&amp;EDATE(DATE($B$5,$D$4,1),1))</f>
        <v>0</v>
      </c>
      <c r="F16" s="34">
        <f>SUMIFS(Zeiterfassung!$T$9:$T$128,Zeiterfassung!$C$9:$C$128,$A16,Zeiterfassung!$A$9:$A$128,"&gt;="&amp;DATE($B$5,$D$4,1),Zeiterfassung!$A$9:$A$128,"&lt;"&amp;EDATE(DATE($B$5,$D$4,1),1))</f>
        <v>198.07999999999998</v>
      </c>
      <c r="G16" s="36">
        <f>COUNTIFS(Zeiterfassung!$C$9:$C$128,$A16,Zeiterfassung!$A$9:$A$128,"&gt;="&amp;DATE($B$5,$D$4,1),Zeiterfassung!$A$9:$A$128,"&lt;"&amp;EDATE(DATE($B$5,$D$4,1),1))</f>
        <v>3</v>
      </c>
      <c r="H16" s="36">
        <f>COUNTIFS(Zeiterfassung!$C$9:$C$128,$A16,Zeiterfassung!$A$9:$A$128,"&gt;="&amp;DATE($B$5,$D$4,1),Zeiterfassung!$A$9:$A$128,"&lt;"&amp;EDATE(DATE($B$5,$D$4,1),1),Zeiterfassung!$V$9:$V$128,"Prüfen")</f>
        <v>0</v>
      </c>
    </row>
    <row r="17" spans="1:8" x14ac:dyDescent="0.25">
      <c r="A17" s="32" t="s">
        <v>45</v>
      </c>
      <c r="B17" s="32" t="str">
        <f>IFERROR(VLOOKUP(A17,Einstellungen!$G$4:$I$9,3,FALSE),"")</f>
        <v>Schichtleitung</v>
      </c>
      <c r="C17" s="33">
        <f>SUMIFS(Zeiterfassung!$J$9:$J$128,Zeiterfassung!$C$9:$C$128,$A17,Zeiterfassung!$A$9:$A$128,"&gt;="&amp;DATE($B$5,$D$4,1),Zeiterfassung!$A$9:$A$128,"&lt;"&amp;EDATE(DATE($B$5,$D$4,1),1))</f>
        <v>24.749999999999996</v>
      </c>
      <c r="D17" s="33">
        <f>SUMIFS(Zeiterfassung!$M$9:$M$128,Zeiterfassung!$C$9:$C$128,$A17,Zeiterfassung!$A$9:$A$128,"&gt;="&amp;DATE($B$5,$D$4,1),Zeiterfassung!$A$9:$A$128,"&lt;"&amp;EDATE(DATE($B$5,$D$4,1),1))</f>
        <v>4</v>
      </c>
      <c r="E17" s="34">
        <f>SUMIFS(Zeiterfassung!$O$9:$O$128,Zeiterfassung!$C$9:$C$128,$A17,Zeiterfassung!$A$9:$A$128,"&gt;="&amp;DATE($B$5,$D$4,1),Zeiterfassung!$A$9:$A$128,"&lt;"&amp;EDATE(DATE($B$5,$D$4,1),1))</f>
        <v>55</v>
      </c>
      <c r="F17" s="34">
        <f>SUMIFS(Zeiterfassung!$T$9:$T$128,Zeiterfassung!$C$9:$C$128,$A17,Zeiterfassung!$A$9:$A$128,"&gt;="&amp;DATE($B$5,$D$4,1),Zeiterfassung!$A$9:$A$128,"&lt;"&amp;EDATE(DATE($B$5,$D$4,1),1))</f>
        <v>412</v>
      </c>
      <c r="G17" s="36">
        <f>COUNTIFS(Zeiterfassung!$C$9:$C$128,$A17,Zeiterfassung!$A$9:$A$128,"&gt;="&amp;DATE($B$5,$D$4,1),Zeiterfassung!$A$9:$A$128,"&lt;"&amp;EDATE(DATE($B$5,$D$4,1),1))</f>
        <v>3</v>
      </c>
      <c r="H17" s="36">
        <f>COUNTIFS(Zeiterfassung!$C$9:$C$128,$A17,Zeiterfassung!$A$9:$A$128,"&gt;="&amp;DATE($B$5,$D$4,1),Zeiterfassung!$A$9:$A$128,"&lt;"&amp;EDATE(DATE($B$5,$D$4,1),1),Zeiterfassung!$V$9:$V$128,"Prüfen")</f>
        <v>0</v>
      </c>
    </row>
    <row r="20" spans="1:8" x14ac:dyDescent="0.25">
      <c r="A20" s="28" t="s">
        <v>10</v>
      </c>
      <c r="B20" s="28" t="s">
        <v>16</v>
      </c>
      <c r="C20" s="28" t="s">
        <v>19</v>
      </c>
      <c r="D20" s="28" t="s">
        <v>21</v>
      </c>
      <c r="E20" s="28" t="s">
        <v>6</v>
      </c>
      <c r="F20" s="28" t="s">
        <v>62</v>
      </c>
    </row>
    <row r="21" spans="1:8" x14ac:dyDescent="0.25">
      <c r="A21" s="29" t="s">
        <v>30</v>
      </c>
      <c r="B21" s="30">
        <f>SUMIFS(Zeiterfassung!$J$9:$J$128,Zeiterfassung!$D$9:$D$128,$A21,Zeiterfassung!$A$9:$A$128,"&gt;="&amp;DATE($B$5,$D$4,1),Zeiterfassung!$A$9:$A$128,"&lt;"&amp;EDATE(DATE($B$5,$D$4,1),1))</f>
        <v>36.5</v>
      </c>
      <c r="C21" s="30">
        <f>SUMIFS(Zeiterfassung!$M$9:$M$128,Zeiterfassung!$D$9:$D$128,$A21,Zeiterfassung!$A$9:$A$128,"&gt;="&amp;DATE($B$5,$D$4,1),Zeiterfassung!$A$9:$A$128,"&lt;"&amp;EDATE(DATE($B$5,$D$4,1),1))</f>
        <v>8</v>
      </c>
      <c r="D21" s="31">
        <f>SUMIFS(Zeiterfassung!$O$9:$O$128,Zeiterfassung!$D$9:$D$128,$A21,Zeiterfassung!$A$9:$A$128,"&gt;="&amp;DATE($B$5,$D$4,1),Zeiterfassung!$A$9:$A$128,"&lt;"&amp;EDATE(DATE($B$5,$D$4,1),1))</f>
        <v>207</v>
      </c>
      <c r="E21" s="31">
        <f>SUMIFS(Zeiterfassung!$T$9:$T$128,Zeiterfassung!$D$9:$D$128,$A21,Zeiterfassung!$A$9:$A$128,"&gt;="&amp;DATE($B$5,$D$4,1),Zeiterfassung!$A$9:$A$128,"&lt;"&amp;EDATE(DATE($B$5,$D$4,1),1))</f>
        <v>593.80999999999995</v>
      </c>
      <c r="F21" s="37">
        <f>COUNTIFS(Zeiterfassung!$D$9:$D$128,$A21,Zeiterfassung!$A$9:$A$128,"&gt;="&amp;DATE($B$5,$D$4,1),Zeiterfassung!$A$9:$A$128,"&lt;"&amp;EDATE(DATE($B$5,$D$4,1),1))</f>
        <v>6</v>
      </c>
    </row>
    <row r="22" spans="1:8" x14ac:dyDescent="0.25">
      <c r="A22" s="29" t="s">
        <v>34</v>
      </c>
      <c r="B22" s="30">
        <f>SUMIFS(Zeiterfassung!$J$9:$J$128,Zeiterfassung!$D$9:$D$128,$A22,Zeiterfassung!$A$9:$A$128,"&gt;="&amp;DATE($B$5,$D$4,1),Zeiterfassung!$A$9:$A$128,"&lt;"&amp;EDATE(DATE($B$5,$D$4,1),1))</f>
        <v>25.916666666666671</v>
      </c>
      <c r="C22" s="30">
        <f>SUMIFS(Zeiterfassung!$M$9:$M$128,Zeiterfassung!$D$9:$D$128,$A22,Zeiterfassung!$A$9:$A$128,"&gt;="&amp;DATE($B$5,$D$4,1),Zeiterfassung!$A$9:$A$128,"&lt;"&amp;EDATE(DATE($B$5,$D$4,1),1))</f>
        <v>2.5</v>
      </c>
      <c r="D22" s="31">
        <f>SUMIFS(Zeiterfassung!$O$9:$O$128,Zeiterfassung!$D$9:$D$128,$A22,Zeiterfassung!$A$9:$A$128,"&gt;="&amp;DATE($B$5,$D$4,1),Zeiterfassung!$A$9:$A$128,"&lt;"&amp;EDATE(DATE($B$5,$D$4,1),1))</f>
        <v>0</v>
      </c>
      <c r="E22" s="31">
        <f>SUMIFS(Zeiterfassung!$T$9:$T$128,Zeiterfassung!$D$9:$D$128,$A22,Zeiterfassung!$A$9:$A$128,"&gt;="&amp;DATE($B$5,$D$4,1),Zeiterfassung!$A$9:$A$128,"&lt;"&amp;EDATE(DATE($B$5,$D$4,1),1))</f>
        <v>407.17</v>
      </c>
      <c r="F22" s="37">
        <f>COUNTIFS(Zeiterfassung!$D$9:$D$128,$A22,Zeiterfassung!$A$9:$A$128,"&gt;="&amp;DATE($B$5,$D$4,1),Zeiterfassung!$A$9:$A$128,"&lt;"&amp;EDATE(DATE($B$5,$D$4,1),1))</f>
        <v>4</v>
      </c>
    </row>
    <row r="23" spans="1:8" x14ac:dyDescent="0.25">
      <c r="A23" s="29" t="s">
        <v>36</v>
      </c>
      <c r="B23" s="30">
        <f>SUMIFS(Zeiterfassung!$J$9:$J$128,Zeiterfassung!$D$9:$D$128,$A23,Zeiterfassung!$A$9:$A$128,"&gt;="&amp;DATE($B$5,$D$4,1),Zeiterfassung!$A$9:$A$128,"&lt;"&amp;EDATE(DATE($B$5,$D$4,1),1))</f>
        <v>19.75</v>
      </c>
      <c r="C23" s="30">
        <f>SUMIFS(Zeiterfassung!$M$9:$M$128,Zeiterfassung!$D$9:$D$128,$A23,Zeiterfassung!$A$9:$A$128,"&gt;="&amp;DATE($B$5,$D$4,1),Zeiterfassung!$A$9:$A$128,"&lt;"&amp;EDATE(DATE($B$5,$D$4,1),1))</f>
        <v>13.5</v>
      </c>
      <c r="D23" s="31">
        <f>SUMIFS(Zeiterfassung!$O$9:$O$128,Zeiterfassung!$D$9:$D$128,$A23,Zeiterfassung!$A$9:$A$128,"&gt;="&amp;DATE($B$5,$D$4,1),Zeiterfassung!$A$9:$A$128,"&lt;"&amp;EDATE(DATE($B$5,$D$4,1),1))</f>
        <v>160</v>
      </c>
      <c r="E23" s="31">
        <f>SUMIFS(Zeiterfassung!$T$9:$T$128,Zeiterfassung!$D$9:$D$128,$A23,Zeiterfassung!$A$9:$A$128,"&gt;="&amp;DATE($B$5,$D$4,1),Zeiterfassung!$A$9:$A$128,"&lt;"&amp;EDATE(DATE($B$5,$D$4,1),1))</f>
        <v>399.38</v>
      </c>
      <c r="F23" s="37">
        <f>COUNTIFS(Zeiterfassung!$D$9:$D$128,$A23,Zeiterfassung!$A$9:$A$128,"&gt;="&amp;DATE($B$5,$D$4,1),Zeiterfassung!$A$9:$A$128,"&lt;"&amp;EDATE(DATE($B$5,$D$4,1),1))</f>
        <v>3</v>
      </c>
    </row>
    <row r="24" spans="1:8" x14ac:dyDescent="0.25">
      <c r="A24" s="29" t="s">
        <v>43</v>
      </c>
      <c r="B24" s="30">
        <f>SUMIFS(Zeiterfassung!$J$9:$J$128,Zeiterfassung!$D$9:$D$128,$A24,Zeiterfassung!$A$9:$A$128,"&gt;="&amp;DATE($B$5,$D$4,1),Zeiterfassung!$A$9:$A$128,"&lt;"&amp;EDATE(DATE($B$5,$D$4,1),1))</f>
        <v>14.25</v>
      </c>
      <c r="C24" s="30">
        <f>SUMIFS(Zeiterfassung!$M$9:$M$128,Zeiterfassung!$D$9:$D$128,$A24,Zeiterfassung!$A$9:$A$128,"&gt;="&amp;DATE($B$5,$D$4,1),Zeiterfassung!$A$9:$A$128,"&lt;"&amp;EDATE(DATE($B$5,$D$4,1),1))</f>
        <v>0</v>
      </c>
      <c r="D24" s="31">
        <f>SUMIFS(Zeiterfassung!$O$9:$O$128,Zeiterfassung!$D$9:$D$128,$A24,Zeiterfassung!$A$9:$A$128,"&gt;="&amp;DATE($B$5,$D$4,1),Zeiterfassung!$A$9:$A$128,"&lt;"&amp;EDATE(DATE($B$5,$D$4,1),1))</f>
        <v>0</v>
      </c>
      <c r="E24" s="31">
        <f>SUMIFS(Zeiterfassung!$T$9:$T$128,Zeiterfassung!$D$9:$D$128,$A24,Zeiterfassung!$A$9:$A$128,"&gt;="&amp;DATE($B$5,$D$4,1),Zeiterfassung!$A$9:$A$128,"&lt;"&amp;EDATE(DATE($B$5,$D$4,1),1))</f>
        <v>198.07999999999998</v>
      </c>
      <c r="F24" s="37">
        <f>COUNTIFS(Zeiterfassung!$D$9:$D$128,$A24,Zeiterfassung!$A$9:$A$128,"&gt;="&amp;DATE($B$5,$D$4,1),Zeiterfassung!$A$9:$A$128,"&lt;"&amp;EDATE(DATE($B$5,$D$4,1),1))</f>
        <v>3</v>
      </c>
    </row>
    <row r="25" spans="1:8" x14ac:dyDescent="0.25">
      <c r="A25" s="29" t="s">
        <v>51</v>
      </c>
      <c r="B25" s="30">
        <f>SUMIFS(Zeiterfassung!$J$9:$J$128,Zeiterfassung!$D$9:$D$128,$A25,Zeiterfassung!$A$9:$A$128,"&gt;="&amp;DATE($B$5,$D$4,1),Zeiterfassung!$A$9:$A$128,"&lt;"&amp;EDATE(DATE($B$5,$D$4,1),1))</f>
        <v>5.4999999999999982</v>
      </c>
      <c r="C25" s="30">
        <f>SUMIFS(Zeiterfassung!$M$9:$M$128,Zeiterfassung!$D$9:$D$128,$A25,Zeiterfassung!$A$9:$A$128,"&gt;="&amp;DATE($B$5,$D$4,1),Zeiterfassung!$A$9:$A$128,"&lt;"&amp;EDATE(DATE($B$5,$D$4,1),1))</f>
        <v>0</v>
      </c>
      <c r="D25" s="31">
        <f>SUMIFS(Zeiterfassung!$O$9:$O$128,Zeiterfassung!$D$9:$D$128,$A25,Zeiterfassung!$A$9:$A$128,"&gt;="&amp;DATE($B$5,$D$4,1),Zeiterfassung!$A$9:$A$128,"&lt;"&amp;EDATE(DATE($B$5,$D$4,1),1))</f>
        <v>29</v>
      </c>
      <c r="E25" s="31">
        <f>SUMIFS(Zeiterfassung!$T$9:$T$128,Zeiterfassung!$D$9:$D$128,$A25,Zeiterfassung!$A$9:$A$128,"&gt;="&amp;DATE($B$5,$D$4,1),Zeiterfassung!$A$9:$A$128,"&lt;"&amp;EDATE(DATE($B$5,$D$4,1),1))</f>
        <v>119.63</v>
      </c>
      <c r="F25" s="37">
        <f>COUNTIFS(Zeiterfassung!$D$9:$D$128,$A25,Zeiterfassung!$A$9:$A$128,"&gt;="&amp;DATE($B$5,$D$4,1),Zeiterfassung!$A$9:$A$128,"&lt;"&amp;EDATE(DATE($B$5,$D$4,1),1))</f>
        <v>1</v>
      </c>
    </row>
    <row r="26" spans="1:8" x14ac:dyDescent="0.25">
      <c r="A26" s="29" t="s">
        <v>66</v>
      </c>
      <c r="B26" s="30">
        <f>SUMIFS(Zeiterfassung!$J$9:$J$128,Zeiterfassung!$D$9:$D$128,$A26,Zeiterfassung!$A$9:$A$128,"&gt;="&amp;DATE($B$5,$D$4,1),Zeiterfassung!$A$9:$A$128,"&lt;"&amp;EDATE(DATE($B$5,$D$4,1),1))</f>
        <v>0</v>
      </c>
      <c r="C26" s="30">
        <f>SUMIFS(Zeiterfassung!$M$9:$M$128,Zeiterfassung!$D$9:$D$128,$A26,Zeiterfassung!$A$9:$A$128,"&gt;="&amp;DATE($B$5,$D$4,1),Zeiterfassung!$A$9:$A$128,"&lt;"&amp;EDATE(DATE($B$5,$D$4,1),1))</f>
        <v>0</v>
      </c>
      <c r="D26" s="31">
        <f>SUMIFS(Zeiterfassung!$O$9:$O$128,Zeiterfassung!$D$9:$D$128,$A26,Zeiterfassung!$A$9:$A$128,"&gt;="&amp;DATE($B$5,$D$4,1),Zeiterfassung!$A$9:$A$128,"&lt;"&amp;EDATE(DATE($B$5,$D$4,1),1))</f>
        <v>0</v>
      </c>
      <c r="E26" s="31">
        <f>SUMIFS(Zeiterfassung!$T$9:$T$128,Zeiterfassung!$D$9:$D$128,$A26,Zeiterfassung!$A$9:$A$128,"&gt;="&amp;DATE($B$5,$D$4,1),Zeiterfassung!$A$9:$A$128,"&lt;"&amp;EDATE(DATE($B$5,$D$4,1),1))</f>
        <v>0</v>
      </c>
      <c r="F26" s="37">
        <f>COUNTIFS(Zeiterfassung!$D$9:$D$128,$A26,Zeiterfassung!$A$9:$A$128,"&gt;="&amp;DATE($B$5,$D$4,1),Zeiterfassung!$A$9:$A$128,"&lt;"&amp;EDATE(DATE($B$5,$D$4,1),1))</f>
        <v>0</v>
      </c>
    </row>
    <row r="30" spans="1:8" x14ac:dyDescent="0.25">
      <c r="A30" s="28" t="s">
        <v>67</v>
      </c>
      <c r="B30" s="28" t="s">
        <v>16</v>
      </c>
      <c r="C30" s="28" t="s">
        <v>19</v>
      </c>
      <c r="D30" s="28" t="s">
        <v>21</v>
      </c>
      <c r="E30" s="28" t="s">
        <v>6</v>
      </c>
      <c r="F30" s="28" t="s">
        <v>62</v>
      </c>
      <c r="G30" s="28" t="s">
        <v>63</v>
      </c>
    </row>
    <row r="31" spans="1:8" x14ac:dyDescent="0.25">
      <c r="A31" s="29" t="s">
        <v>57</v>
      </c>
      <c r="B31" s="30">
        <f>SUMIFS(Zeiterfassung!$J$9:$J$128,Zeiterfassung!$A$9:$A$128,"&gt;="&amp;DATE(2026,1,1),Zeiterfassung!$A$9:$A$128,"&lt;"&amp;EDATE(DATE(2026,1,1),1))</f>
        <v>126.66666666666667</v>
      </c>
      <c r="C31" s="30">
        <f>SUMIFS(Zeiterfassung!$M$9:$M$128,Zeiterfassung!$A$9:$A$128,"&gt;="&amp;DATE(2026,1,1),Zeiterfassung!$A$9:$A$128,"&lt;"&amp;EDATE(DATE(2026,1,1),1))</f>
        <v>28</v>
      </c>
      <c r="D31" s="31">
        <f>SUMIFS(Zeiterfassung!$O$9:$O$128,Zeiterfassung!$A$9:$A$128,"&gt;="&amp;DATE(2026,1,1),Zeiterfassung!$A$9:$A$128,"&lt;"&amp;EDATE(DATE(2026,1,1),1))</f>
        <v>451</v>
      </c>
      <c r="E31" s="31">
        <f>SUMIFS(Zeiterfassung!$T$9:$T$128,Zeiterfassung!$A$9:$A$128,"&gt;="&amp;DATE(2026,1,1),Zeiterfassung!$A$9:$A$128,"&lt;"&amp;EDATE(DATE(2026,1,1),1))</f>
        <v>2130.0700000000002</v>
      </c>
      <c r="F31" s="37">
        <f>COUNTIFS(Zeiterfassung!$A$9:$A$128,"&gt;="&amp;DATE(2026,1,1),Zeiterfassung!$A$9:$A$128,"&lt;"&amp;EDATE(DATE(2026,1,1),1))</f>
        <v>20</v>
      </c>
      <c r="G31" s="37">
        <f>COUNTIFS(Zeiterfassung!$A$9:$A$128,"&gt;="&amp;DATE(2026,1,1),Zeiterfassung!$A$9:$A$128,"&lt;"&amp;EDATE(DATE(2026,1,1),1),Zeiterfassung!$V$9:$V$128,"Prüfen")</f>
        <v>1</v>
      </c>
    </row>
    <row r="32" spans="1:8" x14ac:dyDescent="0.25">
      <c r="A32" s="29" t="s">
        <v>68</v>
      </c>
      <c r="B32" s="30">
        <f>SUMIFS(Zeiterfassung!$J$9:$J$128,Zeiterfassung!$A$9:$A$128,"&gt;="&amp;DATE(2026,2,1),Zeiterfassung!$A$9:$A$128,"&lt;"&amp;EDATE(DATE(2026,2,1),1))</f>
        <v>22.499999999999996</v>
      </c>
      <c r="C32" s="30">
        <f>SUMIFS(Zeiterfassung!$M$9:$M$128,Zeiterfassung!$A$9:$A$128,"&gt;="&amp;DATE(2026,2,1),Zeiterfassung!$A$9:$A$128,"&lt;"&amp;EDATE(DATE(2026,2,1),1))</f>
        <v>5</v>
      </c>
      <c r="D32" s="31">
        <f>SUMIFS(Zeiterfassung!$O$9:$O$128,Zeiterfassung!$A$9:$A$128,"&gt;="&amp;DATE(2026,2,1),Zeiterfassung!$A$9:$A$128,"&lt;"&amp;EDATE(DATE(2026,2,1),1))</f>
        <v>86</v>
      </c>
      <c r="E32" s="31">
        <f>SUMIFS(Zeiterfassung!$T$9:$T$128,Zeiterfassung!$A$9:$A$128,"&gt;="&amp;DATE(2026,2,1),Zeiterfassung!$A$9:$A$128,"&lt;"&amp;EDATE(DATE(2026,2,1),1))</f>
        <v>397.73</v>
      </c>
      <c r="F32" s="37">
        <f>COUNTIFS(Zeiterfassung!$A$9:$A$128,"&gt;="&amp;DATE(2026,2,1),Zeiterfassung!$A$9:$A$128,"&lt;"&amp;EDATE(DATE(2026,2,1),1))</f>
        <v>4</v>
      </c>
      <c r="G32" s="37">
        <f>COUNTIFS(Zeiterfassung!$A$9:$A$128,"&gt;="&amp;DATE(2026,2,1),Zeiterfassung!$A$9:$A$128,"&lt;"&amp;EDATE(DATE(2026,2,1),1),Zeiterfassung!$V$9:$V$128,"Prüfen")</f>
        <v>0</v>
      </c>
    </row>
    <row r="33" spans="1:7" x14ac:dyDescent="0.25">
      <c r="A33" s="29" t="s">
        <v>69</v>
      </c>
      <c r="B33" s="30">
        <f>SUMIFS(Zeiterfassung!$J$9:$J$128,Zeiterfassung!$A$9:$A$128,"&gt;="&amp;DATE(2026,3,1),Zeiterfassung!$A$9:$A$128,"&lt;"&amp;EDATE(DATE(2026,3,1),1))</f>
        <v>0</v>
      </c>
      <c r="C33" s="30">
        <f>SUMIFS(Zeiterfassung!$M$9:$M$128,Zeiterfassung!$A$9:$A$128,"&gt;="&amp;DATE(2026,3,1),Zeiterfassung!$A$9:$A$128,"&lt;"&amp;EDATE(DATE(2026,3,1),1))</f>
        <v>0</v>
      </c>
      <c r="D33" s="31">
        <f>SUMIFS(Zeiterfassung!$O$9:$O$128,Zeiterfassung!$A$9:$A$128,"&gt;="&amp;DATE(2026,3,1),Zeiterfassung!$A$9:$A$128,"&lt;"&amp;EDATE(DATE(2026,3,1),1))</f>
        <v>0</v>
      </c>
      <c r="E33" s="31">
        <f>SUMIFS(Zeiterfassung!$T$9:$T$128,Zeiterfassung!$A$9:$A$128,"&gt;="&amp;DATE(2026,3,1),Zeiterfassung!$A$9:$A$128,"&lt;"&amp;EDATE(DATE(2026,3,1),1))</f>
        <v>0</v>
      </c>
      <c r="F33" s="37">
        <f>COUNTIFS(Zeiterfassung!$A$9:$A$128,"&gt;="&amp;DATE(2026,3,1),Zeiterfassung!$A$9:$A$128,"&lt;"&amp;EDATE(DATE(2026,3,1),1))</f>
        <v>0</v>
      </c>
      <c r="G33" s="37">
        <f>COUNTIFS(Zeiterfassung!$A$9:$A$128,"&gt;="&amp;DATE(2026,3,1),Zeiterfassung!$A$9:$A$128,"&lt;"&amp;EDATE(DATE(2026,3,1),1),Zeiterfassung!$V$9:$V$128,"Prüfen")</f>
        <v>0</v>
      </c>
    </row>
    <row r="34" spans="1:7" x14ac:dyDescent="0.25">
      <c r="A34" s="29" t="s">
        <v>70</v>
      </c>
      <c r="B34" s="30">
        <f>SUMIFS(Zeiterfassung!$J$9:$J$128,Zeiterfassung!$A$9:$A$128,"&gt;="&amp;DATE(2026,4,1),Zeiterfassung!$A$9:$A$128,"&lt;"&amp;EDATE(DATE(2026,4,1),1))</f>
        <v>0</v>
      </c>
      <c r="C34" s="30">
        <f>SUMIFS(Zeiterfassung!$M$9:$M$128,Zeiterfassung!$A$9:$A$128,"&gt;="&amp;DATE(2026,4,1),Zeiterfassung!$A$9:$A$128,"&lt;"&amp;EDATE(DATE(2026,4,1),1))</f>
        <v>0</v>
      </c>
      <c r="D34" s="31">
        <f>SUMIFS(Zeiterfassung!$O$9:$O$128,Zeiterfassung!$A$9:$A$128,"&gt;="&amp;DATE(2026,4,1),Zeiterfassung!$A$9:$A$128,"&lt;"&amp;EDATE(DATE(2026,4,1),1))</f>
        <v>0</v>
      </c>
      <c r="E34" s="31">
        <f>SUMIFS(Zeiterfassung!$T$9:$T$128,Zeiterfassung!$A$9:$A$128,"&gt;="&amp;DATE(2026,4,1),Zeiterfassung!$A$9:$A$128,"&lt;"&amp;EDATE(DATE(2026,4,1),1))</f>
        <v>0</v>
      </c>
      <c r="F34" s="37">
        <f>COUNTIFS(Zeiterfassung!$A$9:$A$128,"&gt;="&amp;DATE(2026,4,1),Zeiterfassung!$A$9:$A$128,"&lt;"&amp;EDATE(DATE(2026,4,1),1))</f>
        <v>0</v>
      </c>
      <c r="G34" s="37">
        <f>COUNTIFS(Zeiterfassung!$A$9:$A$128,"&gt;="&amp;DATE(2026,4,1),Zeiterfassung!$A$9:$A$128,"&lt;"&amp;EDATE(DATE(2026,4,1),1),Zeiterfassung!$V$9:$V$128,"Prüfen")</f>
        <v>0</v>
      </c>
    </row>
    <row r="35" spans="1:7" x14ac:dyDescent="0.25">
      <c r="A35" s="29" t="s">
        <v>71</v>
      </c>
      <c r="B35" s="30">
        <f>SUMIFS(Zeiterfassung!$J$9:$J$128,Zeiterfassung!$A$9:$A$128,"&gt;="&amp;DATE(2026,5,1),Zeiterfassung!$A$9:$A$128,"&lt;"&amp;EDATE(DATE(2026,5,1),1))</f>
        <v>0</v>
      </c>
      <c r="C35" s="30">
        <f>SUMIFS(Zeiterfassung!$M$9:$M$128,Zeiterfassung!$A$9:$A$128,"&gt;="&amp;DATE(2026,5,1),Zeiterfassung!$A$9:$A$128,"&lt;"&amp;EDATE(DATE(2026,5,1),1))</f>
        <v>0</v>
      </c>
      <c r="D35" s="31">
        <f>SUMIFS(Zeiterfassung!$O$9:$O$128,Zeiterfassung!$A$9:$A$128,"&gt;="&amp;DATE(2026,5,1),Zeiterfassung!$A$9:$A$128,"&lt;"&amp;EDATE(DATE(2026,5,1),1))</f>
        <v>0</v>
      </c>
      <c r="E35" s="31">
        <f>SUMIFS(Zeiterfassung!$T$9:$T$128,Zeiterfassung!$A$9:$A$128,"&gt;="&amp;DATE(2026,5,1),Zeiterfassung!$A$9:$A$128,"&lt;"&amp;EDATE(DATE(2026,5,1),1))</f>
        <v>0</v>
      </c>
      <c r="F35" s="37">
        <f>COUNTIFS(Zeiterfassung!$A$9:$A$128,"&gt;="&amp;DATE(2026,5,1),Zeiterfassung!$A$9:$A$128,"&lt;"&amp;EDATE(DATE(2026,5,1),1))</f>
        <v>0</v>
      </c>
      <c r="G35" s="37">
        <f>COUNTIFS(Zeiterfassung!$A$9:$A$128,"&gt;="&amp;DATE(2026,5,1),Zeiterfassung!$A$9:$A$128,"&lt;"&amp;EDATE(DATE(2026,5,1),1),Zeiterfassung!$V$9:$V$128,"Prüfen")</f>
        <v>0</v>
      </c>
    </row>
    <row r="36" spans="1:7" x14ac:dyDescent="0.25">
      <c r="A36" s="29" t="s">
        <v>72</v>
      </c>
      <c r="B36" s="30">
        <f>SUMIFS(Zeiterfassung!$J$9:$J$128,Zeiterfassung!$A$9:$A$128,"&gt;="&amp;DATE(2026,6,1),Zeiterfassung!$A$9:$A$128,"&lt;"&amp;EDATE(DATE(2026,6,1),1))</f>
        <v>0</v>
      </c>
      <c r="C36" s="30">
        <f>SUMIFS(Zeiterfassung!$M$9:$M$128,Zeiterfassung!$A$9:$A$128,"&gt;="&amp;DATE(2026,6,1),Zeiterfassung!$A$9:$A$128,"&lt;"&amp;EDATE(DATE(2026,6,1),1))</f>
        <v>0</v>
      </c>
      <c r="D36" s="31">
        <f>SUMIFS(Zeiterfassung!$O$9:$O$128,Zeiterfassung!$A$9:$A$128,"&gt;="&amp;DATE(2026,6,1),Zeiterfassung!$A$9:$A$128,"&lt;"&amp;EDATE(DATE(2026,6,1),1))</f>
        <v>0</v>
      </c>
      <c r="E36" s="31">
        <f>SUMIFS(Zeiterfassung!$T$9:$T$128,Zeiterfassung!$A$9:$A$128,"&gt;="&amp;DATE(2026,6,1),Zeiterfassung!$A$9:$A$128,"&lt;"&amp;EDATE(DATE(2026,6,1),1))</f>
        <v>0</v>
      </c>
      <c r="F36" s="37">
        <f>COUNTIFS(Zeiterfassung!$A$9:$A$128,"&gt;="&amp;DATE(2026,6,1),Zeiterfassung!$A$9:$A$128,"&lt;"&amp;EDATE(DATE(2026,6,1),1))</f>
        <v>0</v>
      </c>
      <c r="G36" s="37">
        <f>COUNTIFS(Zeiterfassung!$A$9:$A$128,"&gt;="&amp;DATE(2026,6,1),Zeiterfassung!$A$9:$A$128,"&lt;"&amp;EDATE(DATE(2026,6,1),1),Zeiterfassung!$V$9:$V$128,"Prüfen")</f>
        <v>0</v>
      </c>
    </row>
    <row r="37" spans="1:7" x14ac:dyDescent="0.25">
      <c r="A37" s="29" t="s">
        <v>73</v>
      </c>
      <c r="B37" s="30">
        <f>SUMIFS(Zeiterfassung!$J$9:$J$128,Zeiterfassung!$A$9:$A$128,"&gt;="&amp;DATE(2026,7,1),Zeiterfassung!$A$9:$A$128,"&lt;"&amp;EDATE(DATE(2026,7,1),1))</f>
        <v>0</v>
      </c>
      <c r="C37" s="30">
        <f>SUMIFS(Zeiterfassung!$M$9:$M$128,Zeiterfassung!$A$9:$A$128,"&gt;="&amp;DATE(2026,7,1),Zeiterfassung!$A$9:$A$128,"&lt;"&amp;EDATE(DATE(2026,7,1),1))</f>
        <v>0</v>
      </c>
      <c r="D37" s="31">
        <f>SUMIFS(Zeiterfassung!$O$9:$O$128,Zeiterfassung!$A$9:$A$128,"&gt;="&amp;DATE(2026,7,1),Zeiterfassung!$A$9:$A$128,"&lt;"&amp;EDATE(DATE(2026,7,1),1))</f>
        <v>0</v>
      </c>
      <c r="E37" s="31">
        <f>SUMIFS(Zeiterfassung!$T$9:$T$128,Zeiterfassung!$A$9:$A$128,"&gt;="&amp;DATE(2026,7,1),Zeiterfassung!$A$9:$A$128,"&lt;"&amp;EDATE(DATE(2026,7,1),1))</f>
        <v>0</v>
      </c>
      <c r="F37" s="37">
        <f>COUNTIFS(Zeiterfassung!$A$9:$A$128,"&gt;="&amp;DATE(2026,7,1),Zeiterfassung!$A$9:$A$128,"&lt;"&amp;EDATE(DATE(2026,7,1),1))</f>
        <v>0</v>
      </c>
      <c r="G37" s="37">
        <f>COUNTIFS(Zeiterfassung!$A$9:$A$128,"&gt;="&amp;DATE(2026,7,1),Zeiterfassung!$A$9:$A$128,"&lt;"&amp;EDATE(DATE(2026,7,1),1),Zeiterfassung!$V$9:$V$128,"Prüfen")</f>
        <v>0</v>
      </c>
    </row>
    <row r="38" spans="1:7" x14ac:dyDescent="0.25">
      <c r="A38" s="29" t="s">
        <v>74</v>
      </c>
      <c r="B38" s="30">
        <f>SUMIFS(Zeiterfassung!$J$9:$J$128,Zeiterfassung!$A$9:$A$128,"&gt;="&amp;DATE(2026,8,1),Zeiterfassung!$A$9:$A$128,"&lt;"&amp;EDATE(DATE(2026,8,1),1))</f>
        <v>0</v>
      </c>
      <c r="C38" s="30">
        <f>SUMIFS(Zeiterfassung!$M$9:$M$128,Zeiterfassung!$A$9:$A$128,"&gt;="&amp;DATE(2026,8,1),Zeiterfassung!$A$9:$A$128,"&lt;"&amp;EDATE(DATE(2026,8,1),1))</f>
        <v>0</v>
      </c>
      <c r="D38" s="31">
        <f>SUMIFS(Zeiterfassung!$O$9:$O$128,Zeiterfassung!$A$9:$A$128,"&gt;="&amp;DATE(2026,8,1),Zeiterfassung!$A$9:$A$128,"&lt;"&amp;EDATE(DATE(2026,8,1),1))</f>
        <v>0</v>
      </c>
      <c r="E38" s="31">
        <f>SUMIFS(Zeiterfassung!$T$9:$T$128,Zeiterfassung!$A$9:$A$128,"&gt;="&amp;DATE(2026,8,1),Zeiterfassung!$A$9:$A$128,"&lt;"&amp;EDATE(DATE(2026,8,1),1))</f>
        <v>0</v>
      </c>
      <c r="F38" s="37">
        <f>COUNTIFS(Zeiterfassung!$A$9:$A$128,"&gt;="&amp;DATE(2026,8,1),Zeiterfassung!$A$9:$A$128,"&lt;"&amp;EDATE(DATE(2026,8,1),1))</f>
        <v>0</v>
      </c>
      <c r="G38" s="37">
        <f>COUNTIFS(Zeiterfassung!$A$9:$A$128,"&gt;="&amp;DATE(2026,8,1),Zeiterfassung!$A$9:$A$128,"&lt;"&amp;EDATE(DATE(2026,8,1),1),Zeiterfassung!$V$9:$V$128,"Prüfen")</f>
        <v>0</v>
      </c>
    </row>
    <row r="39" spans="1:7" x14ac:dyDescent="0.25">
      <c r="A39" s="29" t="s">
        <v>75</v>
      </c>
      <c r="B39" s="30">
        <f>SUMIFS(Zeiterfassung!$J$9:$J$128,Zeiterfassung!$A$9:$A$128,"&gt;="&amp;DATE(2026,9,1),Zeiterfassung!$A$9:$A$128,"&lt;"&amp;EDATE(DATE(2026,9,1),1))</f>
        <v>0</v>
      </c>
      <c r="C39" s="30">
        <f>SUMIFS(Zeiterfassung!$M$9:$M$128,Zeiterfassung!$A$9:$A$128,"&gt;="&amp;DATE(2026,9,1),Zeiterfassung!$A$9:$A$128,"&lt;"&amp;EDATE(DATE(2026,9,1),1))</f>
        <v>0</v>
      </c>
      <c r="D39" s="31">
        <f>SUMIFS(Zeiterfassung!$O$9:$O$128,Zeiterfassung!$A$9:$A$128,"&gt;="&amp;DATE(2026,9,1),Zeiterfassung!$A$9:$A$128,"&lt;"&amp;EDATE(DATE(2026,9,1),1))</f>
        <v>0</v>
      </c>
      <c r="E39" s="31">
        <f>SUMIFS(Zeiterfassung!$T$9:$T$128,Zeiterfassung!$A$9:$A$128,"&gt;="&amp;DATE(2026,9,1),Zeiterfassung!$A$9:$A$128,"&lt;"&amp;EDATE(DATE(2026,9,1),1))</f>
        <v>0</v>
      </c>
      <c r="F39" s="37">
        <f>COUNTIFS(Zeiterfassung!$A$9:$A$128,"&gt;="&amp;DATE(2026,9,1),Zeiterfassung!$A$9:$A$128,"&lt;"&amp;EDATE(DATE(2026,9,1),1))</f>
        <v>0</v>
      </c>
      <c r="G39" s="37">
        <f>COUNTIFS(Zeiterfassung!$A$9:$A$128,"&gt;="&amp;DATE(2026,9,1),Zeiterfassung!$A$9:$A$128,"&lt;"&amp;EDATE(DATE(2026,9,1),1),Zeiterfassung!$V$9:$V$128,"Prüfen")</f>
        <v>0</v>
      </c>
    </row>
    <row r="40" spans="1:7" x14ac:dyDescent="0.25">
      <c r="A40" s="29" t="s">
        <v>76</v>
      </c>
      <c r="B40" s="30">
        <f>SUMIFS(Zeiterfassung!$J$9:$J$128,Zeiterfassung!$A$9:$A$128,"&gt;="&amp;DATE(2026,10,1),Zeiterfassung!$A$9:$A$128,"&lt;"&amp;EDATE(DATE(2026,10,1),1))</f>
        <v>0</v>
      </c>
      <c r="C40" s="30">
        <f>SUMIFS(Zeiterfassung!$M$9:$M$128,Zeiterfassung!$A$9:$A$128,"&gt;="&amp;DATE(2026,10,1),Zeiterfassung!$A$9:$A$128,"&lt;"&amp;EDATE(DATE(2026,10,1),1))</f>
        <v>0</v>
      </c>
      <c r="D40" s="31">
        <f>SUMIFS(Zeiterfassung!$O$9:$O$128,Zeiterfassung!$A$9:$A$128,"&gt;="&amp;DATE(2026,10,1),Zeiterfassung!$A$9:$A$128,"&lt;"&amp;EDATE(DATE(2026,10,1),1))</f>
        <v>0</v>
      </c>
      <c r="E40" s="31">
        <f>SUMIFS(Zeiterfassung!$T$9:$T$128,Zeiterfassung!$A$9:$A$128,"&gt;="&amp;DATE(2026,10,1),Zeiterfassung!$A$9:$A$128,"&lt;"&amp;EDATE(DATE(2026,10,1),1))</f>
        <v>0</v>
      </c>
      <c r="F40" s="37">
        <f>COUNTIFS(Zeiterfassung!$A$9:$A$128,"&gt;="&amp;DATE(2026,10,1),Zeiterfassung!$A$9:$A$128,"&lt;"&amp;EDATE(DATE(2026,10,1),1))</f>
        <v>0</v>
      </c>
      <c r="G40" s="37">
        <f>COUNTIFS(Zeiterfassung!$A$9:$A$128,"&gt;="&amp;DATE(2026,10,1),Zeiterfassung!$A$9:$A$128,"&lt;"&amp;EDATE(DATE(2026,10,1),1),Zeiterfassung!$V$9:$V$128,"Prüfen")</f>
        <v>0</v>
      </c>
    </row>
    <row r="41" spans="1:7" x14ac:dyDescent="0.25">
      <c r="A41" s="29" t="s">
        <v>77</v>
      </c>
      <c r="B41" s="30">
        <f>SUMIFS(Zeiterfassung!$J$9:$J$128,Zeiterfassung!$A$9:$A$128,"&gt;="&amp;DATE(2026,11,1),Zeiterfassung!$A$9:$A$128,"&lt;"&amp;EDATE(DATE(2026,11,1),1))</f>
        <v>0</v>
      </c>
      <c r="C41" s="30">
        <f>SUMIFS(Zeiterfassung!$M$9:$M$128,Zeiterfassung!$A$9:$A$128,"&gt;="&amp;DATE(2026,11,1),Zeiterfassung!$A$9:$A$128,"&lt;"&amp;EDATE(DATE(2026,11,1),1))</f>
        <v>0</v>
      </c>
      <c r="D41" s="31">
        <f>SUMIFS(Zeiterfassung!$O$9:$O$128,Zeiterfassung!$A$9:$A$128,"&gt;="&amp;DATE(2026,11,1),Zeiterfassung!$A$9:$A$128,"&lt;"&amp;EDATE(DATE(2026,11,1),1))</f>
        <v>0</v>
      </c>
      <c r="E41" s="31">
        <f>SUMIFS(Zeiterfassung!$T$9:$T$128,Zeiterfassung!$A$9:$A$128,"&gt;="&amp;DATE(2026,11,1),Zeiterfassung!$A$9:$A$128,"&lt;"&amp;EDATE(DATE(2026,11,1),1))</f>
        <v>0</v>
      </c>
      <c r="F41" s="37">
        <f>COUNTIFS(Zeiterfassung!$A$9:$A$128,"&gt;="&amp;DATE(2026,11,1),Zeiterfassung!$A$9:$A$128,"&lt;"&amp;EDATE(DATE(2026,11,1),1))</f>
        <v>0</v>
      </c>
      <c r="G41" s="37">
        <f>COUNTIFS(Zeiterfassung!$A$9:$A$128,"&gt;="&amp;DATE(2026,11,1),Zeiterfassung!$A$9:$A$128,"&lt;"&amp;EDATE(DATE(2026,11,1),1),Zeiterfassung!$V$9:$V$128,"Prüfen")</f>
        <v>0</v>
      </c>
    </row>
    <row r="42" spans="1:7" x14ac:dyDescent="0.25">
      <c r="A42" s="29" t="s">
        <v>78</v>
      </c>
      <c r="B42" s="30">
        <f>SUMIFS(Zeiterfassung!$J$9:$J$128,Zeiterfassung!$A$9:$A$128,"&gt;="&amp;DATE(2026,12,1),Zeiterfassung!$A$9:$A$128,"&lt;"&amp;EDATE(DATE(2026,12,1),1))</f>
        <v>0</v>
      </c>
      <c r="C42" s="30">
        <f>SUMIFS(Zeiterfassung!$M$9:$M$128,Zeiterfassung!$A$9:$A$128,"&gt;="&amp;DATE(2026,12,1),Zeiterfassung!$A$9:$A$128,"&lt;"&amp;EDATE(DATE(2026,12,1),1))</f>
        <v>0</v>
      </c>
      <c r="D42" s="31">
        <f>SUMIFS(Zeiterfassung!$O$9:$O$128,Zeiterfassung!$A$9:$A$128,"&gt;="&amp;DATE(2026,12,1),Zeiterfassung!$A$9:$A$128,"&lt;"&amp;EDATE(DATE(2026,12,1),1))</f>
        <v>0</v>
      </c>
      <c r="E42" s="31">
        <f>SUMIFS(Zeiterfassung!$T$9:$T$128,Zeiterfassung!$A$9:$A$128,"&gt;="&amp;DATE(2026,12,1),Zeiterfassung!$A$9:$A$128,"&lt;"&amp;EDATE(DATE(2026,12,1),1))</f>
        <v>0</v>
      </c>
      <c r="F42" s="37">
        <f>COUNTIFS(Zeiterfassung!$A$9:$A$128,"&gt;="&amp;DATE(2026,12,1),Zeiterfassung!$A$9:$A$128,"&lt;"&amp;EDATE(DATE(2026,12,1),1))</f>
        <v>0</v>
      </c>
      <c r="G42" s="37">
        <f>COUNTIFS(Zeiterfassung!$A$9:$A$128,"&gt;="&amp;DATE(2026,12,1),Zeiterfassung!$A$9:$A$128,"&lt;"&amp;EDATE(DATE(2026,12,1),1),Zeiterfassung!$V$9:$V$128,"Prüfen")</f>
        <v>0</v>
      </c>
    </row>
  </sheetData>
  <conditionalFormatting sqref="F8">
    <cfRule type="cellIs" dxfId="3" priority="1" operator="greaterThan">
      <formula>0</formula>
    </cfRule>
  </conditionalFormatting>
  <conditionalFormatting sqref="G31:G42">
    <cfRule type="cellIs" dxfId="2" priority="3" operator="greaterThan">
      <formula>0</formula>
    </cfRule>
  </conditionalFormatting>
  <conditionalFormatting sqref="H12:H17">
    <cfRule type="cellIs" dxfId="1" priority="2" operator="greater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100-000000000000}">
          <x14:formula1>
            <xm:f>Einstellungen!$L$13:$L$24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workbookViewId="0"/>
  </sheetViews>
  <sheetFormatPr baseColWidth="10" defaultColWidth="9" defaultRowHeight="15" x14ac:dyDescent="0.25"/>
  <cols>
    <col min="1" max="1" width="24" customWidth="1"/>
    <col min="2" max="2" width="15" customWidth="1"/>
    <col min="4" max="4" width="15" customWidth="1"/>
    <col min="5" max="5" width="28" customWidth="1"/>
    <col min="7" max="7" width="20" customWidth="1"/>
    <col min="8" max="8" width="15" customWidth="1"/>
    <col min="9" max="9" width="18" customWidth="1"/>
    <col min="10" max="10" width="10" customWidth="1"/>
    <col min="12" max="12" width="18" customWidth="1"/>
    <col min="14" max="14" width="18" customWidth="1"/>
  </cols>
  <sheetData>
    <row r="1" spans="1:14" ht="27.95" customHeight="1" x14ac:dyDescent="0.25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x14ac:dyDescent="0.25">
      <c r="A3" s="2" t="s">
        <v>1</v>
      </c>
      <c r="B3">
        <v>2026</v>
      </c>
      <c r="D3" s="6" t="s">
        <v>7</v>
      </c>
      <c r="E3" s="6" t="s">
        <v>80</v>
      </c>
      <c r="G3" s="6" t="s">
        <v>9</v>
      </c>
      <c r="H3" s="6" t="s">
        <v>22</v>
      </c>
      <c r="I3" s="6" t="s">
        <v>81</v>
      </c>
      <c r="J3" s="6" t="s">
        <v>82</v>
      </c>
      <c r="L3" s="6" t="s">
        <v>83</v>
      </c>
      <c r="N3" s="6" t="s">
        <v>84</v>
      </c>
    </row>
    <row r="4" spans="1:14" x14ac:dyDescent="0.25">
      <c r="A4" s="2" t="s">
        <v>4</v>
      </c>
      <c r="B4" s="3">
        <v>13.9</v>
      </c>
      <c r="D4" s="7">
        <v>46023</v>
      </c>
      <c r="E4" t="s">
        <v>85</v>
      </c>
      <c r="G4" t="s">
        <v>29</v>
      </c>
      <c r="H4" s="3">
        <v>14.2</v>
      </c>
      <c r="I4" t="s">
        <v>30</v>
      </c>
      <c r="J4" t="s">
        <v>86</v>
      </c>
      <c r="L4" t="s">
        <v>30</v>
      </c>
      <c r="N4" t="s">
        <v>47</v>
      </c>
    </row>
    <row r="5" spans="1:14" x14ac:dyDescent="0.25">
      <c r="A5" s="2" t="s">
        <v>87</v>
      </c>
      <c r="B5" s="4">
        <v>0.25</v>
      </c>
      <c r="D5" s="7">
        <v>46115</v>
      </c>
      <c r="E5" t="s">
        <v>88</v>
      </c>
      <c r="G5" t="s">
        <v>33</v>
      </c>
      <c r="H5" s="3">
        <v>13.9</v>
      </c>
      <c r="I5" t="s">
        <v>34</v>
      </c>
      <c r="J5" t="s">
        <v>86</v>
      </c>
      <c r="L5" t="s">
        <v>34</v>
      </c>
      <c r="N5" t="s">
        <v>40</v>
      </c>
    </row>
    <row r="6" spans="1:14" x14ac:dyDescent="0.25">
      <c r="A6" s="2" t="s">
        <v>89</v>
      </c>
      <c r="B6" s="4">
        <v>0.5</v>
      </c>
      <c r="D6" s="7">
        <v>46118</v>
      </c>
      <c r="E6" t="s">
        <v>90</v>
      </c>
      <c r="G6" t="s">
        <v>35</v>
      </c>
      <c r="H6" s="3">
        <v>15</v>
      </c>
      <c r="I6" t="s">
        <v>36</v>
      </c>
      <c r="J6" t="s">
        <v>86</v>
      </c>
      <c r="L6" t="s">
        <v>36</v>
      </c>
      <c r="N6" t="s">
        <v>31</v>
      </c>
    </row>
    <row r="7" spans="1:14" x14ac:dyDescent="0.25">
      <c r="A7" s="2" t="s">
        <v>91</v>
      </c>
      <c r="B7" s="5">
        <v>11</v>
      </c>
      <c r="D7" s="7">
        <v>46143</v>
      </c>
      <c r="E7" t="s">
        <v>92</v>
      </c>
      <c r="G7" t="s">
        <v>39</v>
      </c>
      <c r="H7" s="3">
        <v>14.5</v>
      </c>
      <c r="I7" t="s">
        <v>30</v>
      </c>
      <c r="J7" t="s">
        <v>86</v>
      </c>
      <c r="L7" t="s">
        <v>43</v>
      </c>
      <c r="N7" t="s">
        <v>37</v>
      </c>
    </row>
    <row r="8" spans="1:14" x14ac:dyDescent="0.25">
      <c r="D8" s="7">
        <v>46156</v>
      </c>
      <c r="E8" t="s">
        <v>93</v>
      </c>
      <c r="G8" t="s">
        <v>42</v>
      </c>
      <c r="H8" s="3">
        <v>13.9</v>
      </c>
      <c r="I8" t="s">
        <v>43</v>
      </c>
      <c r="J8" t="s">
        <v>86</v>
      </c>
      <c r="L8" t="s">
        <v>51</v>
      </c>
      <c r="N8" t="s">
        <v>49</v>
      </c>
    </row>
    <row r="9" spans="1:14" x14ac:dyDescent="0.25">
      <c r="D9" s="7">
        <v>46167</v>
      </c>
      <c r="E9" t="s">
        <v>94</v>
      </c>
      <c r="G9" t="s">
        <v>45</v>
      </c>
      <c r="H9" s="3">
        <v>16</v>
      </c>
      <c r="I9" t="s">
        <v>46</v>
      </c>
      <c r="J9" t="s">
        <v>86</v>
      </c>
      <c r="L9" t="s">
        <v>66</v>
      </c>
      <c r="N9" t="s">
        <v>44</v>
      </c>
    </row>
    <row r="10" spans="1:14" x14ac:dyDescent="0.25">
      <c r="A10" s="8" t="s">
        <v>95</v>
      </c>
      <c r="B10" s="8"/>
      <c r="D10" s="7">
        <v>46298</v>
      </c>
      <c r="E10" t="s">
        <v>96</v>
      </c>
    </row>
    <row r="11" spans="1:14" ht="30" x14ac:dyDescent="0.25">
      <c r="A11" s="9" t="s">
        <v>97</v>
      </c>
      <c r="B11" s="9"/>
      <c r="D11" s="7">
        <v>46381</v>
      </c>
      <c r="E11" t="s">
        <v>98</v>
      </c>
    </row>
    <row r="12" spans="1:14" ht="45" x14ac:dyDescent="0.25">
      <c r="A12" s="9" t="s">
        <v>99</v>
      </c>
      <c r="B12" s="9"/>
      <c r="D12" s="7">
        <v>46382</v>
      </c>
      <c r="E12" t="s">
        <v>100</v>
      </c>
      <c r="L12" s="6" t="s">
        <v>101</v>
      </c>
    </row>
    <row r="13" spans="1:14" ht="45" x14ac:dyDescent="0.25">
      <c r="A13" s="9" t="s">
        <v>102</v>
      </c>
      <c r="B13" s="9"/>
      <c r="L13" t="s">
        <v>57</v>
      </c>
    </row>
    <row r="14" spans="1:14" ht="30" x14ac:dyDescent="0.25">
      <c r="A14" s="9" t="s">
        <v>103</v>
      </c>
      <c r="B14" s="9"/>
      <c r="L14" t="s">
        <v>68</v>
      </c>
    </row>
    <row r="15" spans="1:14" x14ac:dyDescent="0.25">
      <c r="L15" t="s">
        <v>69</v>
      </c>
    </row>
    <row r="16" spans="1:14" x14ac:dyDescent="0.25">
      <c r="L16" t="s">
        <v>70</v>
      </c>
    </row>
    <row r="17" spans="12:12" x14ac:dyDescent="0.25">
      <c r="L17" t="s">
        <v>71</v>
      </c>
    </row>
    <row r="18" spans="12:12" x14ac:dyDescent="0.25">
      <c r="L18" t="s">
        <v>72</v>
      </c>
    </row>
    <row r="19" spans="12:12" x14ac:dyDescent="0.25">
      <c r="L19" t="s">
        <v>73</v>
      </c>
    </row>
    <row r="20" spans="12:12" x14ac:dyDescent="0.25">
      <c r="L20" t="s">
        <v>74</v>
      </c>
    </row>
    <row r="21" spans="12:12" x14ac:dyDescent="0.25">
      <c r="L21" t="s">
        <v>75</v>
      </c>
    </row>
    <row r="22" spans="12:12" x14ac:dyDescent="0.25">
      <c r="L22" t="s">
        <v>76</v>
      </c>
    </row>
    <row r="23" spans="12:12" x14ac:dyDescent="0.25">
      <c r="L23" t="s">
        <v>77</v>
      </c>
    </row>
    <row r="24" spans="12:12" x14ac:dyDescent="0.25">
      <c r="L2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Zeiterfassung</vt:lpstr>
      <vt:lpstr>Monatsübersicht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2026-06-02T06:25:21Z</dcterms:modified>
</cp:coreProperties>
</file>