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B94F65D4-2E18-4DF8-B9A2-7245CCED95C7}" xr6:coauthVersionLast="47" xr6:coauthVersionMax="47" xr10:uidLastSave="{00000000-0000-0000-0000-000000000000}"/>
  <bookViews>
    <workbookView xWindow="1035" yWindow="1035" windowWidth="25500" windowHeight="13500" tabRatio="500" xr2:uid="{00000000-000D-0000-FFFF-FFFF00000000}"/>
  </bookViews>
  <sheets>
    <sheet name="Wochenplan" sheetId="1" r:id="rId1"/>
    <sheet name="Detailbuchungen" sheetId="2" r:id="rId2"/>
    <sheet name="Einstellungen" sheetId="3" r:id="rId3"/>
  </sheets>
  <definedNames>
    <definedName name="_xlnm._FilterDatabase" localSheetId="1" hidden="1">Detailbuchungen!$A$3:$F$37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26" i="1" l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O17" i="1"/>
  <c r="N17" i="1"/>
  <c r="N26" i="1" s="1"/>
  <c r="M17" i="1"/>
  <c r="L17" i="1"/>
  <c r="K17" i="1"/>
  <c r="J17" i="1"/>
  <c r="I17" i="1"/>
  <c r="H17" i="1"/>
  <c r="G17" i="1"/>
  <c r="F17" i="1"/>
  <c r="E17" i="1"/>
  <c r="D17" i="1"/>
  <c r="C17" i="1"/>
  <c r="C26" i="1" s="1"/>
  <c r="O16" i="1"/>
  <c r="O26" i="1" s="1"/>
  <c r="N16" i="1"/>
  <c r="M16" i="1"/>
  <c r="M26" i="1" s="1"/>
  <c r="L16" i="1"/>
  <c r="K16" i="1"/>
  <c r="K26" i="1" s="1"/>
  <c r="J16" i="1"/>
  <c r="J26" i="1" s="1"/>
  <c r="I16" i="1"/>
  <c r="I26" i="1" s="1"/>
  <c r="H16" i="1"/>
  <c r="H26" i="1" s="1"/>
  <c r="G16" i="1"/>
  <c r="G26" i="1" s="1"/>
  <c r="F16" i="1"/>
  <c r="F26" i="1" s="1"/>
  <c r="E16" i="1"/>
  <c r="E26" i="1" s="1"/>
  <c r="D16" i="1"/>
  <c r="D26" i="1" s="1"/>
  <c r="C16" i="1"/>
  <c r="O14" i="1"/>
  <c r="C14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O12" i="1"/>
  <c r="N12" i="1"/>
  <c r="M12" i="1"/>
  <c r="L12" i="1"/>
  <c r="K12" i="1"/>
  <c r="J12" i="1"/>
  <c r="I12" i="1"/>
  <c r="I14" i="1" s="1"/>
  <c r="I27" i="1" s="1"/>
  <c r="H12" i="1"/>
  <c r="G12" i="1"/>
  <c r="F12" i="1"/>
  <c r="E12" i="1"/>
  <c r="D12" i="1"/>
  <c r="C12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O10" i="1"/>
  <c r="N10" i="1"/>
  <c r="M10" i="1"/>
  <c r="L10" i="1"/>
  <c r="K10" i="1"/>
  <c r="K14" i="1" s="1"/>
  <c r="K27" i="1" s="1"/>
  <c r="J10" i="1"/>
  <c r="J14" i="1" s="1"/>
  <c r="J27" i="1" s="1"/>
  <c r="I10" i="1"/>
  <c r="H10" i="1"/>
  <c r="G10" i="1"/>
  <c r="F10" i="1"/>
  <c r="E10" i="1"/>
  <c r="D10" i="1"/>
  <c r="C10" i="1"/>
  <c r="O9" i="1"/>
  <c r="N9" i="1"/>
  <c r="N14" i="1" s="1"/>
  <c r="N27" i="1" s="1"/>
  <c r="M9" i="1"/>
  <c r="L9" i="1"/>
  <c r="K9" i="1"/>
  <c r="J9" i="1"/>
  <c r="I9" i="1"/>
  <c r="H9" i="1"/>
  <c r="H14" i="1" s="1"/>
  <c r="H27" i="1" s="1"/>
  <c r="G9" i="1"/>
  <c r="F9" i="1"/>
  <c r="E9" i="1"/>
  <c r="E14" i="1" s="1"/>
  <c r="E27" i="1" s="1"/>
  <c r="D9" i="1"/>
  <c r="C9" i="1"/>
  <c r="O8" i="1"/>
  <c r="N8" i="1"/>
  <c r="M8" i="1"/>
  <c r="M14" i="1" s="1"/>
  <c r="M27" i="1" s="1"/>
  <c r="L8" i="1"/>
  <c r="L14" i="1" s="1"/>
  <c r="L27" i="1" s="1"/>
  <c r="K8" i="1"/>
  <c r="J8" i="1"/>
  <c r="I8" i="1"/>
  <c r="H8" i="1"/>
  <c r="G8" i="1"/>
  <c r="G14" i="1" s="1"/>
  <c r="G27" i="1" s="1"/>
  <c r="F8" i="1"/>
  <c r="F14" i="1" s="1"/>
  <c r="F27" i="1" s="1"/>
  <c r="E8" i="1"/>
  <c r="D8" i="1"/>
  <c r="D14" i="1" s="1"/>
  <c r="D27" i="1" s="1"/>
  <c r="C8" i="1"/>
  <c r="C6" i="1"/>
  <c r="O5" i="1"/>
  <c r="N5" i="1"/>
  <c r="M5" i="1"/>
  <c r="L5" i="1"/>
  <c r="K5" i="1"/>
  <c r="J5" i="1"/>
  <c r="I5" i="1"/>
  <c r="H5" i="1"/>
  <c r="G5" i="1"/>
  <c r="F5" i="1"/>
  <c r="E5" i="1"/>
  <c r="D5" i="1"/>
  <c r="C5" i="1"/>
  <c r="O4" i="1"/>
  <c r="N4" i="1"/>
  <c r="M4" i="1"/>
  <c r="L4" i="1"/>
  <c r="K4" i="1"/>
  <c r="J4" i="1"/>
  <c r="I4" i="1"/>
  <c r="H4" i="1"/>
  <c r="G4" i="1"/>
  <c r="F4" i="1"/>
  <c r="E4" i="1"/>
  <c r="D4" i="1"/>
  <c r="C4" i="1"/>
  <c r="O27" i="1" l="1"/>
  <c r="C33" i="1"/>
  <c r="C34" i="1"/>
  <c r="C27" i="1"/>
  <c r="C35" i="1" s="1"/>
  <c r="C28" i="1" l="1"/>
  <c r="D6" i="1" l="1"/>
  <c r="D28" i="1" s="1"/>
  <c r="C29" i="1"/>
  <c r="C30" i="1"/>
  <c r="E6" i="1" l="1"/>
  <c r="E28" i="1" s="1"/>
  <c r="D29" i="1"/>
  <c r="D30" i="1"/>
  <c r="F6" i="1" l="1"/>
  <c r="F28" i="1" s="1"/>
  <c r="E29" i="1"/>
  <c r="E30" i="1"/>
  <c r="G6" i="1" l="1"/>
  <c r="G28" i="1" s="1"/>
  <c r="F29" i="1"/>
  <c r="F30" i="1"/>
  <c r="G29" i="1" l="1"/>
  <c r="G30" i="1"/>
  <c r="H6" i="1"/>
  <c r="H28" i="1" s="1"/>
  <c r="H29" i="1" l="1"/>
  <c r="H30" i="1"/>
  <c r="I6" i="1"/>
  <c r="I28" i="1" s="1"/>
  <c r="I29" i="1" l="1"/>
  <c r="I30" i="1"/>
  <c r="J6" i="1"/>
  <c r="J28" i="1" s="1"/>
  <c r="J29" i="1" l="1"/>
  <c r="J30" i="1"/>
  <c r="K6" i="1"/>
  <c r="K28" i="1" s="1"/>
  <c r="K29" i="1" l="1"/>
  <c r="K30" i="1"/>
  <c r="L6" i="1"/>
  <c r="L28" i="1" s="1"/>
  <c r="L29" i="1" l="1"/>
  <c r="L30" i="1"/>
  <c r="M6" i="1"/>
  <c r="M28" i="1" s="1"/>
  <c r="M29" i="1" l="1"/>
  <c r="M30" i="1"/>
  <c r="N6" i="1"/>
  <c r="N28" i="1" s="1"/>
  <c r="N29" i="1" l="1"/>
  <c r="N30" i="1"/>
  <c r="O6" i="1"/>
  <c r="O28" i="1" s="1"/>
  <c r="O30" i="1" l="1"/>
  <c r="C38" i="1" s="1"/>
  <c r="O29" i="1"/>
  <c r="C37" i="1"/>
  <c r="C3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A6" authorId="0" shapeId="0" xr:uid="{00000000-0006-0000-0000-000001000000}">
      <text>
        <r>
          <rPr>
            <sz val="10"/>
            <rFont val="Arial"/>
            <family val="2"/>
          </rPr>
          <t>Woche 1: Bank + Kasse aus Einstellungen. Ab Woche 2 = Endbestand der Vorwoche (automatisch).</t>
        </r>
      </text>
    </comment>
    <comment ref="A30" authorId="0" shapeId="0" xr:uid="{00000000-0006-0000-0000-000002000000}">
      <text>
        <r>
          <rPr>
            <sz val="10"/>
            <rFont val="Arial"/>
            <family val="2"/>
          </rPr>
          <t>OK = über Puffer · WARNUNG = unter Mindestbestand · KRITISCH = negativ.</t>
        </r>
      </text>
    </comment>
  </commentList>
</comments>
</file>

<file path=xl/sharedStrings.xml><?xml version="1.0" encoding="utf-8"?>
<sst xmlns="http://schemas.openxmlformats.org/spreadsheetml/2006/main" count="151" uniqueCount="88">
  <si>
    <t>LIQUIDITÄTSPLANUNG 2026 · 13-WOCHEN-VORSCHAU (rollierend)</t>
  </si>
  <si>
    <t>Plan-Werte aus »Detailbuchungen« · blau = manuell anpassbar · grau = automatisch berechnet</t>
  </si>
  <si>
    <t>Position</t>
  </si>
  <si>
    <t>Kalenderwoche</t>
  </si>
  <si>
    <t>Anfangsbestand (liquide Mittel)</t>
  </si>
  <si>
    <t>EINZAHLUNGEN</t>
  </si>
  <si>
    <t>Kundenzahlungen</t>
  </si>
  <si>
    <t>Barverkäufe</t>
  </si>
  <si>
    <t>Anzahlungen</t>
  </si>
  <si>
    <t>Zinserträge</t>
  </si>
  <si>
    <t>Steuererstattung</t>
  </si>
  <si>
    <t>Sonstige Einzahlungen</t>
  </si>
  <si>
    <t>Summe Einzahlungen</t>
  </si>
  <si>
    <t>AUSZAHLUNGEN</t>
  </si>
  <si>
    <t>Lieferanten</t>
  </si>
  <si>
    <t>Personalkosten</t>
  </si>
  <si>
    <t>Miete &amp; Nebenkosten</t>
  </si>
  <si>
    <t>Umsatzsteuer</t>
  </si>
  <si>
    <t>Sozialabgaben</t>
  </si>
  <si>
    <t>Darlehenstilgung</t>
  </si>
  <si>
    <t>Leasing</t>
  </si>
  <si>
    <t>Marketing</t>
  </si>
  <si>
    <t>Versicherungen</t>
  </si>
  <si>
    <t>Sonstige Auszahlungen</t>
  </si>
  <si>
    <t>Summe Auszahlungen</t>
  </si>
  <si>
    <t>Netto-Cashflow (Woche)</t>
  </si>
  <si>
    <t>Endbestand (liquide Mittel)</t>
  </si>
  <si>
    <t>Verfügbar inkl. Kreditlinie</t>
  </si>
  <si>
    <t>Status (Puffer-Check)</t>
  </si>
  <si>
    <t>Kennzahlen (13 Wochen)</t>
  </si>
  <si>
    <t>Netto-Cashflow gesamt</t>
  </si>
  <si>
    <t>Tiefster Endbestand</t>
  </si>
  <si>
    <t>Höchster Endbestand</t>
  </si>
  <si>
    <t>Wochen mit Warnung/kritisch</t>
  </si>
  <si>
    <t>Detailbuchungen · Einzel-Zahlungen je Kalenderwoche</t>
  </si>
  <si>
    <t>Erfassen Sie hier geplante Zahlungen. Über die KW-Nummer fließen die Beträge automatisch in den Wochenplan.</t>
  </si>
  <si>
    <t>Art</t>
  </si>
  <si>
    <t>KW</t>
  </si>
  <si>
    <t>Kategorie</t>
  </si>
  <si>
    <t>Beschreibung</t>
  </si>
  <si>
    <t>Geschäftspartner</t>
  </si>
  <si>
    <t>Betrag (€)</t>
  </si>
  <si>
    <t>Einzahlung</t>
  </si>
  <si>
    <t>Rechnung R-2025-1184</t>
  </si>
  <si>
    <t>Lindgren &amp; Co. KG</t>
  </si>
  <si>
    <t>Ladenkasse Woche</t>
  </si>
  <si>
    <t>Diverse</t>
  </si>
  <si>
    <t>Auszahlung</t>
  </si>
  <si>
    <t>ER 2026-008 Materialeinkauf</t>
  </si>
  <si>
    <t>Nordwind Supply GmbH</t>
  </si>
  <si>
    <t>Monatsmiete Januar</t>
  </si>
  <si>
    <t>Hausverwaltung Brandt</t>
  </si>
  <si>
    <t>Rechnung R-2025-1190</t>
  </si>
  <si>
    <t>Bergmann Service AG</t>
  </si>
  <si>
    <t>Gehälter Januar</t>
  </si>
  <si>
    <t>Mitarbeitende</t>
  </si>
  <si>
    <t>SV-Beiträge Januar</t>
  </si>
  <si>
    <t>Krankenkassen</t>
  </si>
  <si>
    <t>USt-Voranmeldung Dezember</t>
  </si>
  <si>
    <t>Finanzamt</t>
  </si>
  <si>
    <t>Rechnung R-2026-1002</t>
  </si>
  <si>
    <t>Hofer Logistik GmbH</t>
  </si>
  <si>
    <t>ER 2026-014 Wareneinkauf</t>
  </si>
  <si>
    <t>Südstern Trading GmbH</t>
  </si>
  <si>
    <t>Anzahlung Projekt P-26</t>
  </si>
  <si>
    <t>Vogelsang &amp; Partner</t>
  </si>
  <si>
    <t>Fuhrpark-Leasing</t>
  </si>
  <si>
    <t>Mobil Leasing AG</t>
  </si>
  <si>
    <t>Investition Betriebsausstattung</t>
  </si>
  <si>
    <t>TechnoBau GmbH</t>
  </si>
  <si>
    <t>Rechnung R-2026-1015</t>
  </si>
  <si>
    <t>Online-Kampagne Q1</t>
  </si>
  <si>
    <t>Reichweite Media UG</t>
  </si>
  <si>
    <t>Liquiditätsplanung · Einstellungen</t>
  </si>
  <si>
    <t>Zentrale Parameter der Planung. Diese Werte steuern den 13-Wochen-Plan automatisch.</t>
  </si>
  <si>
    <t>Parameter</t>
  </si>
  <si>
    <t>Wert</t>
  </si>
  <si>
    <t>Einzahlungs-Kategorien</t>
  </si>
  <si>
    <t>Auszahlungs-Kategorien</t>
  </si>
  <si>
    <t>Alle Kategorien (Dropdown)</t>
  </si>
  <si>
    <t>Unternehmen</t>
  </si>
  <si>
    <t>Muster Handels GmbH</t>
  </si>
  <si>
    <t>Planungsstart (Montag der 1. Woche)</t>
  </si>
  <si>
    <t>Anfangsbestand Bank (€)</t>
  </si>
  <si>
    <t>Anfangsbestand Kasse (€)</t>
  </si>
  <si>
    <t>Kontokorrent-Kreditlinie (€)</t>
  </si>
  <si>
    <t>Mindestbestand / Liquiditätspuffer (€)</t>
  </si>
  <si>
    <t>Blaue Felder = Eingabewerte. Tragen Sie hier Ihre individuellen Werte ein.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</si>
</sst>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 €&quot;;[Red]\-#,##0&quot; €&quot;"/>
    <numFmt numFmtId="166" formatCode="dd\.mm\.yyyy"/>
  </numFmts>
  <fonts count="23" x14ac:knownFonts="1">
    <font>
      <sz val="11"/>
      <color theme="1"/>
      <name val="Calibri"/>
      <family val="2"/>
      <charset val="1"/>
    </font>
    <font>
      <b/>
      <sz val="16"/>
      <color rgb="FFFFFFFF"/>
      <name val="Calibri"/>
      <charset val="1"/>
    </font>
    <font>
      <i/>
      <sz val="9.5"/>
      <color rgb="FF5A6478"/>
      <name val="Calibri"/>
      <charset val="1"/>
    </font>
    <font>
      <b/>
      <sz val="11"/>
      <color rgb="FFFFFFFF"/>
      <name val="Calibri"/>
      <charset val="1"/>
    </font>
    <font>
      <b/>
      <sz val="10"/>
      <color rgb="FFFFFFFF"/>
      <name val="Calibri"/>
      <charset val="1"/>
    </font>
    <font>
      <b/>
      <sz val="10.5"/>
      <color rgb="FFFFFFFF"/>
      <name val="Calibri"/>
      <charset val="1"/>
    </font>
    <font>
      <b/>
      <sz val="10"/>
      <color rgb="FF1B2A4A"/>
      <name val="Calibri"/>
      <charset val="1"/>
    </font>
    <font>
      <b/>
      <sz val="10.5"/>
      <color rgb="FF1C2433"/>
      <name val="Calibri"/>
      <charset val="1"/>
    </font>
    <font>
      <b/>
      <sz val="10.5"/>
      <color rgb="FF1B2A4A"/>
      <name val="Calibri"/>
      <charset val="1"/>
    </font>
    <font>
      <sz val="10.5"/>
      <color rgb="FF1C2433"/>
      <name val="Calibri"/>
      <charset val="1"/>
    </font>
    <font>
      <sz val="10"/>
      <color rgb="FF1C2433"/>
      <name val="Calibri"/>
      <charset val="1"/>
    </font>
    <font>
      <b/>
      <sz val="10.5"/>
      <color rgb="FF246B24"/>
      <name val="Calibri"/>
      <charset val="1"/>
    </font>
    <font>
      <b/>
      <sz val="10.5"/>
      <color rgb="FF9B2222"/>
      <name val="Calibri"/>
      <charset val="1"/>
    </font>
    <font>
      <b/>
      <sz val="11"/>
      <color rgb="FF1B2A4A"/>
      <name val="Calibri"/>
      <charset val="1"/>
    </font>
    <font>
      <sz val="10"/>
      <color rgb="FF5A6478"/>
      <name val="Calibri"/>
      <charset val="1"/>
    </font>
    <font>
      <b/>
      <sz val="10"/>
      <color rgb="FF1C2433"/>
      <name val="Calibri"/>
      <charset val="1"/>
    </font>
    <font>
      <b/>
      <sz val="12"/>
      <color rgb="FF1B2A4A"/>
      <name val="Calibri"/>
      <charset val="1"/>
    </font>
    <font>
      <sz val="10"/>
      <name val="Arial"/>
      <family val="2"/>
    </font>
    <font>
      <b/>
      <sz val="15"/>
      <color rgb="FFFFFFFF"/>
      <name val="Calibri"/>
      <charset val="1"/>
    </font>
    <font>
      <b/>
      <sz val="16"/>
      <color rgb="FF1B2A4A"/>
      <name val="Calibri"/>
      <charset val="1"/>
    </font>
    <font>
      <i/>
      <sz val="10"/>
      <color rgb="FF5A6478"/>
      <name val="Calibri"/>
      <charset val="1"/>
    </font>
    <font>
      <b/>
      <sz val="11"/>
      <color rgb="FF0000CC"/>
      <name val="Calibri"/>
      <charset val="1"/>
    </font>
    <font>
      <i/>
      <sz val="9"/>
      <color rgb="FF5A6478"/>
      <name val="Calibri"/>
      <charset val="1"/>
    </font>
  </fonts>
  <fills count="14">
    <fill>
      <patternFill patternType="none"/>
    </fill>
    <fill>
      <patternFill patternType="gray125"/>
    </fill>
    <fill>
      <patternFill patternType="solid">
        <fgColor rgb="FF1B2A4A"/>
        <bgColor rgb="FF1C2433"/>
      </patternFill>
    </fill>
    <fill>
      <patternFill patternType="solid">
        <fgColor rgb="FF2E4372"/>
        <bgColor rgb="FF1B2A4A"/>
      </patternFill>
    </fill>
    <fill>
      <patternFill patternType="solid">
        <fgColor rgb="FFD5ECEC"/>
        <bgColor rgb="FFE1F0E1"/>
      </patternFill>
    </fill>
    <fill>
      <patternFill patternType="solid">
        <fgColor rgb="FFE9EDF4"/>
        <bgColor rgb="FFEAF3EC"/>
      </patternFill>
    </fill>
    <fill>
      <patternFill patternType="solid">
        <fgColor rgb="FF0E8C8B"/>
        <bgColor rgb="FF008080"/>
      </patternFill>
    </fill>
    <fill>
      <patternFill patternType="solid">
        <fgColor rgb="FFEAF3EC"/>
        <bgColor rgb="FFE9EDF4"/>
      </patternFill>
    </fill>
    <fill>
      <patternFill patternType="solid">
        <fgColor rgb="FFE1F0E1"/>
        <bgColor rgb="FFEAF3EC"/>
      </patternFill>
    </fill>
    <fill>
      <patternFill patternType="solid">
        <fgColor rgb="FFB8860B"/>
        <bgColor rgb="FFFF9900"/>
      </patternFill>
    </fill>
    <fill>
      <patternFill patternType="solid">
        <fgColor rgb="FFFBECEC"/>
        <bgColor rgb="FFFCEFD0"/>
      </patternFill>
    </fill>
    <fill>
      <patternFill patternType="solid">
        <fgColor rgb="FFF7DADA"/>
        <bgColor rgb="FFFBECEC"/>
      </patternFill>
    </fill>
    <fill>
      <patternFill patternType="solid">
        <fgColor rgb="FFF4F6FA"/>
        <bgColor rgb="FFEAF3EC"/>
      </patternFill>
    </fill>
    <fill>
      <patternFill patternType="solid">
        <fgColor rgb="FFFFFFFF"/>
        <bgColor rgb="FFF4F6FA"/>
      </patternFill>
    </fill>
  </fills>
  <borders count="3">
    <border>
      <left/>
      <right/>
      <top/>
      <bottom/>
      <diagonal/>
    </border>
    <border>
      <left style="thin">
        <color rgb="FFC7D0DF"/>
      </left>
      <right style="thin">
        <color rgb="FFC7D0DF"/>
      </right>
      <top style="thin">
        <color rgb="FFC7D0DF"/>
      </top>
      <bottom style="thin">
        <color rgb="FFC7D0DF"/>
      </bottom>
      <diagonal/>
    </border>
    <border>
      <left style="thin">
        <color rgb="FFC7D0DF"/>
      </left>
      <right/>
      <top style="thin">
        <color rgb="FFC7D0DF"/>
      </top>
      <bottom style="thin">
        <color rgb="FFC7D0DF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2" fillId="0" borderId="0" xfId="0" applyFont="1"/>
    <xf numFmtId="0" fontId="3" fillId="3" borderId="1" xfId="0" applyFont="1" applyFill="1" applyBorder="1" applyAlignment="1">
      <alignment horizontal="center" vertical="center"/>
    </xf>
    <xf numFmtId="0" fontId="20" fillId="0" borderId="0" xfId="0" applyFont="1"/>
    <xf numFmtId="0" fontId="19" fillId="0" borderId="0" xfId="0" applyFont="1"/>
    <xf numFmtId="0" fontId="18" fillId="2" borderId="0" xfId="0" applyFont="1" applyFill="1" applyAlignment="1">
      <alignment horizontal="left" vertical="center" indent="1"/>
    </xf>
    <xf numFmtId="1" fontId="8" fillId="12" borderId="1" xfId="0" applyNumberFormat="1" applyFont="1" applyFill="1" applyBorder="1" applyAlignment="1">
      <alignment horizontal="right" vertical="center"/>
    </xf>
    <xf numFmtId="164" fontId="8" fillId="12" borderId="1" xfId="0" applyNumberFormat="1" applyFont="1" applyFill="1" applyBorder="1" applyAlignment="1">
      <alignment horizontal="right" vertical="center"/>
    </xf>
    <xf numFmtId="0" fontId="9" fillId="12" borderId="2" xfId="0" applyFont="1" applyFill="1" applyBorder="1" applyAlignment="1">
      <alignment horizontal="left" vertical="center"/>
    </xf>
    <xf numFmtId="164" fontId="8" fillId="13" borderId="1" xfId="0" applyNumberFormat="1" applyFont="1" applyFill="1" applyBorder="1" applyAlignment="1">
      <alignment horizontal="right" vertical="center"/>
    </xf>
    <xf numFmtId="0" fontId="9" fillId="13" borderId="2" xfId="0" applyFont="1" applyFill="1" applyBorder="1" applyAlignment="1">
      <alignment horizontal="left" vertical="center"/>
    </xf>
    <xf numFmtId="0" fontId="16" fillId="0" borderId="0" xfId="0" applyFont="1"/>
    <xf numFmtId="0" fontId="6" fillId="4" borderId="1" xfId="0" applyFont="1" applyFill="1" applyBorder="1" applyAlignment="1">
      <alignment horizontal="left" vertical="center"/>
    </xf>
    <xf numFmtId="0" fontId="2" fillId="0" borderId="0" xfId="0" applyFont="1"/>
    <xf numFmtId="0" fontId="1" fillId="2" borderId="0" xfId="0" applyFont="1" applyFill="1" applyAlignment="1">
      <alignment horizontal="left" vertical="center" indent="1"/>
    </xf>
    <xf numFmtId="0" fontId="3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 indent="1"/>
    </xf>
    <xf numFmtId="0" fontId="0" fillId="5" borderId="1" xfId="0" applyFill="1" applyBorder="1"/>
    <xf numFmtId="164" fontId="8" fillId="5" borderId="1" xfId="0" applyNumberFormat="1" applyFont="1" applyFill="1" applyBorder="1" applyAlignment="1">
      <alignment horizontal="right" vertical="center"/>
    </xf>
    <xf numFmtId="0" fontId="3" fillId="6" borderId="1" xfId="0" applyFont="1" applyFill="1" applyBorder="1" applyAlignment="1">
      <alignment horizontal="left" vertical="center" indent="1"/>
    </xf>
    <xf numFmtId="0" fontId="0" fillId="6" borderId="1" xfId="0" applyFill="1" applyBorder="1"/>
    <xf numFmtId="0" fontId="9" fillId="7" borderId="1" xfId="0" applyFont="1" applyFill="1" applyBorder="1" applyAlignment="1">
      <alignment horizontal="left" vertical="center" indent="1"/>
    </xf>
    <xf numFmtId="0" fontId="0" fillId="7" borderId="1" xfId="0" applyFill="1" applyBorder="1"/>
    <xf numFmtId="164" fontId="10" fillId="7" borderId="1" xfId="0" applyNumberFormat="1" applyFont="1" applyFill="1" applyBorder="1" applyAlignment="1">
      <alignment horizontal="right" vertical="center"/>
    </xf>
    <xf numFmtId="0" fontId="7" fillId="8" borderId="1" xfId="0" applyFont="1" applyFill="1" applyBorder="1" applyAlignment="1">
      <alignment horizontal="left" vertical="center" indent="1"/>
    </xf>
    <xf numFmtId="0" fontId="0" fillId="8" borderId="1" xfId="0" applyFill="1" applyBorder="1"/>
    <xf numFmtId="164" fontId="11" fillId="8" borderId="1" xfId="0" applyNumberFormat="1" applyFont="1" applyFill="1" applyBorder="1" applyAlignment="1">
      <alignment horizontal="right" vertical="center"/>
    </xf>
    <xf numFmtId="0" fontId="3" fillId="9" borderId="1" xfId="0" applyFont="1" applyFill="1" applyBorder="1" applyAlignment="1">
      <alignment horizontal="left" vertical="center" indent="1"/>
    </xf>
    <xf numFmtId="0" fontId="0" fillId="9" borderId="1" xfId="0" applyFill="1" applyBorder="1"/>
    <xf numFmtId="0" fontId="9" fillId="10" borderId="1" xfId="0" applyFont="1" applyFill="1" applyBorder="1" applyAlignment="1">
      <alignment horizontal="left" vertical="center" indent="1"/>
    </xf>
    <xf numFmtId="0" fontId="0" fillId="10" borderId="1" xfId="0" applyFill="1" applyBorder="1"/>
    <xf numFmtId="164" fontId="10" fillId="10" borderId="1" xfId="0" applyNumberFormat="1" applyFont="1" applyFill="1" applyBorder="1" applyAlignment="1">
      <alignment horizontal="right" vertical="center"/>
    </xf>
    <xf numFmtId="0" fontId="7" fillId="11" borderId="1" xfId="0" applyFont="1" applyFill="1" applyBorder="1" applyAlignment="1">
      <alignment horizontal="left" vertical="center" indent="1"/>
    </xf>
    <xf numFmtId="0" fontId="0" fillId="11" borderId="1" xfId="0" applyFill="1" applyBorder="1"/>
    <xf numFmtId="164" fontId="12" fillId="11" borderId="1" xfId="0" applyNumberFormat="1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 indent="1"/>
    </xf>
    <xf numFmtId="0" fontId="0" fillId="4" borderId="1" xfId="0" applyFill="1" applyBorder="1"/>
    <xf numFmtId="164" fontId="13" fillId="4" borderId="1" xfId="0" applyNumberFormat="1" applyFont="1" applyFill="1" applyBorder="1" applyAlignment="1">
      <alignment horizontal="right" vertical="center"/>
    </xf>
    <xf numFmtId="0" fontId="9" fillId="12" borderId="1" xfId="0" applyFont="1" applyFill="1" applyBorder="1" applyAlignment="1">
      <alignment horizontal="left" vertical="center" indent="1"/>
    </xf>
    <xf numFmtId="0" fontId="0" fillId="12" borderId="1" xfId="0" applyFill="1" applyBorder="1"/>
    <xf numFmtId="164" fontId="14" fillId="12" borderId="1" xfId="0" applyNumberFormat="1" applyFont="1" applyFill="1" applyBorder="1" applyAlignment="1">
      <alignment horizontal="right" vertical="center"/>
    </xf>
    <xf numFmtId="0" fontId="15" fillId="5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9" fillId="13" borderId="1" xfId="0" applyFont="1" applyFill="1" applyBorder="1" applyAlignment="1">
      <alignment horizontal="center" vertical="center"/>
    </xf>
    <xf numFmtId="0" fontId="9" fillId="13" borderId="1" xfId="0" applyFont="1" applyFill="1" applyBorder="1" applyAlignment="1">
      <alignment horizontal="left" vertical="center"/>
    </xf>
    <xf numFmtId="164" fontId="9" fillId="13" borderId="1" xfId="0" applyNumberFormat="1" applyFont="1" applyFill="1" applyBorder="1" applyAlignment="1">
      <alignment horizontal="right" vertical="center"/>
    </xf>
    <xf numFmtId="0" fontId="9" fillId="12" borderId="1" xfId="0" applyFont="1" applyFill="1" applyBorder="1" applyAlignment="1">
      <alignment horizontal="center" vertical="center"/>
    </xf>
    <xf numFmtId="0" fontId="9" fillId="12" borderId="1" xfId="0" applyFont="1" applyFill="1" applyBorder="1" applyAlignment="1">
      <alignment horizontal="left" vertical="center"/>
    </xf>
    <xf numFmtId="164" fontId="9" fillId="12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21" fillId="13" borderId="1" xfId="0" applyFont="1" applyFill="1" applyBorder="1" applyAlignment="1">
      <alignment horizontal="center" vertical="center"/>
    </xf>
    <xf numFmtId="166" fontId="21" fillId="12" borderId="1" xfId="0" applyNumberFormat="1" applyFont="1" applyFill="1" applyBorder="1" applyAlignment="1">
      <alignment horizontal="center" vertical="center"/>
    </xf>
    <xf numFmtId="164" fontId="21" fillId="13" borderId="1" xfId="0" applyNumberFormat="1" applyFont="1" applyFill="1" applyBorder="1" applyAlignment="1">
      <alignment horizontal="center" vertical="center"/>
    </xf>
    <xf numFmtId="164" fontId="21" fillId="12" borderId="1" xfId="0" applyNumberFormat="1" applyFont="1" applyFill="1" applyBorder="1" applyAlignment="1">
      <alignment horizontal="center" vertical="center"/>
    </xf>
  </cellXfs>
  <cellStyles count="1">
    <cellStyle name="Standard" xfId="0" builtinId="0"/>
  </cellStyles>
  <dxfs count="5">
    <dxf>
      <font>
        <b/>
        <sz val="10"/>
        <color rgb="FF9B2222"/>
        <name val="Calibri"/>
        <charset val="1"/>
      </font>
      <fill>
        <patternFill>
          <bgColor rgb="FFF7DADA"/>
        </patternFill>
      </fill>
    </dxf>
    <dxf>
      <font>
        <b/>
        <sz val="10"/>
        <color rgb="FFB8860B"/>
        <name val="Calibri"/>
        <charset val="1"/>
      </font>
      <fill>
        <patternFill>
          <bgColor rgb="FFFCEFD0"/>
        </patternFill>
      </fill>
    </dxf>
    <dxf>
      <font>
        <b/>
        <sz val="10"/>
        <color rgb="FF246B24"/>
        <name val="Calibri"/>
        <charset val="1"/>
      </font>
      <fill>
        <patternFill>
          <bgColor rgb="FFE1F0E1"/>
        </patternFill>
      </fill>
    </dxf>
    <dxf>
      <fill>
        <patternFill>
          <bgColor rgb="FFFCEFD0"/>
        </patternFill>
      </fill>
    </dxf>
    <dxf>
      <font>
        <b/>
        <sz val="11"/>
        <color rgb="FF9B2222"/>
        <name val="Calibri"/>
        <charset val="1"/>
      </font>
      <fill>
        <patternFill>
          <bgColor rgb="FFF7DADA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CC"/>
      <rgbColor rgb="FFFFFF00"/>
      <rgbColor rgb="FFFF00FF"/>
      <rgbColor rgb="FF00FFFF"/>
      <rgbColor rgb="FF800000"/>
      <rgbColor rgb="FF246B24"/>
      <rgbColor rgb="FF000080"/>
      <rgbColor rgb="FFB8860B"/>
      <rgbColor rgb="FF800080"/>
      <rgbColor rgb="FF0E8C8B"/>
      <rgbColor rgb="FFD9D9D9"/>
      <rgbColor rgb="FF878787"/>
      <rgbColor rgb="FF9999FF"/>
      <rgbColor rgb="FF993366"/>
      <rgbColor rgb="FFFCEFD0"/>
      <rgbColor rgb="FFD5ECEC"/>
      <rgbColor rgb="FF660066"/>
      <rgbColor rgb="FFFF8080"/>
      <rgbColor rgb="FF0066CC"/>
      <rgbColor rgb="FFC7D0D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AF3EC"/>
      <rgbColor rgb="FFE1F0E1"/>
      <rgbColor rgb="FFFBECEC"/>
      <rgbColor rgb="FFE9EDF4"/>
      <rgbColor rgb="FFF4F6FA"/>
      <rgbColor rgb="FFCC99FF"/>
      <rgbColor rgb="FFF7DADA"/>
      <rgbColor rgb="FF3366FF"/>
      <rgbColor rgb="FF33CCCC"/>
      <rgbColor rgb="FF99CC00"/>
      <rgbColor rgb="FFFFCC00"/>
      <rgbColor rgb="FFFF9900"/>
      <rgbColor rgb="FFFF6600"/>
      <rgbColor rgb="FF5A6478"/>
      <rgbColor rgb="FF969696"/>
      <rgbColor rgb="FF003366"/>
      <rgbColor rgb="FF339966"/>
      <rgbColor rgb="FF003300"/>
      <rgbColor rgb="FF1C2433"/>
      <rgbColor rgb="FF9B2222"/>
      <rgbColor rgb="FF993366"/>
      <rgbColor rgb="FF2E4372"/>
      <rgbColor rgb="FF1B2A4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Liquiditätsverlauf · Endbestand je Woche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080">
              <a:solidFill>
                <a:srgbClr val="0E8C8B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Wochenplan!$C$4:$O$4</c:f>
              <c:strCache>
                <c:ptCount val="13"/>
                <c:pt idx="0">
                  <c:v>Woche 1 (05.01.)</c:v>
                </c:pt>
                <c:pt idx="1">
                  <c:v>Woche 2 (12.01.)</c:v>
                </c:pt>
                <c:pt idx="2">
                  <c:v>Woche 3 (19.01.)</c:v>
                </c:pt>
                <c:pt idx="3">
                  <c:v>Woche 4 (26.01.)</c:v>
                </c:pt>
                <c:pt idx="4">
                  <c:v>Woche 5 (02.02.)</c:v>
                </c:pt>
                <c:pt idx="5">
                  <c:v>Woche 6 (09.02.)</c:v>
                </c:pt>
                <c:pt idx="6">
                  <c:v>Woche 7 (16.02.)</c:v>
                </c:pt>
                <c:pt idx="7">
                  <c:v>Woche 8 (23.02.)</c:v>
                </c:pt>
                <c:pt idx="8">
                  <c:v>Woche 9 (02.03.)</c:v>
                </c:pt>
                <c:pt idx="9">
                  <c:v>Woche 10 (09.03.)</c:v>
                </c:pt>
                <c:pt idx="10">
                  <c:v>Woche 11 (16.03.)</c:v>
                </c:pt>
                <c:pt idx="11">
                  <c:v>Woche 12 (23.03.)</c:v>
                </c:pt>
                <c:pt idx="12">
                  <c:v>Woche 13 (30.03.)</c:v>
                </c:pt>
              </c:strCache>
            </c:strRef>
          </c:cat>
          <c:val>
            <c:numRef>
              <c:f>Wochenplan!$C$28:$O$28</c:f>
              <c:numCache>
                <c:formatCode>General</c:formatCode>
                <c:ptCount val="13"/>
                <c:pt idx="0">
                  <c:v>58800</c:v>
                </c:pt>
                <c:pt idx="1">
                  <c:v>43350</c:v>
                </c:pt>
                <c:pt idx="2">
                  <c:v>44750</c:v>
                </c:pt>
                <c:pt idx="3">
                  <c:v>40050</c:v>
                </c:pt>
                <c:pt idx="4">
                  <c:v>5200</c:v>
                </c:pt>
                <c:pt idx="5">
                  <c:v>17400</c:v>
                </c:pt>
                <c:pt idx="6">
                  <c:v>17400</c:v>
                </c:pt>
                <c:pt idx="7">
                  <c:v>17400</c:v>
                </c:pt>
                <c:pt idx="8">
                  <c:v>17400</c:v>
                </c:pt>
                <c:pt idx="9">
                  <c:v>17400</c:v>
                </c:pt>
                <c:pt idx="10">
                  <c:v>17400</c:v>
                </c:pt>
                <c:pt idx="11">
                  <c:v>17400</c:v>
                </c:pt>
                <c:pt idx="12">
                  <c:v>17400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B94-4C4F-83C2-7C5721F58A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656482"/>
        <c:axId val="96176524"/>
      </c:lineChart>
      <c:catAx>
        <c:axId val="165648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96176524"/>
        <c:crosses val="autoZero"/>
        <c:auto val="1"/>
        <c:lblAlgn val="ctr"/>
        <c:lblOffset val="100"/>
        <c:noMultiLvlLbl val="0"/>
      </c:catAx>
      <c:valAx>
        <c:axId val="96176524"/>
        <c:scaling>
          <c:orientation val="minMax"/>
        </c:scaling>
        <c:delete val="0"/>
        <c:axPos val="l"/>
        <c:numFmt formatCode="#,##0&quot; €&quot;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1656482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chemeClr val="bg2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</xdr:colOff>
      <xdr:row>30</xdr:row>
      <xdr:rowOff>59010</xdr:rowOff>
    </xdr:from>
    <xdr:to>
      <xdr:col>14</xdr:col>
      <xdr:colOff>857715</xdr:colOff>
      <xdr:row>44</xdr:row>
      <xdr:rowOff>82245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8"/>
  <sheetViews>
    <sheetView showGridLines="0"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G49" sqref="G49"/>
    </sheetView>
  </sheetViews>
  <sheetFormatPr baseColWidth="10" defaultColWidth="8.7109375" defaultRowHeight="15" x14ac:dyDescent="0.25"/>
  <cols>
    <col min="1" max="1" width="30" customWidth="1"/>
    <col min="2" max="2" width="12" customWidth="1"/>
    <col min="3" max="15" width="13" customWidth="1"/>
  </cols>
  <sheetData>
    <row r="1" spans="1:15" ht="30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4" spans="1:15" ht="28.5" x14ac:dyDescent="0.25">
      <c r="A4" s="15" t="s">
        <v>2</v>
      </c>
      <c r="B4" s="16"/>
      <c r="C4" s="17" t="str">
        <f>"Woche "&amp;1&amp;" ("&amp;TEXT(Einstellungen!$D$7+7*0,"DD.MM.")&amp;")"</f>
        <v>Woche 1 (05.01.)</v>
      </c>
      <c r="D4" s="17" t="str">
        <f>"Woche "&amp;2&amp;" ("&amp;TEXT(Einstellungen!$D$7+7*1,"DD.MM.")&amp;")"</f>
        <v>Woche 2 (12.01.)</v>
      </c>
      <c r="E4" s="17" t="str">
        <f>"Woche "&amp;3&amp;" ("&amp;TEXT(Einstellungen!$D$7+7*2,"DD.MM.")&amp;")"</f>
        <v>Woche 3 (19.01.)</v>
      </c>
      <c r="F4" s="17" t="str">
        <f>"Woche "&amp;4&amp;" ("&amp;TEXT(Einstellungen!$D$7+7*3,"DD.MM.")&amp;")"</f>
        <v>Woche 4 (26.01.)</v>
      </c>
      <c r="G4" s="17" t="str">
        <f>"Woche "&amp;5&amp;" ("&amp;TEXT(Einstellungen!$D$7+7*4,"DD.MM.")&amp;")"</f>
        <v>Woche 5 (02.02.)</v>
      </c>
      <c r="H4" s="17" t="str">
        <f>"Woche "&amp;6&amp;" ("&amp;TEXT(Einstellungen!$D$7+7*5,"DD.MM.")&amp;")"</f>
        <v>Woche 6 (09.02.)</v>
      </c>
      <c r="I4" s="17" t="str">
        <f>"Woche "&amp;7&amp;" ("&amp;TEXT(Einstellungen!$D$7+7*6,"DD.MM.")&amp;")"</f>
        <v>Woche 7 (16.02.)</v>
      </c>
      <c r="J4" s="17" t="str">
        <f>"Woche "&amp;8&amp;" ("&amp;TEXT(Einstellungen!$D$7+7*7,"DD.MM.")&amp;")"</f>
        <v>Woche 8 (23.02.)</v>
      </c>
      <c r="K4" s="17" t="str">
        <f>"Woche "&amp;9&amp;" ("&amp;TEXT(Einstellungen!$D$7+7*8,"DD.MM.")&amp;")"</f>
        <v>Woche 9 (02.03.)</v>
      </c>
      <c r="L4" s="17" t="str">
        <f>"Woche "&amp;10&amp;" ("&amp;TEXT(Einstellungen!$D$7+7*9,"DD.MM.")&amp;")"</f>
        <v>Woche 10 (09.03.)</v>
      </c>
      <c r="M4" s="17" t="str">
        <f>"Woche "&amp;11&amp;" ("&amp;TEXT(Einstellungen!$D$7+7*10,"DD.MM.")&amp;")"</f>
        <v>Woche 11 (16.03.)</v>
      </c>
      <c r="N4" s="17" t="str">
        <f>"Woche "&amp;12&amp;" ("&amp;TEXT(Einstellungen!$D$7+7*11,"DD.MM.")&amp;")"</f>
        <v>Woche 12 (23.03.)</v>
      </c>
      <c r="O4" s="17" t="str">
        <f>"Woche "&amp;13&amp;" ("&amp;TEXT(Einstellungen!$D$7+7*12,"DD.MM.")&amp;")"</f>
        <v>Woche 13 (30.03.)</v>
      </c>
    </row>
    <row r="5" spans="1:15" x14ac:dyDescent="0.25">
      <c r="A5" s="12" t="s">
        <v>3</v>
      </c>
      <c r="B5" s="12"/>
      <c r="C5" s="18">
        <f>WEEKNUM(Einstellungen!$D$7+7*0,21)</f>
        <v>2</v>
      </c>
      <c r="D5" s="18">
        <f>WEEKNUM(Einstellungen!$D$7+7*1,21)</f>
        <v>3</v>
      </c>
      <c r="E5" s="18">
        <f>WEEKNUM(Einstellungen!$D$7+7*2,21)</f>
        <v>4</v>
      </c>
      <c r="F5" s="18">
        <f>WEEKNUM(Einstellungen!$D$7+7*3,21)</f>
        <v>5</v>
      </c>
      <c r="G5" s="18">
        <f>WEEKNUM(Einstellungen!$D$7+7*4,21)</f>
        <v>6</v>
      </c>
      <c r="H5" s="18">
        <f>WEEKNUM(Einstellungen!$D$7+7*5,21)</f>
        <v>7</v>
      </c>
      <c r="I5" s="18">
        <f>WEEKNUM(Einstellungen!$D$7+7*6,21)</f>
        <v>8</v>
      </c>
      <c r="J5" s="18">
        <f>WEEKNUM(Einstellungen!$D$7+7*7,21)</f>
        <v>9</v>
      </c>
      <c r="K5" s="18">
        <f>WEEKNUM(Einstellungen!$D$7+7*8,21)</f>
        <v>10</v>
      </c>
      <c r="L5" s="18">
        <f>WEEKNUM(Einstellungen!$D$7+7*9,21)</f>
        <v>11</v>
      </c>
      <c r="M5" s="18">
        <f>WEEKNUM(Einstellungen!$D$7+7*10,21)</f>
        <v>12</v>
      </c>
      <c r="N5" s="18">
        <f>WEEKNUM(Einstellungen!$D$7+7*11,21)</f>
        <v>13</v>
      </c>
      <c r="O5" s="18">
        <f>WEEKNUM(Einstellungen!$D$7+7*12,21)</f>
        <v>14</v>
      </c>
    </row>
    <row r="6" spans="1:15" x14ac:dyDescent="0.25">
      <c r="A6" s="19" t="s">
        <v>4</v>
      </c>
      <c r="B6" s="20"/>
      <c r="C6" s="21">
        <f>Einstellungen!$D$8+Einstellungen!$D$9</f>
        <v>51000</v>
      </c>
      <c r="D6" s="21">
        <f t="shared" ref="D6:O6" si="0">C28</f>
        <v>58800</v>
      </c>
      <c r="E6" s="21">
        <f t="shared" si="0"/>
        <v>43350</v>
      </c>
      <c r="F6" s="21">
        <f t="shared" si="0"/>
        <v>44750</v>
      </c>
      <c r="G6" s="21">
        <f t="shared" si="0"/>
        <v>40050</v>
      </c>
      <c r="H6" s="21">
        <f t="shared" si="0"/>
        <v>5200</v>
      </c>
      <c r="I6" s="21">
        <f t="shared" si="0"/>
        <v>17400</v>
      </c>
      <c r="J6" s="21">
        <f t="shared" si="0"/>
        <v>17400</v>
      </c>
      <c r="K6" s="21">
        <f t="shared" si="0"/>
        <v>17400</v>
      </c>
      <c r="L6" s="21">
        <f t="shared" si="0"/>
        <v>17400</v>
      </c>
      <c r="M6" s="21">
        <f t="shared" si="0"/>
        <v>17400</v>
      </c>
      <c r="N6" s="21">
        <f t="shared" si="0"/>
        <v>17400</v>
      </c>
      <c r="O6" s="21">
        <f t="shared" si="0"/>
        <v>17400</v>
      </c>
    </row>
    <row r="7" spans="1:15" x14ac:dyDescent="0.25">
      <c r="A7" s="22" t="s">
        <v>5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</row>
    <row r="8" spans="1:15" x14ac:dyDescent="0.25">
      <c r="A8" s="24" t="s">
        <v>6</v>
      </c>
      <c r="B8" s="25"/>
      <c r="C8" s="26">
        <f>SUMIFS(Detailbuchungen!$F$4:$F$37,Detailbuchungen!$A$4:$A$37,"Einzahlung",Detailbuchungen!$B$4:$B$37,1,Detailbuchungen!$C$4:$C$37,$A8)</f>
        <v>18400</v>
      </c>
      <c r="D8" s="26">
        <f>SUMIFS(Detailbuchungen!$F$4:$F$37,Detailbuchungen!$A$4:$A$37,"Einzahlung",Detailbuchungen!$B$4:$B$37,2,Detailbuchungen!$C$4:$C$37,$A8)</f>
        <v>12750</v>
      </c>
      <c r="E8" s="26">
        <f>SUMIFS(Detailbuchungen!$F$4:$F$37,Detailbuchungen!$A$4:$A$37,"Einzahlung",Detailbuchungen!$B$4:$B$37,3,Detailbuchungen!$C$4:$C$37,$A8)</f>
        <v>9300</v>
      </c>
      <c r="F8" s="26">
        <f>SUMIFS(Detailbuchungen!$F$4:$F$37,Detailbuchungen!$A$4:$A$37,"Einzahlung",Detailbuchungen!$B$4:$B$37,4,Detailbuchungen!$C$4:$C$37,$A8)</f>
        <v>0</v>
      </c>
      <c r="G8" s="26">
        <f>SUMIFS(Detailbuchungen!$F$4:$F$37,Detailbuchungen!$A$4:$A$37,"Einzahlung",Detailbuchungen!$B$4:$B$37,5,Detailbuchungen!$C$4:$C$37,$A8)</f>
        <v>0</v>
      </c>
      <c r="H8" s="26">
        <f>SUMIFS(Detailbuchungen!$F$4:$F$37,Detailbuchungen!$A$4:$A$37,"Einzahlung",Detailbuchungen!$B$4:$B$37,6,Detailbuchungen!$C$4:$C$37,$A8)</f>
        <v>15600</v>
      </c>
      <c r="I8" s="26">
        <f>SUMIFS(Detailbuchungen!$F$4:$F$37,Detailbuchungen!$A$4:$A$37,"Einzahlung",Detailbuchungen!$B$4:$B$37,7,Detailbuchungen!$C$4:$C$37,$A8)</f>
        <v>0</v>
      </c>
      <c r="J8" s="26">
        <f>SUMIFS(Detailbuchungen!$F$4:$F$37,Detailbuchungen!$A$4:$A$37,"Einzahlung",Detailbuchungen!$B$4:$B$37,8,Detailbuchungen!$C$4:$C$37,$A8)</f>
        <v>0</v>
      </c>
      <c r="K8" s="26">
        <f>SUMIFS(Detailbuchungen!$F$4:$F$37,Detailbuchungen!$A$4:$A$37,"Einzahlung",Detailbuchungen!$B$4:$B$37,9,Detailbuchungen!$C$4:$C$37,$A8)</f>
        <v>0</v>
      </c>
      <c r="L8" s="26">
        <f>SUMIFS(Detailbuchungen!$F$4:$F$37,Detailbuchungen!$A$4:$A$37,"Einzahlung",Detailbuchungen!$B$4:$B$37,10,Detailbuchungen!$C$4:$C$37,$A8)</f>
        <v>0</v>
      </c>
      <c r="M8" s="26">
        <f>SUMIFS(Detailbuchungen!$F$4:$F$37,Detailbuchungen!$A$4:$A$37,"Einzahlung",Detailbuchungen!$B$4:$B$37,11,Detailbuchungen!$C$4:$C$37,$A8)</f>
        <v>0</v>
      </c>
      <c r="N8" s="26">
        <f>SUMIFS(Detailbuchungen!$F$4:$F$37,Detailbuchungen!$A$4:$A$37,"Einzahlung",Detailbuchungen!$B$4:$B$37,12,Detailbuchungen!$C$4:$C$37,$A8)</f>
        <v>0</v>
      </c>
      <c r="O8" s="26">
        <f>SUMIFS(Detailbuchungen!$F$4:$F$37,Detailbuchungen!$A$4:$A$37,"Einzahlung",Detailbuchungen!$B$4:$B$37,13,Detailbuchungen!$C$4:$C$37,$A8)</f>
        <v>0</v>
      </c>
    </row>
    <row r="9" spans="1:15" x14ac:dyDescent="0.25">
      <c r="A9" s="24" t="s">
        <v>7</v>
      </c>
      <c r="B9" s="25"/>
      <c r="C9" s="26">
        <f>SUMIFS(Detailbuchungen!$F$4:$F$37,Detailbuchungen!$A$4:$A$37,"Einzahlung",Detailbuchungen!$B$4:$B$37,1,Detailbuchungen!$C$4:$C$37,$A9)</f>
        <v>3200</v>
      </c>
      <c r="D9" s="26">
        <f>SUMIFS(Detailbuchungen!$F$4:$F$37,Detailbuchungen!$A$4:$A$37,"Einzahlung",Detailbuchungen!$B$4:$B$37,2,Detailbuchungen!$C$4:$C$37,$A9)</f>
        <v>0</v>
      </c>
      <c r="E9" s="26">
        <f>SUMIFS(Detailbuchungen!$F$4:$F$37,Detailbuchungen!$A$4:$A$37,"Einzahlung",Detailbuchungen!$B$4:$B$37,3,Detailbuchungen!$C$4:$C$37,$A9)</f>
        <v>0</v>
      </c>
      <c r="F9" s="26">
        <f>SUMIFS(Detailbuchungen!$F$4:$F$37,Detailbuchungen!$A$4:$A$37,"Einzahlung",Detailbuchungen!$B$4:$B$37,4,Detailbuchungen!$C$4:$C$37,$A9)</f>
        <v>0</v>
      </c>
      <c r="G9" s="26">
        <f>SUMIFS(Detailbuchungen!$F$4:$F$37,Detailbuchungen!$A$4:$A$37,"Einzahlung",Detailbuchungen!$B$4:$B$37,5,Detailbuchungen!$C$4:$C$37,$A9)</f>
        <v>0</v>
      </c>
      <c r="H9" s="26">
        <f>SUMIFS(Detailbuchungen!$F$4:$F$37,Detailbuchungen!$A$4:$A$37,"Einzahlung",Detailbuchungen!$B$4:$B$37,6,Detailbuchungen!$C$4:$C$37,$A9)</f>
        <v>0</v>
      </c>
      <c r="I9" s="26">
        <f>SUMIFS(Detailbuchungen!$F$4:$F$37,Detailbuchungen!$A$4:$A$37,"Einzahlung",Detailbuchungen!$B$4:$B$37,7,Detailbuchungen!$C$4:$C$37,$A9)</f>
        <v>0</v>
      </c>
      <c r="J9" s="26">
        <f>SUMIFS(Detailbuchungen!$F$4:$F$37,Detailbuchungen!$A$4:$A$37,"Einzahlung",Detailbuchungen!$B$4:$B$37,8,Detailbuchungen!$C$4:$C$37,$A9)</f>
        <v>0</v>
      </c>
      <c r="K9" s="26">
        <f>SUMIFS(Detailbuchungen!$F$4:$F$37,Detailbuchungen!$A$4:$A$37,"Einzahlung",Detailbuchungen!$B$4:$B$37,9,Detailbuchungen!$C$4:$C$37,$A9)</f>
        <v>0</v>
      </c>
      <c r="L9" s="26">
        <f>SUMIFS(Detailbuchungen!$F$4:$F$37,Detailbuchungen!$A$4:$A$37,"Einzahlung",Detailbuchungen!$B$4:$B$37,10,Detailbuchungen!$C$4:$C$37,$A9)</f>
        <v>0</v>
      </c>
      <c r="M9" s="26">
        <f>SUMIFS(Detailbuchungen!$F$4:$F$37,Detailbuchungen!$A$4:$A$37,"Einzahlung",Detailbuchungen!$B$4:$B$37,11,Detailbuchungen!$C$4:$C$37,$A9)</f>
        <v>0</v>
      </c>
      <c r="N9" s="26">
        <f>SUMIFS(Detailbuchungen!$F$4:$F$37,Detailbuchungen!$A$4:$A$37,"Einzahlung",Detailbuchungen!$B$4:$B$37,12,Detailbuchungen!$C$4:$C$37,$A9)</f>
        <v>0</v>
      </c>
      <c r="O9" s="26">
        <f>SUMIFS(Detailbuchungen!$F$4:$F$37,Detailbuchungen!$A$4:$A$37,"Einzahlung",Detailbuchungen!$B$4:$B$37,13,Detailbuchungen!$C$4:$C$37,$A9)</f>
        <v>0</v>
      </c>
    </row>
    <row r="10" spans="1:15" x14ac:dyDescent="0.25">
      <c r="A10" s="24" t="s">
        <v>8</v>
      </c>
      <c r="B10" s="25"/>
      <c r="C10" s="26">
        <f>SUMIFS(Detailbuchungen!$F$4:$F$37,Detailbuchungen!$A$4:$A$37,"Einzahlung",Detailbuchungen!$B$4:$B$37,1,Detailbuchungen!$C$4:$C$37,$A10)</f>
        <v>0</v>
      </c>
      <c r="D10" s="26">
        <f>SUMIFS(Detailbuchungen!$F$4:$F$37,Detailbuchungen!$A$4:$A$37,"Einzahlung",Detailbuchungen!$B$4:$B$37,2,Detailbuchungen!$C$4:$C$37,$A10)</f>
        <v>0</v>
      </c>
      <c r="E10" s="26">
        <f>SUMIFS(Detailbuchungen!$F$4:$F$37,Detailbuchungen!$A$4:$A$37,"Einzahlung",Detailbuchungen!$B$4:$B$37,3,Detailbuchungen!$C$4:$C$37,$A10)</f>
        <v>0</v>
      </c>
      <c r="F10" s="26">
        <f>SUMIFS(Detailbuchungen!$F$4:$F$37,Detailbuchungen!$A$4:$A$37,"Einzahlung",Detailbuchungen!$B$4:$B$37,4,Detailbuchungen!$C$4:$C$37,$A10)</f>
        <v>6500</v>
      </c>
      <c r="G10" s="26">
        <f>SUMIFS(Detailbuchungen!$F$4:$F$37,Detailbuchungen!$A$4:$A$37,"Einzahlung",Detailbuchungen!$B$4:$B$37,5,Detailbuchungen!$C$4:$C$37,$A10)</f>
        <v>0</v>
      </c>
      <c r="H10" s="26">
        <f>SUMIFS(Detailbuchungen!$F$4:$F$37,Detailbuchungen!$A$4:$A$37,"Einzahlung",Detailbuchungen!$B$4:$B$37,6,Detailbuchungen!$C$4:$C$37,$A10)</f>
        <v>0</v>
      </c>
      <c r="I10" s="26">
        <f>SUMIFS(Detailbuchungen!$F$4:$F$37,Detailbuchungen!$A$4:$A$37,"Einzahlung",Detailbuchungen!$B$4:$B$37,7,Detailbuchungen!$C$4:$C$37,$A10)</f>
        <v>0</v>
      </c>
      <c r="J10" s="26">
        <f>SUMIFS(Detailbuchungen!$F$4:$F$37,Detailbuchungen!$A$4:$A$37,"Einzahlung",Detailbuchungen!$B$4:$B$37,8,Detailbuchungen!$C$4:$C$37,$A10)</f>
        <v>0</v>
      </c>
      <c r="K10" s="26">
        <f>SUMIFS(Detailbuchungen!$F$4:$F$37,Detailbuchungen!$A$4:$A$37,"Einzahlung",Detailbuchungen!$B$4:$B$37,9,Detailbuchungen!$C$4:$C$37,$A10)</f>
        <v>0</v>
      </c>
      <c r="L10" s="26">
        <f>SUMIFS(Detailbuchungen!$F$4:$F$37,Detailbuchungen!$A$4:$A$37,"Einzahlung",Detailbuchungen!$B$4:$B$37,10,Detailbuchungen!$C$4:$C$37,$A10)</f>
        <v>0</v>
      </c>
      <c r="M10" s="26">
        <f>SUMIFS(Detailbuchungen!$F$4:$F$37,Detailbuchungen!$A$4:$A$37,"Einzahlung",Detailbuchungen!$B$4:$B$37,11,Detailbuchungen!$C$4:$C$37,$A10)</f>
        <v>0</v>
      </c>
      <c r="N10" s="26">
        <f>SUMIFS(Detailbuchungen!$F$4:$F$37,Detailbuchungen!$A$4:$A$37,"Einzahlung",Detailbuchungen!$B$4:$B$37,12,Detailbuchungen!$C$4:$C$37,$A10)</f>
        <v>0</v>
      </c>
      <c r="O10" s="26">
        <f>SUMIFS(Detailbuchungen!$F$4:$F$37,Detailbuchungen!$A$4:$A$37,"Einzahlung",Detailbuchungen!$B$4:$B$37,13,Detailbuchungen!$C$4:$C$37,$A10)</f>
        <v>0</v>
      </c>
    </row>
    <row r="11" spans="1:15" x14ac:dyDescent="0.25">
      <c r="A11" s="24" t="s">
        <v>9</v>
      </c>
      <c r="B11" s="25"/>
      <c r="C11" s="26">
        <f>SUMIFS(Detailbuchungen!$F$4:$F$37,Detailbuchungen!$A$4:$A$37,"Einzahlung",Detailbuchungen!$B$4:$B$37,1,Detailbuchungen!$C$4:$C$37,$A11)</f>
        <v>0</v>
      </c>
      <c r="D11" s="26">
        <f>SUMIFS(Detailbuchungen!$F$4:$F$37,Detailbuchungen!$A$4:$A$37,"Einzahlung",Detailbuchungen!$B$4:$B$37,2,Detailbuchungen!$C$4:$C$37,$A11)</f>
        <v>0</v>
      </c>
      <c r="E11" s="26">
        <f>SUMIFS(Detailbuchungen!$F$4:$F$37,Detailbuchungen!$A$4:$A$37,"Einzahlung",Detailbuchungen!$B$4:$B$37,3,Detailbuchungen!$C$4:$C$37,$A11)</f>
        <v>0</v>
      </c>
      <c r="F11" s="26">
        <f>SUMIFS(Detailbuchungen!$F$4:$F$37,Detailbuchungen!$A$4:$A$37,"Einzahlung",Detailbuchungen!$B$4:$B$37,4,Detailbuchungen!$C$4:$C$37,$A11)</f>
        <v>0</v>
      </c>
      <c r="G11" s="26">
        <f>SUMIFS(Detailbuchungen!$F$4:$F$37,Detailbuchungen!$A$4:$A$37,"Einzahlung",Detailbuchungen!$B$4:$B$37,5,Detailbuchungen!$C$4:$C$37,$A11)</f>
        <v>0</v>
      </c>
      <c r="H11" s="26">
        <f>SUMIFS(Detailbuchungen!$F$4:$F$37,Detailbuchungen!$A$4:$A$37,"Einzahlung",Detailbuchungen!$B$4:$B$37,6,Detailbuchungen!$C$4:$C$37,$A11)</f>
        <v>0</v>
      </c>
      <c r="I11" s="26">
        <f>SUMIFS(Detailbuchungen!$F$4:$F$37,Detailbuchungen!$A$4:$A$37,"Einzahlung",Detailbuchungen!$B$4:$B$37,7,Detailbuchungen!$C$4:$C$37,$A11)</f>
        <v>0</v>
      </c>
      <c r="J11" s="26">
        <f>SUMIFS(Detailbuchungen!$F$4:$F$37,Detailbuchungen!$A$4:$A$37,"Einzahlung",Detailbuchungen!$B$4:$B$37,8,Detailbuchungen!$C$4:$C$37,$A11)</f>
        <v>0</v>
      </c>
      <c r="K11" s="26">
        <f>SUMIFS(Detailbuchungen!$F$4:$F$37,Detailbuchungen!$A$4:$A$37,"Einzahlung",Detailbuchungen!$B$4:$B$37,9,Detailbuchungen!$C$4:$C$37,$A11)</f>
        <v>0</v>
      </c>
      <c r="L11" s="26">
        <f>SUMIFS(Detailbuchungen!$F$4:$F$37,Detailbuchungen!$A$4:$A$37,"Einzahlung",Detailbuchungen!$B$4:$B$37,10,Detailbuchungen!$C$4:$C$37,$A11)</f>
        <v>0</v>
      </c>
      <c r="M11" s="26">
        <f>SUMIFS(Detailbuchungen!$F$4:$F$37,Detailbuchungen!$A$4:$A$37,"Einzahlung",Detailbuchungen!$B$4:$B$37,11,Detailbuchungen!$C$4:$C$37,$A11)</f>
        <v>0</v>
      </c>
      <c r="N11" s="26">
        <f>SUMIFS(Detailbuchungen!$F$4:$F$37,Detailbuchungen!$A$4:$A$37,"Einzahlung",Detailbuchungen!$B$4:$B$37,12,Detailbuchungen!$C$4:$C$37,$A11)</f>
        <v>0</v>
      </c>
      <c r="O11" s="26">
        <f>SUMIFS(Detailbuchungen!$F$4:$F$37,Detailbuchungen!$A$4:$A$37,"Einzahlung",Detailbuchungen!$B$4:$B$37,13,Detailbuchungen!$C$4:$C$37,$A11)</f>
        <v>0</v>
      </c>
    </row>
    <row r="12" spans="1:15" x14ac:dyDescent="0.25">
      <c r="A12" s="24" t="s">
        <v>10</v>
      </c>
      <c r="B12" s="25"/>
      <c r="C12" s="26">
        <f>SUMIFS(Detailbuchungen!$F$4:$F$37,Detailbuchungen!$A$4:$A$37,"Einzahlung",Detailbuchungen!$B$4:$B$37,1,Detailbuchungen!$C$4:$C$37,$A12)</f>
        <v>0</v>
      </c>
      <c r="D12" s="26">
        <f>SUMIFS(Detailbuchungen!$F$4:$F$37,Detailbuchungen!$A$4:$A$37,"Einzahlung",Detailbuchungen!$B$4:$B$37,2,Detailbuchungen!$C$4:$C$37,$A12)</f>
        <v>0</v>
      </c>
      <c r="E12" s="26">
        <f>SUMIFS(Detailbuchungen!$F$4:$F$37,Detailbuchungen!$A$4:$A$37,"Einzahlung",Detailbuchungen!$B$4:$B$37,3,Detailbuchungen!$C$4:$C$37,$A12)</f>
        <v>0</v>
      </c>
      <c r="F12" s="26">
        <f>SUMIFS(Detailbuchungen!$F$4:$F$37,Detailbuchungen!$A$4:$A$37,"Einzahlung",Detailbuchungen!$B$4:$B$37,4,Detailbuchungen!$C$4:$C$37,$A12)</f>
        <v>0</v>
      </c>
      <c r="G12" s="26">
        <f>SUMIFS(Detailbuchungen!$F$4:$F$37,Detailbuchungen!$A$4:$A$37,"Einzahlung",Detailbuchungen!$B$4:$B$37,5,Detailbuchungen!$C$4:$C$37,$A12)</f>
        <v>0</v>
      </c>
      <c r="H12" s="26">
        <f>SUMIFS(Detailbuchungen!$F$4:$F$37,Detailbuchungen!$A$4:$A$37,"Einzahlung",Detailbuchungen!$B$4:$B$37,6,Detailbuchungen!$C$4:$C$37,$A12)</f>
        <v>0</v>
      </c>
      <c r="I12" s="26">
        <f>SUMIFS(Detailbuchungen!$F$4:$F$37,Detailbuchungen!$A$4:$A$37,"Einzahlung",Detailbuchungen!$B$4:$B$37,7,Detailbuchungen!$C$4:$C$37,$A12)</f>
        <v>0</v>
      </c>
      <c r="J12" s="26">
        <f>SUMIFS(Detailbuchungen!$F$4:$F$37,Detailbuchungen!$A$4:$A$37,"Einzahlung",Detailbuchungen!$B$4:$B$37,8,Detailbuchungen!$C$4:$C$37,$A12)</f>
        <v>0</v>
      </c>
      <c r="K12" s="26">
        <f>SUMIFS(Detailbuchungen!$F$4:$F$37,Detailbuchungen!$A$4:$A$37,"Einzahlung",Detailbuchungen!$B$4:$B$37,9,Detailbuchungen!$C$4:$C$37,$A12)</f>
        <v>0</v>
      </c>
      <c r="L12" s="26">
        <f>SUMIFS(Detailbuchungen!$F$4:$F$37,Detailbuchungen!$A$4:$A$37,"Einzahlung",Detailbuchungen!$B$4:$B$37,10,Detailbuchungen!$C$4:$C$37,$A12)</f>
        <v>0</v>
      </c>
      <c r="M12" s="26">
        <f>SUMIFS(Detailbuchungen!$F$4:$F$37,Detailbuchungen!$A$4:$A$37,"Einzahlung",Detailbuchungen!$B$4:$B$37,11,Detailbuchungen!$C$4:$C$37,$A12)</f>
        <v>0</v>
      </c>
      <c r="N12" s="26">
        <f>SUMIFS(Detailbuchungen!$F$4:$F$37,Detailbuchungen!$A$4:$A$37,"Einzahlung",Detailbuchungen!$B$4:$B$37,12,Detailbuchungen!$C$4:$C$37,$A12)</f>
        <v>0</v>
      </c>
      <c r="O12" s="26">
        <f>SUMIFS(Detailbuchungen!$F$4:$F$37,Detailbuchungen!$A$4:$A$37,"Einzahlung",Detailbuchungen!$B$4:$B$37,13,Detailbuchungen!$C$4:$C$37,$A12)</f>
        <v>0</v>
      </c>
    </row>
    <row r="13" spans="1:15" x14ac:dyDescent="0.25">
      <c r="A13" s="24" t="s">
        <v>11</v>
      </c>
      <c r="B13" s="25"/>
      <c r="C13" s="26">
        <f>SUMIFS(Detailbuchungen!$F$4:$F$37,Detailbuchungen!$A$4:$A$37,"Einzahlung",Detailbuchungen!$B$4:$B$37,1,Detailbuchungen!$C$4:$C$37,$A13)</f>
        <v>0</v>
      </c>
      <c r="D13" s="26">
        <f>SUMIFS(Detailbuchungen!$F$4:$F$37,Detailbuchungen!$A$4:$A$37,"Einzahlung",Detailbuchungen!$B$4:$B$37,2,Detailbuchungen!$C$4:$C$37,$A13)</f>
        <v>0</v>
      </c>
      <c r="E13" s="26">
        <f>SUMIFS(Detailbuchungen!$F$4:$F$37,Detailbuchungen!$A$4:$A$37,"Einzahlung",Detailbuchungen!$B$4:$B$37,3,Detailbuchungen!$C$4:$C$37,$A13)</f>
        <v>0</v>
      </c>
      <c r="F13" s="26">
        <f>SUMIFS(Detailbuchungen!$F$4:$F$37,Detailbuchungen!$A$4:$A$37,"Einzahlung",Detailbuchungen!$B$4:$B$37,4,Detailbuchungen!$C$4:$C$37,$A13)</f>
        <v>0</v>
      </c>
      <c r="G13" s="26">
        <f>SUMIFS(Detailbuchungen!$F$4:$F$37,Detailbuchungen!$A$4:$A$37,"Einzahlung",Detailbuchungen!$B$4:$B$37,5,Detailbuchungen!$C$4:$C$37,$A13)</f>
        <v>0</v>
      </c>
      <c r="H13" s="26">
        <f>SUMIFS(Detailbuchungen!$F$4:$F$37,Detailbuchungen!$A$4:$A$37,"Einzahlung",Detailbuchungen!$B$4:$B$37,6,Detailbuchungen!$C$4:$C$37,$A13)</f>
        <v>0</v>
      </c>
      <c r="I13" s="26">
        <f>SUMIFS(Detailbuchungen!$F$4:$F$37,Detailbuchungen!$A$4:$A$37,"Einzahlung",Detailbuchungen!$B$4:$B$37,7,Detailbuchungen!$C$4:$C$37,$A13)</f>
        <v>0</v>
      </c>
      <c r="J13" s="26">
        <f>SUMIFS(Detailbuchungen!$F$4:$F$37,Detailbuchungen!$A$4:$A$37,"Einzahlung",Detailbuchungen!$B$4:$B$37,8,Detailbuchungen!$C$4:$C$37,$A13)</f>
        <v>0</v>
      </c>
      <c r="K13" s="26">
        <f>SUMIFS(Detailbuchungen!$F$4:$F$37,Detailbuchungen!$A$4:$A$37,"Einzahlung",Detailbuchungen!$B$4:$B$37,9,Detailbuchungen!$C$4:$C$37,$A13)</f>
        <v>0</v>
      </c>
      <c r="L13" s="26">
        <f>SUMIFS(Detailbuchungen!$F$4:$F$37,Detailbuchungen!$A$4:$A$37,"Einzahlung",Detailbuchungen!$B$4:$B$37,10,Detailbuchungen!$C$4:$C$37,$A13)</f>
        <v>0</v>
      </c>
      <c r="M13" s="26">
        <f>SUMIFS(Detailbuchungen!$F$4:$F$37,Detailbuchungen!$A$4:$A$37,"Einzahlung",Detailbuchungen!$B$4:$B$37,11,Detailbuchungen!$C$4:$C$37,$A13)</f>
        <v>0</v>
      </c>
      <c r="N13" s="26">
        <f>SUMIFS(Detailbuchungen!$F$4:$F$37,Detailbuchungen!$A$4:$A$37,"Einzahlung",Detailbuchungen!$B$4:$B$37,12,Detailbuchungen!$C$4:$C$37,$A13)</f>
        <v>0</v>
      </c>
      <c r="O13" s="26">
        <f>SUMIFS(Detailbuchungen!$F$4:$F$37,Detailbuchungen!$A$4:$A$37,"Einzahlung",Detailbuchungen!$B$4:$B$37,13,Detailbuchungen!$C$4:$C$37,$A13)</f>
        <v>0</v>
      </c>
    </row>
    <row r="14" spans="1:15" x14ac:dyDescent="0.25">
      <c r="A14" s="27" t="s">
        <v>12</v>
      </c>
      <c r="B14" s="28"/>
      <c r="C14" s="29">
        <f t="shared" ref="C14:O14" si="1">SUM(C8:C13)</f>
        <v>21600</v>
      </c>
      <c r="D14" s="29">
        <f t="shared" si="1"/>
        <v>12750</v>
      </c>
      <c r="E14" s="29">
        <f t="shared" si="1"/>
        <v>9300</v>
      </c>
      <c r="F14" s="29">
        <f t="shared" si="1"/>
        <v>6500</v>
      </c>
      <c r="G14" s="29">
        <f t="shared" si="1"/>
        <v>0</v>
      </c>
      <c r="H14" s="29">
        <f t="shared" si="1"/>
        <v>15600</v>
      </c>
      <c r="I14" s="29">
        <f t="shared" si="1"/>
        <v>0</v>
      </c>
      <c r="J14" s="29">
        <f t="shared" si="1"/>
        <v>0</v>
      </c>
      <c r="K14" s="29">
        <f t="shared" si="1"/>
        <v>0</v>
      </c>
      <c r="L14" s="29">
        <f t="shared" si="1"/>
        <v>0</v>
      </c>
      <c r="M14" s="29">
        <f t="shared" si="1"/>
        <v>0</v>
      </c>
      <c r="N14" s="29">
        <f t="shared" si="1"/>
        <v>0</v>
      </c>
      <c r="O14" s="29">
        <f t="shared" si="1"/>
        <v>0</v>
      </c>
    </row>
    <row r="15" spans="1:15" x14ac:dyDescent="0.25">
      <c r="A15" s="30" t="s">
        <v>13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</row>
    <row r="16" spans="1:15" x14ac:dyDescent="0.25">
      <c r="A16" s="32" t="s">
        <v>14</v>
      </c>
      <c r="B16" s="33"/>
      <c r="C16" s="34">
        <f>SUMIFS(Detailbuchungen!$F$4:$F$37,Detailbuchungen!$A$4:$A$37,"Auszahlung",Detailbuchungen!$B$4:$B$37,1,Detailbuchungen!$C$4:$C$37,$A16)</f>
        <v>9600</v>
      </c>
      <c r="D16" s="34">
        <f>SUMIFS(Detailbuchungen!$F$4:$F$37,Detailbuchungen!$A$4:$A$37,"Auszahlung",Detailbuchungen!$B$4:$B$37,2,Detailbuchungen!$C$4:$C$37,$A16)</f>
        <v>0</v>
      </c>
      <c r="E16" s="34">
        <f>SUMIFS(Detailbuchungen!$F$4:$F$37,Detailbuchungen!$A$4:$A$37,"Auszahlung",Detailbuchungen!$B$4:$B$37,3,Detailbuchungen!$C$4:$C$37,$A16)</f>
        <v>0</v>
      </c>
      <c r="F16" s="34">
        <f>SUMIFS(Detailbuchungen!$F$4:$F$37,Detailbuchungen!$A$4:$A$37,"Auszahlung",Detailbuchungen!$B$4:$B$37,4,Detailbuchungen!$C$4:$C$37,$A16)</f>
        <v>11200</v>
      </c>
      <c r="G16" s="34">
        <f>SUMIFS(Detailbuchungen!$F$4:$F$37,Detailbuchungen!$A$4:$A$37,"Auszahlung",Detailbuchungen!$B$4:$B$37,5,Detailbuchungen!$C$4:$C$37,$A16)</f>
        <v>0</v>
      </c>
      <c r="H16" s="34">
        <f>SUMIFS(Detailbuchungen!$F$4:$F$37,Detailbuchungen!$A$4:$A$37,"Auszahlung",Detailbuchungen!$B$4:$B$37,6,Detailbuchungen!$C$4:$C$37,$A16)</f>
        <v>0</v>
      </c>
      <c r="I16" s="34">
        <f>SUMIFS(Detailbuchungen!$F$4:$F$37,Detailbuchungen!$A$4:$A$37,"Auszahlung",Detailbuchungen!$B$4:$B$37,7,Detailbuchungen!$C$4:$C$37,$A16)</f>
        <v>0</v>
      </c>
      <c r="J16" s="34">
        <f>SUMIFS(Detailbuchungen!$F$4:$F$37,Detailbuchungen!$A$4:$A$37,"Auszahlung",Detailbuchungen!$B$4:$B$37,8,Detailbuchungen!$C$4:$C$37,$A16)</f>
        <v>0</v>
      </c>
      <c r="K16" s="34">
        <f>SUMIFS(Detailbuchungen!$F$4:$F$37,Detailbuchungen!$A$4:$A$37,"Auszahlung",Detailbuchungen!$B$4:$B$37,9,Detailbuchungen!$C$4:$C$37,$A16)</f>
        <v>0</v>
      </c>
      <c r="L16" s="34">
        <f>SUMIFS(Detailbuchungen!$F$4:$F$37,Detailbuchungen!$A$4:$A$37,"Auszahlung",Detailbuchungen!$B$4:$B$37,10,Detailbuchungen!$C$4:$C$37,$A16)</f>
        <v>0</v>
      </c>
      <c r="M16" s="34">
        <f>SUMIFS(Detailbuchungen!$F$4:$F$37,Detailbuchungen!$A$4:$A$37,"Auszahlung",Detailbuchungen!$B$4:$B$37,11,Detailbuchungen!$C$4:$C$37,$A16)</f>
        <v>0</v>
      </c>
      <c r="N16" s="34">
        <f>SUMIFS(Detailbuchungen!$F$4:$F$37,Detailbuchungen!$A$4:$A$37,"Auszahlung",Detailbuchungen!$B$4:$B$37,12,Detailbuchungen!$C$4:$C$37,$A16)</f>
        <v>0</v>
      </c>
      <c r="O16" s="34">
        <f>SUMIFS(Detailbuchungen!$F$4:$F$37,Detailbuchungen!$A$4:$A$37,"Auszahlung",Detailbuchungen!$B$4:$B$37,13,Detailbuchungen!$C$4:$C$37,$A16)</f>
        <v>0</v>
      </c>
    </row>
    <row r="17" spans="1:15" x14ac:dyDescent="0.25">
      <c r="A17" s="32" t="s">
        <v>15</v>
      </c>
      <c r="B17" s="33"/>
      <c r="C17" s="34">
        <f>SUMIFS(Detailbuchungen!$F$4:$F$37,Detailbuchungen!$A$4:$A$37,"Auszahlung",Detailbuchungen!$B$4:$B$37,1,Detailbuchungen!$C$4:$C$37,$A17)</f>
        <v>0</v>
      </c>
      <c r="D17" s="34">
        <f>SUMIFS(Detailbuchungen!$F$4:$F$37,Detailbuchungen!$A$4:$A$37,"Auszahlung",Detailbuchungen!$B$4:$B$37,2,Detailbuchungen!$C$4:$C$37,$A17)</f>
        <v>21800</v>
      </c>
      <c r="E17" s="34">
        <f>SUMIFS(Detailbuchungen!$F$4:$F$37,Detailbuchungen!$A$4:$A$37,"Auszahlung",Detailbuchungen!$B$4:$B$37,3,Detailbuchungen!$C$4:$C$37,$A17)</f>
        <v>0</v>
      </c>
      <c r="F17" s="34">
        <f>SUMIFS(Detailbuchungen!$F$4:$F$37,Detailbuchungen!$A$4:$A$37,"Auszahlung",Detailbuchungen!$B$4:$B$37,4,Detailbuchungen!$C$4:$C$37,$A17)</f>
        <v>0</v>
      </c>
      <c r="G17" s="34">
        <f>SUMIFS(Detailbuchungen!$F$4:$F$37,Detailbuchungen!$A$4:$A$37,"Auszahlung",Detailbuchungen!$B$4:$B$37,5,Detailbuchungen!$C$4:$C$37,$A17)</f>
        <v>0</v>
      </c>
      <c r="H17" s="34">
        <f>SUMIFS(Detailbuchungen!$F$4:$F$37,Detailbuchungen!$A$4:$A$37,"Auszahlung",Detailbuchungen!$B$4:$B$37,6,Detailbuchungen!$C$4:$C$37,$A17)</f>
        <v>0</v>
      </c>
      <c r="I17" s="34">
        <f>SUMIFS(Detailbuchungen!$F$4:$F$37,Detailbuchungen!$A$4:$A$37,"Auszahlung",Detailbuchungen!$B$4:$B$37,7,Detailbuchungen!$C$4:$C$37,$A17)</f>
        <v>0</v>
      </c>
      <c r="J17" s="34">
        <f>SUMIFS(Detailbuchungen!$F$4:$F$37,Detailbuchungen!$A$4:$A$37,"Auszahlung",Detailbuchungen!$B$4:$B$37,8,Detailbuchungen!$C$4:$C$37,$A17)</f>
        <v>0</v>
      </c>
      <c r="K17" s="34">
        <f>SUMIFS(Detailbuchungen!$F$4:$F$37,Detailbuchungen!$A$4:$A$37,"Auszahlung",Detailbuchungen!$B$4:$B$37,9,Detailbuchungen!$C$4:$C$37,$A17)</f>
        <v>0</v>
      </c>
      <c r="L17" s="34">
        <f>SUMIFS(Detailbuchungen!$F$4:$F$37,Detailbuchungen!$A$4:$A$37,"Auszahlung",Detailbuchungen!$B$4:$B$37,10,Detailbuchungen!$C$4:$C$37,$A17)</f>
        <v>0</v>
      </c>
      <c r="M17" s="34">
        <f>SUMIFS(Detailbuchungen!$F$4:$F$37,Detailbuchungen!$A$4:$A$37,"Auszahlung",Detailbuchungen!$B$4:$B$37,11,Detailbuchungen!$C$4:$C$37,$A17)</f>
        <v>0</v>
      </c>
      <c r="N17" s="34">
        <f>SUMIFS(Detailbuchungen!$F$4:$F$37,Detailbuchungen!$A$4:$A$37,"Auszahlung",Detailbuchungen!$B$4:$B$37,12,Detailbuchungen!$C$4:$C$37,$A17)</f>
        <v>0</v>
      </c>
      <c r="O17" s="34">
        <f>SUMIFS(Detailbuchungen!$F$4:$F$37,Detailbuchungen!$A$4:$A$37,"Auszahlung",Detailbuchungen!$B$4:$B$37,13,Detailbuchungen!$C$4:$C$37,$A17)</f>
        <v>0</v>
      </c>
    </row>
    <row r="18" spans="1:15" x14ac:dyDescent="0.25">
      <c r="A18" s="32" t="s">
        <v>16</v>
      </c>
      <c r="B18" s="33"/>
      <c r="C18" s="34">
        <f>SUMIFS(Detailbuchungen!$F$4:$F$37,Detailbuchungen!$A$4:$A$37,"Auszahlung",Detailbuchungen!$B$4:$B$37,1,Detailbuchungen!$C$4:$C$37,$A18)</f>
        <v>4200</v>
      </c>
      <c r="D18" s="34">
        <f>SUMIFS(Detailbuchungen!$F$4:$F$37,Detailbuchungen!$A$4:$A$37,"Auszahlung",Detailbuchungen!$B$4:$B$37,2,Detailbuchungen!$C$4:$C$37,$A18)</f>
        <v>0</v>
      </c>
      <c r="E18" s="34">
        <f>SUMIFS(Detailbuchungen!$F$4:$F$37,Detailbuchungen!$A$4:$A$37,"Auszahlung",Detailbuchungen!$B$4:$B$37,3,Detailbuchungen!$C$4:$C$37,$A18)</f>
        <v>0</v>
      </c>
      <c r="F18" s="34">
        <f>SUMIFS(Detailbuchungen!$F$4:$F$37,Detailbuchungen!$A$4:$A$37,"Auszahlung",Detailbuchungen!$B$4:$B$37,4,Detailbuchungen!$C$4:$C$37,$A18)</f>
        <v>0</v>
      </c>
      <c r="G18" s="34">
        <f>SUMIFS(Detailbuchungen!$F$4:$F$37,Detailbuchungen!$A$4:$A$37,"Auszahlung",Detailbuchungen!$B$4:$B$37,5,Detailbuchungen!$C$4:$C$37,$A18)</f>
        <v>0</v>
      </c>
      <c r="H18" s="34">
        <f>SUMIFS(Detailbuchungen!$F$4:$F$37,Detailbuchungen!$A$4:$A$37,"Auszahlung",Detailbuchungen!$B$4:$B$37,6,Detailbuchungen!$C$4:$C$37,$A18)</f>
        <v>0</v>
      </c>
      <c r="I18" s="34">
        <f>SUMIFS(Detailbuchungen!$F$4:$F$37,Detailbuchungen!$A$4:$A$37,"Auszahlung",Detailbuchungen!$B$4:$B$37,7,Detailbuchungen!$C$4:$C$37,$A18)</f>
        <v>0</v>
      </c>
      <c r="J18" s="34">
        <f>SUMIFS(Detailbuchungen!$F$4:$F$37,Detailbuchungen!$A$4:$A$37,"Auszahlung",Detailbuchungen!$B$4:$B$37,8,Detailbuchungen!$C$4:$C$37,$A18)</f>
        <v>0</v>
      </c>
      <c r="K18" s="34">
        <f>SUMIFS(Detailbuchungen!$F$4:$F$37,Detailbuchungen!$A$4:$A$37,"Auszahlung",Detailbuchungen!$B$4:$B$37,9,Detailbuchungen!$C$4:$C$37,$A18)</f>
        <v>0</v>
      </c>
      <c r="L18" s="34">
        <f>SUMIFS(Detailbuchungen!$F$4:$F$37,Detailbuchungen!$A$4:$A$37,"Auszahlung",Detailbuchungen!$B$4:$B$37,10,Detailbuchungen!$C$4:$C$37,$A18)</f>
        <v>0</v>
      </c>
      <c r="M18" s="34">
        <f>SUMIFS(Detailbuchungen!$F$4:$F$37,Detailbuchungen!$A$4:$A$37,"Auszahlung",Detailbuchungen!$B$4:$B$37,11,Detailbuchungen!$C$4:$C$37,$A18)</f>
        <v>0</v>
      </c>
      <c r="N18" s="34">
        <f>SUMIFS(Detailbuchungen!$F$4:$F$37,Detailbuchungen!$A$4:$A$37,"Auszahlung",Detailbuchungen!$B$4:$B$37,12,Detailbuchungen!$C$4:$C$37,$A18)</f>
        <v>0</v>
      </c>
      <c r="O18" s="34">
        <f>SUMIFS(Detailbuchungen!$F$4:$F$37,Detailbuchungen!$A$4:$A$37,"Auszahlung",Detailbuchungen!$B$4:$B$37,13,Detailbuchungen!$C$4:$C$37,$A18)</f>
        <v>0</v>
      </c>
    </row>
    <row r="19" spans="1:15" x14ac:dyDescent="0.25">
      <c r="A19" s="32" t="s">
        <v>17</v>
      </c>
      <c r="B19" s="33"/>
      <c r="C19" s="34">
        <f>SUMIFS(Detailbuchungen!$F$4:$F$37,Detailbuchungen!$A$4:$A$37,"Auszahlung",Detailbuchungen!$B$4:$B$37,1,Detailbuchungen!$C$4:$C$37,$A19)</f>
        <v>0</v>
      </c>
      <c r="D19" s="34">
        <f>SUMIFS(Detailbuchungen!$F$4:$F$37,Detailbuchungen!$A$4:$A$37,"Auszahlung",Detailbuchungen!$B$4:$B$37,2,Detailbuchungen!$C$4:$C$37,$A19)</f>
        <v>0</v>
      </c>
      <c r="E19" s="34">
        <f>SUMIFS(Detailbuchungen!$F$4:$F$37,Detailbuchungen!$A$4:$A$37,"Auszahlung",Detailbuchungen!$B$4:$B$37,3,Detailbuchungen!$C$4:$C$37,$A19)</f>
        <v>7900</v>
      </c>
      <c r="F19" s="34">
        <f>SUMIFS(Detailbuchungen!$F$4:$F$37,Detailbuchungen!$A$4:$A$37,"Auszahlung",Detailbuchungen!$B$4:$B$37,4,Detailbuchungen!$C$4:$C$37,$A19)</f>
        <v>0</v>
      </c>
      <c r="G19" s="34">
        <f>SUMIFS(Detailbuchungen!$F$4:$F$37,Detailbuchungen!$A$4:$A$37,"Auszahlung",Detailbuchungen!$B$4:$B$37,5,Detailbuchungen!$C$4:$C$37,$A19)</f>
        <v>0</v>
      </c>
      <c r="H19" s="34">
        <f>SUMIFS(Detailbuchungen!$F$4:$F$37,Detailbuchungen!$A$4:$A$37,"Auszahlung",Detailbuchungen!$B$4:$B$37,6,Detailbuchungen!$C$4:$C$37,$A19)</f>
        <v>0</v>
      </c>
      <c r="I19" s="34">
        <f>SUMIFS(Detailbuchungen!$F$4:$F$37,Detailbuchungen!$A$4:$A$37,"Auszahlung",Detailbuchungen!$B$4:$B$37,7,Detailbuchungen!$C$4:$C$37,$A19)</f>
        <v>0</v>
      </c>
      <c r="J19" s="34">
        <f>SUMIFS(Detailbuchungen!$F$4:$F$37,Detailbuchungen!$A$4:$A$37,"Auszahlung",Detailbuchungen!$B$4:$B$37,8,Detailbuchungen!$C$4:$C$37,$A19)</f>
        <v>0</v>
      </c>
      <c r="K19" s="34">
        <f>SUMIFS(Detailbuchungen!$F$4:$F$37,Detailbuchungen!$A$4:$A$37,"Auszahlung",Detailbuchungen!$B$4:$B$37,9,Detailbuchungen!$C$4:$C$37,$A19)</f>
        <v>0</v>
      </c>
      <c r="L19" s="34">
        <f>SUMIFS(Detailbuchungen!$F$4:$F$37,Detailbuchungen!$A$4:$A$37,"Auszahlung",Detailbuchungen!$B$4:$B$37,10,Detailbuchungen!$C$4:$C$37,$A19)</f>
        <v>0</v>
      </c>
      <c r="M19" s="34">
        <f>SUMIFS(Detailbuchungen!$F$4:$F$37,Detailbuchungen!$A$4:$A$37,"Auszahlung",Detailbuchungen!$B$4:$B$37,11,Detailbuchungen!$C$4:$C$37,$A19)</f>
        <v>0</v>
      </c>
      <c r="N19" s="34">
        <f>SUMIFS(Detailbuchungen!$F$4:$F$37,Detailbuchungen!$A$4:$A$37,"Auszahlung",Detailbuchungen!$B$4:$B$37,12,Detailbuchungen!$C$4:$C$37,$A19)</f>
        <v>0</v>
      </c>
      <c r="O19" s="34">
        <f>SUMIFS(Detailbuchungen!$F$4:$F$37,Detailbuchungen!$A$4:$A$37,"Auszahlung",Detailbuchungen!$B$4:$B$37,13,Detailbuchungen!$C$4:$C$37,$A19)</f>
        <v>0</v>
      </c>
    </row>
    <row r="20" spans="1:15" x14ac:dyDescent="0.25">
      <c r="A20" s="32" t="s">
        <v>18</v>
      </c>
      <c r="B20" s="33"/>
      <c r="C20" s="34">
        <f>SUMIFS(Detailbuchungen!$F$4:$F$37,Detailbuchungen!$A$4:$A$37,"Auszahlung",Detailbuchungen!$B$4:$B$37,1,Detailbuchungen!$C$4:$C$37,$A20)</f>
        <v>0</v>
      </c>
      <c r="D20" s="34">
        <f>SUMIFS(Detailbuchungen!$F$4:$F$37,Detailbuchungen!$A$4:$A$37,"Auszahlung",Detailbuchungen!$B$4:$B$37,2,Detailbuchungen!$C$4:$C$37,$A20)</f>
        <v>6400</v>
      </c>
      <c r="E20" s="34">
        <f>SUMIFS(Detailbuchungen!$F$4:$F$37,Detailbuchungen!$A$4:$A$37,"Auszahlung",Detailbuchungen!$B$4:$B$37,3,Detailbuchungen!$C$4:$C$37,$A20)</f>
        <v>0</v>
      </c>
      <c r="F20" s="34">
        <f>SUMIFS(Detailbuchungen!$F$4:$F$37,Detailbuchungen!$A$4:$A$37,"Auszahlung",Detailbuchungen!$B$4:$B$37,4,Detailbuchungen!$C$4:$C$37,$A20)</f>
        <v>0</v>
      </c>
      <c r="G20" s="34">
        <f>SUMIFS(Detailbuchungen!$F$4:$F$37,Detailbuchungen!$A$4:$A$37,"Auszahlung",Detailbuchungen!$B$4:$B$37,5,Detailbuchungen!$C$4:$C$37,$A20)</f>
        <v>0</v>
      </c>
      <c r="H20" s="34">
        <f>SUMIFS(Detailbuchungen!$F$4:$F$37,Detailbuchungen!$A$4:$A$37,"Auszahlung",Detailbuchungen!$B$4:$B$37,6,Detailbuchungen!$C$4:$C$37,$A20)</f>
        <v>0</v>
      </c>
      <c r="I20" s="34">
        <f>SUMIFS(Detailbuchungen!$F$4:$F$37,Detailbuchungen!$A$4:$A$37,"Auszahlung",Detailbuchungen!$B$4:$B$37,7,Detailbuchungen!$C$4:$C$37,$A20)</f>
        <v>0</v>
      </c>
      <c r="J20" s="34">
        <f>SUMIFS(Detailbuchungen!$F$4:$F$37,Detailbuchungen!$A$4:$A$37,"Auszahlung",Detailbuchungen!$B$4:$B$37,8,Detailbuchungen!$C$4:$C$37,$A20)</f>
        <v>0</v>
      </c>
      <c r="K20" s="34">
        <f>SUMIFS(Detailbuchungen!$F$4:$F$37,Detailbuchungen!$A$4:$A$37,"Auszahlung",Detailbuchungen!$B$4:$B$37,9,Detailbuchungen!$C$4:$C$37,$A20)</f>
        <v>0</v>
      </c>
      <c r="L20" s="34">
        <f>SUMIFS(Detailbuchungen!$F$4:$F$37,Detailbuchungen!$A$4:$A$37,"Auszahlung",Detailbuchungen!$B$4:$B$37,10,Detailbuchungen!$C$4:$C$37,$A20)</f>
        <v>0</v>
      </c>
      <c r="M20" s="34">
        <f>SUMIFS(Detailbuchungen!$F$4:$F$37,Detailbuchungen!$A$4:$A$37,"Auszahlung",Detailbuchungen!$B$4:$B$37,11,Detailbuchungen!$C$4:$C$37,$A20)</f>
        <v>0</v>
      </c>
      <c r="N20" s="34">
        <f>SUMIFS(Detailbuchungen!$F$4:$F$37,Detailbuchungen!$A$4:$A$37,"Auszahlung",Detailbuchungen!$B$4:$B$37,12,Detailbuchungen!$C$4:$C$37,$A20)</f>
        <v>0</v>
      </c>
      <c r="O20" s="34">
        <f>SUMIFS(Detailbuchungen!$F$4:$F$37,Detailbuchungen!$A$4:$A$37,"Auszahlung",Detailbuchungen!$B$4:$B$37,13,Detailbuchungen!$C$4:$C$37,$A20)</f>
        <v>0</v>
      </c>
    </row>
    <row r="21" spans="1:15" x14ac:dyDescent="0.25">
      <c r="A21" s="32" t="s">
        <v>19</v>
      </c>
      <c r="B21" s="33"/>
      <c r="C21" s="34">
        <f>SUMIFS(Detailbuchungen!$F$4:$F$37,Detailbuchungen!$A$4:$A$37,"Auszahlung",Detailbuchungen!$B$4:$B$37,1,Detailbuchungen!$C$4:$C$37,$A21)</f>
        <v>0</v>
      </c>
      <c r="D21" s="34">
        <f>SUMIFS(Detailbuchungen!$F$4:$F$37,Detailbuchungen!$A$4:$A$37,"Auszahlung",Detailbuchungen!$B$4:$B$37,2,Detailbuchungen!$C$4:$C$37,$A21)</f>
        <v>0</v>
      </c>
      <c r="E21" s="34">
        <f>SUMIFS(Detailbuchungen!$F$4:$F$37,Detailbuchungen!$A$4:$A$37,"Auszahlung",Detailbuchungen!$B$4:$B$37,3,Detailbuchungen!$C$4:$C$37,$A21)</f>
        <v>0</v>
      </c>
      <c r="F21" s="34">
        <f>SUMIFS(Detailbuchungen!$F$4:$F$37,Detailbuchungen!$A$4:$A$37,"Auszahlung",Detailbuchungen!$B$4:$B$37,4,Detailbuchungen!$C$4:$C$37,$A21)</f>
        <v>0</v>
      </c>
      <c r="G21" s="34">
        <f>SUMIFS(Detailbuchungen!$F$4:$F$37,Detailbuchungen!$A$4:$A$37,"Auszahlung",Detailbuchungen!$B$4:$B$37,5,Detailbuchungen!$C$4:$C$37,$A21)</f>
        <v>0</v>
      </c>
      <c r="H21" s="34">
        <f>SUMIFS(Detailbuchungen!$F$4:$F$37,Detailbuchungen!$A$4:$A$37,"Auszahlung",Detailbuchungen!$B$4:$B$37,6,Detailbuchungen!$C$4:$C$37,$A21)</f>
        <v>0</v>
      </c>
      <c r="I21" s="34">
        <f>SUMIFS(Detailbuchungen!$F$4:$F$37,Detailbuchungen!$A$4:$A$37,"Auszahlung",Detailbuchungen!$B$4:$B$37,7,Detailbuchungen!$C$4:$C$37,$A21)</f>
        <v>0</v>
      </c>
      <c r="J21" s="34">
        <f>SUMIFS(Detailbuchungen!$F$4:$F$37,Detailbuchungen!$A$4:$A$37,"Auszahlung",Detailbuchungen!$B$4:$B$37,8,Detailbuchungen!$C$4:$C$37,$A21)</f>
        <v>0</v>
      </c>
      <c r="K21" s="34">
        <f>SUMIFS(Detailbuchungen!$F$4:$F$37,Detailbuchungen!$A$4:$A$37,"Auszahlung",Detailbuchungen!$B$4:$B$37,9,Detailbuchungen!$C$4:$C$37,$A21)</f>
        <v>0</v>
      </c>
      <c r="L21" s="34">
        <f>SUMIFS(Detailbuchungen!$F$4:$F$37,Detailbuchungen!$A$4:$A$37,"Auszahlung",Detailbuchungen!$B$4:$B$37,10,Detailbuchungen!$C$4:$C$37,$A21)</f>
        <v>0</v>
      </c>
      <c r="M21" s="34">
        <f>SUMIFS(Detailbuchungen!$F$4:$F$37,Detailbuchungen!$A$4:$A$37,"Auszahlung",Detailbuchungen!$B$4:$B$37,11,Detailbuchungen!$C$4:$C$37,$A21)</f>
        <v>0</v>
      </c>
      <c r="N21" s="34">
        <f>SUMIFS(Detailbuchungen!$F$4:$F$37,Detailbuchungen!$A$4:$A$37,"Auszahlung",Detailbuchungen!$B$4:$B$37,12,Detailbuchungen!$C$4:$C$37,$A21)</f>
        <v>0</v>
      </c>
      <c r="O21" s="34">
        <f>SUMIFS(Detailbuchungen!$F$4:$F$37,Detailbuchungen!$A$4:$A$37,"Auszahlung",Detailbuchungen!$B$4:$B$37,13,Detailbuchungen!$C$4:$C$37,$A21)</f>
        <v>0</v>
      </c>
    </row>
    <row r="22" spans="1:15" x14ac:dyDescent="0.25">
      <c r="A22" s="32" t="s">
        <v>20</v>
      </c>
      <c r="B22" s="33"/>
      <c r="C22" s="34">
        <f>SUMIFS(Detailbuchungen!$F$4:$F$37,Detailbuchungen!$A$4:$A$37,"Auszahlung",Detailbuchungen!$B$4:$B$37,1,Detailbuchungen!$C$4:$C$37,$A22)</f>
        <v>0</v>
      </c>
      <c r="D22" s="34">
        <f>SUMIFS(Detailbuchungen!$F$4:$F$37,Detailbuchungen!$A$4:$A$37,"Auszahlung",Detailbuchungen!$B$4:$B$37,2,Detailbuchungen!$C$4:$C$37,$A22)</f>
        <v>0</v>
      </c>
      <c r="E22" s="34">
        <f>SUMIFS(Detailbuchungen!$F$4:$F$37,Detailbuchungen!$A$4:$A$37,"Auszahlung",Detailbuchungen!$B$4:$B$37,3,Detailbuchungen!$C$4:$C$37,$A22)</f>
        <v>0</v>
      </c>
      <c r="F22" s="34">
        <f>SUMIFS(Detailbuchungen!$F$4:$F$37,Detailbuchungen!$A$4:$A$37,"Auszahlung",Detailbuchungen!$B$4:$B$37,4,Detailbuchungen!$C$4:$C$37,$A22)</f>
        <v>0</v>
      </c>
      <c r="G22" s="34">
        <f>SUMIFS(Detailbuchungen!$F$4:$F$37,Detailbuchungen!$A$4:$A$37,"Auszahlung",Detailbuchungen!$B$4:$B$37,5,Detailbuchungen!$C$4:$C$37,$A22)</f>
        <v>1850</v>
      </c>
      <c r="H22" s="34">
        <f>SUMIFS(Detailbuchungen!$F$4:$F$37,Detailbuchungen!$A$4:$A$37,"Auszahlung",Detailbuchungen!$B$4:$B$37,6,Detailbuchungen!$C$4:$C$37,$A22)</f>
        <v>0</v>
      </c>
      <c r="I22" s="34">
        <f>SUMIFS(Detailbuchungen!$F$4:$F$37,Detailbuchungen!$A$4:$A$37,"Auszahlung",Detailbuchungen!$B$4:$B$37,7,Detailbuchungen!$C$4:$C$37,$A22)</f>
        <v>0</v>
      </c>
      <c r="J22" s="34">
        <f>SUMIFS(Detailbuchungen!$F$4:$F$37,Detailbuchungen!$A$4:$A$37,"Auszahlung",Detailbuchungen!$B$4:$B$37,8,Detailbuchungen!$C$4:$C$37,$A22)</f>
        <v>0</v>
      </c>
      <c r="K22" s="34">
        <f>SUMIFS(Detailbuchungen!$F$4:$F$37,Detailbuchungen!$A$4:$A$37,"Auszahlung",Detailbuchungen!$B$4:$B$37,9,Detailbuchungen!$C$4:$C$37,$A22)</f>
        <v>0</v>
      </c>
      <c r="L22" s="34">
        <f>SUMIFS(Detailbuchungen!$F$4:$F$37,Detailbuchungen!$A$4:$A$37,"Auszahlung",Detailbuchungen!$B$4:$B$37,10,Detailbuchungen!$C$4:$C$37,$A22)</f>
        <v>0</v>
      </c>
      <c r="M22" s="34">
        <f>SUMIFS(Detailbuchungen!$F$4:$F$37,Detailbuchungen!$A$4:$A$37,"Auszahlung",Detailbuchungen!$B$4:$B$37,11,Detailbuchungen!$C$4:$C$37,$A22)</f>
        <v>0</v>
      </c>
      <c r="N22" s="34">
        <f>SUMIFS(Detailbuchungen!$F$4:$F$37,Detailbuchungen!$A$4:$A$37,"Auszahlung",Detailbuchungen!$B$4:$B$37,12,Detailbuchungen!$C$4:$C$37,$A22)</f>
        <v>0</v>
      </c>
      <c r="O22" s="34">
        <f>SUMIFS(Detailbuchungen!$F$4:$F$37,Detailbuchungen!$A$4:$A$37,"Auszahlung",Detailbuchungen!$B$4:$B$37,13,Detailbuchungen!$C$4:$C$37,$A22)</f>
        <v>0</v>
      </c>
    </row>
    <row r="23" spans="1:15" x14ac:dyDescent="0.25">
      <c r="A23" s="32" t="s">
        <v>21</v>
      </c>
      <c r="B23" s="33"/>
      <c r="C23" s="34">
        <f>SUMIFS(Detailbuchungen!$F$4:$F$37,Detailbuchungen!$A$4:$A$37,"Auszahlung",Detailbuchungen!$B$4:$B$37,1,Detailbuchungen!$C$4:$C$37,$A23)</f>
        <v>0</v>
      </c>
      <c r="D23" s="34">
        <f>SUMIFS(Detailbuchungen!$F$4:$F$37,Detailbuchungen!$A$4:$A$37,"Auszahlung",Detailbuchungen!$B$4:$B$37,2,Detailbuchungen!$C$4:$C$37,$A23)</f>
        <v>0</v>
      </c>
      <c r="E23" s="34">
        <f>SUMIFS(Detailbuchungen!$F$4:$F$37,Detailbuchungen!$A$4:$A$37,"Auszahlung",Detailbuchungen!$B$4:$B$37,3,Detailbuchungen!$C$4:$C$37,$A23)</f>
        <v>0</v>
      </c>
      <c r="F23" s="34">
        <f>SUMIFS(Detailbuchungen!$F$4:$F$37,Detailbuchungen!$A$4:$A$37,"Auszahlung",Detailbuchungen!$B$4:$B$37,4,Detailbuchungen!$C$4:$C$37,$A23)</f>
        <v>0</v>
      </c>
      <c r="G23" s="34">
        <f>SUMIFS(Detailbuchungen!$F$4:$F$37,Detailbuchungen!$A$4:$A$37,"Auszahlung",Detailbuchungen!$B$4:$B$37,5,Detailbuchungen!$C$4:$C$37,$A23)</f>
        <v>0</v>
      </c>
      <c r="H23" s="34">
        <f>SUMIFS(Detailbuchungen!$F$4:$F$37,Detailbuchungen!$A$4:$A$37,"Auszahlung",Detailbuchungen!$B$4:$B$37,6,Detailbuchungen!$C$4:$C$37,$A23)</f>
        <v>3400</v>
      </c>
      <c r="I23" s="34">
        <f>SUMIFS(Detailbuchungen!$F$4:$F$37,Detailbuchungen!$A$4:$A$37,"Auszahlung",Detailbuchungen!$B$4:$B$37,7,Detailbuchungen!$C$4:$C$37,$A23)</f>
        <v>0</v>
      </c>
      <c r="J23" s="34">
        <f>SUMIFS(Detailbuchungen!$F$4:$F$37,Detailbuchungen!$A$4:$A$37,"Auszahlung",Detailbuchungen!$B$4:$B$37,8,Detailbuchungen!$C$4:$C$37,$A23)</f>
        <v>0</v>
      </c>
      <c r="K23" s="34">
        <f>SUMIFS(Detailbuchungen!$F$4:$F$37,Detailbuchungen!$A$4:$A$37,"Auszahlung",Detailbuchungen!$B$4:$B$37,9,Detailbuchungen!$C$4:$C$37,$A23)</f>
        <v>0</v>
      </c>
      <c r="L23" s="34">
        <f>SUMIFS(Detailbuchungen!$F$4:$F$37,Detailbuchungen!$A$4:$A$37,"Auszahlung",Detailbuchungen!$B$4:$B$37,10,Detailbuchungen!$C$4:$C$37,$A23)</f>
        <v>0</v>
      </c>
      <c r="M23" s="34">
        <f>SUMIFS(Detailbuchungen!$F$4:$F$37,Detailbuchungen!$A$4:$A$37,"Auszahlung",Detailbuchungen!$B$4:$B$37,11,Detailbuchungen!$C$4:$C$37,$A23)</f>
        <v>0</v>
      </c>
      <c r="N23" s="34">
        <f>SUMIFS(Detailbuchungen!$F$4:$F$37,Detailbuchungen!$A$4:$A$37,"Auszahlung",Detailbuchungen!$B$4:$B$37,12,Detailbuchungen!$C$4:$C$37,$A23)</f>
        <v>0</v>
      </c>
      <c r="O23" s="34">
        <f>SUMIFS(Detailbuchungen!$F$4:$F$37,Detailbuchungen!$A$4:$A$37,"Auszahlung",Detailbuchungen!$B$4:$B$37,13,Detailbuchungen!$C$4:$C$37,$A23)</f>
        <v>0</v>
      </c>
    </row>
    <row r="24" spans="1:15" x14ac:dyDescent="0.25">
      <c r="A24" s="32" t="s">
        <v>22</v>
      </c>
      <c r="B24" s="33"/>
      <c r="C24" s="34">
        <f>SUMIFS(Detailbuchungen!$F$4:$F$37,Detailbuchungen!$A$4:$A$37,"Auszahlung",Detailbuchungen!$B$4:$B$37,1,Detailbuchungen!$C$4:$C$37,$A24)</f>
        <v>0</v>
      </c>
      <c r="D24" s="34">
        <f>SUMIFS(Detailbuchungen!$F$4:$F$37,Detailbuchungen!$A$4:$A$37,"Auszahlung",Detailbuchungen!$B$4:$B$37,2,Detailbuchungen!$C$4:$C$37,$A24)</f>
        <v>0</v>
      </c>
      <c r="E24" s="34">
        <f>SUMIFS(Detailbuchungen!$F$4:$F$37,Detailbuchungen!$A$4:$A$37,"Auszahlung",Detailbuchungen!$B$4:$B$37,3,Detailbuchungen!$C$4:$C$37,$A24)</f>
        <v>0</v>
      </c>
      <c r="F24" s="34">
        <f>SUMIFS(Detailbuchungen!$F$4:$F$37,Detailbuchungen!$A$4:$A$37,"Auszahlung",Detailbuchungen!$B$4:$B$37,4,Detailbuchungen!$C$4:$C$37,$A24)</f>
        <v>0</v>
      </c>
      <c r="G24" s="34">
        <f>SUMIFS(Detailbuchungen!$F$4:$F$37,Detailbuchungen!$A$4:$A$37,"Auszahlung",Detailbuchungen!$B$4:$B$37,5,Detailbuchungen!$C$4:$C$37,$A24)</f>
        <v>0</v>
      </c>
      <c r="H24" s="34">
        <f>SUMIFS(Detailbuchungen!$F$4:$F$37,Detailbuchungen!$A$4:$A$37,"Auszahlung",Detailbuchungen!$B$4:$B$37,6,Detailbuchungen!$C$4:$C$37,$A24)</f>
        <v>0</v>
      </c>
      <c r="I24" s="34">
        <f>SUMIFS(Detailbuchungen!$F$4:$F$37,Detailbuchungen!$A$4:$A$37,"Auszahlung",Detailbuchungen!$B$4:$B$37,7,Detailbuchungen!$C$4:$C$37,$A24)</f>
        <v>0</v>
      </c>
      <c r="J24" s="34">
        <f>SUMIFS(Detailbuchungen!$F$4:$F$37,Detailbuchungen!$A$4:$A$37,"Auszahlung",Detailbuchungen!$B$4:$B$37,8,Detailbuchungen!$C$4:$C$37,$A24)</f>
        <v>0</v>
      </c>
      <c r="K24" s="34">
        <f>SUMIFS(Detailbuchungen!$F$4:$F$37,Detailbuchungen!$A$4:$A$37,"Auszahlung",Detailbuchungen!$B$4:$B$37,9,Detailbuchungen!$C$4:$C$37,$A24)</f>
        <v>0</v>
      </c>
      <c r="L24" s="34">
        <f>SUMIFS(Detailbuchungen!$F$4:$F$37,Detailbuchungen!$A$4:$A$37,"Auszahlung",Detailbuchungen!$B$4:$B$37,10,Detailbuchungen!$C$4:$C$37,$A24)</f>
        <v>0</v>
      </c>
      <c r="M24" s="34">
        <f>SUMIFS(Detailbuchungen!$F$4:$F$37,Detailbuchungen!$A$4:$A$37,"Auszahlung",Detailbuchungen!$B$4:$B$37,11,Detailbuchungen!$C$4:$C$37,$A24)</f>
        <v>0</v>
      </c>
      <c r="N24" s="34">
        <f>SUMIFS(Detailbuchungen!$F$4:$F$37,Detailbuchungen!$A$4:$A$37,"Auszahlung",Detailbuchungen!$B$4:$B$37,12,Detailbuchungen!$C$4:$C$37,$A24)</f>
        <v>0</v>
      </c>
      <c r="O24" s="34">
        <f>SUMIFS(Detailbuchungen!$F$4:$F$37,Detailbuchungen!$A$4:$A$37,"Auszahlung",Detailbuchungen!$B$4:$B$37,13,Detailbuchungen!$C$4:$C$37,$A24)</f>
        <v>0</v>
      </c>
    </row>
    <row r="25" spans="1:15" x14ac:dyDescent="0.25">
      <c r="A25" s="32" t="s">
        <v>23</v>
      </c>
      <c r="B25" s="33"/>
      <c r="C25" s="34">
        <f>SUMIFS(Detailbuchungen!$F$4:$F$37,Detailbuchungen!$A$4:$A$37,"Auszahlung",Detailbuchungen!$B$4:$B$37,1,Detailbuchungen!$C$4:$C$37,$A25)</f>
        <v>0</v>
      </c>
      <c r="D25" s="34">
        <f>SUMIFS(Detailbuchungen!$F$4:$F$37,Detailbuchungen!$A$4:$A$37,"Auszahlung",Detailbuchungen!$B$4:$B$37,2,Detailbuchungen!$C$4:$C$37,$A25)</f>
        <v>0</v>
      </c>
      <c r="E25" s="34">
        <f>SUMIFS(Detailbuchungen!$F$4:$F$37,Detailbuchungen!$A$4:$A$37,"Auszahlung",Detailbuchungen!$B$4:$B$37,3,Detailbuchungen!$C$4:$C$37,$A25)</f>
        <v>0</v>
      </c>
      <c r="F25" s="34">
        <f>SUMIFS(Detailbuchungen!$F$4:$F$37,Detailbuchungen!$A$4:$A$37,"Auszahlung",Detailbuchungen!$B$4:$B$37,4,Detailbuchungen!$C$4:$C$37,$A25)</f>
        <v>0</v>
      </c>
      <c r="G25" s="34">
        <f>SUMIFS(Detailbuchungen!$F$4:$F$37,Detailbuchungen!$A$4:$A$37,"Auszahlung",Detailbuchungen!$B$4:$B$37,5,Detailbuchungen!$C$4:$C$37,$A25)</f>
        <v>33000</v>
      </c>
      <c r="H25" s="34">
        <f>SUMIFS(Detailbuchungen!$F$4:$F$37,Detailbuchungen!$A$4:$A$37,"Auszahlung",Detailbuchungen!$B$4:$B$37,6,Detailbuchungen!$C$4:$C$37,$A25)</f>
        <v>0</v>
      </c>
      <c r="I25" s="34">
        <f>SUMIFS(Detailbuchungen!$F$4:$F$37,Detailbuchungen!$A$4:$A$37,"Auszahlung",Detailbuchungen!$B$4:$B$37,7,Detailbuchungen!$C$4:$C$37,$A25)</f>
        <v>0</v>
      </c>
      <c r="J25" s="34">
        <f>SUMIFS(Detailbuchungen!$F$4:$F$37,Detailbuchungen!$A$4:$A$37,"Auszahlung",Detailbuchungen!$B$4:$B$37,8,Detailbuchungen!$C$4:$C$37,$A25)</f>
        <v>0</v>
      </c>
      <c r="K25" s="34">
        <f>SUMIFS(Detailbuchungen!$F$4:$F$37,Detailbuchungen!$A$4:$A$37,"Auszahlung",Detailbuchungen!$B$4:$B$37,9,Detailbuchungen!$C$4:$C$37,$A25)</f>
        <v>0</v>
      </c>
      <c r="L25" s="34">
        <f>SUMIFS(Detailbuchungen!$F$4:$F$37,Detailbuchungen!$A$4:$A$37,"Auszahlung",Detailbuchungen!$B$4:$B$37,10,Detailbuchungen!$C$4:$C$37,$A25)</f>
        <v>0</v>
      </c>
      <c r="M25" s="34">
        <f>SUMIFS(Detailbuchungen!$F$4:$F$37,Detailbuchungen!$A$4:$A$37,"Auszahlung",Detailbuchungen!$B$4:$B$37,11,Detailbuchungen!$C$4:$C$37,$A25)</f>
        <v>0</v>
      </c>
      <c r="N25" s="34">
        <f>SUMIFS(Detailbuchungen!$F$4:$F$37,Detailbuchungen!$A$4:$A$37,"Auszahlung",Detailbuchungen!$B$4:$B$37,12,Detailbuchungen!$C$4:$C$37,$A25)</f>
        <v>0</v>
      </c>
      <c r="O25" s="34">
        <f>SUMIFS(Detailbuchungen!$F$4:$F$37,Detailbuchungen!$A$4:$A$37,"Auszahlung",Detailbuchungen!$B$4:$B$37,13,Detailbuchungen!$C$4:$C$37,$A25)</f>
        <v>0</v>
      </c>
    </row>
    <row r="26" spans="1:15" x14ac:dyDescent="0.25">
      <c r="A26" s="35" t="s">
        <v>24</v>
      </c>
      <c r="B26" s="36"/>
      <c r="C26" s="37">
        <f t="shared" ref="C26:O26" si="2">SUM(C16:C25)</f>
        <v>13800</v>
      </c>
      <c r="D26" s="37">
        <f t="shared" si="2"/>
        <v>28200</v>
      </c>
      <c r="E26" s="37">
        <f t="shared" si="2"/>
        <v>7900</v>
      </c>
      <c r="F26" s="37">
        <f t="shared" si="2"/>
        <v>11200</v>
      </c>
      <c r="G26" s="37">
        <f t="shared" si="2"/>
        <v>34850</v>
      </c>
      <c r="H26" s="37">
        <f t="shared" si="2"/>
        <v>3400</v>
      </c>
      <c r="I26" s="37">
        <f t="shared" si="2"/>
        <v>0</v>
      </c>
      <c r="J26" s="37">
        <f t="shared" si="2"/>
        <v>0</v>
      </c>
      <c r="K26" s="37">
        <f t="shared" si="2"/>
        <v>0</v>
      </c>
      <c r="L26" s="37">
        <f t="shared" si="2"/>
        <v>0</v>
      </c>
      <c r="M26" s="37">
        <f t="shared" si="2"/>
        <v>0</v>
      </c>
      <c r="N26" s="37">
        <f t="shared" si="2"/>
        <v>0</v>
      </c>
      <c r="O26" s="37">
        <f t="shared" si="2"/>
        <v>0</v>
      </c>
    </row>
    <row r="27" spans="1:15" x14ac:dyDescent="0.25">
      <c r="A27" s="19" t="s">
        <v>25</v>
      </c>
      <c r="B27" s="20"/>
      <c r="C27" s="21">
        <f t="shared" ref="C27:O27" si="3">C14-C26</f>
        <v>7800</v>
      </c>
      <c r="D27" s="21">
        <f t="shared" si="3"/>
        <v>-15450</v>
      </c>
      <c r="E27" s="21">
        <f t="shared" si="3"/>
        <v>1400</v>
      </c>
      <c r="F27" s="21">
        <f t="shared" si="3"/>
        <v>-4700</v>
      </c>
      <c r="G27" s="21">
        <f t="shared" si="3"/>
        <v>-34850</v>
      </c>
      <c r="H27" s="21">
        <f t="shared" si="3"/>
        <v>12200</v>
      </c>
      <c r="I27" s="21">
        <f t="shared" si="3"/>
        <v>0</v>
      </c>
      <c r="J27" s="21">
        <f t="shared" si="3"/>
        <v>0</v>
      </c>
      <c r="K27" s="21">
        <f t="shared" si="3"/>
        <v>0</v>
      </c>
      <c r="L27" s="21">
        <f t="shared" si="3"/>
        <v>0</v>
      </c>
      <c r="M27" s="21">
        <f t="shared" si="3"/>
        <v>0</v>
      </c>
      <c r="N27" s="21">
        <f t="shared" si="3"/>
        <v>0</v>
      </c>
      <c r="O27" s="21">
        <f t="shared" si="3"/>
        <v>0</v>
      </c>
    </row>
    <row r="28" spans="1:15" x14ac:dyDescent="0.25">
      <c r="A28" s="38" t="s">
        <v>26</v>
      </c>
      <c r="B28" s="39"/>
      <c r="C28" s="40">
        <f t="shared" ref="C28:O28" si="4">C6+C27</f>
        <v>58800</v>
      </c>
      <c r="D28" s="40">
        <f t="shared" si="4"/>
        <v>43350</v>
      </c>
      <c r="E28" s="40">
        <f t="shared" si="4"/>
        <v>44750</v>
      </c>
      <c r="F28" s="40">
        <f t="shared" si="4"/>
        <v>40050</v>
      </c>
      <c r="G28" s="40">
        <f t="shared" si="4"/>
        <v>5200</v>
      </c>
      <c r="H28" s="40">
        <f t="shared" si="4"/>
        <v>17400</v>
      </c>
      <c r="I28" s="40">
        <f t="shared" si="4"/>
        <v>17400</v>
      </c>
      <c r="J28" s="40">
        <f t="shared" si="4"/>
        <v>17400</v>
      </c>
      <c r="K28" s="40">
        <f t="shared" si="4"/>
        <v>17400</v>
      </c>
      <c r="L28" s="40">
        <f t="shared" si="4"/>
        <v>17400</v>
      </c>
      <c r="M28" s="40">
        <f t="shared" si="4"/>
        <v>17400</v>
      </c>
      <c r="N28" s="40">
        <f t="shared" si="4"/>
        <v>17400</v>
      </c>
      <c r="O28" s="40">
        <f t="shared" si="4"/>
        <v>17400</v>
      </c>
    </row>
    <row r="29" spans="1:15" x14ac:dyDescent="0.25">
      <c r="A29" s="41" t="s">
        <v>27</v>
      </c>
      <c r="B29" s="42"/>
      <c r="C29" s="43">
        <f>C28+Einstellungen!$D$10</f>
        <v>118800</v>
      </c>
      <c r="D29" s="43">
        <f>D28+Einstellungen!$D$10</f>
        <v>103350</v>
      </c>
      <c r="E29" s="43">
        <f>E28+Einstellungen!$D$10</f>
        <v>104750</v>
      </c>
      <c r="F29" s="43">
        <f>F28+Einstellungen!$D$10</f>
        <v>100050</v>
      </c>
      <c r="G29" s="43">
        <f>G28+Einstellungen!$D$10</f>
        <v>65200</v>
      </c>
      <c r="H29" s="43">
        <f>H28+Einstellungen!$D$10</f>
        <v>77400</v>
      </c>
      <c r="I29" s="43">
        <f>I28+Einstellungen!$D$10</f>
        <v>77400</v>
      </c>
      <c r="J29" s="43">
        <f>J28+Einstellungen!$D$10</f>
        <v>77400</v>
      </c>
      <c r="K29" s="43">
        <f>K28+Einstellungen!$D$10</f>
        <v>77400</v>
      </c>
      <c r="L29" s="43">
        <f>L28+Einstellungen!$D$10</f>
        <v>77400</v>
      </c>
      <c r="M29" s="43">
        <f>M28+Einstellungen!$D$10</f>
        <v>77400</v>
      </c>
      <c r="N29" s="43">
        <f>N28+Einstellungen!$D$10</f>
        <v>77400</v>
      </c>
      <c r="O29" s="43">
        <f>O28+Einstellungen!$D$10</f>
        <v>77400</v>
      </c>
    </row>
    <row r="30" spans="1:15" x14ac:dyDescent="0.25">
      <c r="A30" s="19" t="s">
        <v>28</v>
      </c>
      <c r="B30" s="20"/>
      <c r="C30" s="44" t="str">
        <f>IF(C28&lt;0,"KRITISCH",IF(C28&lt;Einstellungen!$D$11,"WARNUNG","OK"))</f>
        <v>OK</v>
      </c>
      <c r="D30" s="44" t="str">
        <f>IF(D28&lt;0,"KRITISCH",IF(D28&lt;Einstellungen!$D$11,"WARNUNG","OK"))</f>
        <v>OK</v>
      </c>
      <c r="E30" s="44" t="str">
        <f>IF(E28&lt;0,"KRITISCH",IF(E28&lt;Einstellungen!$D$11,"WARNUNG","OK"))</f>
        <v>OK</v>
      </c>
      <c r="F30" s="44" t="str">
        <f>IF(F28&lt;0,"KRITISCH",IF(F28&lt;Einstellungen!$D$11,"WARNUNG","OK"))</f>
        <v>OK</v>
      </c>
      <c r="G30" s="44" t="str">
        <f>IF(G28&lt;0,"KRITISCH",IF(G28&lt;Einstellungen!$D$11,"WARNUNG","OK"))</f>
        <v>WARNUNG</v>
      </c>
      <c r="H30" s="44" t="str">
        <f>IF(H28&lt;0,"KRITISCH",IF(H28&lt;Einstellungen!$D$11,"WARNUNG","OK"))</f>
        <v>OK</v>
      </c>
      <c r="I30" s="44" t="str">
        <f>IF(I28&lt;0,"KRITISCH",IF(I28&lt;Einstellungen!$D$11,"WARNUNG","OK"))</f>
        <v>OK</v>
      </c>
      <c r="J30" s="44" t="str">
        <f>IF(J28&lt;0,"KRITISCH",IF(J28&lt;Einstellungen!$D$11,"WARNUNG","OK"))</f>
        <v>OK</v>
      </c>
      <c r="K30" s="44" t="str">
        <f>IF(K28&lt;0,"KRITISCH",IF(K28&lt;Einstellungen!$D$11,"WARNUNG","OK"))</f>
        <v>OK</v>
      </c>
      <c r="L30" s="44" t="str">
        <f>IF(L28&lt;0,"KRITISCH",IF(L28&lt;Einstellungen!$D$11,"WARNUNG","OK"))</f>
        <v>OK</v>
      </c>
      <c r="M30" s="44" t="str">
        <f>IF(M28&lt;0,"KRITISCH",IF(M28&lt;Einstellungen!$D$11,"WARNUNG","OK"))</f>
        <v>OK</v>
      </c>
      <c r="N30" s="44" t="str">
        <f>IF(N28&lt;0,"KRITISCH",IF(N28&lt;Einstellungen!$D$11,"WARNUNG","OK"))</f>
        <v>OK</v>
      </c>
      <c r="O30" s="44" t="str">
        <f>IF(O28&lt;0,"KRITISCH",IF(O28&lt;Einstellungen!$D$11,"WARNUNG","OK"))</f>
        <v>OK</v>
      </c>
    </row>
    <row r="32" spans="1:15" ht="15.75" x14ac:dyDescent="0.25">
      <c r="A32" s="11" t="s">
        <v>29</v>
      </c>
      <c r="B32" s="11"/>
    </row>
    <row r="33" spans="1:5" x14ac:dyDescent="0.25">
      <c r="A33" s="10" t="s">
        <v>12</v>
      </c>
      <c r="B33" s="10"/>
      <c r="C33" s="9">
        <f>SUM(C14:O14)</f>
        <v>65750</v>
      </c>
      <c r="D33" s="9"/>
      <c r="E33" s="9"/>
    </row>
    <row r="34" spans="1:5" x14ac:dyDescent="0.25">
      <c r="A34" s="8" t="s">
        <v>24</v>
      </c>
      <c r="B34" s="8"/>
      <c r="C34" s="7">
        <f>SUM(C26:O26)</f>
        <v>99350</v>
      </c>
      <c r="D34" s="7"/>
      <c r="E34" s="7"/>
    </row>
    <row r="35" spans="1:5" x14ac:dyDescent="0.25">
      <c r="A35" s="10" t="s">
        <v>30</v>
      </c>
      <c r="B35" s="10"/>
      <c r="C35" s="9">
        <f>SUM(C27:O27)</f>
        <v>-33600</v>
      </c>
      <c r="D35" s="9"/>
      <c r="E35" s="9"/>
    </row>
    <row r="36" spans="1:5" x14ac:dyDescent="0.25">
      <c r="A36" s="8" t="s">
        <v>31</v>
      </c>
      <c r="B36" s="8"/>
      <c r="C36" s="7">
        <f>MIN(C28:O28)</f>
        <v>5200</v>
      </c>
      <c r="D36" s="7"/>
      <c r="E36" s="7"/>
    </row>
    <row r="37" spans="1:5" x14ac:dyDescent="0.25">
      <c r="A37" s="10" t="s">
        <v>32</v>
      </c>
      <c r="B37" s="10"/>
      <c r="C37" s="9">
        <f>MAX(C28:O28)</f>
        <v>58800</v>
      </c>
      <c r="D37" s="9"/>
      <c r="E37" s="9"/>
    </row>
    <row r="38" spans="1:5" x14ac:dyDescent="0.25">
      <c r="A38" s="8" t="s">
        <v>33</v>
      </c>
      <c r="B38" s="8"/>
      <c r="C38" s="6">
        <f>COUNTIF(C30:O30,"WARNUNG")+COUNTIF(C30:O30,"KRITISCH")</f>
        <v>1</v>
      </c>
      <c r="D38" s="6"/>
      <c r="E38" s="6"/>
    </row>
  </sheetData>
  <mergeCells count="16">
    <mergeCell ref="A37:B37"/>
    <mergeCell ref="C37:E37"/>
    <mergeCell ref="A38:B38"/>
    <mergeCell ref="C38:E38"/>
    <mergeCell ref="A34:B34"/>
    <mergeCell ref="C34:E34"/>
    <mergeCell ref="A35:B35"/>
    <mergeCell ref="C35:E35"/>
    <mergeCell ref="A36:B36"/>
    <mergeCell ref="C36:E36"/>
    <mergeCell ref="A1:O1"/>
    <mergeCell ref="A2:O2"/>
    <mergeCell ref="A5:B5"/>
    <mergeCell ref="A32:B32"/>
    <mergeCell ref="A33:B33"/>
    <mergeCell ref="C33:E33"/>
  </mergeCells>
  <conditionalFormatting sqref="C28:O28">
    <cfRule type="cellIs" dxfId="4" priority="5" operator="lessThan">
      <formula>0</formula>
    </cfRule>
  </conditionalFormatting>
  <conditionalFormatting sqref="C30:O30">
    <cfRule type="cellIs" dxfId="2" priority="2" operator="equal">
      <formula>"OK"</formula>
    </cfRule>
    <cfRule type="cellIs" dxfId="1" priority="3" operator="equal">
      <formula>"WARNUNG"</formula>
    </cfRule>
    <cfRule type="cellIs" dxfId="0" priority="4" operator="equal">
      <formula>"KRITISCH"</formula>
    </cfRule>
  </conditionalFormatting>
  <pageMargins left="0.75" right="0.75" top="1" bottom="1" header="0.511811023622047" footer="0.511811023622047"/>
  <pageSetup fitToHeight="0" orientation="landscape" horizontalDpi="300" verticalDpi="300"/>
  <drawing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id="{00000000-000E-0000-0000-000006000000}">
            <xm:f>AND(C28&gt;=0,C28&lt;Einstellungen!$D$11)</xm:f>
            <x14:dxf>
              <fill>
                <patternFill>
                  <bgColor rgb="FFFCEFD0"/>
                </patternFill>
              </fill>
            </x14:dxf>
          </x14:cfRule>
          <xm:sqref>C28:O28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6"/>
  <sheetViews>
    <sheetView showGridLines="0" zoomScaleNormal="100" workbookViewId="0">
      <pane ySplit="3" topLeftCell="A4" activePane="bottomLeft" state="frozen"/>
      <selection pane="bottomLeft"/>
    </sheetView>
  </sheetViews>
  <sheetFormatPr baseColWidth="10" defaultColWidth="8.7109375" defaultRowHeight="15" x14ac:dyDescent="0.25"/>
  <cols>
    <col min="1" max="1" width="13" customWidth="1"/>
    <col min="2" max="2" width="6" customWidth="1"/>
    <col min="3" max="3" width="22" customWidth="1"/>
    <col min="4" max="4" width="30" customWidth="1"/>
    <col min="5" max="5" width="24" customWidth="1"/>
    <col min="6" max="6" width="15" customWidth="1"/>
  </cols>
  <sheetData>
    <row r="1" spans="1:6" ht="27.75" customHeight="1" x14ac:dyDescent="0.25">
      <c r="A1" s="5" t="s">
        <v>34</v>
      </c>
      <c r="B1" s="5"/>
      <c r="C1" s="5"/>
      <c r="D1" s="5"/>
      <c r="E1" s="5"/>
      <c r="F1" s="5"/>
    </row>
    <row r="2" spans="1:6" x14ac:dyDescent="0.25">
      <c r="A2" s="13" t="s">
        <v>35</v>
      </c>
      <c r="B2" s="13"/>
      <c r="C2" s="13"/>
      <c r="D2" s="13"/>
      <c r="E2" s="13"/>
      <c r="F2" s="13"/>
    </row>
    <row r="3" spans="1:6" ht="21.75" customHeight="1" x14ac:dyDescent="0.25">
      <c r="A3" s="45" t="s">
        <v>36</v>
      </c>
      <c r="B3" s="45" t="s">
        <v>37</v>
      </c>
      <c r="C3" s="45" t="s">
        <v>38</v>
      </c>
      <c r="D3" s="45" t="s">
        <v>39</v>
      </c>
      <c r="E3" s="45" t="s">
        <v>40</v>
      </c>
      <c r="F3" s="45" t="s">
        <v>41</v>
      </c>
    </row>
    <row r="4" spans="1:6" x14ac:dyDescent="0.25">
      <c r="A4" s="46" t="s">
        <v>42</v>
      </c>
      <c r="B4" s="46">
        <v>1</v>
      </c>
      <c r="C4" s="47" t="s">
        <v>6</v>
      </c>
      <c r="D4" s="47" t="s">
        <v>43</v>
      </c>
      <c r="E4" s="47" t="s">
        <v>44</v>
      </c>
      <c r="F4" s="48">
        <v>18400</v>
      </c>
    </row>
    <row r="5" spans="1:6" x14ac:dyDescent="0.25">
      <c r="A5" s="49" t="s">
        <v>42</v>
      </c>
      <c r="B5" s="49">
        <v>1</v>
      </c>
      <c r="C5" s="50" t="s">
        <v>7</v>
      </c>
      <c r="D5" s="50" t="s">
        <v>45</v>
      </c>
      <c r="E5" s="50" t="s">
        <v>46</v>
      </c>
      <c r="F5" s="51">
        <v>3200</v>
      </c>
    </row>
    <row r="6" spans="1:6" x14ac:dyDescent="0.25">
      <c r="A6" s="46" t="s">
        <v>47</v>
      </c>
      <c r="B6" s="46">
        <v>1</v>
      </c>
      <c r="C6" s="47" t="s">
        <v>14</v>
      </c>
      <c r="D6" s="47" t="s">
        <v>48</v>
      </c>
      <c r="E6" s="47" t="s">
        <v>49</v>
      </c>
      <c r="F6" s="48">
        <v>9600</v>
      </c>
    </row>
    <row r="7" spans="1:6" x14ac:dyDescent="0.25">
      <c r="A7" s="49" t="s">
        <v>47</v>
      </c>
      <c r="B7" s="49">
        <v>1</v>
      </c>
      <c r="C7" s="50" t="s">
        <v>16</v>
      </c>
      <c r="D7" s="50" t="s">
        <v>50</v>
      </c>
      <c r="E7" s="50" t="s">
        <v>51</v>
      </c>
      <c r="F7" s="51">
        <v>4200</v>
      </c>
    </row>
    <row r="8" spans="1:6" x14ac:dyDescent="0.25">
      <c r="A8" s="46" t="s">
        <v>42</v>
      </c>
      <c r="B8" s="46">
        <v>2</v>
      </c>
      <c r="C8" s="47" t="s">
        <v>6</v>
      </c>
      <c r="D8" s="47" t="s">
        <v>52</v>
      </c>
      <c r="E8" s="47" t="s">
        <v>53</v>
      </c>
      <c r="F8" s="48">
        <v>12750</v>
      </c>
    </row>
    <row r="9" spans="1:6" x14ac:dyDescent="0.25">
      <c r="A9" s="49" t="s">
        <v>47</v>
      </c>
      <c r="B9" s="49">
        <v>2</v>
      </c>
      <c r="C9" s="50" t="s">
        <v>15</v>
      </c>
      <c r="D9" s="50" t="s">
        <v>54</v>
      </c>
      <c r="E9" s="50" t="s">
        <v>55</v>
      </c>
      <c r="F9" s="51">
        <v>21800</v>
      </c>
    </row>
    <row r="10" spans="1:6" x14ac:dyDescent="0.25">
      <c r="A10" s="46" t="s">
        <v>47</v>
      </c>
      <c r="B10" s="46">
        <v>2</v>
      </c>
      <c r="C10" s="47" t="s">
        <v>18</v>
      </c>
      <c r="D10" s="47" t="s">
        <v>56</v>
      </c>
      <c r="E10" s="47" t="s">
        <v>57</v>
      </c>
      <c r="F10" s="48">
        <v>6400</v>
      </c>
    </row>
    <row r="11" spans="1:6" x14ac:dyDescent="0.25">
      <c r="A11" s="49" t="s">
        <v>47</v>
      </c>
      <c r="B11" s="49">
        <v>3</v>
      </c>
      <c r="C11" s="50" t="s">
        <v>17</v>
      </c>
      <c r="D11" s="50" t="s">
        <v>58</v>
      </c>
      <c r="E11" s="50" t="s">
        <v>59</v>
      </c>
      <c r="F11" s="51">
        <v>7900</v>
      </c>
    </row>
    <row r="12" spans="1:6" x14ac:dyDescent="0.25">
      <c r="A12" s="46" t="s">
        <v>42</v>
      </c>
      <c r="B12" s="46">
        <v>3</v>
      </c>
      <c r="C12" s="47" t="s">
        <v>6</v>
      </c>
      <c r="D12" s="47" t="s">
        <v>60</v>
      </c>
      <c r="E12" s="47" t="s">
        <v>61</v>
      </c>
      <c r="F12" s="48">
        <v>9300</v>
      </c>
    </row>
    <row r="13" spans="1:6" x14ac:dyDescent="0.25">
      <c r="A13" s="49" t="s">
        <v>47</v>
      </c>
      <c r="B13" s="49">
        <v>4</v>
      </c>
      <c r="C13" s="50" t="s">
        <v>14</v>
      </c>
      <c r="D13" s="50" t="s">
        <v>62</v>
      </c>
      <c r="E13" s="50" t="s">
        <v>63</v>
      </c>
      <c r="F13" s="51">
        <v>11200</v>
      </c>
    </row>
    <row r="14" spans="1:6" x14ac:dyDescent="0.25">
      <c r="A14" s="46" t="s">
        <v>42</v>
      </c>
      <c r="B14" s="46">
        <v>4</v>
      </c>
      <c r="C14" s="47" t="s">
        <v>8</v>
      </c>
      <c r="D14" s="47" t="s">
        <v>64</v>
      </c>
      <c r="E14" s="47" t="s">
        <v>65</v>
      </c>
      <c r="F14" s="48">
        <v>6500</v>
      </c>
    </row>
    <row r="15" spans="1:6" x14ac:dyDescent="0.25">
      <c r="A15" s="49" t="s">
        <v>47</v>
      </c>
      <c r="B15" s="49">
        <v>5</v>
      </c>
      <c r="C15" s="50" t="s">
        <v>20</v>
      </c>
      <c r="D15" s="50" t="s">
        <v>66</v>
      </c>
      <c r="E15" s="50" t="s">
        <v>67</v>
      </c>
      <c r="F15" s="51">
        <v>1850</v>
      </c>
    </row>
    <row r="16" spans="1:6" x14ac:dyDescent="0.25">
      <c r="A16" s="46" t="s">
        <v>47</v>
      </c>
      <c r="B16" s="46">
        <v>5</v>
      </c>
      <c r="C16" s="47" t="s">
        <v>23</v>
      </c>
      <c r="D16" s="47" t="s">
        <v>68</v>
      </c>
      <c r="E16" s="47" t="s">
        <v>69</v>
      </c>
      <c r="F16" s="48">
        <v>33000</v>
      </c>
    </row>
    <row r="17" spans="1:6" x14ac:dyDescent="0.25">
      <c r="A17" s="49" t="s">
        <v>42</v>
      </c>
      <c r="B17" s="49">
        <v>6</v>
      </c>
      <c r="C17" s="50" t="s">
        <v>6</v>
      </c>
      <c r="D17" s="50" t="s">
        <v>70</v>
      </c>
      <c r="E17" s="50" t="s">
        <v>44</v>
      </c>
      <c r="F17" s="51">
        <v>15600</v>
      </c>
    </row>
    <row r="18" spans="1:6" x14ac:dyDescent="0.25">
      <c r="A18" s="46" t="s">
        <v>47</v>
      </c>
      <c r="B18" s="46">
        <v>6</v>
      </c>
      <c r="C18" s="47" t="s">
        <v>21</v>
      </c>
      <c r="D18" s="47" t="s">
        <v>71</v>
      </c>
      <c r="E18" s="47" t="s">
        <v>72</v>
      </c>
      <c r="F18" s="48">
        <v>3400</v>
      </c>
    </row>
    <row r="19" spans="1:6" x14ac:dyDescent="0.25">
      <c r="A19" s="49"/>
      <c r="B19" s="49"/>
      <c r="C19" s="50"/>
      <c r="D19" s="50"/>
      <c r="E19" s="50"/>
      <c r="F19" s="51"/>
    </row>
    <row r="20" spans="1:6" x14ac:dyDescent="0.25">
      <c r="A20" s="46"/>
      <c r="B20" s="46"/>
      <c r="C20" s="47"/>
      <c r="D20" s="47"/>
      <c r="E20" s="47"/>
      <c r="F20" s="48"/>
    </row>
    <row r="21" spans="1:6" x14ac:dyDescent="0.25">
      <c r="A21" s="49"/>
      <c r="B21" s="49"/>
      <c r="C21" s="50"/>
      <c r="D21" s="50"/>
      <c r="E21" s="50"/>
      <c r="F21" s="51"/>
    </row>
    <row r="22" spans="1:6" x14ac:dyDescent="0.25">
      <c r="A22" s="46"/>
      <c r="B22" s="46"/>
      <c r="C22" s="47"/>
      <c r="D22" s="47"/>
      <c r="E22" s="47"/>
      <c r="F22" s="48"/>
    </row>
    <row r="23" spans="1:6" x14ac:dyDescent="0.25">
      <c r="A23" s="49"/>
      <c r="B23" s="49"/>
      <c r="C23" s="50"/>
      <c r="D23" s="50"/>
      <c r="E23" s="50"/>
      <c r="F23" s="51"/>
    </row>
    <row r="24" spans="1:6" x14ac:dyDescent="0.25">
      <c r="A24" s="46"/>
      <c r="B24" s="46"/>
      <c r="C24" s="47"/>
      <c r="D24" s="47"/>
      <c r="E24" s="47"/>
      <c r="F24" s="48"/>
    </row>
    <row r="25" spans="1:6" x14ac:dyDescent="0.25">
      <c r="A25" s="49"/>
      <c r="B25" s="49"/>
      <c r="C25" s="50"/>
      <c r="D25" s="50"/>
      <c r="E25" s="50"/>
      <c r="F25" s="51"/>
    </row>
    <row r="26" spans="1:6" x14ac:dyDescent="0.25">
      <c r="A26" s="46"/>
      <c r="B26" s="46"/>
      <c r="C26" s="47"/>
      <c r="D26" s="47"/>
      <c r="E26" s="47"/>
      <c r="F26" s="48"/>
    </row>
    <row r="27" spans="1:6" x14ac:dyDescent="0.25">
      <c r="A27" s="49"/>
      <c r="B27" s="49"/>
      <c r="C27" s="50"/>
      <c r="D27" s="50"/>
      <c r="E27" s="50"/>
      <c r="F27" s="51"/>
    </row>
    <row r="28" spans="1:6" x14ac:dyDescent="0.25">
      <c r="A28" s="46"/>
      <c r="B28" s="46"/>
      <c r="C28" s="47"/>
      <c r="D28" s="47"/>
      <c r="E28" s="47"/>
      <c r="F28" s="48"/>
    </row>
    <row r="29" spans="1:6" x14ac:dyDescent="0.25">
      <c r="A29" s="49"/>
      <c r="B29" s="49"/>
      <c r="C29" s="50"/>
      <c r="D29" s="50"/>
      <c r="E29" s="50"/>
      <c r="F29" s="51"/>
    </row>
    <row r="30" spans="1:6" x14ac:dyDescent="0.25">
      <c r="A30" s="46"/>
      <c r="B30" s="46"/>
      <c r="C30" s="47"/>
      <c r="D30" s="47"/>
      <c r="E30" s="47"/>
      <c r="F30" s="48"/>
    </row>
    <row r="31" spans="1:6" x14ac:dyDescent="0.25">
      <c r="A31" s="49"/>
      <c r="B31" s="49"/>
      <c r="C31" s="50"/>
      <c r="D31" s="50"/>
      <c r="E31" s="50"/>
      <c r="F31" s="51"/>
    </row>
    <row r="32" spans="1:6" x14ac:dyDescent="0.25">
      <c r="A32" s="46"/>
      <c r="B32" s="46"/>
      <c r="C32" s="47"/>
      <c r="D32" s="47"/>
      <c r="E32" s="47"/>
      <c r="F32" s="48"/>
    </row>
    <row r="33" spans="1:6" x14ac:dyDescent="0.25">
      <c r="A33" s="49"/>
      <c r="B33" s="49"/>
      <c r="C33" s="50"/>
      <c r="D33" s="50"/>
      <c r="E33" s="50"/>
      <c r="F33" s="51"/>
    </row>
    <row r="34" spans="1:6" x14ac:dyDescent="0.25">
      <c r="A34" s="46"/>
      <c r="B34" s="46"/>
      <c r="C34" s="47"/>
      <c r="D34" s="47"/>
      <c r="E34" s="47"/>
      <c r="F34" s="48"/>
    </row>
    <row r="35" spans="1:6" x14ac:dyDescent="0.25">
      <c r="A35" s="49"/>
      <c r="B35" s="49"/>
      <c r="C35" s="50"/>
      <c r="D35" s="50"/>
      <c r="E35" s="50"/>
      <c r="F35" s="51"/>
    </row>
    <row r="36" spans="1:6" x14ac:dyDescent="0.25">
      <c r="A36" s="46"/>
      <c r="B36" s="46"/>
      <c r="C36" s="47"/>
      <c r="D36" s="47"/>
      <c r="E36" s="47"/>
      <c r="F36" s="48"/>
    </row>
  </sheetData>
  <autoFilter ref="A3:F37" xr:uid="{00000000-0009-0000-0000-000001000000}"/>
  <mergeCells count="2">
    <mergeCell ref="A1:F1"/>
    <mergeCell ref="A2:F2"/>
  </mergeCells>
  <dataValidations count="2">
    <dataValidation type="list" allowBlank="1" sqref="A4:A37" xr:uid="{00000000-0002-0000-0100-000000000000}">
      <formula1>"Einzahlung,Auszahlung"</formula1>
      <formula2>0</formula2>
    </dataValidation>
    <dataValidation type="whole" allowBlank="1" showErrorMessage="1" errorTitle="KW" error="Bitte KW 1 bis 13 eingeben." sqref="B4:B37" xr:uid="{00000000-0002-0000-0100-000001000000}">
      <formula1>1</formula1>
      <formula2>13</formula2>
    </dataValidation>
  </dataValidations>
  <pageMargins left="0.75" right="0.75" top="1" bottom="1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100-000002000000}">
          <x14:formula1>
            <xm:f>Einstellungen!$J$6:$J$21</xm:f>
          </x14:formula1>
          <x14:formula2>
            <xm:f>0</xm:f>
          </x14:formula2>
          <xm:sqref>C4:C37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J21"/>
  <sheetViews>
    <sheetView showGridLines="0" zoomScaleNormal="100" workbookViewId="0"/>
  </sheetViews>
  <sheetFormatPr baseColWidth="10" defaultColWidth="8.7109375" defaultRowHeight="15" x14ac:dyDescent="0.25"/>
  <cols>
    <col min="1" max="1" width="2.42578125" customWidth="1"/>
    <col min="2" max="2" width="26" customWidth="1"/>
    <col min="3" max="3" width="12" customWidth="1"/>
    <col min="4" max="4" width="18" customWidth="1"/>
    <col min="5" max="5" width="3" customWidth="1"/>
    <col min="6" max="6" width="24" customWidth="1"/>
    <col min="7" max="7" width="2" customWidth="1"/>
    <col min="8" max="8" width="24" customWidth="1"/>
    <col min="9" max="9" width="2" customWidth="1"/>
    <col min="10" max="10" width="26" customWidth="1"/>
  </cols>
  <sheetData>
    <row r="2" spans="2:10" ht="21" x14ac:dyDescent="0.35">
      <c r="B2" s="4" t="s">
        <v>73</v>
      </c>
      <c r="C2" s="4"/>
      <c r="D2" s="4"/>
      <c r="E2" s="4"/>
      <c r="F2" s="4"/>
    </row>
    <row r="3" spans="2:10" x14ac:dyDescent="0.25">
      <c r="B3" s="3" t="s">
        <v>74</v>
      </c>
      <c r="C3" s="3"/>
      <c r="D3" s="3"/>
      <c r="E3" s="3"/>
      <c r="F3" s="3"/>
    </row>
    <row r="5" spans="2:10" x14ac:dyDescent="0.25">
      <c r="B5" s="2" t="s">
        <v>75</v>
      </c>
      <c r="C5" s="2"/>
      <c r="D5" s="52" t="s">
        <v>76</v>
      </c>
      <c r="F5" s="53" t="s">
        <v>77</v>
      </c>
      <c r="H5" s="53" t="s">
        <v>78</v>
      </c>
      <c r="J5" s="52" t="s">
        <v>79</v>
      </c>
    </row>
    <row r="6" spans="2:10" x14ac:dyDescent="0.25">
      <c r="B6" s="10" t="s">
        <v>80</v>
      </c>
      <c r="C6" s="10"/>
      <c r="D6" s="54" t="s">
        <v>81</v>
      </c>
      <c r="F6" s="47" t="s">
        <v>6</v>
      </c>
      <c r="H6" s="47" t="s">
        <v>14</v>
      </c>
      <c r="J6" s="47" t="s">
        <v>6</v>
      </c>
    </row>
    <row r="7" spans="2:10" x14ac:dyDescent="0.25">
      <c r="B7" s="8" t="s">
        <v>82</v>
      </c>
      <c r="C7" s="8"/>
      <c r="D7" s="55">
        <v>46027</v>
      </c>
      <c r="F7" s="50" t="s">
        <v>7</v>
      </c>
      <c r="H7" s="50" t="s">
        <v>15</v>
      </c>
      <c r="J7" s="50" t="s">
        <v>7</v>
      </c>
    </row>
    <row r="8" spans="2:10" x14ac:dyDescent="0.25">
      <c r="B8" s="10" t="s">
        <v>83</v>
      </c>
      <c r="C8" s="10"/>
      <c r="D8" s="56">
        <v>48500</v>
      </c>
      <c r="F8" s="47" t="s">
        <v>8</v>
      </c>
      <c r="H8" s="47" t="s">
        <v>16</v>
      </c>
      <c r="J8" s="47" t="s">
        <v>8</v>
      </c>
    </row>
    <row r="9" spans="2:10" x14ac:dyDescent="0.25">
      <c r="B9" s="8" t="s">
        <v>84</v>
      </c>
      <c r="C9" s="8"/>
      <c r="D9" s="57">
        <v>2500</v>
      </c>
      <c r="F9" s="50" t="s">
        <v>9</v>
      </c>
      <c r="H9" s="50" t="s">
        <v>17</v>
      </c>
      <c r="J9" s="50" t="s">
        <v>9</v>
      </c>
    </row>
    <row r="10" spans="2:10" x14ac:dyDescent="0.25">
      <c r="B10" s="10" t="s">
        <v>85</v>
      </c>
      <c r="C10" s="10"/>
      <c r="D10" s="56">
        <v>60000</v>
      </c>
      <c r="F10" s="47" t="s">
        <v>10</v>
      </c>
      <c r="H10" s="47" t="s">
        <v>18</v>
      </c>
      <c r="J10" s="47" t="s">
        <v>10</v>
      </c>
    </row>
    <row r="11" spans="2:10" x14ac:dyDescent="0.25">
      <c r="B11" s="8" t="s">
        <v>86</v>
      </c>
      <c r="C11" s="8"/>
      <c r="D11" s="57">
        <v>15000</v>
      </c>
      <c r="F11" s="50" t="s">
        <v>11</v>
      </c>
      <c r="H11" s="50" t="s">
        <v>19</v>
      </c>
      <c r="J11" s="50" t="s">
        <v>11</v>
      </c>
    </row>
    <row r="12" spans="2:10" x14ac:dyDescent="0.25">
      <c r="B12" s="1" t="s">
        <v>87</v>
      </c>
      <c r="C12" s="1"/>
      <c r="D12" s="1"/>
      <c r="H12" s="47" t="s">
        <v>20</v>
      </c>
      <c r="J12" s="47" t="s">
        <v>14</v>
      </c>
    </row>
    <row r="13" spans="2:10" x14ac:dyDescent="0.25">
      <c r="H13" s="50" t="s">
        <v>21</v>
      </c>
      <c r="J13" s="50" t="s">
        <v>15</v>
      </c>
    </row>
    <row r="14" spans="2:10" x14ac:dyDescent="0.25">
      <c r="H14" s="47" t="s">
        <v>22</v>
      </c>
      <c r="J14" s="47" t="s">
        <v>16</v>
      </c>
    </row>
    <row r="15" spans="2:10" x14ac:dyDescent="0.25">
      <c r="H15" s="50" t="s">
        <v>23</v>
      </c>
      <c r="J15" s="50" t="s">
        <v>17</v>
      </c>
    </row>
    <row r="16" spans="2:10" x14ac:dyDescent="0.25">
      <c r="J16" s="47" t="s">
        <v>18</v>
      </c>
    </row>
    <row r="17" spans="10:10" x14ac:dyDescent="0.25">
      <c r="J17" s="50" t="s">
        <v>19</v>
      </c>
    </row>
    <row r="18" spans="10:10" x14ac:dyDescent="0.25">
      <c r="J18" s="47" t="s">
        <v>20</v>
      </c>
    </row>
    <row r="19" spans="10:10" x14ac:dyDescent="0.25">
      <c r="J19" s="50" t="s">
        <v>21</v>
      </c>
    </row>
    <row r="20" spans="10:10" x14ac:dyDescent="0.25">
      <c r="J20" s="47" t="s">
        <v>22</v>
      </c>
    </row>
    <row r="21" spans="10:10" x14ac:dyDescent="0.25">
      <c r="J21" s="50" t="s">
        <v>23</v>
      </c>
    </row>
  </sheetData>
  <mergeCells count="10">
    <mergeCell ref="B8:C8"/>
    <mergeCell ref="B9:C9"/>
    <mergeCell ref="B10:C10"/>
    <mergeCell ref="B11:C11"/>
    <mergeCell ref="B12:D12"/>
    <mergeCell ref="B2:F2"/>
    <mergeCell ref="B3:F3"/>
    <mergeCell ref="B5:C5"/>
    <mergeCell ref="B6:C6"/>
    <mergeCell ref="B7:C7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Wochenplan</vt:lpstr>
      <vt:lpstr>Detailbuchungen</vt:lpstr>
      <vt:lpstr>Einstellungen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2026-06-22T05:59:11Z</dcterms:created>
  <dcterms:modified xsi:type="dcterms:W3CDTF">2026-06-22T06:45:08Z</dcterms:modified>
  <dc:language>en-US</dc:language>
</cp:coreProperties>
</file>