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ED9155B5-FEA4-45F9-BDAC-22B444DF3C29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Wochenübersicht" sheetId="1" r:id="rId1"/>
    <sheet name="Erfassung" sheetId="2" r:id="rId2"/>
    <sheet name="Einstellungen" sheetId="3" r:id="rId3"/>
  </sheets>
  <definedNames>
    <definedName name="_xlnm._FilterDatabase" localSheetId="1" hidden="1">Erfassung!$A$3:$F$54</definedName>
    <definedName name="_xlnm.Print_Area" localSheetId="0">Wochenübersicht!$A$1:$L$44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1" l="1"/>
  <c r="K18" i="1"/>
  <c r="J18" i="1"/>
  <c r="H18" i="1"/>
  <c r="F18" i="1"/>
  <c r="E18" i="1"/>
  <c r="D18" i="1"/>
  <c r="C18" i="1"/>
  <c r="G18" i="1" s="1"/>
  <c r="B18" i="1"/>
  <c r="K17" i="1"/>
  <c r="J17" i="1"/>
  <c r="H17" i="1"/>
  <c r="F17" i="1"/>
  <c r="E17" i="1"/>
  <c r="D17" i="1"/>
  <c r="C17" i="1"/>
  <c r="G17" i="1" s="1"/>
  <c r="B17" i="1"/>
  <c r="K16" i="1"/>
  <c r="J16" i="1"/>
  <c r="H16" i="1"/>
  <c r="F16" i="1"/>
  <c r="E16" i="1"/>
  <c r="D16" i="1"/>
  <c r="C16" i="1"/>
  <c r="G16" i="1" s="1"/>
  <c r="B16" i="1"/>
  <c r="K15" i="1"/>
  <c r="J15" i="1"/>
  <c r="H15" i="1"/>
  <c r="F15" i="1"/>
  <c r="E15" i="1"/>
  <c r="D15" i="1"/>
  <c r="C15" i="1"/>
  <c r="G15" i="1" s="1"/>
  <c r="B15" i="1"/>
  <c r="K14" i="1"/>
  <c r="J14" i="1"/>
  <c r="H14" i="1"/>
  <c r="F14" i="1"/>
  <c r="E14" i="1"/>
  <c r="D14" i="1"/>
  <c r="C14" i="1"/>
  <c r="G14" i="1" s="1"/>
  <c r="B14" i="1"/>
  <c r="K13" i="1"/>
  <c r="J13" i="1"/>
  <c r="H13" i="1"/>
  <c r="F13" i="1"/>
  <c r="E13" i="1"/>
  <c r="D13" i="1"/>
  <c r="C13" i="1"/>
  <c r="G13" i="1" s="1"/>
  <c r="B13" i="1"/>
  <c r="K12" i="1"/>
  <c r="J12" i="1"/>
  <c r="H12" i="1"/>
  <c r="F12" i="1"/>
  <c r="E12" i="1"/>
  <c r="G12" i="1" s="1"/>
  <c r="D12" i="1"/>
  <c r="C12" i="1"/>
  <c r="B12" i="1"/>
  <c r="K11" i="1"/>
  <c r="J11" i="1"/>
  <c r="H11" i="1"/>
  <c r="F11" i="1"/>
  <c r="E11" i="1"/>
  <c r="D11" i="1"/>
  <c r="C11" i="1"/>
  <c r="G11" i="1" s="1"/>
  <c r="B11" i="1"/>
  <c r="F10" i="1"/>
  <c r="E10" i="1"/>
  <c r="D10" i="1"/>
  <c r="H10" i="1" s="1"/>
  <c r="C10" i="1"/>
  <c r="G10" i="1" s="1"/>
  <c r="B10" i="1"/>
  <c r="F9" i="1"/>
  <c r="E9" i="1"/>
  <c r="D9" i="1"/>
  <c r="H9" i="1" s="1"/>
  <c r="C9" i="1"/>
  <c r="G9" i="1" s="1"/>
  <c r="B9" i="1"/>
  <c r="H8" i="1"/>
  <c r="G8" i="1"/>
  <c r="F8" i="1"/>
  <c r="E8" i="1"/>
  <c r="D8" i="1"/>
  <c r="C8" i="1"/>
  <c r="B8" i="1"/>
  <c r="F7" i="1"/>
  <c r="E7" i="1"/>
  <c r="D7" i="1"/>
  <c r="H7" i="1" s="1"/>
  <c r="C7" i="1"/>
  <c r="G7" i="1" s="1"/>
  <c r="B7" i="1"/>
  <c r="F6" i="1"/>
  <c r="E6" i="1"/>
  <c r="D6" i="1"/>
  <c r="H6" i="1" s="1"/>
  <c r="J6" i="1" s="1"/>
  <c r="C6" i="1"/>
  <c r="G6" i="1" s="1"/>
  <c r="I6" i="1" s="1"/>
  <c r="B6" i="1"/>
  <c r="A2" i="1"/>
  <c r="I7" i="1" l="1"/>
  <c r="I8" i="1" s="1"/>
  <c r="I9" i="1" s="1"/>
  <c r="I10" i="1" s="1"/>
  <c r="I11" i="1" s="1"/>
  <c r="T6" i="1"/>
  <c r="L6" i="1"/>
  <c r="K6" i="1"/>
  <c r="J7" i="1"/>
  <c r="J8" i="1" l="1"/>
  <c r="T7" i="1"/>
  <c r="K7" i="1"/>
  <c r="L7" i="1"/>
  <c r="L11" i="1"/>
  <c r="I12" i="1"/>
  <c r="I13" i="1" l="1"/>
  <c r="L12" i="1"/>
  <c r="K8" i="1"/>
  <c r="L8" i="1"/>
  <c r="J9" i="1"/>
  <c r="T8" i="1"/>
  <c r="J10" i="1" l="1"/>
  <c r="T9" i="1"/>
  <c r="L9" i="1"/>
  <c r="K9" i="1"/>
  <c r="L13" i="1"/>
  <c r="I14" i="1"/>
  <c r="I15" i="1" l="1"/>
  <c r="L14" i="1"/>
  <c r="L10" i="1"/>
  <c r="T10" i="1"/>
  <c r="K10" i="1"/>
  <c r="D25" i="1" s="1"/>
  <c r="I16" i="1" l="1"/>
  <c r="L15" i="1"/>
  <c r="I17" i="1" l="1"/>
  <c r="L16" i="1"/>
  <c r="I18" i="1" l="1"/>
  <c r="L17" i="1"/>
  <c r="D26" i="1"/>
  <c r="D23" i="1"/>
  <c r="D22" i="1" l="1"/>
  <c r="L18" i="1"/>
  <c r="D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K4" authorId="0" shapeId="0" xr:uid="{00000000-0006-0000-0000-000001000000}">
      <text>
        <r>
          <rPr>
            <sz val="10"/>
            <rFont val="Arial"/>
            <family val="2"/>
          </rPr>
          <t>Abweichung = Endbestand Ist − Endbestand Plan. Negativ = unter Plan.</t>
        </r>
      </text>
    </comment>
    <comment ref="L4" authorId="0" shapeId="0" xr:uid="{00000000-0006-0000-0000-000002000000}">
      <text>
        <r>
          <rPr>
            <sz val="10"/>
            <rFont val="Arial"/>
            <family val="2"/>
          </rPr>
          <t>OK = über Puffer · WARNUNG = unter Mindestbestand · KRITISCH = negativ. Nutzt Ist, sonst Plan.</t>
        </r>
      </text>
    </comment>
  </commentList>
</comments>
</file>

<file path=xl/sharedStrings.xml><?xml version="1.0" encoding="utf-8"?>
<sst xmlns="http://schemas.openxmlformats.org/spreadsheetml/2006/main" count="169" uniqueCount="61">
  <si>
    <t>Woche</t>
  </si>
  <si>
    <t>ab (Mo)</t>
  </si>
  <si>
    <t>Einzahlungen (€)</t>
  </si>
  <si>
    <t>Auszahlungen (€)</t>
  </si>
  <si>
    <t>Netto-Cashflow (€)</t>
  </si>
  <si>
    <t>Endbestand kumuliert (€)</t>
  </si>
  <si>
    <t>Abweichung
Ist – Plan (€)</t>
  </si>
  <si>
    <t>Status</t>
  </si>
  <si>
    <t>Plan</t>
  </si>
  <si>
    <t>Ist</t>
  </si>
  <si>
    <t>Kennzahlen</t>
  </si>
  <si>
    <t>Liquiditätsstart</t>
  </si>
  <si>
    <t>Endbestand Plan (Woche 13)</t>
  </si>
  <si>
    <t>Tiefster Endbestand (Plan)</t>
  </si>
  <si>
    <t>Wochen mit Warnung/kritisch</t>
  </si>
  <si>
    <t>Ø Abweichung Ist–Plan (erfasst)</t>
  </si>
  <si>
    <t>Freie Liquidität inkl. Kreditlinie</t>
  </si>
  <si>
    <t>Erfassung · geplante und tatsächliche Zahlungen je Woche</t>
  </si>
  <si>
    <t>Plan = Prognose, Ist = tatsächlicher Wert. Sobald eine Woche abgeschlossen ist, tragen Sie die Ist-Beträge ein.</t>
  </si>
  <si>
    <t>Art</t>
  </si>
  <si>
    <t>Kategorie</t>
  </si>
  <si>
    <t>Beschreibung</t>
  </si>
  <si>
    <t>Betrag Plan (€)</t>
  </si>
  <si>
    <t>Betrag Ist (€)</t>
  </si>
  <si>
    <t>Einzahlung</t>
  </si>
  <si>
    <t>Kundenzahlungen</t>
  </si>
  <si>
    <t>Eingänge offene Rechnungen</t>
  </si>
  <si>
    <t>Barumsätze</t>
  </si>
  <si>
    <t>Barumsätze / EC-Zahlungen</t>
  </si>
  <si>
    <t>Auszahlung</t>
  </si>
  <si>
    <t>Lieferanten</t>
  </si>
  <si>
    <t>Wareneinkauf</t>
  </si>
  <si>
    <t>Miete &amp; Nebenkosten</t>
  </si>
  <si>
    <t>Monatsmiete</t>
  </si>
  <si>
    <t>Personalkosten</t>
  </si>
  <si>
    <t>Löhne &amp; Gehälter</t>
  </si>
  <si>
    <t>Steuern &amp; Abgaben</t>
  </si>
  <si>
    <t>Sozialabgaben</t>
  </si>
  <si>
    <t>Umsatzsteuer-Vorauszahlung</t>
  </si>
  <si>
    <t>Sonstige Einzahlungen</t>
  </si>
  <si>
    <t>Anzahlung Projekt</t>
  </si>
  <si>
    <t>Sonstige Auszahlungen</t>
  </si>
  <si>
    <t>Versicherungen &amp; Beiträge</t>
  </si>
  <si>
    <t>Gewerbesteuer-Vorauszahlung</t>
  </si>
  <si>
    <t>Leasingraten</t>
  </si>
  <si>
    <t>Wöchentliche Liquiditätsplanung · Einstellungen</t>
  </si>
  <si>
    <t>Grundwerte und Listen. Diese Angaben steuern den Plan/Ist-Vergleich automatisch.</t>
  </si>
  <si>
    <t>Parameter</t>
  </si>
  <si>
    <t>Wert</t>
  </si>
  <si>
    <t>Einzahlungs-Kategorien</t>
  </si>
  <si>
    <t>Auszahlungs-Kategorien</t>
  </si>
  <si>
    <t>Alle Kategorien (Dropdown)</t>
  </si>
  <si>
    <t>Unternehmen</t>
  </si>
  <si>
    <t>Nordlicht Handels GmbH</t>
  </si>
  <si>
    <t>Planungsstart (Montag der 1. Woche)</t>
  </si>
  <si>
    <t>Anfangsbestand gesamt (Bank + Kasse) (€)</t>
  </si>
  <si>
    <t>Kontokorrent-Kreditlinie (€)</t>
  </si>
  <si>
    <t>Mindestbestand / Liquiditätspuffer (€)</t>
  </si>
  <si>
    <t>Ist-Daten erfasst bis Woche (1–13)</t>
  </si>
  <si>
    <t>Blaue Felder = Eingabewerte. »Ist erfasst bis Woche« legt fest, bis wohin der Ist-Verlauf gezeichnet wird.</t>
  </si>
  <si>
    <t>WÖCHENTLICHE LIQUIDITÄTSPLANUNG · PLAN / IST-VERGLEICH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</si>
</sst>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"/>
    <numFmt numFmtId="165" formatCode="#,##0&quot; €&quot;;[Red]\-#,##0&quot; €&quot;"/>
    <numFmt numFmtId="167" formatCode="dd\.mm\.yyyy"/>
  </numFmts>
  <fonts count="19" x14ac:knownFonts="1">
    <font>
      <sz val="11"/>
      <color theme="1"/>
      <name val="Calibri"/>
      <family val="2"/>
      <charset val="1"/>
    </font>
    <font>
      <b/>
      <sz val="15"/>
      <color rgb="FFFFFFFF"/>
      <name val="Calibri"/>
      <charset val="1"/>
    </font>
    <font>
      <i/>
      <sz val="9.5"/>
      <color rgb="FF7A6E74"/>
      <name val="Calibri"/>
      <charset val="1"/>
    </font>
    <font>
      <b/>
      <sz val="10.5"/>
      <color rgb="FFFFFFFF"/>
      <name val="Calibri"/>
      <charset val="1"/>
    </font>
    <font>
      <b/>
      <sz val="9.5"/>
      <color rgb="FFFFFFFF"/>
      <name val="Calibri"/>
      <charset val="1"/>
    </font>
    <font>
      <sz val="9"/>
      <color rgb="FF7A6E74"/>
      <name val="Calibri"/>
      <charset val="1"/>
    </font>
    <font>
      <b/>
      <sz val="10"/>
      <color rgb="FF6E2A3F"/>
      <name val="Calibri"/>
      <charset val="1"/>
    </font>
    <font>
      <sz val="10"/>
      <color rgb="FF2B2329"/>
      <name val="Calibri"/>
      <charset val="1"/>
    </font>
    <font>
      <b/>
      <sz val="10"/>
      <color rgb="FF566370"/>
      <name val="Calibri"/>
      <charset val="1"/>
    </font>
    <font>
      <b/>
      <sz val="9.5"/>
      <color rgb="FF2B2329"/>
      <name val="Calibri"/>
      <charset val="1"/>
    </font>
    <font>
      <b/>
      <sz val="12"/>
      <color rgb="FF6E2A3F"/>
      <name val="Calibri"/>
      <charset val="1"/>
    </font>
    <font>
      <sz val="10.5"/>
      <color rgb="FF2B2329"/>
      <name val="Calibri"/>
      <charset val="1"/>
    </font>
    <font>
      <b/>
      <sz val="10.5"/>
      <color rgb="FF6E2A3F"/>
      <name val="Calibri"/>
      <charset val="1"/>
    </font>
    <font>
      <sz val="10"/>
      <name val="Arial"/>
      <family val="2"/>
    </font>
    <font>
      <b/>
      <sz val="16"/>
      <color rgb="FF6E2A3F"/>
      <name val="Calibri"/>
      <charset val="1"/>
    </font>
    <font>
      <i/>
      <sz val="10"/>
      <color rgb="FF7A6E74"/>
      <name val="Calibri"/>
      <charset val="1"/>
    </font>
    <font>
      <b/>
      <sz val="11"/>
      <color rgb="FFFFFFFF"/>
      <name val="Calibri"/>
      <charset val="1"/>
    </font>
    <font>
      <b/>
      <sz val="11"/>
      <color rgb="FF0000CC"/>
      <name val="Calibri"/>
      <charset val="1"/>
    </font>
    <font>
      <i/>
      <sz val="9"/>
      <color rgb="FF7A6E74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6E2A3F"/>
        <bgColor rgb="FF8F2733"/>
      </patternFill>
    </fill>
    <fill>
      <patternFill patternType="solid">
        <fgColor rgb="FF8A4258"/>
        <bgColor rgb="FF8F2733"/>
      </patternFill>
    </fill>
    <fill>
      <patternFill patternType="solid">
        <fgColor rgb="FFFFFFFF"/>
        <bgColor rgb="FFF8F5F6"/>
      </patternFill>
    </fill>
    <fill>
      <patternFill patternType="solid">
        <fgColor rgb="FFF8F5F6"/>
        <bgColor rgb="FFFBF1DF"/>
      </patternFill>
    </fill>
  </fills>
  <borders count="3">
    <border>
      <left/>
      <right/>
      <top/>
      <bottom/>
      <diagonal/>
    </border>
    <border>
      <left style="thin">
        <color rgb="FFE2D7DB"/>
      </left>
      <right style="thin">
        <color rgb="FFE2D7DB"/>
      </right>
      <top style="thin">
        <color rgb="FFE2D7DB"/>
      </top>
      <bottom style="thin">
        <color rgb="FFE2D7DB"/>
      </bottom>
      <diagonal/>
    </border>
    <border>
      <left style="thin">
        <color rgb="FFE2D7DB"/>
      </left>
      <right/>
      <top style="thin">
        <color rgb="FFE2D7DB"/>
      </top>
      <bottom style="thin">
        <color rgb="FFE2D7DB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1" fillId="4" borderId="2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2" fillId="0" borderId="0" xfId="0" applyFont="1"/>
    <xf numFmtId="1" fontId="12" fillId="5" borderId="1" xfId="0" applyNumberFormat="1" applyFont="1" applyFill="1" applyBorder="1" applyAlignment="1">
      <alignment horizontal="right" vertical="center"/>
    </xf>
    <xf numFmtId="165" fontId="12" fillId="5" borderId="1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5" fontId="12" fillId="4" borderId="1" xfId="0" applyNumberFormat="1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left" vertical="center" indent="1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/>
    <xf numFmtId="0" fontId="6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right" vertical="center"/>
    </xf>
    <xf numFmtId="165" fontId="8" fillId="4" borderId="1" xfId="0" applyNumberFormat="1" applyFont="1" applyFill="1" applyBorder="1" applyAlignment="1">
      <alignment horizontal="right" vertical="center"/>
    </xf>
    <xf numFmtId="165" fontId="6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165" fontId="5" fillId="0" borderId="0" xfId="0" applyNumberFormat="1" applyFont="1"/>
    <xf numFmtId="0" fontId="6" fillId="5" borderId="1" xfId="0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horizontal="right" vertical="center"/>
    </xf>
    <xf numFmtId="165" fontId="8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167" fontId="17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165" fontId="17" fillId="4" borderId="1" xfId="0" applyNumberFormat="1" applyFont="1" applyFill="1" applyBorder="1" applyAlignment="1">
      <alignment horizontal="center" vertical="center"/>
    </xf>
    <xf numFmtId="165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</cellXfs>
  <cellStyles count="1">
    <cellStyle name="Standard" xfId="0" builtinId="0"/>
  </cellStyles>
  <dxfs count="5">
    <dxf>
      <font>
        <b/>
        <sz val="9"/>
        <color rgb="FF8F2733"/>
        <name val="Calibri"/>
        <charset val="1"/>
      </font>
      <fill>
        <patternFill>
          <bgColor rgb="FFF6E5E6"/>
        </patternFill>
      </fill>
    </dxf>
    <dxf>
      <font>
        <b/>
        <sz val="9"/>
        <color rgb="FF97631A"/>
        <name val="Calibri"/>
        <charset val="1"/>
      </font>
      <fill>
        <patternFill>
          <bgColor rgb="FFFBF1DF"/>
        </patternFill>
      </fill>
    </dxf>
    <dxf>
      <font>
        <b/>
        <sz val="9"/>
        <color rgb="FF2E6B33"/>
        <name val="Calibri"/>
        <charset val="1"/>
      </font>
      <fill>
        <patternFill>
          <bgColor rgb="FFE9F1E9"/>
        </patternFill>
      </fill>
    </dxf>
    <dxf>
      <font>
        <b/>
        <sz val="10"/>
        <color rgb="FF8F2733"/>
        <name val="Calibri"/>
        <charset val="1"/>
      </font>
      <fill>
        <patternFill>
          <bgColor rgb="FFF6E5E6"/>
        </patternFill>
      </fill>
    </dxf>
    <dxf>
      <fill>
        <patternFill>
          <bgColor rgb="FFFBF1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2E6B33"/>
      <rgbColor rgb="FF000080"/>
      <rgbColor rgb="FF97631A"/>
      <rgbColor rgb="FF800080"/>
      <rgbColor rgb="FF008080"/>
      <rgbColor rgb="FFE2D7DB"/>
      <rgbColor rgb="FF878787"/>
      <rgbColor rgb="FF9999FF"/>
      <rgbColor rgb="FF8A4258"/>
      <rgbColor rgb="FFFBF1DF"/>
      <rgbColor rgb="FFE9F1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8F5F6"/>
      <rgbColor rgb="FFF6E5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6370"/>
      <rgbColor rgb="FF7A6E74"/>
      <rgbColor rgb="FF003366"/>
      <rgbColor rgb="FF339966"/>
      <rgbColor rgb="FF003300"/>
      <rgbColor rgb="FF333300"/>
      <rgbColor rgb="FF8F2733"/>
      <rgbColor rgb="FF6E2A3F"/>
      <rgbColor rgb="FF333399"/>
      <rgbColor rgb="FF2B23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Liquiditätsverlauf · Endbestand Plan vs.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Wochenübersicht!$I$5</c:f>
              <c:strCache>
                <c:ptCount val="1"/>
                <c:pt idx="0">
                  <c:v>Plan</c:v>
                </c:pt>
              </c:strCache>
            </c:strRef>
          </c:tx>
          <c:spPr>
            <a:ln w="21960">
              <a:solidFill>
                <a:srgbClr val="56637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Wochenübersicht!$B$6:$B$18</c:f>
              <c:numCache>
                <c:formatCode>dd\.mm\.</c:formatCode>
                <c:ptCount val="13"/>
                <c:pt idx="0">
                  <c:v>46027</c:v>
                </c:pt>
                <c:pt idx="1">
                  <c:v>46034</c:v>
                </c:pt>
                <c:pt idx="2">
                  <c:v>46041</c:v>
                </c:pt>
                <c:pt idx="3">
                  <c:v>46048</c:v>
                </c:pt>
                <c:pt idx="4">
                  <c:v>46055</c:v>
                </c:pt>
                <c:pt idx="5">
                  <c:v>46062</c:v>
                </c:pt>
                <c:pt idx="6">
                  <c:v>46069</c:v>
                </c:pt>
                <c:pt idx="7">
                  <c:v>46076</c:v>
                </c:pt>
                <c:pt idx="8">
                  <c:v>46083</c:v>
                </c:pt>
                <c:pt idx="9">
                  <c:v>46090</c:v>
                </c:pt>
                <c:pt idx="10">
                  <c:v>46097</c:v>
                </c:pt>
                <c:pt idx="11">
                  <c:v>46104</c:v>
                </c:pt>
                <c:pt idx="12">
                  <c:v>46111</c:v>
                </c:pt>
              </c:numCache>
            </c:numRef>
          </c:cat>
          <c:val>
            <c:numRef>
              <c:f>Wochenübersicht!$I$6:$I$18</c:f>
              <c:numCache>
                <c:formatCode>General</c:formatCode>
                <c:ptCount val="13"/>
                <c:pt idx="0">
                  <c:v>61500</c:v>
                </c:pt>
                <c:pt idx="1">
                  <c:v>50000</c:v>
                </c:pt>
                <c:pt idx="2">
                  <c:v>49700</c:v>
                </c:pt>
                <c:pt idx="3">
                  <c:v>56400</c:v>
                </c:pt>
                <c:pt idx="4">
                  <c:v>59700</c:v>
                </c:pt>
                <c:pt idx="5">
                  <c:v>52200</c:v>
                </c:pt>
                <c:pt idx="6">
                  <c:v>16200</c:v>
                </c:pt>
                <c:pt idx="7">
                  <c:v>23700</c:v>
                </c:pt>
                <c:pt idx="8">
                  <c:v>32300</c:v>
                </c:pt>
                <c:pt idx="9">
                  <c:v>22800</c:v>
                </c:pt>
                <c:pt idx="10">
                  <c:v>28000</c:v>
                </c:pt>
                <c:pt idx="11">
                  <c:v>39000</c:v>
                </c:pt>
                <c:pt idx="12">
                  <c:v>43300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418-463A-A9A1-9EFBCC09C2F1}"/>
            </c:ext>
          </c:extLst>
        </c:ser>
        <c:ser>
          <c:idx val="1"/>
          <c:order val="1"/>
          <c:tx>
            <c:strRef>
              <c:f>Wochenübersicht!$T$5</c:f>
              <c:strCache>
                <c:ptCount val="1"/>
                <c:pt idx="0">
                  <c:v>Ist</c:v>
                </c:pt>
              </c:strCache>
            </c:strRef>
          </c:tx>
          <c:spPr>
            <a:ln w="25920">
              <a:solidFill>
                <a:srgbClr val="6E2A3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Wochenübersicht!$B$6:$B$18</c:f>
              <c:numCache>
                <c:formatCode>dd\.mm\.</c:formatCode>
                <c:ptCount val="13"/>
                <c:pt idx="0">
                  <c:v>46027</c:v>
                </c:pt>
                <c:pt idx="1">
                  <c:v>46034</c:v>
                </c:pt>
                <c:pt idx="2">
                  <c:v>46041</c:v>
                </c:pt>
                <c:pt idx="3">
                  <c:v>46048</c:v>
                </c:pt>
                <c:pt idx="4">
                  <c:v>46055</c:v>
                </c:pt>
                <c:pt idx="5">
                  <c:v>46062</c:v>
                </c:pt>
                <c:pt idx="6">
                  <c:v>46069</c:v>
                </c:pt>
                <c:pt idx="7">
                  <c:v>46076</c:v>
                </c:pt>
                <c:pt idx="8">
                  <c:v>46083</c:v>
                </c:pt>
                <c:pt idx="9">
                  <c:v>46090</c:v>
                </c:pt>
                <c:pt idx="10">
                  <c:v>46097</c:v>
                </c:pt>
                <c:pt idx="11">
                  <c:v>46104</c:v>
                </c:pt>
                <c:pt idx="12">
                  <c:v>46111</c:v>
                </c:pt>
              </c:numCache>
            </c:numRef>
          </c:cat>
          <c:val>
            <c:numRef>
              <c:f>Wochenübersicht!$T$6:$T$18</c:f>
              <c:numCache>
                <c:formatCode>General</c:formatCode>
                <c:ptCount val="13"/>
                <c:pt idx="0">
                  <c:v>60650</c:v>
                </c:pt>
                <c:pt idx="1">
                  <c:v>48750</c:v>
                </c:pt>
                <c:pt idx="2">
                  <c:v>46850</c:v>
                </c:pt>
                <c:pt idx="3">
                  <c:v>52650</c:v>
                </c:pt>
                <c:pt idx="4">
                  <c:v>54350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18-463A-A9A1-9EFBCC09C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0220027"/>
        <c:axId val="59297511"/>
      </c:lineChart>
      <c:dateAx>
        <c:axId val="20220027"/>
        <c:scaling>
          <c:orientation val="minMax"/>
        </c:scaling>
        <c:delete val="0"/>
        <c:axPos val="b"/>
        <c:numFmt formatCode="dd\.mm\.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9297511"/>
        <c:crosses val="autoZero"/>
        <c:auto val="1"/>
        <c:lblOffset val="100"/>
        <c:baseTimeUnit val="days"/>
      </c:dateAx>
      <c:valAx>
        <c:axId val="59297511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22002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9</xdr:col>
      <xdr:colOff>800640</xdr:colOff>
      <xdr:row>40</xdr:row>
      <xdr:rowOff>115200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34" sqref="T34"/>
    </sheetView>
  </sheetViews>
  <sheetFormatPr baseColWidth="10" defaultColWidth="8.7109375" defaultRowHeight="15" x14ac:dyDescent="0.25"/>
  <cols>
    <col min="1" max="1" width="7" customWidth="1"/>
    <col min="2" max="2" width="9" customWidth="1"/>
    <col min="3" max="8" width="12" customWidth="1"/>
    <col min="9" max="11" width="13" customWidth="1"/>
    <col min="12" max="12" width="12" customWidth="1"/>
    <col min="20" max="20" width="11" customWidth="1"/>
  </cols>
  <sheetData>
    <row r="1" spans="1:20" ht="27.75" customHeight="1" x14ac:dyDescent="0.25">
      <c r="A1" s="14" t="s">
        <v>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0" x14ac:dyDescent="0.25">
      <c r="A2" s="13" t="str">
        <f>Einstellungen!$D$6&amp;"  ·  Start "&amp;TEXT(Einstellungen!$D$7,"DD.MM.YYYY")&amp;"  ·  Ist erfasst bis Woche "&amp;Einstellungen!$D$11</f>
        <v>Nordlicht Handels GmbH  ·  Start 05.01.YYYY  ·  Ist erfasst bis Woche 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20" ht="19.5" customHeight="1" x14ac:dyDescent="0.25">
      <c r="A4" s="12" t="s">
        <v>0</v>
      </c>
      <c r="B4" s="12" t="s">
        <v>1</v>
      </c>
      <c r="C4" s="12" t="s">
        <v>2</v>
      </c>
      <c r="D4" s="12"/>
      <c r="E4" s="12" t="s">
        <v>3</v>
      </c>
      <c r="F4" s="12"/>
      <c r="G4" s="12" t="s">
        <v>4</v>
      </c>
      <c r="H4" s="12"/>
      <c r="I4" s="12" t="s">
        <v>5</v>
      </c>
      <c r="J4" s="12"/>
      <c r="K4" s="12" t="s">
        <v>6</v>
      </c>
      <c r="L4" s="12" t="s">
        <v>7</v>
      </c>
    </row>
    <row r="5" spans="1:20" ht="15.75" customHeight="1" x14ac:dyDescent="0.25">
      <c r="A5" s="12"/>
      <c r="B5" s="12"/>
      <c r="C5" s="16" t="s">
        <v>8</v>
      </c>
      <c r="D5" s="16" t="s">
        <v>9</v>
      </c>
      <c r="E5" s="16" t="s">
        <v>8</v>
      </c>
      <c r="F5" s="16" t="s">
        <v>9</v>
      </c>
      <c r="G5" s="16" t="s">
        <v>8</v>
      </c>
      <c r="H5" s="16" t="s">
        <v>9</v>
      </c>
      <c r="I5" s="16" t="s">
        <v>8</v>
      </c>
      <c r="J5" s="16" t="s">
        <v>9</v>
      </c>
      <c r="K5" s="12"/>
      <c r="L5" s="12"/>
      <c r="T5" s="17" t="s">
        <v>9</v>
      </c>
    </row>
    <row r="6" spans="1:20" x14ac:dyDescent="0.25">
      <c r="A6" s="18">
        <v>1</v>
      </c>
      <c r="B6" s="19">
        <f>Einstellungen!$D$7+7*0</f>
        <v>46027</v>
      </c>
      <c r="C6" s="20">
        <f>SUMIFS(Erfassung!$E$4:$E$54,Erfassung!$A$4:$A$54,$A6,Erfassung!$B$4:$B$54,"Einzahlung")</f>
        <v>20000</v>
      </c>
      <c r="D6" s="20">
        <f>IF($A6&lt;=Einstellungen!$D$11,SUMIFS(Erfassung!$F$4:$F$54,Erfassung!$A$4:$A$54,$A6,Erfassung!$B$4:$B$54,"Einzahlung"),"")</f>
        <v>19550</v>
      </c>
      <c r="E6" s="20">
        <f>SUMIFS(Erfassung!$E$4:$E$54,Erfassung!$A$4:$A$54,$A6,Erfassung!$B$4:$B$54,"Auszahlung")</f>
        <v>13500</v>
      </c>
      <c r="F6" s="20">
        <f>IF($A6&lt;=Einstellungen!$D$11,SUMIFS(Erfassung!$F$4:$F$54,Erfassung!$A$4:$A$54,$A6,Erfassung!$B$4:$B$54,"Auszahlung"),"")</f>
        <v>13900</v>
      </c>
      <c r="G6" s="20">
        <f t="shared" ref="G6:G18" si="0">$C6-$E6</f>
        <v>6500</v>
      </c>
      <c r="H6" s="20">
        <f>IF($A6&lt;=Einstellungen!$D$11,$D6-$F6,"")</f>
        <v>5650</v>
      </c>
      <c r="I6" s="21">
        <f>Einstellungen!$D$8+$G6</f>
        <v>61500</v>
      </c>
      <c r="J6" s="22">
        <f>IF($A6&lt;=Einstellungen!$D$11,Einstellungen!$D$8+$H6,"")</f>
        <v>60650</v>
      </c>
      <c r="K6" s="20">
        <f>IF($A6&lt;=Einstellungen!$D$11,$J6-$I6,"")</f>
        <v>-850</v>
      </c>
      <c r="L6" s="23" t="str">
        <f>IF(IF($A6&lt;=Einstellungen!$D$11,$J6,$I6)&lt;0,"KRITISCH",IF(IF($A6&lt;=Einstellungen!$D$11,$J6,$I6)&lt;Einstellungen!$D$10,"WARNUNG","OK"))</f>
        <v>OK</v>
      </c>
      <c r="T6" s="24">
        <f>$J6</f>
        <v>60650</v>
      </c>
    </row>
    <row r="7" spans="1:20" x14ac:dyDescent="0.25">
      <c r="A7" s="25">
        <v>2</v>
      </c>
      <c r="B7" s="26">
        <f>Einstellungen!$D$7+7*1</f>
        <v>46034</v>
      </c>
      <c r="C7" s="27">
        <f>SUMIFS(Erfassung!$E$4:$E$54,Erfassung!$A$4:$A$54,$A7,Erfassung!$B$4:$B$54,"Einzahlung")</f>
        <v>12000</v>
      </c>
      <c r="D7" s="27">
        <f>IF($A7&lt;=Einstellungen!$D$11,SUMIFS(Erfassung!$F$4:$F$54,Erfassung!$A$4:$A$54,$A7,Erfassung!$B$4:$B$54,"Einzahlung"),"")</f>
        <v>11800</v>
      </c>
      <c r="E7" s="27">
        <f>SUMIFS(Erfassung!$E$4:$E$54,Erfassung!$A$4:$A$54,$A7,Erfassung!$B$4:$B$54,"Auszahlung")</f>
        <v>23500</v>
      </c>
      <c r="F7" s="27">
        <f>IF($A7&lt;=Einstellungen!$D$11,SUMIFS(Erfassung!$F$4:$F$54,Erfassung!$A$4:$A$54,$A7,Erfassung!$B$4:$B$54,"Auszahlung"),"")</f>
        <v>23700</v>
      </c>
      <c r="G7" s="27">
        <f t="shared" si="0"/>
        <v>-11500</v>
      </c>
      <c r="H7" s="27">
        <f>IF($A7&lt;=Einstellungen!$D$11,$D7-$F7,"")</f>
        <v>-11900</v>
      </c>
      <c r="I7" s="28">
        <f t="shared" ref="I7:I18" si="1">$I6+$G7</f>
        <v>50000</v>
      </c>
      <c r="J7" s="29">
        <f>IF($A7&lt;=Einstellungen!$D$11,$J6+$H7,"")</f>
        <v>48750</v>
      </c>
      <c r="K7" s="27">
        <f>IF($A7&lt;=Einstellungen!$D$11,$J7-$I7,"")</f>
        <v>-1250</v>
      </c>
      <c r="L7" s="30" t="str">
        <f>IF(IF($A7&lt;=Einstellungen!$D$11,$J7,$I7)&lt;0,"KRITISCH",IF(IF($A7&lt;=Einstellungen!$D$11,$J7,$I7)&lt;Einstellungen!$D$10,"WARNUNG","OK"))</f>
        <v>OK</v>
      </c>
      <c r="T7" s="24">
        <f>$J7</f>
        <v>48750</v>
      </c>
    </row>
    <row r="8" spans="1:20" x14ac:dyDescent="0.25">
      <c r="A8" s="18">
        <v>3</v>
      </c>
      <c r="B8" s="19">
        <f>Einstellungen!$D$7+7*2</f>
        <v>46041</v>
      </c>
      <c r="C8" s="20">
        <f>SUMIFS(Erfassung!$E$4:$E$54,Erfassung!$A$4:$A$54,$A8,Erfassung!$B$4:$B$54,"Einzahlung")</f>
        <v>14000</v>
      </c>
      <c r="D8" s="20">
        <f>IF($A8&lt;=Einstellungen!$D$11,SUMIFS(Erfassung!$F$4:$F$54,Erfassung!$A$4:$A$54,$A8,Erfassung!$B$4:$B$54,"Einzahlung"),"")</f>
        <v>13100</v>
      </c>
      <c r="E8" s="20">
        <f>SUMIFS(Erfassung!$E$4:$E$54,Erfassung!$A$4:$A$54,$A8,Erfassung!$B$4:$B$54,"Auszahlung")</f>
        <v>14300</v>
      </c>
      <c r="F8" s="20">
        <f>IF($A8&lt;=Einstellungen!$D$11,SUMIFS(Erfassung!$F$4:$F$54,Erfassung!$A$4:$A$54,$A8,Erfassung!$B$4:$B$54,"Auszahlung"),"")</f>
        <v>15000</v>
      </c>
      <c r="G8" s="20">
        <f t="shared" si="0"/>
        <v>-300</v>
      </c>
      <c r="H8" s="20">
        <f>IF($A8&lt;=Einstellungen!$D$11,$D8-$F8,"")</f>
        <v>-1900</v>
      </c>
      <c r="I8" s="21">
        <f t="shared" si="1"/>
        <v>49700</v>
      </c>
      <c r="J8" s="22">
        <f>IF($A8&lt;=Einstellungen!$D$11,$J7+$H8,"")</f>
        <v>46850</v>
      </c>
      <c r="K8" s="20">
        <f>IF($A8&lt;=Einstellungen!$D$11,$J8-$I8,"")</f>
        <v>-2850</v>
      </c>
      <c r="L8" s="23" t="str">
        <f>IF(IF($A8&lt;=Einstellungen!$D$11,$J8,$I8)&lt;0,"KRITISCH",IF(IF($A8&lt;=Einstellungen!$D$11,$J8,$I8)&lt;Einstellungen!$D$10,"WARNUNG","OK"))</f>
        <v>OK</v>
      </c>
      <c r="T8" s="24">
        <f>$J8</f>
        <v>46850</v>
      </c>
    </row>
    <row r="9" spans="1:20" x14ac:dyDescent="0.25">
      <c r="A9" s="25">
        <v>4</v>
      </c>
      <c r="B9" s="26">
        <f>Einstellungen!$D$7+7*3</f>
        <v>46048</v>
      </c>
      <c r="C9" s="27">
        <f>SUMIFS(Erfassung!$E$4:$E$54,Erfassung!$A$4:$A$54,$A9,Erfassung!$B$4:$B$54,"Einzahlung")</f>
        <v>15500</v>
      </c>
      <c r="D9" s="27">
        <f>IF($A9&lt;=Einstellungen!$D$11,SUMIFS(Erfassung!$F$4:$F$54,Erfassung!$A$4:$A$54,$A9,Erfassung!$B$4:$B$54,"Einzahlung"),"")</f>
        <v>14900</v>
      </c>
      <c r="E9" s="27">
        <f>SUMIFS(Erfassung!$E$4:$E$54,Erfassung!$A$4:$A$54,$A9,Erfassung!$B$4:$B$54,"Auszahlung")</f>
        <v>8800</v>
      </c>
      <c r="F9" s="27">
        <f>IF($A9&lt;=Einstellungen!$D$11,SUMIFS(Erfassung!$F$4:$F$54,Erfassung!$A$4:$A$54,$A9,Erfassung!$B$4:$B$54,"Auszahlung"),"")</f>
        <v>9100</v>
      </c>
      <c r="G9" s="27">
        <f t="shared" si="0"/>
        <v>6700</v>
      </c>
      <c r="H9" s="27">
        <f>IF($A9&lt;=Einstellungen!$D$11,$D9-$F9,"")</f>
        <v>5800</v>
      </c>
      <c r="I9" s="28">
        <f t="shared" si="1"/>
        <v>56400</v>
      </c>
      <c r="J9" s="29">
        <f>IF($A9&lt;=Einstellungen!$D$11,$J8+$H9,"")</f>
        <v>52650</v>
      </c>
      <c r="K9" s="27">
        <f>IF($A9&lt;=Einstellungen!$D$11,$J9-$I9,"")</f>
        <v>-3750</v>
      </c>
      <c r="L9" s="30" t="str">
        <f>IF(IF($A9&lt;=Einstellungen!$D$11,$J9,$I9)&lt;0,"KRITISCH",IF(IF($A9&lt;=Einstellungen!$D$11,$J9,$I9)&lt;Einstellungen!$D$10,"WARNUNG","OK"))</f>
        <v>OK</v>
      </c>
      <c r="T9" s="24">
        <f>$J9</f>
        <v>52650</v>
      </c>
    </row>
    <row r="10" spans="1:20" x14ac:dyDescent="0.25">
      <c r="A10" s="18">
        <v>5</v>
      </c>
      <c r="B10" s="19">
        <f>Einstellungen!$D$7+7*4</f>
        <v>46055</v>
      </c>
      <c r="C10" s="20">
        <f>SUMIFS(Erfassung!$E$4:$E$54,Erfassung!$A$4:$A$54,$A10,Erfassung!$B$4:$B$54,"Einzahlung")</f>
        <v>13500</v>
      </c>
      <c r="D10" s="20">
        <f>IF($A10&lt;=Einstellungen!$D$11,SUMIFS(Erfassung!$F$4:$F$54,Erfassung!$A$4:$A$54,$A10,Erfassung!$B$4:$B$54,"Einzahlung"),"")</f>
        <v>12600</v>
      </c>
      <c r="E10" s="20">
        <f>SUMIFS(Erfassung!$E$4:$E$54,Erfassung!$A$4:$A$54,$A10,Erfassung!$B$4:$B$54,"Auszahlung")</f>
        <v>10200</v>
      </c>
      <c r="F10" s="20">
        <f>IF($A10&lt;=Einstellungen!$D$11,SUMIFS(Erfassung!$F$4:$F$54,Erfassung!$A$4:$A$54,$A10,Erfassung!$B$4:$B$54,"Auszahlung"),"")</f>
        <v>10900</v>
      </c>
      <c r="G10" s="20">
        <f t="shared" si="0"/>
        <v>3300</v>
      </c>
      <c r="H10" s="20">
        <f>IF($A10&lt;=Einstellungen!$D$11,$D10-$F10,"")</f>
        <v>1700</v>
      </c>
      <c r="I10" s="21">
        <f t="shared" si="1"/>
        <v>59700</v>
      </c>
      <c r="J10" s="22">
        <f>IF($A10&lt;=Einstellungen!$D$11,$J9+$H10,"")</f>
        <v>54350</v>
      </c>
      <c r="K10" s="20">
        <f>IF($A10&lt;=Einstellungen!$D$11,$J10-$I10,"")</f>
        <v>-5350</v>
      </c>
      <c r="L10" s="23" t="str">
        <f>IF(IF($A10&lt;=Einstellungen!$D$11,$J10,$I10)&lt;0,"KRITISCH",IF(IF($A10&lt;=Einstellungen!$D$11,$J10,$I10)&lt;Einstellungen!$D$10,"WARNUNG","OK"))</f>
        <v>OK</v>
      </c>
      <c r="T10" s="24">
        <f>$J10</f>
        <v>54350</v>
      </c>
    </row>
    <row r="11" spans="1:20" x14ac:dyDescent="0.25">
      <c r="A11" s="25">
        <v>6</v>
      </c>
      <c r="B11" s="26">
        <f>Einstellungen!$D$7+7*5</f>
        <v>46062</v>
      </c>
      <c r="C11" s="27">
        <f>SUMIFS(Erfassung!$E$4:$E$54,Erfassung!$A$4:$A$54,$A11,Erfassung!$B$4:$B$54,"Einzahlung")</f>
        <v>15000</v>
      </c>
      <c r="D11" s="27" t="str">
        <f>IF($A11&lt;=Einstellungen!$D$11,SUMIFS(Erfassung!$F$4:$F$54,Erfassung!$A$4:$A$54,$A11,Erfassung!$B$4:$B$54,"Einzahlung"),"")</f>
        <v/>
      </c>
      <c r="E11" s="27">
        <f>SUMIFS(Erfassung!$E$4:$E$54,Erfassung!$A$4:$A$54,$A11,Erfassung!$B$4:$B$54,"Auszahlung")</f>
        <v>22500</v>
      </c>
      <c r="F11" s="27" t="str">
        <f>IF($A11&lt;=Einstellungen!$D$11,SUMIFS(Erfassung!$F$4:$F$54,Erfassung!$A$4:$A$54,$A11,Erfassung!$B$4:$B$54,"Auszahlung"),"")</f>
        <v/>
      </c>
      <c r="G11" s="27">
        <f t="shared" si="0"/>
        <v>-7500</v>
      </c>
      <c r="H11" s="27" t="str">
        <f>IF($A11&lt;=Einstellungen!$D$11,$D11-$F11,"")</f>
        <v/>
      </c>
      <c r="I11" s="28">
        <f t="shared" si="1"/>
        <v>52200</v>
      </c>
      <c r="J11" s="29" t="str">
        <f>IF($A11&lt;=Einstellungen!$D$11,$J10+$H11,"")</f>
        <v/>
      </c>
      <c r="K11" s="27" t="str">
        <f>IF($A11&lt;=Einstellungen!$D$11,$J11-$I11,"")</f>
        <v/>
      </c>
      <c r="L11" s="30" t="str">
        <f>IF(IF($A11&lt;=Einstellungen!$D$11,$J11,$I11)&lt;0,"KRITISCH",IF(IF($A11&lt;=Einstellungen!$D$11,$J11,$I11)&lt;Einstellungen!$D$10,"WARNUNG","OK"))</f>
        <v>OK</v>
      </c>
    </row>
    <row r="12" spans="1:20" x14ac:dyDescent="0.25">
      <c r="A12" s="18">
        <v>7</v>
      </c>
      <c r="B12" s="19">
        <f>Einstellungen!$D$7+7*6</f>
        <v>46069</v>
      </c>
      <c r="C12" s="20">
        <f>SUMIFS(Erfassung!$E$4:$E$54,Erfassung!$A$4:$A$54,$A12,Erfassung!$B$4:$B$54,"Einzahlung")</f>
        <v>12000</v>
      </c>
      <c r="D12" s="20" t="str">
        <f>IF($A12&lt;=Einstellungen!$D$11,SUMIFS(Erfassung!$F$4:$F$54,Erfassung!$A$4:$A$54,$A12,Erfassung!$B$4:$B$54,"Einzahlung"),"")</f>
        <v/>
      </c>
      <c r="E12" s="20">
        <f>SUMIFS(Erfassung!$E$4:$E$54,Erfassung!$A$4:$A$54,$A12,Erfassung!$B$4:$B$54,"Auszahlung")</f>
        <v>48000</v>
      </c>
      <c r="F12" s="20" t="str">
        <f>IF($A12&lt;=Einstellungen!$D$11,SUMIFS(Erfassung!$F$4:$F$54,Erfassung!$A$4:$A$54,$A12,Erfassung!$B$4:$B$54,"Auszahlung"),"")</f>
        <v/>
      </c>
      <c r="G12" s="20">
        <f t="shared" si="0"/>
        <v>-36000</v>
      </c>
      <c r="H12" s="20" t="str">
        <f>IF($A12&lt;=Einstellungen!$D$11,$D12-$F12,"")</f>
        <v/>
      </c>
      <c r="I12" s="21">
        <f t="shared" si="1"/>
        <v>16200</v>
      </c>
      <c r="J12" s="22" t="str">
        <f>IF($A12&lt;=Einstellungen!$D$11,$J11+$H12,"")</f>
        <v/>
      </c>
      <c r="K12" s="20" t="str">
        <f>IF($A12&lt;=Einstellungen!$D$11,$J12-$I12,"")</f>
        <v/>
      </c>
      <c r="L12" s="23" t="str">
        <f>IF(IF($A12&lt;=Einstellungen!$D$11,$J12,$I12)&lt;0,"KRITISCH",IF(IF($A12&lt;=Einstellungen!$D$11,$J12,$I12)&lt;Einstellungen!$D$10,"WARNUNG","OK"))</f>
        <v>WARNUNG</v>
      </c>
    </row>
    <row r="13" spans="1:20" x14ac:dyDescent="0.25">
      <c r="A13" s="25">
        <v>8</v>
      </c>
      <c r="B13" s="26">
        <f>Einstellungen!$D$7+7*7</f>
        <v>46076</v>
      </c>
      <c r="C13" s="27">
        <f>SUMIFS(Erfassung!$E$4:$E$54,Erfassung!$A$4:$A$54,$A13,Erfassung!$B$4:$B$54,"Einzahlung")</f>
        <v>16500</v>
      </c>
      <c r="D13" s="27" t="str">
        <f>IF($A13&lt;=Einstellungen!$D$11,SUMIFS(Erfassung!$F$4:$F$54,Erfassung!$A$4:$A$54,$A13,Erfassung!$B$4:$B$54,"Einzahlung"),"")</f>
        <v/>
      </c>
      <c r="E13" s="27">
        <f>SUMIFS(Erfassung!$E$4:$E$54,Erfassung!$A$4:$A$54,$A13,Erfassung!$B$4:$B$54,"Auszahlung")</f>
        <v>9000</v>
      </c>
      <c r="F13" s="27" t="str">
        <f>IF($A13&lt;=Einstellungen!$D$11,SUMIFS(Erfassung!$F$4:$F$54,Erfassung!$A$4:$A$54,$A13,Erfassung!$B$4:$B$54,"Auszahlung"),"")</f>
        <v/>
      </c>
      <c r="G13" s="27">
        <f t="shared" si="0"/>
        <v>7500</v>
      </c>
      <c r="H13" s="27" t="str">
        <f>IF($A13&lt;=Einstellungen!$D$11,$D13-$F13,"")</f>
        <v/>
      </c>
      <c r="I13" s="28">
        <f t="shared" si="1"/>
        <v>23700</v>
      </c>
      <c r="J13" s="29" t="str">
        <f>IF($A13&lt;=Einstellungen!$D$11,$J12+$H13,"")</f>
        <v/>
      </c>
      <c r="K13" s="27" t="str">
        <f>IF($A13&lt;=Einstellungen!$D$11,$J13-$I13,"")</f>
        <v/>
      </c>
      <c r="L13" s="30" t="str">
        <f>IF(IF($A13&lt;=Einstellungen!$D$11,$J13,$I13)&lt;0,"KRITISCH",IF(IF($A13&lt;=Einstellungen!$D$11,$J13,$I13)&lt;Einstellungen!$D$10,"WARNUNG","OK"))</f>
        <v>OK</v>
      </c>
    </row>
    <row r="14" spans="1:20" x14ac:dyDescent="0.25">
      <c r="A14" s="18">
        <v>9</v>
      </c>
      <c r="B14" s="19">
        <f>Einstellungen!$D$7+7*8</f>
        <v>46083</v>
      </c>
      <c r="C14" s="20">
        <f>SUMIFS(Erfassung!$E$4:$E$54,Erfassung!$A$4:$A$54,$A14,Erfassung!$B$4:$B$54,"Einzahlung")</f>
        <v>11000</v>
      </c>
      <c r="D14" s="20" t="str">
        <f>IF($A14&lt;=Einstellungen!$D$11,SUMIFS(Erfassung!$F$4:$F$54,Erfassung!$A$4:$A$54,$A14,Erfassung!$B$4:$B$54,"Einzahlung"),"")</f>
        <v/>
      </c>
      <c r="E14" s="20">
        <f>SUMIFS(Erfassung!$E$4:$E$54,Erfassung!$A$4:$A$54,$A14,Erfassung!$B$4:$B$54,"Auszahlung")</f>
        <v>2400</v>
      </c>
      <c r="F14" s="20" t="str">
        <f>IF($A14&lt;=Einstellungen!$D$11,SUMIFS(Erfassung!$F$4:$F$54,Erfassung!$A$4:$A$54,$A14,Erfassung!$B$4:$B$54,"Auszahlung"),"")</f>
        <v/>
      </c>
      <c r="G14" s="20">
        <f t="shared" si="0"/>
        <v>8600</v>
      </c>
      <c r="H14" s="20" t="str">
        <f>IF($A14&lt;=Einstellungen!$D$11,$D14-$F14,"")</f>
        <v/>
      </c>
      <c r="I14" s="21">
        <f t="shared" si="1"/>
        <v>32300</v>
      </c>
      <c r="J14" s="22" t="str">
        <f>IF($A14&lt;=Einstellungen!$D$11,$J13+$H14,"")</f>
        <v/>
      </c>
      <c r="K14" s="20" t="str">
        <f>IF($A14&lt;=Einstellungen!$D$11,$J14-$I14,"")</f>
        <v/>
      </c>
      <c r="L14" s="23" t="str">
        <f>IF(IF($A14&lt;=Einstellungen!$D$11,$J14,$I14)&lt;0,"KRITISCH",IF(IF($A14&lt;=Einstellungen!$D$11,$J14,$I14)&lt;Einstellungen!$D$10,"WARNUNG","OK"))</f>
        <v>OK</v>
      </c>
    </row>
    <row r="15" spans="1:20" x14ac:dyDescent="0.25">
      <c r="A15" s="25">
        <v>10</v>
      </c>
      <c r="B15" s="26">
        <f>Einstellungen!$D$7+7*9</f>
        <v>46090</v>
      </c>
      <c r="C15" s="27">
        <f>SUMIFS(Erfassung!$E$4:$E$54,Erfassung!$A$4:$A$54,$A15,Erfassung!$B$4:$B$54,"Einzahlung")</f>
        <v>14000</v>
      </c>
      <c r="D15" s="27" t="str">
        <f>IF($A15&lt;=Einstellungen!$D$11,SUMIFS(Erfassung!$F$4:$F$54,Erfassung!$A$4:$A$54,$A15,Erfassung!$B$4:$B$54,"Einzahlung"),"")</f>
        <v/>
      </c>
      <c r="E15" s="27">
        <f>SUMIFS(Erfassung!$E$4:$E$54,Erfassung!$A$4:$A$54,$A15,Erfassung!$B$4:$B$54,"Auszahlung")</f>
        <v>23500</v>
      </c>
      <c r="F15" s="27" t="str">
        <f>IF($A15&lt;=Einstellungen!$D$11,SUMIFS(Erfassung!$F$4:$F$54,Erfassung!$A$4:$A$54,$A15,Erfassung!$B$4:$B$54,"Auszahlung"),"")</f>
        <v/>
      </c>
      <c r="G15" s="27">
        <f t="shared" si="0"/>
        <v>-9500</v>
      </c>
      <c r="H15" s="27" t="str">
        <f>IF($A15&lt;=Einstellungen!$D$11,$D15-$F15,"")</f>
        <v/>
      </c>
      <c r="I15" s="28">
        <f t="shared" si="1"/>
        <v>22800</v>
      </c>
      <c r="J15" s="29" t="str">
        <f>IF($A15&lt;=Einstellungen!$D$11,$J14+$H15,"")</f>
        <v/>
      </c>
      <c r="K15" s="27" t="str">
        <f>IF($A15&lt;=Einstellungen!$D$11,$J15-$I15,"")</f>
        <v/>
      </c>
      <c r="L15" s="30" t="str">
        <f>IF(IF($A15&lt;=Einstellungen!$D$11,$J15,$I15)&lt;0,"KRITISCH",IF(IF($A15&lt;=Einstellungen!$D$11,$J15,$I15)&lt;Einstellungen!$D$10,"WARNUNG","OK"))</f>
        <v>OK</v>
      </c>
    </row>
    <row r="16" spans="1:20" x14ac:dyDescent="0.25">
      <c r="A16" s="18">
        <v>11</v>
      </c>
      <c r="B16" s="19">
        <f>Einstellungen!$D$7+7*10</f>
        <v>46097</v>
      </c>
      <c r="C16" s="20">
        <f>SUMIFS(Erfassung!$E$4:$E$54,Erfassung!$A$4:$A$54,$A16,Erfassung!$B$4:$B$54,"Einzahlung")</f>
        <v>13000</v>
      </c>
      <c r="D16" s="20" t="str">
        <f>IF($A16&lt;=Einstellungen!$D$11,SUMIFS(Erfassung!$F$4:$F$54,Erfassung!$A$4:$A$54,$A16,Erfassung!$B$4:$B$54,"Einzahlung"),"")</f>
        <v/>
      </c>
      <c r="E16" s="20">
        <f>SUMIFS(Erfassung!$E$4:$E$54,Erfassung!$A$4:$A$54,$A16,Erfassung!$B$4:$B$54,"Auszahlung")</f>
        <v>7800</v>
      </c>
      <c r="F16" s="20" t="str">
        <f>IF($A16&lt;=Einstellungen!$D$11,SUMIFS(Erfassung!$F$4:$F$54,Erfassung!$A$4:$A$54,$A16,Erfassung!$B$4:$B$54,"Auszahlung"),"")</f>
        <v/>
      </c>
      <c r="G16" s="20">
        <f t="shared" si="0"/>
        <v>5200</v>
      </c>
      <c r="H16" s="20" t="str">
        <f>IF($A16&lt;=Einstellungen!$D$11,$D16-$F16,"")</f>
        <v/>
      </c>
      <c r="I16" s="21">
        <f t="shared" si="1"/>
        <v>28000</v>
      </c>
      <c r="J16" s="22" t="str">
        <f>IF($A16&lt;=Einstellungen!$D$11,$J15+$H16,"")</f>
        <v/>
      </c>
      <c r="K16" s="20" t="str">
        <f>IF($A16&lt;=Einstellungen!$D$11,$J16-$I16,"")</f>
        <v/>
      </c>
      <c r="L16" s="23" t="str">
        <f>IF(IF($A16&lt;=Einstellungen!$D$11,$J16,$I16)&lt;0,"KRITISCH",IF(IF($A16&lt;=Einstellungen!$D$11,$J16,$I16)&lt;Einstellungen!$D$10,"WARNUNG","OK"))</f>
        <v>OK</v>
      </c>
    </row>
    <row r="17" spans="1:12" x14ac:dyDescent="0.25">
      <c r="A17" s="25">
        <v>12</v>
      </c>
      <c r="B17" s="26">
        <f>Einstellungen!$D$7+7*11</f>
        <v>46104</v>
      </c>
      <c r="C17" s="27">
        <f>SUMIFS(Erfassung!$E$4:$E$54,Erfassung!$A$4:$A$54,$A17,Erfassung!$B$4:$B$54,"Einzahlung")</f>
        <v>15500</v>
      </c>
      <c r="D17" s="27" t="str">
        <f>IF($A17&lt;=Einstellungen!$D$11,SUMIFS(Erfassung!$F$4:$F$54,Erfassung!$A$4:$A$54,$A17,Erfassung!$B$4:$B$54,"Einzahlung"),"")</f>
        <v/>
      </c>
      <c r="E17" s="27">
        <f>SUMIFS(Erfassung!$E$4:$E$54,Erfassung!$A$4:$A$54,$A17,Erfassung!$B$4:$B$54,"Auszahlung")</f>
        <v>4500</v>
      </c>
      <c r="F17" s="27" t="str">
        <f>IF($A17&lt;=Einstellungen!$D$11,SUMIFS(Erfassung!$F$4:$F$54,Erfassung!$A$4:$A$54,$A17,Erfassung!$B$4:$B$54,"Auszahlung"),"")</f>
        <v/>
      </c>
      <c r="G17" s="27">
        <f t="shared" si="0"/>
        <v>11000</v>
      </c>
      <c r="H17" s="27" t="str">
        <f>IF($A17&lt;=Einstellungen!$D$11,$D17-$F17,"")</f>
        <v/>
      </c>
      <c r="I17" s="28">
        <f t="shared" si="1"/>
        <v>39000</v>
      </c>
      <c r="J17" s="29" t="str">
        <f>IF($A17&lt;=Einstellungen!$D$11,$J16+$H17,"")</f>
        <v/>
      </c>
      <c r="K17" s="27" t="str">
        <f>IF($A17&lt;=Einstellungen!$D$11,$J17-$I17,"")</f>
        <v/>
      </c>
      <c r="L17" s="30" t="str">
        <f>IF(IF($A17&lt;=Einstellungen!$D$11,$J17,$I17)&lt;0,"KRITISCH",IF(IF($A17&lt;=Einstellungen!$D$11,$J17,$I17)&lt;Einstellungen!$D$10,"WARNUNG","OK"))</f>
        <v>OK</v>
      </c>
    </row>
    <row r="18" spans="1:12" x14ac:dyDescent="0.25">
      <c r="A18" s="18">
        <v>13</v>
      </c>
      <c r="B18" s="19">
        <f>Einstellungen!$D$7+7*12</f>
        <v>46111</v>
      </c>
      <c r="C18" s="20">
        <f>SUMIFS(Erfassung!$E$4:$E$54,Erfassung!$A$4:$A$54,$A18,Erfassung!$B$4:$B$54,"Einzahlung")</f>
        <v>12500</v>
      </c>
      <c r="D18" s="20" t="str">
        <f>IF($A18&lt;=Einstellungen!$D$11,SUMIFS(Erfassung!$F$4:$F$54,Erfassung!$A$4:$A$54,$A18,Erfassung!$B$4:$B$54,"Einzahlung"),"")</f>
        <v/>
      </c>
      <c r="E18" s="20">
        <f>SUMIFS(Erfassung!$E$4:$E$54,Erfassung!$A$4:$A$54,$A18,Erfassung!$B$4:$B$54,"Auszahlung")</f>
        <v>8200</v>
      </c>
      <c r="F18" s="20" t="str">
        <f>IF($A18&lt;=Einstellungen!$D$11,SUMIFS(Erfassung!$F$4:$F$54,Erfassung!$A$4:$A$54,$A18,Erfassung!$B$4:$B$54,"Auszahlung"),"")</f>
        <v/>
      </c>
      <c r="G18" s="20">
        <f t="shared" si="0"/>
        <v>4300</v>
      </c>
      <c r="H18" s="20" t="str">
        <f>IF($A18&lt;=Einstellungen!$D$11,$D18-$F18,"")</f>
        <v/>
      </c>
      <c r="I18" s="21">
        <f t="shared" si="1"/>
        <v>43300</v>
      </c>
      <c r="J18" s="22" t="str">
        <f>IF($A18&lt;=Einstellungen!$D$11,$J17+$H18,"")</f>
        <v/>
      </c>
      <c r="K18" s="20" t="str">
        <f>IF($A18&lt;=Einstellungen!$D$11,$J18-$I18,"")</f>
        <v/>
      </c>
      <c r="L18" s="23" t="str">
        <f>IF(IF($A18&lt;=Einstellungen!$D$11,$J18,$I18)&lt;0,"KRITISCH",IF(IF($A18&lt;=Einstellungen!$D$11,$J18,$I18)&lt;Einstellungen!$D$10,"WARNUNG","OK"))</f>
        <v>OK</v>
      </c>
    </row>
    <row r="20" spans="1:12" ht="15.75" x14ac:dyDescent="0.25">
      <c r="A20" s="11" t="s">
        <v>10</v>
      </c>
      <c r="B20" s="11"/>
      <c r="C20" s="11"/>
    </row>
    <row r="21" spans="1:12" x14ac:dyDescent="0.25">
      <c r="A21" s="10" t="s">
        <v>11</v>
      </c>
      <c r="B21" s="10"/>
      <c r="C21" s="10"/>
      <c r="D21" s="9">
        <f>Einstellungen!$D$8</f>
        <v>55000</v>
      </c>
      <c r="E21" s="9"/>
    </row>
    <row r="22" spans="1:12" x14ac:dyDescent="0.25">
      <c r="A22" s="8" t="s">
        <v>12</v>
      </c>
      <c r="B22" s="8"/>
      <c r="C22" s="8"/>
      <c r="D22" s="7">
        <f>$I18</f>
        <v>43300</v>
      </c>
      <c r="E22" s="7"/>
    </row>
    <row r="23" spans="1:12" x14ac:dyDescent="0.25">
      <c r="A23" s="10" t="s">
        <v>13</v>
      </c>
      <c r="B23" s="10"/>
      <c r="C23" s="10"/>
      <c r="D23" s="9">
        <f>MIN($I6:$I18)</f>
        <v>16200</v>
      </c>
      <c r="E23" s="9"/>
    </row>
    <row r="24" spans="1:12" x14ac:dyDescent="0.25">
      <c r="A24" s="8" t="s">
        <v>14</v>
      </c>
      <c r="B24" s="8"/>
      <c r="C24" s="8"/>
      <c r="D24" s="6">
        <f>COUNTIF($L6:$L18,"WARNUNG")+COUNTIF($L6:$L18,"KRITISCH")</f>
        <v>1</v>
      </c>
      <c r="E24" s="6"/>
    </row>
    <row r="25" spans="1:12" x14ac:dyDescent="0.25">
      <c r="A25" s="10" t="s">
        <v>15</v>
      </c>
      <c r="B25" s="10"/>
      <c r="C25" s="10"/>
      <c r="D25" s="9">
        <f>IFERROR(AVERAGE($K6:$K18),0)</f>
        <v>-2810</v>
      </c>
      <c r="E25" s="9"/>
    </row>
    <row r="26" spans="1:12" x14ac:dyDescent="0.25">
      <c r="A26" s="8" t="s">
        <v>16</v>
      </c>
      <c r="B26" s="8"/>
      <c r="C26" s="8"/>
      <c r="D26" s="7">
        <f>MIN($I6:$I18)+Einstellungen!$D$9</f>
        <v>56200</v>
      </c>
      <c r="E26" s="7"/>
    </row>
  </sheetData>
  <mergeCells count="23">
    <mergeCell ref="A26:C26"/>
    <mergeCell ref="D26:E26"/>
    <mergeCell ref="A23:C23"/>
    <mergeCell ref="D23:E23"/>
    <mergeCell ref="A24:C24"/>
    <mergeCell ref="D24:E24"/>
    <mergeCell ref="A25:C25"/>
    <mergeCell ref="D25:E25"/>
    <mergeCell ref="A20:C20"/>
    <mergeCell ref="A21:C21"/>
    <mergeCell ref="D21:E21"/>
    <mergeCell ref="A22:C22"/>
    <mergeCell ref="D22:E22"/>
    <mergeCell ref="A1:L1"/>
    <mergeCell ref="A2:L2"/>
    <mergeCell ref="A4:A5"/>
    <mergeCell ref="B4:B5"/>
    <mergeCell ref="C4:D4"/>
    <mergeCell ref="E4:F4"/>
    <mergeCell ref="G4:H4"/>
    <mergeCell ref="I4:J4"/>
    <mergeCell ref="K4:K5"/>
    <mergeCell ref="L4:L5"/>
  </mergeCells>
  <conditionalFormatting sqref="I6:I18">
    <cfRule type="cellIs" dxfId="3" priority="6" operator="lessThan">
      <formula>0</formula>
    </cfRule>
  </conditionalFormatting>
  <conditionalFormatting sqref="L6:L18">
    <cfRule type="cellIs" dxfId="2" priority="2" operator="equal">
      <formula>"OK"</formula>
    </cfRule>
    <cfRule type="cellIs" dxfId="1" priority="3" operator="equal">
      <formula>"WARNUNG"</formula>
    </cfRule>
    <cfRule type="cellIs" dxfId="0" priority="4" operator="equal">
      <formula>"KRITISCH"</formula>
    </cfRule>
  </conditionalFormatting>
  <pageMargins left="0.75" right="0.75" top="1" bottom="1" header="0.511811023622047" footer="0.511811023622047"/>
  <pageSetup fitToHeight="0" orientation="landscape" horizontalDpi="300" verticalDpi="300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lessThan" id="{00000000-000E-0000-0000-000005000000}">
            <xm:f>Einstellungen!$D$10</xm:f>
            <x14:dxf>
              <fill>
                <patternFill>
                  <bgColor rgb="FFFBF1DF"/>
                </patternFill>
              </fill>
            </x14:dxf>
          </x14:cfRule>
          <xm:sqref>I6:I18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8" customWidth="1"/>
    <col min="2" max="2" width="13" customWidth="1"/>
    <col min="3" max="3" width="22" customWidth="1"/>
    <col min="4" max="4" width="32" customWidth="1"/>
    <col min="5" max="6" width="15" customWidth="1"/>
  </cols>
  <sheetData>
    <row r="1" spans="1:6" ht="27.75" customHeight="1" x14ac:dyDescent="0.25">
      <c r="A1" s="14" t="s">
        <v>17</v>
      </c>
      <c r="B1" s="14"/>
      <c r="C1" s="14"/>
      <c r="D1" s="14"/>
      <c r="E1" s="14"/>
      <c r="F1" s="14"/>
    </row>
    <row r="2" spans="1:6" x14ac:dyDescent="0.25">
      <c r="A2" s="5" t="s">
        <v>18</v>
      </c>
      <c r="B2" s="5"/>
      <c r="C2" s="5"/>
      <c r="D2" s="5"/>
      <c r="E2" s="5"/>
      <c r="F2" s="5"/>
    </row>
    <row r="3" spans="1:6" ht="21.75" customHeight="1" x14ac:dyDescent="0.25">
      <c r="A3" s="15" t="s">
        <v>0</v>
      </c>
      <c r="B3" s="15" t="s">
        <v>19</v>
      </c>
      <c r="C3" s="15" t="s">
        <v>20</v>
      </c>
      <c r="D3" s="15" t="s">
        <v>21</v>
      </c>
      <c r="E3" s="15" t="s">
        <v>22</v>
      </c>
      <c r="F3" s="15" t="s">
        <v>23</v>
      </c>
    </row>
    <row r="4" spans="1:6" x14ac:dyDescent="0.25">
      <c r="A4" s="31">
        <v>1</v>
      </c>
      <c r="B4" s="31" t="s">
        <v>24</v>
      </c>
      <c r="C4" s="32" t="s">
        <v>25</v>
      </c>
      <c r="D4" s="32" t="s">
        <v>26</v>
      </c>
      <c r="E4" s="20">
        <v>16000</v>
      </c>
      <c r="F4" s="20">
        <v>15200</v>
      </c>
    </row>
    <row r="5" spans="1:6" x14ac:dyDescent="0.25">
      <c r="A5" s="33">
        <v>1</v>
      </c>
      <c r="B5" s="33" t="s">
        <v>24</v>
      </c>
      <c r="C5" s="34" t="s">
        <v>27</v>
      </c>
      <c r="D5" s="34" t="s">
        <v>28</v>
      </c>
      <c r="E5" s="27">
        <v>4000</v>
      </c>
      <c r="F5" s="27">
        <v>4350</v>
      </c>
    </row>
    <row r="6" spans="1:6" x14ac:dyDescent="0.25">
      <c r="A6" s="31">
        <v>1</v>
      </c>
      <c r="B6" s="31" t="s">
        <v>29</v>
      </c>
      <c r="C6" s="32" t="s">
        <v>30</v>
      </c>
      <c r="D6" s="32" t="s">
        <v>31</v>
      </c>
      <c r="E6" s="20">
        <v>9000</v>
      </c>
      <c r="F6" s="20">
        <v>9400</v>
      </c>
    </row>
    <row r="7" spans="1:6" x14ac:dyDescent="0.25">
      <c r="A7" s="33">
        <v>1</v>
      </c>
      <c r="B7" s="33" t="s">
        <v>29</v>
      </c>
      <c r="C7" s="34" t="s">
        <v>32</v>
      </c>
      <c r="D7" s="34" t="s">
        <v>33</v>
      </c>
      <c r="E7" s="27">
        <v>4500</v>
      </c>
      <c r="F7" s="27">
        <v>4500</v>
      </c>
    </row>
    <row r="8" spans="1:6" x14ac:dyDescent="0.25">
      <c r="A8" s="31">
        <v>2</v>
      </c>
      <c r="B8" s="31" t="s">
        <v>24</v>
      </c>
      <c r="C8" s="32" t="s">
        <v>25</v>
      </c>
      <c r="D8" s="32" t="s">
        <v>26</v>
      </c>
      <c r="E8" s="20">
        <v>12000</v>
      </c>
      <c r="F8" s="20">
        <v>11800</v>
      </c>
    </row>
    <row r="9" spans="1:6" x14ac:dyDescent="0.25">
      <c r="A9" s="33">
        <v>2</v>
      </c>
      <c r="B9" s="33" t="s">
        <v>29</v>
      </c>
      <c r="C9" s="34" t="s">
        <v>34</v>
      </c>
      <c r="D9" s="34" t="s">
        <v>35</v>
      </c>
      <c r="E9" s="27">
        <v>18000</v>
      </c>
      <c r="F9" s="27">
        <v>18200</v>
      </c>
    </row>
    <row r="10" spans="1:6" x14ac:dyDescent="0.25">
      <c r="A10" s="31">
        <v>2</v>
      </c>
      <c r="B10" s="31" t="s">
        <v>29</v>
      </c>
      <c r="C10" s="32" t="s">
        <v>36</v>
      </c>
      <c r="D10" s="32" t="s">
        <v>37</v>
      </c>
      <c r="E10" s="20">
        <v>5500</v>
      </c>
      <c r="F10" s="20">
        <v>5500</v>
      </c>
    </row>
    <row r="11" spans="1:6" x14ac:dyDescent="0.25">
      <c r="A11" s="33">
        <v>3</v>
      </c>
      <c r="B11" s="33" t="s">
        <v>24</v>
      </c>
      <c r="C11" s="34" t="s">
        <v>25</v>
      </c>
      <c r="D11" s="34" t="s">
        <v>26</v>
      </c>
      <c r="E11" s="27">
        <v>14000</v>
      </c>
      <c r="F11" s="27">
        <v>13100</v>
      </c>
    </row>
    <row r="12" spans="1:6" x14ac:dyDescent="0.25">
      <c r="A12" s="31">
        <v>3</v>
      </c>
      <c r="B12" s="31" t="s">
        <v>29</v>
      </c>
      <c r="C12" s="32" t="s">
        <v>30</v>
      </c>
      <c r="D12" s="32" t="s">
        <v>31</v>
      </c>
      <c r="E12" s="20">
        <v>7500</v>
      </c>
      <c r="F12" s="20">
        <v>8200</v>
      </c>
    </row>
    <row r="13" spans="1:6" x14ac:dyDescent="0.25">
      <c r="A13" s="33">
        <v>3</v>
      </c>
      <c r="B13" s="33" t="s">
        <v>29</v>
      </c>
      <c r="C13" s="34" t="s">
        <v>36</v>
      </c>
      <c r="D13" s="34" t="s">
        <v>38</v>
      </c>
      <c r="E13" s="27">
        <v>6800</v>
      </c>
      <c r="F13" s="27">
        <v>6800</v>
      </c>
    </row>
    <row r="14" spans="1:6" x14ac:dyDescent="0.25">
      <c r="A14" s="31">
        <v>4</v>
      </c>
      <c r="B14" s="31" t="s">
        <v>24</v>
      </c>
      <c r="C14" s="32" t="s">
        <v>25</v>
      </c>
      <c r="D14" s="32" t="s">
        <v>26</v>
      </c>
      <c r="E14" s="20">
        <v>10500</v>
      </c>
      <c r="F14" s="20">
        <v>9900</v>
      </c>
    </row>
    <row r="15" spans="1:6" x14ac:dyDescent="0.25">
      <c r="A15" s="33">
        <v>4</v>
      </c>
      <c r="B15" s="33" t="s">
        <v>24</v>
      </c>
      <c r="C15" s="34" t="s">
        <v>39</v>
      </c>
      <c r="D15" s="34" t="s">
        <v>40</v>
      </c>
      <c r="E15" s="27">
        <v>5000</v>
      </c>
      <c r="F15" s="27">
        <v>5000</v>
      </c>
    </row>
    <row r="16" spans="1:6" x14ac:dyDescent="0.25">
      <c r="A16" s="31">
        <v>4</v>
      </c>
      <c r="B16" s="31" t="s">
        <v>29</v>
      </c>
      <c r="C16" s="32" t="s">
        <v>30</v>
      </c>
      <c r="D16" s="32" t="s">
        <v>31</v>
      </c>
      <c r="E16" s="20">
        <v>8800</v>
      </c>
      <c r="F16" s="20">
        <v>9100</v>
      </c>
    </row>
    <row r="17" spans="1:6" x14ac:dyDescent="0.25">
      <c r="A17" s="33">
        <v>5</v>
      </c>
      <c r="B17" s="33" t="s">
        <v>24</v>
      </c>
      <c r="C17" s="34" t="s">
        <v>25</v>
      </c>
      <c r="D17" s="34" t="s">
        <v>26</v>
      </c>
      <c r="E17" s="27">
        <v>13500</v>
      </c>
      <c r="F17" s="27">
        <v>12600</v>
      </c>
    </row>
    <row r="18" spans="1:6" x14ac:dyDescent="0.25">
      <c r="A18" s="31">
        <v>5</v>
      </c>
      <c r="B18" s="31" t="s">
        <v>29</v>
      </c>
      <c r="C18" s="32" t="s">
        <v>41</v>
      </c>
      <c r="D18" s="32" t="s">
        <v>42</v>
      </c>
      <c r="E18" s="20">
        <v>3200</v>
      </c>
      <c r="F18" s="20">
        <v>3300</v>
      </c>
    </row>
    <row r="19" spans="1:6" x14ac:dyDescent="0.25">
      <c r="A19" s="33">
        <v>5</v>
      </c>
      <c r="B19" s="33" t="s">
        <v>29</v>
      </c>
      <c r="C19" s="34" t="s">
        <v>30</v>
      </c>
      <c r="D19" s="34" t="s">
        <v>31</v>
      </c>
      <c r="E19" s="27">
        <v>7000</v>
      </c>
      <c r="F19" s="27">
        <v>7600</v>
      </c>
    </row>
    <row r="20" spans="1:6" x14ac:dyDescent="0.25">
      <c r="A20" s="31">
        <v>6</v>
      </c>
      <c r="B20" s="31" t="s">
        <v>24</v>
      </c>
      <c r="C20" s="32" t="s">
        <v>25</v>
      </c>
      <c r="D20" s="32" t="s">
        <v>26</v>
      </c>
      <c r="E20" s="20">
        <v>15000</v>
      </c>
      <c r="F20" s="20"/>
    </row>
    <row r="21" spans="1:6" x14ac:dyDescent="0.25">
      <c r="A21" s="33">
        <v>6</v>
      </c>
      <c r="B21" s="33" t="s">
        <v>29</v>
      </c>
      <c r="C21" s="34" t="s">
        <v>34</v>
      </c>
      <c r="D21" s="34" t="s">
        <v>35</v>
      </c>
      <c r="E21" s="27">
        <v>18000</v>
      </c>
      <c r="F21" s="27"/>
    </row>
    <row r="22" spans="1:6" x14ac:dyDescent="0.25">
      <c r="A22" s="31">
        <v>6</v>
      </c>
      <c r="B22" s="31" t="s">
        <v>29</v>
      </c>
      <c r="C22" s="32" t="s">
        <v>32</v>
      </c>
      <c r="D22" s="32" t="s">
        <v>33</v>
      </c>
      <c r="E22" s="20">
        <v>4500</v>
      </c>
      <c r="F22" s="20"/>
    </row>
    <row r="23" spans="1:6" x14ac:dyDescent="0.25">
      <c r="A23" s="33">
        <v>7</v>
      </c>
      <c r="B23" s="33" t="s">
        <v>24</v>
      </c>
      <c r="C23" s="34" t="s">
        <v>25</v>
      </c>
      <c r="D23" s="34" t="s">
        <v>26</v>
      </c>
      <c r="E23" s="27">
        <v>12000</v>
      </c>
      <c r="F23" s="27"/>
    </row>
    <row r="24" spans="1:6" x14ac:dyDescent="0.25">
      <c r="A24" s="31">
        <v>7</v>
      </c>
      <c r="B24" s="31" t="s">
        <v>29</v>
      </c>
      <c r="C24" s="32" t="s">
        <v>36</v>
      </c>
      <c r="D24" s="32" t="s">
        <v>43</v>
      </c>
      <c r="E24" s="20">
        <v>40000</v>
      </c>
      <c r="F24" s="20"/>
    </row>
    <row r="25" spans="1:6" x14ac:dyDescent="0.25">
      <c r="A25" s="33">
        <v>7</v>
      </c>
      <c r="B25" s="33" t="s">
        <v>29</v>
      </c>
      <c r="C25" s="34" t="s">
        <v>30</v>
      </c>
      <c r="D25" s="34" t="s">
        <v>31</v>
      </c>
      <c r="E25" s="27">
        <v>8000</v>
      </c>
      <c r="F25" s="27"/>
    </row>
    <row r="26" spans="1:6" x14ac:dyDescent="0.25">
      <c r="A26" s="31">
        <v>8</v>
      </c>
      <c r="B26" s="31" t="s">
        <v>24</v>
      </c>
      <c r="C26" s="32" t="s">
        <v>25</v>
      </c>
      <c r="D26" s="32" t="s">
        <v>26</v>
      </c>
      <c r="E26" s="20">
        <v>16500</v>
      </c>
      <c r="F26" s="20"/>
    </row>
    <row r="27" spans="1:6" x14ac:dyDescent="0.25">
      <c r="A27" s="33">
        <v>8</v>
      </c>
      <c r="B27" s="33" t="s">
        <v>29</v>
      </c>
      <c r="C27" s="34" t="s">
        <v>30</v>
      </c>
      <c r="D27" s="34" t="s">
        <v>31</v>
      </c>
      <c r="E27" s="27">
        <v>9000</v>
      </c>
      <c r="F27" s="27"/>
    </row>
    <row r="28" spans="1:6" x14ac:dyDescent="0.25">
      <c r="A28" s="31">
        <v>9</v>
      </c>
      <c r="B28" s="31" t="s">
        <v>24</v>
      </c>
      <c r="C28" s="32" t="s">
        <v>25</v>
      </c>
      <c r="D28" s="32" t="s">
        <v>26</v>
      </c>
      <c r="E28" s="20">
        <v>11000</v>
      </c>
      <c r="F28" s="20"/>
    </row>
    <row r="29" spans="1:6" x14ac:dyDescent="0.25">
      <c r="A29" s="33">
        <v>9</v>
      </c>
      <c r="B29" s="33" t="s">
        <v>29</v>
      </c>
      <c r="C29" s="34" t="s">
        <v>41</v>
      </c>
      <c r="D29" s="34" t="s">
        <v>44</v>
      </c>
      <c r="E29" s="27">
        <v>2400</v>
      </c>
      <c r="F29" s="27"/>
    </row>
    <row r="30" spans="1:6" x14ac:dyDescent="0.25">
      <c r="A30" s="31">
        <v>10</v>
      </c>
      <c r="B30" s="31" t="s">
        <v>24</v>
      </c>
      <c r="C30" s="32" t="s">
        <v>25</v>
      </c>
      <c r="D30" s="32" t="s">
        <v>26</v>
      </c>
      <c r="E30" s="20">
        <v>14000</v>
      </c>
      <c r="F30" s="20"/>
    </row>
    <row r="31" spans="1:6" x14ac:dyDescent="0.25">
      <c r="A31" s="33">
        <v>10</v>
      </c>
      <c r="B31" s="33" t="s">
        <v>29</v>
      </c>
      <c r="C31" s="34" t="s">
        <v>34</v>
      </c>
      <c r="D31" s="34" t="s">
        <v>35</v>
      </c>
      <c r="E31" s="27">
        <v>18000</v>
      </c>
      <c r="F31" s="27"/>
    </row>
    <row r="32" spans="1:6" x14ac:dyDescent="0.25">
      <c r="A32" s="31">
        <v>10</v>
      </c>
      <c r="B32" s="31" t="s">
        <v>29</v>
      </c>
      <c r="C32" s="32" t="s">
        <v>36</v>
      </c>
      <c r="D32" s="32" t="s">
        <v>37</v>
      </c>
      <c r="E32" s="20">
        <v>5500</v>
      </c>
      <c r="F32" s="20"/>
    </row>
    <row r="33" spans="1:6" x14ac:dyDescent="0.25">
      <c r="A33" s="33">
        <v>11</v>
      </c>
      <c r="B33" s="33" t="s">
        <v>24</v>
      </c>
      <c r="C33" s="34" t="s">
        <v>25</v>
      </c>
      <c r="D33" s="34" t="s">
        <v>26</v>
      </c>
      <c r="E33" s="27">
        <v>13000</v>
      </c>
      <c r="F33" s="27"/>
    </row>
    <row r="34" spans="1:6" x14ac:dyDescent="0.25">
      <c r="A34" s="31">
        <v>11</v>
      </c>
      <c r="B34" s="31" t="s">
        <v>29</v>
      </c>
      <c r="C34" s="32" t="s">
        <v>30</v>
      </c>
      <c r="D34" s="32" t="s">
        <v>31</v>
      </c>
      <c r="E34" s="20">
        <v>7800</v>
      </c>
      <c r="F34" s="20"/>
    </row>
    <row r="35" spans="1:6" x14ac:dyDescent="0.25">
      <c r="A35" s="33">
        <v>12</v>
      </c>
      <c r="B35" s="33" t="s">
        <v>24</v>
      </c>
      <c r="C35" s="34" t="s">
        <v>25</v>
      </c>
      <c r="D35" s="34" t="s">
        <v>26</v>
      </c>
      <c r="E35" s="27">
        <v>15500</v>
      </c>
      <c r="F35" s="27"/>
    </row>
    <row r="36" spans="1:6" x14ac:dyDescent="0.25">
      <c r="A36" s="31">
        <v>12</v>
      </c>
      <c r="B36" s="31" t="s">
        <v>29</v>
      </c>
      <c r="C36" s="32" t="s">
        <v>32</v>
      </c>
      <c r="D36" s="32" t="s">
        <v>33</v>
      </c>
      <c r="E36" s="20">
        <v>4500</v>
      </c>
      <c r="F36" s="20"/>
    </row>
    <row r="37" spans="1:6" x14ac:dyDescent="0.25">
      <c r="A37" s="33">
        <v>13</v>
      </c>
      <c r="B37" s="33" t="s">
        <v>24</v>
      </c>
      <c r="C37" s="34" t="s">
        <v>25</v>
      </c>
      <c r="D37" s="34" t="s">
        <v>26</v>
      </c>
      <c r="E37" s="27">
        <v>12500</v>
      </c>
      <c r="F37" s="27"/>
    </row>
    <row r="38" spans="1:6" x14ac:dyDescent="0.25">
      <c r="A38" s="31">
        <v>13</v>
      </c>
      <c r="B38" s="31" t="s">
        <v>29</v>
      </c>
      <c r="C38" s="32" t="s">
        <v>30</v>
      </c>
      <c r="D38" s="32" t="s">
        <v>31</v>
      </c>
      <c r="E38" s="20">
        <v>8200</v>
      </c>
      <c r="F38" s="20"/>
    </row>
    <row r="39" spans="1:6" x14ac:dyDescent="0.25">
      <c r="A39" s="33"/>
      <c r="B39" s="33"/>
      <c r="C39" s="34"/>
      <c r="D39" s="34"/>
      <c r="E39" s="27"/>
      <c r="F39" s="27"/>
    </row>
    <row r="40" spans="1:6" x14ac:dyDescent="0.25">
      <c r="A40" s="31"/>
      <c r="B40" s="31"/>
      <c r="C40" s="32"/>
      <c r="D40" s="32"/>
      <c r="E40" s="20"/>
      <c r="F40" s="20"/>
    </row>
    <row r="41" spans="1:6" x14ac:dyDescent="0.25">
      <c r="A41" s="33"/>
      <c r="B41" s="33"/>
      <c r="C41" s="34"/>
      <c r="D41" s="34"/>
      <c r="E41" s="27"/>
      <c r="F41" s="27"/>
    </row>
    <row r="42" spans="1:6" x14ac:dyDescent="0.25">
      <c r="A42" s="31"/>
      <c r="B42" s="31"/>
      <c r="C42" s="32"/>
      <c r="D42" s="32"/>
      <c r="E42" s="20"/>
      <c r="F42" s="20"/>
    </row>
    <row r="43" spans="1:6" x14ac:dyDescent="0.25">
      <c r="A43" s="33"/>
      <c r="B43" s="33"/>
      <c r="C43" s="34"/>
      <c r="D43" s="34"/>
      <c r="E43" s="27"/>
      <c r="F43" s="27"/>
    </row>
    <row r="44" spans="1:6" x14ac:dyDescent="0.25">
      <c r="A44" s="31"/>
      <c r="B44" s="31"/>
      <c r="C44" s="32"/>
      <c r="D44" s="32"/>
      <c r="E44" s="20"/>
      <c r="F44" s="20"/>
    </row>
    <row r="45" spans="1:6" x14ac:dyDescent="0.25">
      <c r="A45" s="33"/>
      <c r="B45" s="33"/>
      <c r="C45" s="34"/>
      <c r="D45" s="34"/>
      <c r="E45" s="27"/>
      <c r="F45" s="27"/>
    </row>
    <row r="46" spans="1:6" x14ac:dyDescent="0.25">
      <c r="A46" s="31"/>
      <c r="B46" s="31"/>
      <c r="C46" s="32"/>
      <c r="D46" s="32"/>
      <c r="E46" s="20"/>
      <c r="F46" s="20"/>
    </row>
    <row r="47" spans="1:6" x14ac:dyDescent="0.25">
      <c r="A47" s="33"/>
      <c r="B47" s="33"/>
      <c r="C47" s="34"/>
      <c r="D47" s="34"/>
      <c r="E47" s="27"/>
      <c r="F47" s="27"/>
    </row>
    <row r="48" spans="1:6" x14ac:dyDescent="0.25">
      <c r="A48" s="31"/>
      <c r="B48" s="31"/>
      <c r="C48" s="32"/>
      <c r="D48" s="32"/>
      <c r="E48" s="20"/>
      <c r="F48" s="20"/>
    </row>
    <row r="49" spans="1:6" x14ac:dyDescent="0.25">
      <c r="A49" s="33"/>
      <c r="B49" s="33"/>
      <c r="C49" s="34"/>
      <c r="D49" s="34"/>
      <c r="E49" s="27"/>
      <c r="F49" s="27"/>
    </row>
    <row r="50" spans="1:6" x14ac:dyDescent="0.25">
      <c r="A50" s="31"/>
      <c r="B50" s="31"/>
      <c r="C50" s="32"/>
      <c r="D50" s="32"/>
      <c r="E50" s="20"/>
      <c r="F50" s="20"/>
    </row>
    <row r="51" spans="1:6" x14ac:dyDescent="0.25">
      <c r="A51" s="33"/>
      <c r="B51" s="33"/>
      <c r="C51" s="34"/>
      <c r="D51" s="34"/>
      <c r="E51" s="27"/>
      <c r="F51" s="27"/>
    </row>
    <row r="52" spans="1:6" x14ac:dyDescent="0.25">
      <c r="A52" s="31"/>
      <c r="B52" s="31"/>
      <c r="C52" s="32"/>
      <c r="D52" s="32"/>
      <c r="E52" s="20"/>
      <c r="F52" s="20"/>
    </row>
    <row r="53" spans="1:6" x14ac:dyDescent="0.25">
      <c r="A53" s="33"/>
      <c r="B53" s="33"/>
      <c r="C53" s="34"/>
      <c r="D53" s="34"/>
      <c r="E53" s="27"/>
      <c r="F53" s="27"/>
    </row>
  </sheetData>
  <autoFilter ref="A3:F54" xr:uid="{00000000-0009-0000-0000-000001000000}"/>
  <mergeCells count="2">
    <mergeCell ref="A1:F1"/>
    <mergeCell ref="A2:F2"/>
  </mergeCells>
  <dataValidations count="2">
    <dataValidation type="list" allowBlank="1" sqref="B4:B54" xr:uid="{00000000-0002-0000-0100-000000000000}">
      <formula1>"Einzahlung,Auszahlung"</formula1>
      <formula2>0</formula2>
    </dataValidation>
    <dataValidation type="whole" allowBlank="1" showErrorMessage="1" errorTitle="Woche" error="Bitte Woche 1 bis 13 eingeben." sqref="A4:A54" xr:uid="{00000000-0002-0000-0100-000001000000}">
      <formula1>1</formula1>
      <formula2>13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2000000}">
          <x14:formula1>
            <xm:f>Einstellungen!$J$6:$J$13</xm:f>
          </x14:formula1>
          <x14:formula2>
            <xm:f>0</xm:f>
          </x14:formula2>
          <xm:sqref>C4:C54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30" customWidth="1"/>
    <col min="3" max="3" width="12" customWidth="1"/>
    <col min="4" max="4" width="18" customWidth="1"/>
    <col min="5" max="5" width="3" customWidth="1"/>
    <col min="6" max="6" width="22" customWidth="1"/>
    <col min="7" max="7" width="2" customWidth="1"/>
    <col min="8" max="8" width="22" customWidth="1"/>
    <col min="9" max="9" width="2" customWidth="1"/>
    <col min="10" max="10" width="24" customWidth="1"/>
  </cols>
  <sheetData>
    <row r="2" spans="2:10" ht="21" x14ac:dyDescent="0.35">
      <c r="B2" s="4" t="s">
        <v>45</v>
      </c>
      <c r="C2" s="4"/>
      <c r="D2" s="4"/>
      <c r="E2" s="4"/>
      <c r="F2" s="4"/>
    </row>
    <row r="3" spans="2:10" x14ac:dyDescent="0.25">
      <c r="B3" s="3" t="s">
        <v>46</v>
      </c>
      <c r="C3" s="3"/>
      <c r="D3" s="3"/>
      <c r="E3" s="3"/>
      <c r="F3" s="3"/>
    </row>
    <row r="5" spans="2:10" x14ac:dyDescent="0.25">
      <c r="B5" s="2" t="s">
        <v>47</v>
      </c>
      <c r="C5" s="2"/>
      <c r="D5" s="35" t="s">
        <v>48</v>
      </c>
      <c r="F5" s="35" t="s">
        <v>49</v>
      </c>
      <c r="H5" s="35" t="s">
        <v>50</v>
      </c>
      <c r="J5" s="35" t="s">
        <v>51</v>
      </c>
    </row>
    <row r="6" spans="2:10" x14ac:dyDescent="0.25">
      <c r="B6" s="1" t="s">
        <v>52</v>
      </c>
      <c r="C6" s="1"/>
      <c r="D6" s="36" t="s">
        <v>53</v>
      </c>
      <c r="F6" s="37" t="s">
        <v>25</v>
      </c>
      <c r="H6" s="37" t="s">
        <v>30</v>
      </c>
      <c r="J6" s="37" t="s">
        <v>25</v>
      </c>
    </row>
    <row r="7" spans="2:10" x14ac:dyDescent="0.25">
      <c r="B7" s="43" t="s">
        <v>54</v>
      </c>
      <c r="C7" s="43"/>
      <c r="D7" s="38">
        <v>46027</v>
      </c>
      <c r="F7" s="39" t="s">
        <v>27</v>
      </c>
      <c r="H7" s="39" t="s">
        <v>34</v>
      </c>
      <c r="J7" s="39" t="s">
        <v>27</v>
      </c>
    </row>
    <row r="8" spans="2:10" x14ac:dyDescent="0.25">
      <c r="B8" s="1" t="s">
        <v>55</v>
      </c>
      <c r="C8" s="1"/>
      <c r="D8" s="40">
        <v>55000</v>
      </c>
      <c r="F8" s="37" t="s">
        <v>39</v>
      </c>
      <c r="H8" s="37" t="s">
        <v>32</v>
      </c>
      <c r="J8" s="37" t="s">
        <v>39</v>
      </c>
    </row>
    <row r="9" spans="2:10" x14ac:dyDescent="0.25">
      <c r="B9" s="43" t="s">
        <v>56</v>
      </c>
      <c r="C9" s="43"/>
      <c r="D9" s="41">
        <v>40000</v>
      </c>
      <c r="H9" s="39" t="s">
        <v>36</v>
      </c>
      <c r="J9" s="39" t="s">
        <v>30</v>
      </c>
    </row>
    <row r="10" spans="2:10" x14ac:dyDescent="0.25">
      <c r="B10" s="1" t="s">
        <v>57</v>
      </c>
      <c r="C10" s="1"/>
      <c r="D10" s="40">
        <v>18000</v>
      </c>
      <c r="H10" s="37" t="s">
        <v>41</v>
      </c>
      <c r="J10" s="37" t="s">
        <v>34</v>
      </c>
    </row>
    <row r="11" spans="2:10" x14ac:dyDescent="0.25">
      <c r="B11" s="43" t="s">
        <v>58</v>
      </c>
      <c r="C11" s="43"/>
      <c r="D11" s="42">
        <v>5</v>
      </c>
      <c r="J11" s="39" t="s">
        <v>32</v>
      </c>
    </row>
    <row r="12" spans="2:10" x14ac:dyDescent="0.25">
      <c r="J12" s="37" t="s">
        <v>36</v>
      </c>
    </row>
    <row r="13" spans="2:10" ht="15" customHeight="1" x14ac:dyDescent="0.25">
      <c r="B13" s="44" t="s">
        <v>59</v>
      </c>
      <c r="C13" s="44"/>
      <c r="D13" s="44"/>
      <c r="J13" s="39" t="s">
        <v>41</v>
      </c>
    </row>
    <row r="14" spans="2:10" x14ac:dyDescent="0.25">
      <c r="B14" s="44"/>
      <c r="C14" s="44"/>
      <c r="D14" s="44"/>
    </row>
  </sheetData>
  <mergeCells count="10">
    <mergeCell ref="B8:C8"/>
    <mergeCell ref="B9:C9"/>
    <mergeCell ref="B10:C10"/>
    <mergeCell ref="B11:C11"/>
    <mergeCell ref="B13:D14"/>
    <mergeCell ref="B2:F2"/>
    <mergeCell ref="B3:F3"/>
    <mergeCell ref="B5:C5"/>
    <mergeCell ref="B6:C6"/>
    <mergeCell ref="B7:C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Wochenübersicht</vt:lpstr>
      <vt:lpstr>Erfassung</vt:lpstr>
      <vt:lpstr>Einstellungen</vt:lpstr>
      <vt:lpstr>Wochenübersicht!Druckbereich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2026-06-22T06:55:20Z</dcterms:created>
  <dcterms:modified xsi:type="dcterms:W3CDTF">2026-06-22T07:01:59Z</dcterms:modified>
  <dc:language>en-US</dc:language>
</cp:coreProperties>
</file>