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46E82C4-CAAF-4FA9-AD30-CA7D5B63BE0A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Wartungsplan" sheetId="2" r:id="rId2"/>
    <sheet name="Wartungsprotokoll" sheetId="3" r:id="rId3"/>
    <sheet name="Konfiguration" sheetId="4" r:id="rId4"/>
  </sheets>
  <definedNames>
    <definedName name="_xlnm._FilterDatabase" localSheetId="1" hidden="1">Wartungsplan!$A$4:$P$36</definedName>
    <definedName name="_xlnm._FilterDatabase" localSheetId="2" hidden="1">Wartungsprotokoll!$A$4:$K$34</definedName>
    <definedName name="_xlnm.Print_Titles" localSheetId="1">Wartungsplan!$1:$4</definedName>
    <definedName name="_xlnm.Print_Titles" localSheetId="2">Wartungsprotokoll!$1:$4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3" l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36" i="3" s="1"/>
  <c r="I14" i="3"/>
  <c r="I13" i="3"/>
  <c r="I12" i="3"/>
  <c r="I11" i="3"/>
  <c r="I10" i="3"/>
  <c r="I9" i="3"/>
  <c r="I8" i="3"/>
  <c r="I7" i="3"/>
  <c r="I6" i="3"/>
  <c r="I5" i="3"/>
  <c r="O36" i="2"/>
  <c r="M36" i="2"/>
  <c r="K36" i="2"/>
  <c r="L36" i="2" s="1"/>
  <c r="I36" i="2"/>
  <c r="M35" i="2"/>
  <c r="I35" i="2"/>
  <c r="K35" i="2" s="1"/>
  <c r="L35" i="2" s="1"/>
  <c r="M34" i="2"/>
  <c r="I34" i="2"/>
  <c r="O34" i="2" s="1"/>
  <c r="O33" i="2"/>
  <c r="M33" i="2"/>
  <c r="I33" i="2"/>
  <c r="K33" i="2" s="1"/>
  <c r="L33" i="2" s="1"/>
  <c r="O32" i="2"/>
  <c r="M32" i="2"/>
  <c r="K32" i="2"/>
  <c r="L32" i="2" s="1"/>
  <c r="I32" i="2"/>
  <c r="M31" i="2"/>
  <c r="I31" i="2"/>
  <c r="K31" i="2" s="1"/>
  <c r="L31" i="2" s="1"/>
  <c r="M30" i="2"/>
  <c r="I30" i="2"/>
  <c r="O30" i="2" s="1"/>
  <c r="O29" i="2"/>
  <c r="M29" i="2"/>
  <c r="I29" i="2"/>
  <c r="K29" i="2" s="1"/>
  <c r="L29" i="2" s="1"/>
  <c r="O28" i="2"/>
  <c r="M28" i="2"/>
  <c r="K28" i="2"/>
  <c r="L28" i="2" s="1"/>
  <c r="I28" i="2"/>
  <c r="M27" i="2"/>
  <c r="I27" i="2"/>
  <c r="K27" i="2" s="1"/>
  <c r="L27" i="2" s="1"/>
  <c r="M26" i="2"/>
  <c r="I26" i="2"/>
  <c r="O26" i="2" s="1"/>
  <c r="O25" i="2"/>
  <c r="M25" i="2"/>
  <c r="I25" i="2"/>
  <c r="K25" i="2" s="1"/>
  <c r="L25" i="2" s="1"/>
  <c r="O24" i="2"/>
  <c r="M24" i="2"/>
  <c r="K24" i="2"/>
  <c r="L24" i="2" s="1"/>
  <c r="I24" i="2"/>
  <c r="M23" i="2"/>
  <c r="I23" i="2"/>
  <c r="K23" i="2" s="1"/>
  <c r="L23" i="2" s="1"/>
  <c r="M22" i="2"/>
  <c r="I22" i="2"/>
  <c r="O22" i="2" s="1"/>
  <c r="O21" i="2"/>
  <c r="M21" i="2"/>
  <c r="I21" i="2"/>
  <c r="K21" i="2" s="1"/>
  <c r="L21" i="2" s="1"/>
  <c r="O20" i="2"/>
  <c r="M20" i="2"/>
  <c r="K20" i="2"/>
  <c r="L20" i="2" s="1"/>
  <c r="I20" i="2"/>
  <c r="M19" i="2"/>
  <c r="I19" i="2"/>
  <c r="K19" i="2" s="1"/>
  <c r="L19" i="2" s="1"/>
  <c r="M18" i="2"/>
  <c r="I18" i="2"/>
  <c r="O18" i="2" s="1"/>
  <c r="O17" i="2"/>
  <c r="M17" i="2"/>
  <c r="I17" i="2"/>
  <c r="K17" i="2" s="1"/>
  <c r="L17" i="2" s="1"/>
  <c r="O16" i="2"/>
  <c r="K16" i="2"/>
  <c r="L16" i="2" s="1"/>
  <c r="M16" i="2" s="1"/>
  <c r="I16" i="2"/>
  <c r="I15" i="2"/>
  <c r="K15" i="2" s="1"/>
  <c r="L15" i="2" s="1"/>
  <c r="I14" i="2"/>
  <c r="O14" i="2" s="1"/>
  <c r="B36" i="1" s="1"/>
  <c r="I13" i="2"/>
  <c r="O13" i="2" s="1"/>
  <c r="O12" i="2"/>
  <c r="K12" i="2"/>
  <c r="L12" i="2" s="1"/>
  <c r="M12" i="2" s="1"/>
  <c r="I12" i="2"/>
  <c r="I11" i="2"/>
  <c r="K11" i="2" s="1"/>
  <c r="L11" i="2" s="1"/>
  <c r="I10" i="2"/>
  <c r="O10" i="2" s="1"/>
  <c r="I9" i="2"/>
  <c r="O9" i="2" s="1"/>
  <c r="O8" i="2"/>
  <c r="K8" i="2"/>
  <c r="L8" i="2" s="1"/>
  <c r="M8" i="2" s="1"/>
  <c r="I8" i="2"/>
  <c r="I7" i="2"/>
  <c r="K7" i="2" s="1"/>
  <c r="L7" i="2" s="1"/>
  <c r="I6" i="2"/>
  <c r="O6" i="2" s="1"/>
  <c r="I5" i="2"/>
  <c r="O5" i="2" s="1"/>
  <c r="O3" i="2"/>
  <c r="A37" i="1"/>
  <c r="B37" i="1" s="1"/>
  <c r="A36" i="1"/>
  <c r="A35" i="1"/>
  <c r="B35" i="1" s="1"/>
  <c r="A34" i="1"/>
  <c r="B33" i="1"/>
  <c r="A33" i="1"/>
  <c r="B32" i="1"/>
  <c r="A32" i="1"/>
  <c r="A31" i="1"/>
  <c r="A30" i="1"/>
  <c r="B30" i="1" s="1"/>
  <c r="A29" i="1"/>
  <c r="A28" i="1"/>
  <c r="B23" i="1"/>
  <c r="B22" i="1"/>
  <c r="B21" i="1"/>
  <c r="B24" i="1" s="1"/>
  <c r="G8" i="1"/>
  <c r="E8" i="1"/>
  <c r="A5" i="1"/>
  <c r="I2" i="1"/>
  <c r="B34" i="1" l="1"/>
  <c r="C21" i="1"/>
  <c r="M7" i="2"/>
  <c r="M11" i="2"/>
  <c r="M15" i="2"/>
  <c r="O7" i="2"/>
  <c r="O11" i="2"/>
  <c r="O15" i="2"/>
  <c r="B28" i="1" s="1"/>
  <c r="O19" i="2"/>
  <c r="O23" i="2"/>
  <c r="O27" i="2"/>
  <c r="O31" i="2"/>
  <c r="O35" i="2"/>
  <c r="K5" i="2"/>
  <c r="L5" i="2" s="1"/>
  <c r="K9" i="2"/>
  <c r="L9" i="2" s="1"/>
  <c r="M9" i="2" s="1"/>
  <c r="K13" i="2"/>
  <c r="L13" i="2" s="1"/>
  <c r="M13" i="2" s="1"/>
  <c r="K6" i="2"/>
  <c r="L6" i="2" s="1"/>
  <c r="M6" i="2" s="1"/>
  <c r="K10" i="2"/>
  <c r="L10" i="2" s="1"/>
  <c r="M10" i="2" s="1"/>
  <c r="K14" i="2"/>
  <c r="L14" i="2" s="1"/>
  <c r="M14" i="2" s="1"/>
  <c r="K18" i="2"/>
  <c r="L18" i="2" s="1"/>
  <c r="K22" i="2"/>
  <c r="L22" i="2" s="1"/>
  <c r="K26" i="2"/>
  <c r="L26" i="2" s="1"/>
  <c r="K30" i="2"/>
  <c r="L30" i="2" s="1"/>
  <c r="K34" i="2"/>
  <c r="L34" i="2" s="1"/>
  <c r="M5" i="2" l="1"/>
  <c r="C8" i="1"/>
  <c r="B29" i="1"/>
  <c r="C22" i="1"/>
  <c r="C24" i="1" s="1"/>
  <c r="A8" i="1"/>
  <c r="C23" i="1"/>
  <c r="B31" i="1"/>
  <c r="B16" i="1" l="1"/>
  <c r="B15" i="1"/>
  <c r="B14" i="1"/>
  <c r="G5" i="1"/>
  <c r="B13" i="1"/>
  <c r="I5" i="1"/>
  <c r="E5" i="1"/>
  <c r="C5" i="1"/>
  <c r="B17" i="1" l="1"/>
  <c r="C13" i="1" s="1"/>
  <c r="C14" i="1"/>
  <c r="C15" i="1"/>
  <c r="C16" i="1"/>
  <c r="C17" i="1" l="1"/>
</calcChain>
</file>

<file path=xl/sharedStrings.xml><?xml version="1.0" encoding="utf-8"?>
<sst xmlns="http://schemas.openxmlformats.org/spreadsheetml/2006/main" count="327" uniqueCount="180">
  <si>
    <t>Wartungsplan Maschinen &amp; Anlagen  —  Live-Übersicht aller Kennzahlen</t>
  </si>
  <si>
    <t>Stand:</t>
  </si>
  <si>
    <t>KENNZAHLEN AUF EINEN BLICK</t>
  </si>
  <si>
    <t>ANLAGEN GESAMT</t>
  </si>
  <si>
    <t>ÜBERFÄLLIG</t>
  </si>
  <si>
    <t>BALD FÄLLIG</t>
  </si>
  <si>
    <t>PLANMÄSSIG</t>
  </si>
  <si>
    <t>NICHT GEPLANT</t>
  </si>
  <si>
    <t>HOCHRECHNUNG KOSTEN / JAHR</t>
  </si>
  <si>
    <t>Ø TAGE BIS FÄLLIGKEIT</t>
  </si>
  <si>
    <t>ANLAGEN HOHE PRIORITÄT</t>
  </si>
  <si>
    <t>PROTOKOLL-EINTRÄGE</t>
  </si>
  <si>
    <t>STATUS-VERTEILUNG</t>
  </si>
  <si>
    <t>Status</t>
  </si>
  <si>
    <t>Anzahl</t>
  </si>
  <si>
    <t>Anteil</t>
  </si>
  <si>
    <t>Überfällig</t>
  </si>
  <si>
    <t>Bald fällig</t>
  </si>
  <si>
    <t>Planmäßig (OK)</t>
  </si>
  <si>
    <t>Nicht geplant</t>
  </si>
  <si>
    <t>Gesamt</t>
  </si>
  <si>
    <t>WARTUNGEN NACH PRIORITÄT</t>
  </si>
  <si>
    <t>Priorität</t>
  </si>
  <si>
    <t>Kosten / Jahr (€)</t>
  </si>
  <si>
    <t>Hoch</t>
  </si>
  <si>
    <t>Mittel</t>
  </si>
  <si>
    <t>Niedrig</t>
  </si>
  <si>
    <t>KOSTEN / JAHR NACH KATEGORIE</t>
  </si>
  <si>
    <t>Kategorie</t>
  </si>
  <si>
    <t>LEGENDE &amp; HINWEISE</t>
  </si>
  <si>
    <t>Nächste Wartung liegt in der Vergangenheit — sofort handeln.</t>
  </si>
  <si>
    <t>Fällig innerhalb der Vorwarnzeit (Standard: 14 Tage).</t>
  </si>
  <si>
    <t>Ausreichend Zeit bis zur nächsten Wartung.</t>
  </si>
  <si>
    <t>Intervall „Nach Bedarf“ oder kein Wartungsdatum hinterlegt.</t>
  </si>
  <si>
    <t>So funktioniert die Vorlage:</t>
  </si>
  <si>
    <t>1.  Maschinen im Blatt „Wartungsplan“ erfassen (weiße Felder). Kategorie, Standort, Verantwortliche, Wartungsart, Priorität und Intervall per Dropdown wählen.</t>
  </si>
  <si>
    <t>2.  Datum der letzten Wartung eintragen — „Nächste Wartung“, „Resttage“ und „Status“ werden automatisch berechnet (graue Felder).</t>
  </si>
  <si>
    <t>3.  Jede erledigte Arbeit im Blatt „Wartungsprotokoll“ dokumentieren und im Plan das Datum der letzten Wartung aktualisieren.</t>
  </si>
  <si>
    <t>4.  Listen, Vorwarnzeit und Stundensatz lassen sich im Blatt „Konfiguration“ anpassen.</t>
  </si>
  <si>
    <t>DIN 31051 unterscheidet vier Grundmaßnahmen der Instandhaltung: Wartung, Inspektion, Instandsetzung und Verbesserung.</t>
  </si>
  <si>
    <t>WARTUNGSPLAN  ·  MASCHINEN &amp; ANLAGEN</t>
  </si>
  <si>
    <t>Vorbeugende Instandhaltung gemäß DIN 31051  ·  Geschäftsjahr 2026</t>
  </si>
  <si>
    <t>Status:</t>
  </si>
  <si>
    <t>Planmäßig</t>
  </si>
  <si>
    <t>Weiße Felder = Eingabe</t>
  </si>
  <si>
    <t>Graue Felder = automatisch</t>
  </si>
  <si>
    <t>Anlagen-Nr.</t>
  </si>
  <si>
    <t>Maschine / Anlage</t>
  </si>
  <si>
    <t>Standort</t>
  </si>
  <si>
    <t>Verantwortlich</t>
  </si>
  <si>
    <t>Wartungsart</t>
  </si>
  <si>
    <t>Intervall</t>
  </si>
  <si>
    <t>Intervall
(Tage)</t>
  </si>
  <si>
    <t>Letzte
Wartung</t>
  </si>
  <si>
    <t>Nächste
Wartung</t>
  </si>
  <si>
    <t>Rest-
tage</t>
  </si>
  <si>
    <t>Kosten /
Wartung (€)</t>
  </si>
  <si>
    <t>Kosten /
Jahr (€)</t>
  </si>
  <si>
    <t>Anmerkungen</t>
  </si>
  <si>
    <t>ANL-001</t>
  </si>
  <si>
    <t>CNC-Bearbeitungszentrum BZ-40</t>
  </si>
  <si>
    <t>Produktionsmaschine</t>
  </si>
  <si>
    <t>Halle 1 – Fertigung</t>
  </si>
  <si>
    <t>Hr. Becker</t>
  </si>
  <si>
    <t>Wartung</t>
  </si>
  <si>
    <t>Monatlich</t>
  </si>
  <si>
    <t>Schmierung &amp; Kühlmittel prüfen</t>
  </si>
  <si>
    <t>ANL-002</t>
  </si>
  <si>
    <t>Hydraulikpresse HP-250</t>
  </si>
  <si>
    <t>Halle 2 – Montage</t>
  </si>
  <si>
    <t>Fr. Lange</t>
  </si>
  <si>
    <t>Inspektion</t>
  </si>
  <si>
    <t>Quartalsweise</t>
  </si>
  <si>
    <t>Druckprüfung Hydraulik</t>
  </si>
  <si>
    <t>ANL-003</t>
  </si>
  <si>
    <t>Rollenförderband RF-120</t>
  </si>
  <si>
    <t>Fördertechnik</t>
  </si>
  <si>
    <t>Halle 3 – Logistik</t>
  </si>
  <si>
    <t>Hr. Yilmaz</t>
  </si>
  <si>
    <t>Bandspannung &amp; Lager</t>
  </si>
  <si>
    <t>ANL-004</t>
  </si>
  <si>
    <t>Schraubenkompressor SK-75</t>
  </si>
  <si>
    <t>Druckluft &amp; Pneumatik</t>
  </si>
  <si>
    <t>Technikzentrale</t>
  </si>
  <si>
    <t>Externer Dienstleister</t>
  </si>
  <si>
    <t>Halbjährlich</t>
  </si>
  <si>
    <t>Filter- &amp; Ölwechsel</t>
  </si>
  <si>
    <t>ANL-005</t>
  </si>
  <si>
    <t>Industrieroboter IR-6</t>
  </si>
  <si>
    <t>Achsen kalibrieren</t>
  </si>
  <si>
    <t>ANL-006</t>
  </si>
  <si>
    <t>Gabelstapler GS-3</t>
  </si>
  <si>
    <t>Flurförderzeug</t>
  </si>
  <si>
    <t>Team Instandhaltung</t>
  </si>
  <si>
    <t>Jährlich</t>
  </si>
  <si>
    <t>UVV-Sicherheitsprüfung</t>
  </si>
  <si>
    <t>ANL-007</t>
  </si>
  <si>
    <t>RLT-Gerät / Klimaanlage KL-2</t>
  </si>
  <si>
    <t>HLK / Klimatechnik</t>
  </si>
  <si>
    <t>Verwaltung</t>
  </si>
  <si>
    <t>Filter &amp; Hygiene</t>
  </si>
  <si>
    <t>ANL-008</t>
  </si>
  <si>
    <t>Drehmaschine DM-320</t>
  </si>
  <si>
    <t>Hr. Schäfer</t>
  </si>
  <si>
    <t>Ölwechsel, Spindel</t>
  </si>
  <si>
    <t>ANL-009</t>
  </si>
  <si>
    <t>Schweißanlage SA-15</t>
  </si>
  <si>
    <t>Fr. Novak</t>
  </si>
  <si>
    <t>14-täglich</t>
  </si>
  <si>
    <t>Düsen &amp; Schläuche</t>
  </si>
  <si>
    <t>ANL-010</t>
  </si>
  <si>
    <t>Brückenkran BK-5</t>
  </si>
  <si>
    <t>Gebäudetechnik</t>
  </si>
  <si>
    <t>Krananlagenprüfung</t>
  </si>
  <si>
    <t>ANL-011</t>
  </si>
  <si>
    <t>Etikettiermaschine EM-2</t>
  </si>
  <si>
    <t>Nach Bedarf</t>
  </si>
  <si>
    <t>Nur bei Bedarf / Störung</t>
  </si>
  <si>
    <t>ANL-012</t>
  </si>
  <si>
    <t>Notstromaggregat NA-1</t>
  </si>
  <si>
    <t>Sicherheitseinrichtung</t>
  </si>
  <si>
    <t>Außenbereich</t>
  </si>
  <si>
    <t>Probelauf &amp; Batterie</t>
  </si>
  <si>
    <t>WARTUNGSPROTOKOLL  ·  DURCHGEFÜHRTE ARBEITEN</t>
  </si>
  <si>
    <t>Lückenlose Dokumentation aller erledigten Wartungen und Inspektionen  ·  Geschäftsjahr 2026</t>
  </si>
  <si>
    <t>Gesamtkosten = Dauer × Stundensatz + Material</t>
  </si>
  <si>
    <t>auto-berechnet</t>
  </si>
  <si>
    <t>Datum</t>
  </si>
  <si>
    <t>Durchgeführte Arbeiten</t>
  </si>
  <si>
    <t>Techniker / Firma</t>
  </si>
  <si>
    <t>Dauer
(Std.)</t>
  </si>
  <si>
    <t>Material
(€)</t>
  </si>
  <si>
    <t>Gesamt-
kosten (€)</t>
  </si>
  <si>
    <t>Ergebnis</t>
  </si>
  <si>
    <t>Bemerkung</t>
  </si>
  <si>
    <t>Schmierung erneuert, Kühlmittel gewechselt, Achsen geprüft</t>
  </si>
  <si>
    <t>OK</t>
  </si>
  <si>
    <t>Werte im Sollbereich</t>
  </si>
  <si>
    <t>Druckprüfung Hydraulik, Dichtungen kontrolliert</t>
  </si>
  <si>
    <t>Mangel behoben</t>
  </si>
  <si>
    <t>Dichtung getauscht</t>
  </si>
  <si>
    <t>Bandspannung justiert, Lager nachgeschmiert</t>
  </si>
  <si>
    <t>—</t>
  </si>
  <si>
    <t>Luftfilter &amp; Öl gewechselt, Kondensatableiter geprüft</t>
  </si>
  <si>
    <t>Teil getauscht</t>
  </si>
  <si>
    <t>Luftfilter erneuert</t>
  </si>
  <si>
    <t>Achsen kalibriert, Greifer &amp; Verkabelung geprüft</t>
  </si>
  <si>
    <t>Jährliche UVV-Sicherheitsprüfung durchgeführt</t>
  </si>
  <si>
    <t>Prüfplakette erteilt</t>
  </si>
  <si>
    <t>Filterwechsel, Hygienekontrolle der Anlage</t>
  </si>
  <si>
    <t>Nacharbeit nötig</t>
  </si>
  <si>
    <t>Folgetermin vereinbart</t>
  </si>
  <si>
    <t>Ölwechsel, Spindel &amp; Führungen kontrolliert</t>
  </si>
  <si>
    <t>Krananlagenprüfung, Seile &amp; Bremse geprüft</t>
  </si>
  <si>
    <t>Bremse nachgestellt</t>
  </si>
  <si>
    <t>Probelauf, Batterie- &amp; Kraftstoffstand geprüft</t>
  </si>
  <si>
    <t>Summe Material / Gesamt:</t>
  </si>
  <si>
    <t>KONFIGURATION  ·  STAMMDATEN &amp; PARAMETER</t>
  </si>
  <si>
    <t>Zentrale Listen und Kennwerte. Diese Werte speisen die Dropdown-Menüs und Berechnungen der übrigen Tabellenblätter.</t>
  </si>
  <si>
    <t>PARAMETER</t>
  </si>
  <si>
    <t>Vorwarnzeit „bald fällig“ (Tage)</t>
  </si>
  <si>
    <t>Stundensatz Techniker (€ / Std.)</t>
  </si>
  <si>
    <t>Aktuelles Geschäftsjahr</t>
  </si>
  <si>
    <t>AUSWAHLLISTEN  (Dropdown-Werte)</t>
  </si>
  <si>
    <t>Kategorien</t>
  </si>
  <si>
    <t>Standorte</t>
  </si>
  <si>
    <t>Verantwortliche</t>
  </si>
  <si>
    <t>Wartungsart (DIN 31051)</t>
  </si>
  <si>
    <t>Ergebnis (Protokoll)</t>
  </si>
  <si>
    <t>Tage (Basis)</t>
  </si>
  <si>
    <t>Täglich</t>
  </si>
  <si>
    <t>Wöchentlich</t>
  </si>
  <si>
    <t>Instandsetzung</t>
  </si>
  <si>
    <t>Verbesserung</t>
  </si>
  <si>
    <t>Elektrotechnik</t>
  </si>
  <si>
    <t>Stillstand</t>
  </si>
  <si>
    <t>Hydraulik</t>
  </si>
  <si>
    <t>Lager</t>
  </si>
  <si>
    <t>IT / Netzwerk</t>
  </si>
  <si>
    <t>WARTUNGSPLAN MASCHINEN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</si>
</sst>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#,##0&quot; €&quot;"/>
    <numFmt numFmtId="166" formatCode="0.0%"/>
    <numFmt numFmtId="167" formatCode="#,##0.00&quot; €&quot;"/>
    <numFmt numFmtId="168" formatCode="0;\-0;\—"/>
    <numFmt numFmtId="169" formatCode="0.0"/>
  </numFmts>
  <fonts count="23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sz val="10.5"/>
      <color rgb="FF1F2A2E"/>
      <name val="Calibri"/>
      <charset val="1"/>
    </font>
    <font>
      <sz val="9.5"/>
      <color rgb="FF5C6A6F"/>
      <name val="Calibri"/>
      <charset val="1"/>
    </font>
    <font>
      <b/>
      <sz val="10.5"/>
      <color rgb="FF1F2A2E"/>
      <name val="Calibri"/>
      <charset val="1"/>
    </font>
    <font>
      <b/>
      <sz val="10.5"/>
      <color rgb="FFFFFFFF"/>
      <name val="Calibri"/>
      <charset val="1"/>
    </font>
    <font>
      <b/>
      <sz val="22"/>
      <color rgb="FF0F3D44"/>
      <name val="Calibri"/>
      <charset val="1"/>
    </font>
    <font>
      <b/>
      <sz val="9"/>
      <color rgb="FF5C6A6F"/>
      <name val="Calibri"/>
      <charset val="1"/>
    </font>
    <font>
      <b/>
      <sz val="18"/>
      <color rgb="FF0F3D44"/>
      <name val="Calibri"/>
      <charset val="1"/>
    </font>
    <font>
      <b/>
      <sz val="10"/>
      <color rgb="FFFFFFFF"/>
      <name val="Calibri"/>
      <charset val="1"/>
    </font>
    <font>
      <b/>
      <sz val="10.5"/>
      <color rgb="FF8B1A10"/>
      <name val="Calibri"/>
      <charset val="1"/>
    </font>
    <font>
      <b/>
      <sz val="10.5"/>
      <color rgb="FF8A5A00"/>
      <name val="Calibri"/>
      <charset val="1"/>
    </font>
    <font>
      <b/>
      <sz val="10.5"/>
      <color rgb="FF1B6B3A"/>
      <name val="Calibri"/>
      <charset val="1"/>
    </font>
    <font>
      <b/>
      <sz val="10.5"/>
      <color rgb="FF566066"/>
      <name val="Calibri"/>
      <charset val="1"/>
    </font>
    <font>
      <b/>
      <sz val="10"/>
      <color rgb="FF8B1A10"/>
      <name val="Calibri"/>
      <charset val="1"/>
    </font>
    <font>
      <b/>
      <sz val="10"/>
      <color rgb="FF8A5A00"/>
      <name val="Calibri"/>
      <charset val="1"/>
    </font>
    <font>
      <b/>
      <sz val="10"/>
      <color rgb="FF1B6B3A"/>
      <name val="Calibri"/>
      <charset val="1"/>
    </font>
    <font>
      <b/>
      <sz val="10"/>
      <color rgb="FF566066"/>
      <name val="Calibri"/>
      <charset val="1"/>
    </font>
    <font>
      <b/>
      <sz val="9"/>
      <color rgb="FF8B1A10"/>
      <name val="Calibri"/>
      <charset val="1"/>
    </font>
    <font>
      <b/>
      <sz val="9"/>
      <color rgb="FF8A5A00"/>
      <name val="Calibri"/>
      <charset val="1"/>
    </font>
    <font>
      <b/>
      <sz val="9"/>
      <color rgb="FF1B6B3A"/>
      <name val="Calibri"/>
      <charset val="1"/>
    </font>
    <font>
      <b/>
      <sz val="9"/>
      <color rgb="FF566066"/>
      <name val="Calibri"/>
      <charset val="1"/>
    </font>
    <font>
      <sz val="10.5"/>
      <color rgb="FF35494E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0F3D44"/>
        <bgColor rgb="FF1F2A2E"/>
      </patternFill>
    </fill>
    <fill>
      <patternFill patternType="solid">
        <fgColor rgb="FFDCE6E8"/>
        <bgColor rgb="FFE2E8EA"/>
      </patternFill>
    </fill>
    <fill>
      <patternFill patternType="solid">
        <fgColor rgb="FFFFF6DD"/>
        <bgColor rgb="FFF4F8F9"/>
      </patternFill>
    </fill>
    <fill>
      <patternFill patternType="solid">
        <fgColor rgb="FF2E6E78"/>
        <bgColor rgb="FF1B6B3A"/>
      </patternFill>
    </fill>
    <fill>
      <patternFill patternType="solid">
        <fgColor rgb="FFF4F8F9"/>
        <bgColor rgb="FFEDF3F4"/>
      </patternFill>
    </fill>
    <fill>
      <patternFill patternType="solid">
        <fgColor rgb="FFFFFFFF"/>
        <bgColor rgb="FFF4F8F9"/>
      </patternFill>
    </fill>
    <fill>
      <patternFill patternType="solid">
        <fgColor rgb="FFF4C7C3"/>
        <bgColor rgb="FFFBE2BE"/>
      </patternFill>
    </fill>
    <fill>
      <patternFill patternType="solid">
        <fgColor rgb="FFFBE2BE"/>
        <bgColor rgb="FFFFF6DD"/>
      </patternFill>
    </fill>
    <fill>
      <patternFill patternType="solid">
        <fgColor rgb="FFCDE9D6"/>
        <bgColor rgb="FFDCE6E8"/>
      </patternFill>
    </fill>
    <fill>
      <patternFill patternType="solid">
        <fgColor rgb="FFDDE1E3"/>
        <bgColor rgb="FFDCE6E8"/>
      </patternFill>
    </fill>
    <fill>
      <patternFill patternType="solid">
        <fgColor rgb="FFEDF3F4"/>
        <bgColor rgb="FFF4F8F9"/>
      </patternFill>
    </fill>
  </fills>
  <borders count="9">
    <border>
      <left/>
      <right/>
      <top/>
      <bottom/>
      <diagonal/>
    </border>
    <border>
      <left style="thin">
        <color rgb="FFD3DCDE"/>
      </left>
      <right style="thin">
        <color rgb="FFD3DCDE"/>
      </right>
      <top style="thin">
        <color rgb="FFD3DCDE"/>
      </top>
      <bottom style="thin">
        <color rgb="FFD3DCDE"/>
      </bottom>
      <diagonal/>
    </border>
    <border>
      <left style="thin">
        <color rgb="FFD3DCDE"/>
      </left>
      <right style="thin">
        <color rgb="FFD3DCDE"/>
      </right>
      <top style="thick">
        <color rgb="FF0F3D44"/>
      </top>
      <bottom/>
      <diagonal/>
    </border>
    <border>
      <left style="thin">
        <color rgb="FFD3DCDE"/>
      </left>
      <right style="thin">
        <color rgb="FFD3DCDE"/>
      </right>
      <top style="thick">
        <color rgb="FFB23A2E"/>
      </top>
      <bottom/>
      <diagonal/>
    </border>
    <border>
      <left style="thin">
        <color rgb="FFD3DCDE"/>
      </left>
      <right style="thin">
        <color rgb="FFD3DCDE"/>
      </right>
      <top style="thick">
        <color rgb="FFC8922A"/>
      </top>
      <bottom/>
      <diagonal/>
    </border>
    <border>
      <left style="thin">
        <color rgb="FFD3DCDE"/>
      </left>
      <right style="thin">
        <color rgb="FFD3DCDE"/>
      </right>
      <top style="thick">
        <color rgb="FF1B6B3A"/>
      </top>
      <bottom/>
      <diagonal/>
    </border>
    <border>
      <left style="thin">
        <color rgb="FFD3DCDE"/>
      </left>
      <right style="thin">
        <color rgb="FFD3DCDE"/>
      </right>
      <top style="thick">
        <color rgb="FF566066"/>
      </top>
      <bottom/>
      <diagonal/>
    </border>
    <border>
      <left style="thin">
        <color rgb="FFD3DCDE"/>
      </left>
      <right style="thin">
        <color rgb="FFD3DCDE"/>
      </right>
      <top/>
      <bottom style="thin">
        <color rgb="FFD3DCDE"/>
      </bottom>
      <diagonal/>
    </border>
    <border>
      <left style="thin">
        <color rgb="FFD3DCDE"/>
      </left>
      <right style="thin">
        <color rgb="FFD3DCDE"/>
      </right>
      <top style="thick">
        <color rgb="FF2E6E7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7" borderId="1" xfId="0" applyFont="1" applyFill="1" applyBorder="1" applyAlignment="1">
      <alignment horizontal="left" vertical="center" indent="1"/>
    </xf>
    <xf numFmtId="1" fontId="8" fillId="6" borderId="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164" fontId="4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right" vertical="center" indent="1"/>
    </xf>
    <xf numFmtId="0" fontId="9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indent="1"/>
    </xf>
    <xf numFmtId="1" fontId="2" fillId="7" borderId="1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 indent="1"/>
    </xf>
    <xf numFmtId="0" fontId="12" fillId="7" borderId="1" xfId="0" applyFont="1" applyFill="1" applyBorder="1" applyAlignment="1">
      <alignment horizontal="left" vertical="center" indent="1"/>
    </xf>
    <xf numFmtId="0" fontId="13" fillId="7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1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1"/>
    </xf>
    <xf numFmtId="167" fontId="2" fillId="7" borderId="1" xfId="0" applyNumberFormat="1" applyFont="1" applyFill="1" applyBorder="1" applyAlignment="1">
      <alignment horizontal="right" vertical="center" indent="1"/>
    </xf>
    <xf numFmtId="167" fontId="4" fillId="3" borderId="1" xfId="0" applyNumberFormat="1" applyFont="1" applyFill="1" applyBorder="1" applyAlignment="1">
      <alignment horizontal="right" vertical="center" indent="1"/>
    </xf>
    <xf numFmtId="0" fontId="14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indent="1"/>
    </xf>
    <xf numFmtId="0" fontId="2" fillId="7" borderId="1" xfId="0" applyFont="1" applyFill="1" applyBorder="1" applyAlignment="1">
      <alignment horizontal="center" vertical="center"/>
    </xf>
    <xf numFmtId="168" fontId="22" fillId="12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64" fontId="22" fillId="12" borderId="1" xfId="0" applyNumberFormat="1" applyFont="1" applyFill="1" applyBorder="1" applyAlignment="1">
      <alignment horizontal="center" vertical="center"/>
    </xf>
    <xf numFmtId="1" fontId="22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67" fontId="22" fillId="12" borderId="1" xfId="0" applyNumberFormat="1" applyFont="1" applyFill="1" applyBorder="1" applyAlignment="1">
      <alignment horizontal="right" vertical="center" inden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 vertical="center" wrapText="1" indent="1"/>
    </xf>
    <xf numFmtId="169" fontId="2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 vertical="center" indent="1"/>
    </xf>
    <xf numFmtId="167" fontId="4" fillId="4" borderId="1" xfId="0" applyNumberFormat="1" applyFont="1" applyFill="1" applyBorder="1" applyAlignment="1">
      <alignment horizontal="right" vertical="center" indent="1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 vertical="top" wrapText="1" indent="1"/>
    </xf>
    <xf numFmtId="0" fontId="3" fillId="7" borderId="0" xfId="0" applyFont="1" applyFill="1" applyAlignment="1">
      <alignment horizontal="left" vertical="top" wrapText="1" indent="1"/>
    </xf>
    <xf numFmtId="0" fontId="18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right" vertical="center" indent="1"/>
    </xf>
    <xf numFmtId="0" fontId="3" fillId="1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11">
    <dxf>
      <font>
        <b/>
        <sz val="10"/>
        <color rgb="FF1B6B3A"/>
        <name val="Calibri"/>
        <charset val="1"/>
      </font>
      <fill>
        <patternFill>
          <bgColor rgb="FFCDE9D6"/>
        </patternFill>
      </fill>
    </dxf>
    <dxf>
      <font>
        <b/>
        <sz val="10"/>
        <color rgb="FF8B1A10"/>
        <name val="Calibri"/>
        <charset val="1"/>
      </font>
      <fill>
        <patternFill>
          <bgColor rgb="FFF4C7C3"/>
        </patternFill>
      </fill>
    </dxf>
    <dxf>
      <font>
        <b/>
        <sz val="10"/>
        <color rgb="FF8A5A00"/>
        <name val="Calibri"/>
        <charset val="1"/>
      </font>
      <fill>
        <patternFill>
          <bgColor rgb="FFFBE2BE"/>
        </patternFill>
      </fill>
    </dxf>
    <dxf>
      <font>
        <b/>
        <sz val="10"/>
        <color rgb="FF566066"/>
        <name val="Calibri"/>
        <charset val="1"/>
      </font>
      <fill>
        <patternFill>
          <bgColor rgb="FFE2E8EA"/>
        </patternFill>
      </fill>
    </dxf>
    <dxf>
      <font>
        <b/>
        <sz val="10"/>
        <color rgb="FF566066"/>
        <name val="Calibri"/>
        <charset val="1"/>
      </font>
      <fill>
        <patternFill>
          <bgColor rgb="FFDDE1E3"/>
        </patternFill>
      </fill>
    </dxf>
    <dxf>
      <font>
        <b/>
        <sz val="10"/>
        <color rgb="FF1B6B3A"/>
        <name val="Calibri"/>
        <charset val="1"/>
      </font>
      <fill>
        <patternFill>
          <bgColor rgb="FFCDE9D6"/>
        </patternFill>
      </fill>
    </dxf>
    <dxf>
      <font>
        <b/>
        <sz val="10"/>
        <color rgb="FF8A5A00"/>
        <name val="Calibri"/>
        <charset val="1"/>
      </font>
      <fill>
        <patternFill>
          <bgColor rgb="FFFBE2BE"/>
        </patternFill>
      </fill>
    </dxf>
    <dxf>
      <font>
        <b/>
        <sz val="10"/>
        <color rgb="FF8B1A10"/>
        <name val="Calibri"/>
        <charset val="1"/>
      </font>
      <fill>
        <patternFill>
          <bgColor rgb="FFF4C7C3"/>
        </patternFill>
      </fill>
    </dxf>
    <dxf>
      <font>
        <b/>
        <sz val="10"/>
        <color rgb="FFB23A2E"/>
        <name val="Calibri"/>
        <charset val="1"/>
      </font>
    </dxf>
    <dxf>
      <font>
        <sz val="10"/>
        <color rgb="FFB23A2E"/>
        <name val="Calibri"/>
        <charset val="1"/>
      </font>
    </dxf>
    <dxf>
      <font>
        <b/>
        <sz val="10"/>
        <color rgb="FFB23A2E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1A10"/>
      <rgbColor rgb="FF1B6B3A"/>
      <rgbColor rgb="FF000080"/>
      <rgbColor rgb="FF8A5A00"/>
      <rgbColor rgb="FF800080"/>
      <rgbColor rgb="FF2E6E78"/>
      <rgbColor rgb="FFD9D9D9"/>
      <rgbColor rgb="FF878787"/>
      <rgbColor rgb="FF9999FF"/>
      <rgbColor rgb="FF993366"/>
      <rgbColor rgb="FFFFF6DD"/>
      <rgbColor rgb="FFEDF3F4"/>
      <rgbColor rgb="FF660066"/>
      <rgbColor rgb="FFFF8080"/>
      <rgbColor rgb="FF0066CC"/>
      <rgbColor rgb="FFD3DC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E8"/>
      <rgbColor rgb="FFCDE9D6"/>
      <rgbColor rgb="FFFBE2BE"/>
      <rgbColor rgb="FFDDE1E3"/>
      <rgbColor rgb="FFF4F8F9"/>
      <rgbColor rgb="FFE2E8EA"/>
      <rgbColor rgb="FFF4C7C3"/>
      <rgbColor rgb="FF3366FF"/>
      <rgbColor rgb="FF33CCCC"/>
      <rgbColor rgb="FF99CC00"/>
      <rgbColor rgb="FFFFCC00"/>
      <rgbColor rgb="FFC8922A"/>
      <rgbColor rgb="FFFF6600"/>
      <rgbColor rgb="FF5C6A6F"/>
      <rgbColor rgb="FF969696"/>
      <rgbColor rgb="FF0F3D44"/>
      <rgbColor rgb="FF566066"/>
      <rgbColor rgb="FF003300"/>
      <rgbColor rgb="FF333300"/>
      <rgbColor rgb="FFB23A2E"/>
      <rgbColor rgb="FF993366"/>
      <rgbColor rgb="FF35494E"/>
      <rgbColor rgb="FF1F2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Status-Verteilung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Übersicht!$B$12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2E6E7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Übersicht!$A$13:$A$16</c:f>
              <c:strCache>
                <c:ptCount val="4"/>
                <c:pt idx="0">
                  <c:v>Überfällig</c:v>
                </c:pt>
                <c:pt idx="1">
                  <c:v>Bald fällig</c:v>
                </c:pt>
                <c:pt idx="2">
                  <c:v>Planmäßig (OK)</c:v>
                </c:pt>
                <c:pt idx="3">
                  <c:v>Nicht geplant</c:v>
                </c:pt>
              </c:strCache>
            </c:strRef>
          </c:cat>
          <c:val>
            <c:numRef>
              <c:f>Übersicht!$B$13:$B$16</c:f>
              <c:numCache>
                <c:formatCode>0</c:formatCode>
                <c:ptCount val="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D-4EE8-90C9-89D1A938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13308"/>
        <c:axId val="87353722"/>
      </c:barChart>
      <c:catAx>
        <c:axId val="727133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7353722"/>
        <c:crosses val="autoZero"/>
        <c:auto val="1"/>
        <c:lblAlgn val="ctr"/>
        <c:lblOffset val="100"/>
        <c:noMultiLvlLbl val="0"/>
      </c:catAx>
      <c:valAx>
        <c:axId val="8735372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271330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Kosten / Jahr nach Kategorie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Übersicht!$B$27</c:f>
              <c:strCache>
                <c:ptCount val="1"/>
                <c:pt idx="0">
                  <c:v>Kosten / Jahr (€)</c:v>
                </c:pt>
              </c:strCache>
            </c:strRef>
          </c:tx>
          <c:spPr>
            <a:solidFill>
              <a:srgbClr val="C8922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Übersicht!$A$28:$A$37</c:f>
              <c:strCache>
                <c:ptCount val="10"/>
                <c:pt idx="0">
                  <c:v>Produktionsmaschine</c:v>
                </c:pt>
                <c:pt idx="1">
                  <c:v>Fördertechnik</c:v>
                </c:pt>
                <c:pt idx="2">
                  <c:v>Druckluft &amp; Pneumatik</c:v>
                </c:pt>
                <c:pt idx="3">
                  <c:v>HLK / Klimatechnik</c:v>
                </c:pt>
                <c:pt idx="4">
                  <c:v>Elektrotechnik</c:v>
                </c:pt>
                <c:pt idx="5">
                  <c:v>Hydraulik</c:v>
                </c:pt>
                <c:pt idx="6">
                  <c:v>Flurförderzeug</c:v>
                </c:pt>
                <c:pt idx="7">
                  <c:v>IT / Netzwerk</c:v>
                </c:pt>
                <c:pt idx="8">
                  <c:v>Gebäudetechnik</c:v>
                </c:pt>
                <c:pt idx="9">
                  <c:v>Sicherheitseinrichtung</c:v>
                </c:pt>
              </c:strCache>
            </c:strRef>
          </c:cat>
          <c:val>
            <c:numRef>
              <c:f>Übersicht!$B$28:$B$37</c:f>
              <c:numCache>
                <c:formatCode>#,##0.00" €"</c:formatCode>
                <c:ptCount val="10"/>
                <c:pt idx="0">
                  <c:v>8140.9706959706955</c:v>
                </c:pt>
                <c:pt idx="1">
                  <c:v>1095</c:v>
                </c:pt>
                <c:pt idx="2">
                  <c:v>641.75824175824175</c:v>
                </c:pt>
                <c:pt idx="3">
                  <c:v>521.42857142857144</c:v>
                </c:pt>
                <c:pt idx="4">
                  <c:v>0</c:v>
                </c:pt>
                <c:pt idx="5">
                  <c:v>0</c:v>
                </c:pt>
                <c:pt idx="6">
                  <c:v>280</c:v>
                </c:pt>
                <c:pt idx="7">
                  <c:v>0</c:v>
                </c:pt>
                <c:pt idx="8">
                  <c:v>360</c:v>
                </c:pt>
                <c:pt idx="9">
                  <c:v>401.09890109890108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5-4385-8CBB-736DD821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6767"/>
        <c:axId val="36568824"/>
      </c:barChart>
      <c:catAx>
        <c:axId val="2459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6568824"/>
        <c:crosses val="autoZero"/>
        <c:auto val="1"/>
        <c:lblAlgn val="ctr"/>
        <c:lblOffset val="100"/>
        <c:noMultiLvlLbl val="0"/>
      </c:catAx>
      <c:valAx>
        <c:axId val="3656882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459676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9</xdr:row>
      <xdr:rowOff>190499</xdr:rowOff>
    </xdr:from>
    <xdr:to>
      <xdr:col>9</xdr:col>
      <xdr:colOff>929775</xdr:colOff>
      <xdr:row>24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38100</xdr:colOff>
      <xdr:row>26</xdr:row>
      <xdr:rowOff>0</xdr:rowOff>
    </xdr:from>
    <xdr:to>
      <xdr:col>10</xdr:col>
      <xdr:colOff>0</xdr:colOff>
      <xdr:row>38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8922A"/>
    <pageSetUpPr fitToPage="1"/>
  </sheetPr>
  <dimension ref="A1:J51"/>
  <sheetViews>
    <sheetView showGridLines="0" tabSelected="1" zoomScaleNormal="100" workbookViewId="0">
      <selection activeCell="M27" sqref="M27"/>
    </sheetView>
  </sheetViews>
  <sheetFormatPr baseColWidth="10" defaultColWidth="8.7109375" defaultRowHeight="15" x14ac:dyDescent="0.25"/>
  <cols>
    <col min="1" max="1" width="18" customWidth="1"/>
    <col min="2" max="2" width="13.42578125" customWidth="1"/>
    <col min="3" max="3" width="16" customWidth="1"/>
    <col min="4" max="4" width="13.42578125" customWidth="1"/>
    <col min="5" max="5" width="16" customWidth="1"/>
    <col min="6" max="6" width="13.42578125" customWidth="1"/>
    <col min="7" max="7" width="16" customWidth="1"/>
    <col min="8" max="8" width="13.42578125" customWidth="1"/>
    <col min="9" max="10" width="14" customWidth="1"/>
  </cols>
  <sheetData>
    <row r="1" spans="1:10" ht="30" customHeight="1" x14ac:dyDescent="0.25">
      <c r="A1" s="14" t="s">
        <v>179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" customHeight="1" x14ac:dyDescent="0.25">
      <c r="A2" s="13" t="s">
        <v>0</v>
      </c>
      <c r="B2" s="13"/>
      <c r="C2" s="13"/>
      <c r="D2" s="13"/>
      <c r="E2" s="13"/>
      <c r="F2" s="13"/>
      <c r="G2" s="13"/>
      <c r="H2" s="15" t="s">
        <v>1</v>
      </c>
      <c r="I2" s="12">
        <f ca="1">TODAY()</f>
        <v>46197</v>
      </c>
      <c r="J2" s="12"/>
    </row>
    <row r="4" spans="1:10" ht="19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33.75" customHeight="1" x14ac:dyDescent="0.25">
      <c r="A5" s="10">
        <f>COUNTA(Wartungsplan!$A$5:$A$36)</f>
        <v>12</v>
      </c>
      <c r="B5" s="10"/>
      <c r="C5" s="9">
        <f ca="1">COUNTIF(Wartungsplan!$M$5:$M$36,"Überfällig")</f>
        <v>3</v>
      </c>
      <c r="D5" s="9"/>
      <c r="E5" s="8">
        <f ca="1">COUNTIF(Wartungsplan!$M$5:$M$36,"Bald fällig")</f>
        <v>4</v>
      </c>
      <c r="F5" s="8"/>
      <c r="G5" s="7">
        <f ca="1">COUNTIF(Wartungsplan!$M$5:$M$36,"OK")</f>
        <v>4</v>
      </c>
      <c r="H5" s="7"/>
      <c r="I5" s="6">
        <f ca="1">COUNTIF(Wartungsplan!$M$5:$M$36,"Nicht geplant")</f>
        <v>1</v>
      </c>
      <c r="J5" s="6"/>
    </row>
    <row r="6" spans="1:10" ht="15.75" customHeight="1" x14ac:dyDescent="0.25">
      <c r="A6" s="5" t="s">
        <v>3</v>
      </c>
      <c r="B6" s="5"/>
      <c r="C6" s="5" t="s">
        <v>4</v>
      </c>
      <c r="D6" s="5"/>
      <c r="E6" s="5" t="s">
        <v>5</v>
      </c>
      <c r="F6" s="5"/>
      <c r="G6" s="5" t="s">
        <v>6</v>
      </c>
      <c r="H6" s="5"/>
      <c r="I6" s="5" t="s">
        <v>7</v>
      </c>
      <c r="J6" s="5"/>
    </row>
    <row r="7" spans="1:10" ht="6" customHeight="1" x14ac:dyDescent="0.25"/>
    <row r="8" spans="1:10" ht="30" customHeight="1" x14ac:dyDescent="0.25">
      <c r="A8" s="4">
        <f>SUM(Wartungsplan!$O$5:$O$36)</f>
        <v>11440.25641025641</v>
      </c>
      <c r="B8" s="4"/>
      <c r="C8" s="3">
        <f ca="1">IFERROR(ROUND(AVERAGE(Wartungsplan!$L$5:$L$36),0),0)</f>
        <v>8</v>
      </c>
      <c r="D8" s="3"/>
      <c r="E8" s="2">
        <f>COUNTIF(Wartungsplan!$G$5:$G$36,"Hoch")</f>
        <v>6</v>
      </c>
      <c r="F8" s="2"/>
      <c r="G8" s="3">
        <f>COUNTA(Wartungsprotokoll!$A$5:$A$34)</f>
        <v>10</v>
      </c>
      <c r="H8" s="3"/>
    </row>
    <row r="9" spans="1:10" ht="15.75" customHeight="1" x14ac:dyDescent="0.25">
      <c r="A9" s="5" t="s">
        <v>8</v>
      </c>
      <c r="B9" s="5"/>
      <c r="C9" s="5" t="s">
        <v>9</v>
      </c>
      <c r="D9" s="5"/>
      <c r="E9" s="5" t="s">
        <v>10</v>
      </c>
      <c r="F9" s="5"/>
      <c r="G9" s="5" t="s">
        <v>11</v>
      </c>
      <c r="H9" s="5"/>
    </row>
    <row r="11" spans="1:10" ht="19.5" customHeight="1" x14ac:dyDescent="0.25">
      <c r="A11" s="11" t="s">
        <v>12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25">
      <c r="A12" s="16" t="s">
        <v>13</v>
      </c>
      <c r="B12" s="16" t="s">
        <v>14</v>
      </c>
      <c r="C12" s="16" t="s">
        <v>15</v>
      </c>
    </row>
    <row r="13" spans="1:10" x14ac:dyDescent="0.25">
      <c r="A13" s="17" t="s">
        <v>16</v>
      </c>
      <c r="B13" s="18">
        <f ca="1">COUNTIF(Wartungsplan!$M$5:$M$36,"Überfällig")</f>
        <v>3</v>
      </c>
      <c r="C13" s="19">
        <f ca="1">IFERROR(B13/$B$17,0)</f>
        <v>0.25</v>
      </c>
    </row>
    <row r="14" spans="1:10" x14ac:dyDescent="0.25">
      <c r="A14" s="20" t="s">
        <v>17</v>
      </c>
      <c r="B14" s="18">
        <f ca="1">COUNTIF(Wartungsplan!$M$5:$M$36,"Bald fällig")</f>
        <v>4</v>
      </c>
      <c r="C14" s="19">
        <f ca="1">IFERROR(B14/$B$17,0)</f>
        <v>0.33333333333333331</v>
      </c>
    </row>
    <row r="15" spans="1:10" x14ac:dyDescent="0.25">
      <c r="A15" s="21" t="s">
        <v>18</v>
      </c>
      <c r="B15" s="18">
        <f ca="1">COUNTIF(Wartungsplan!$M$5:$M$36,"OK")</f>
        <v>4</v>
      </c>
      <c r="C15" s="19">
        <f ca="1">IFERROR(B15/$B$17,0)</f>
        <v>0.33333333333333331</v>
      </c>
    </row>
    <row r="16" spans="1:10" x14ac:dyDescent="0.25">
      <c r="A16" s="22" t="s">
        <v>19</v>
      </c>
      <c r="B16" s="18">
        <f ca="1">COUNTIF(Wartungsplan!$M$5:$M$36,"Nicht geplant")</f>
        <v>1</v>
      </c>
      <c r="C16" s="19">
        <f ca="1">IFERROR(B16/$B$17,0)</f>
        <v>8.3333333333333329E-2</v>
      </c>
    </row>
    <row r="17" spans="1:10" x14ac:dyDescent="0.25">
      <c r="A17" s="23" t="s">
        <v>20</v>
      </c>
      <c r="B17" s="24">
        <f ca="1">SUM(B13:B16)</f>
        <v>12</v>
      </c>
      <c r="C17" s="25">
        <f ca="1">IFERROR(SUM(C13:C16),0)</f>
        <v>0.99999999999999989</v>
      </c>
    </row>
    <row r="19" spans="1:10" ht="19.5" customHeight="1" x14ac:dyDescent="0.25">
      <c r="A19" s="11" t="s">
        <v>21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 s="16" t="s">
        <v>22</v>
      </c>
      <c r="B20" s="16" t="s">
        <v>14</v>
      </c>
      <c r="C20" s="16" t="s">
        <v>23</v>
      </c>
    </row>
    <row r="21" spans="1:10" x14ac:dyDescent="0.25">
      <c r="A21" s="26" t="s">
        <v>24</v>
      </c>
      <c r="B21" s="18">
        <f>COUNTIF(Wartungsplan!$G$5:$G$36,"Hoch")</f>
        <v>6</v>
      </c>
      <c r="C21" s="27">
        <f>SUMIF(Wartungsplan!$G$5:$G$36,"Hoch",Wartungsplan!$O$5:$O$36)</f>
        <v>6018.7362637362639</v>
      </c>
    </row>
    <row r="22" spans="1:10" x14ac:dyDescent="0.25">
      <c r="A22" s="26" t="s">
        <v>25</v>
      </c>
      <c r="B22" s="18">
        <f>COUNTIF(Wartungsplan!$G$5:$G$36,"Mittel")</f>
        <v>4</v>
      </c>
      <c r="C22" s="27">
        <f>SUMIF(Wartungsplan!$G$5:$G$36,"Mittel",Wartungsplan!$O$5:$O$36)</f>
        <v>4900.0915750915747</v>
      </c>
    </row>
    <row r="23" spans="1:10" x14ac:dyDescent="0.25">
      <c r="A23" s="26" t="s">
        <v>26</v>
      </c>
      <c r="B23" s="18">
        <f>COUNTIF(Wartungsplan!$G$5:$G$36,"Niedrig")</f>
        <v>2</v>
      </c>
      <c r="C23" s="27">
        <f>SUMIF(Wartungsplan!$G$5:$G$36,"Niedrig",Wartungsplan!$O$5:$O$36)</f>
        <v>521.42857142857144</v>
      </c>
    </row>
    <row r="24" spans="1:10" x14ac:dyDescent="0.25">
      <c r="A24" s="23" t="s">
        <v>20</v>
      </c>
      <c r="B24" s="24">
        <f>SUM(B21:B23)</f>
        <v>12</v>
      </c>
      <c r="C24" s="28">
        <f>SUM(C21:C23)</f>
        <v>11440.256410256408</v>
      </c>
    </row>
    <row r="26" spans="1:10" ht="19.5" customHeight="1" x14ac:dyDescent="0.25">
      <c r="A26" s="11" t="s">
        <v>27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25.5" x14ac:dyDescent="0.25">
      <c r="A27" s="16" t="s">
        <v>28</v>
      </c>
      <c r="B27" s="16" t="s">
        <v>23</v>
      </c>
    </row>
    <row r="28" spans="1:10" x14ac:dyDescent="0.25">
      <c r="A28" s="26" t="str">
        <f>Konfiguration!$A$11</f>
        <v>Produktionsmaschine</v>
      </c>
      <c r="B28" s="27">
        <f>SUMIF(Wartungsplan!$C$5:$C$36,A28,Wartungsplan!$O$5:$O$36)</f>
        <v>8140.9706959706955</v>
      </c>
    </row>
    <row r="29" spans="1:10" x14ac:dyDescent="0.25">
      <c r="A29" s="26" t="str">
        <f>Konfiguration!$A$12</f>
        <v>Fördertechnik</v>
      </c>
      <c r="B29" s="27">
        <f>SUMIF(Wartungsplan!$C$5:$C$36,A29,Wartungsplan!$O$5:$O$36)</f>
        <v>1095</v>
      </c>
    </row>
    <row r="30" spans="1:10" x14ac:dyDescent="0.25">
      <c r="A30" s="26" t="str">
        <f>Konfiguration!$A$13</f>
        <v>Druckluft &amp; Pneumatik</v>
      </c>
      <c r="B30" s="27">
        <f>SUMIF(Wartungsplan!$C$5:$C$36,A30,Wartungsplan!$O$5:$O$36)</f>
        <v>641.75824175824175</v>
      </c>
    </row>
    <row r="31" spans="1:10" x14ac:dyDescent="0.25">
      <c r="A31" s="26" t="str">
        <f>Konfiguration!$A$14</f>
        <v>HLK / Klimatechnik</v>
      </c>
      <c r="B31" s="27">
        <f>SUMIF(Wartungsplan!$C$5:$C$36,A31,Wartungsplan!$O$5:$O$36)</f>
        <v>521.42857142857144</v>
      </c>
    </row>
    <row r="32" spans="1:10" x14ac:dyDescent="0.25">
      <c r="A32" s="26" t="str">
        <f>Konfiguration!$A$15</f>
        <v>Elektrotechnik</v>
      </c>
      <c r="B32" s="27">
        <f>SUMIF(Wartungsplan!$C$5:$C$36,A32,Wartungsplan!$O$5:$O$36)</f>
        <v>0</v>
      </c>
    </row>
    <row r="33" spans="1:10" x14ac:dyDescent="0.25">
      <c r="A33" s="26" t="str">
        <f>Konfiguration!$A$16</f>
        <v>Hydraulik</v>
      </c>
      <c r="B33" s="27">
        <f>SUMIF(Wartungsplan!$C$5:$C$36,A33,Wartungsplan!$O$5:$O$36)</f>
        <v>0</v>
      </c>
    </row>
    <row r="34" spans="1:10" x14ac:dyDescent="0.25">
      <c r="A34" s="26" t="str">
        <f>Konfiguration!$A$17</f>
        <v>Flurförderzeug</v>
      </c>
      <c r="B34" s="27">
        <f>SUMIF(Wartungsplan!$C$5:$C$36,A34,Wartungsplan!$O$5:$O$36)</f>
        <v>280</v>
      </c>
    </row>
    <row r="35" spans="1:10" x14ac:dyDescent="0.25">
      <c r="A35" s="26" t="str">
        <f>Konfiguration!$A$18</f>
        <v>IT / Netzwerk</v>
      </c>
      <c r="B35" s="27">
        <f>SUMIF(Wartungsplan!$C$5:$C$36,A35,Wartungsplan!$O$5:$O$36)</f>
        <v>0</v>
      </c>
    </row>
    <row r="36" spans="1:10" x14ac:dyDescent="0.25">
      <c r="A36" s="26" t="str">
        <f>Konfiguration!$A$19</f>
        <v>Gebäudetechnik</v>
      </c>
      <c r="B36" s="27">
        <f>SUMIF(Wartungsplan!$C$5:$C$36,A36,Wartungsplan!$O$5:$O$36)</f>
        <v>360</v>
      </c>
    </row>
    <row r="37" spans="1:10" x14ac:dyDescent="0.25">
      <c r="A37" s="26" t="str">
        <f>Konfiguration!$A$20</f>
        <v>Sicherheitseinrichtung</v>
      </c>
      <c r="B37" s="27">
        <f>SUMIF(Wartungsplan!$C$5:$C$36,A37,Wartungsplan!$O$5:$O$36)</f>
        <v>401.09890109890108</v>
      </c>
    </row>
    <row r="40" spans="1:10" ht="19.5" customHeight="1" x14ac:dyDescent="0.25">
      <c r="A40" s="11" t="s">
        <v>29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ht="16.5" customHeight="1" x14ac:dyDescent="0.25">
      <c r="A41" s="29" t="s">
        <v>16</v>
      </c>
      <c r="B41" s="1" t="s">
        <v>30</v>
      </c>
      <c r="C41" s="1"/>
      <c r="D41" s="1"/>
      <c r="E41" s="1"/>
      <c r="F41" s="1"/>
      <c r="G41" s="1"/>
      <c r="H41" s="1"/>
      <c r="I41" s="1"/>
      <c r="J41" s="1"/>
    </row>
    <row r="42" spans="1:10" ht="16.5" customHeight="1" x14ac:dyDescent="0.25">
      <c r="A42" s="30" t="s">
        <v>17</v>
      </c>
      <c r="B42" s="1" t="s">
        <v>31</v>
      </c>
      <c r="C42" s="1"/>
      <c r="D42" s="1"/>
      <c r="E42" s="1"/>
      <c r="F42" s="1"/>
      <c r="G42" s="1"/>
      <c r="H42" s="1"/>
      <c r="I42" s="1"/>
      <c r="J42" s="1"/>
    </row>
    <row r="43" spans="1:10" ht="16.5" customHeight="1" x14ac:dyDescent="0.25">
      <c r="A43" s="31" t="s">
        <v>18</v>
      </c>
      <c r="B43" s="1" t="s">
        <v>32</v>
      </c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5">
      <c r="A44" s="32" t="s">
        <v>19</v>
      </c>
      <c r="B44" s="1" t="s">
        <v>33</v>
      </c>
      <c r="C44" s="1"/>
      <c r="D44" s="1"/>
      <c r="E44" s="1"/>
      <c r="F44" s="1"/>
      <c r="G44" s="1"/>
      <c r="H44" s="1"/>
      <c r="I44" s="1"/>
      <c r="J44" s="1"/>
    </row>
    <row r="46" spans="1:10" ht="15.75" customHeight="1" x14ac:dyDescent="0.25">
      <c r="A46" s="50" t="s">
        <v>34</v>
      </c>
      <c r="B46" s="50"/>
      <c r="C46" s="50"/>
      <c r="D46" s="50"/>
      <c r="E46" s="50"/>
      <c r="F46" s="50"/>
      <c r="G46" s="50"/>
      <c r="H46" s="50"/>
      <c r="I46" s="50"/>
      <c r="J46" s="50"/>
    </row>
    <row r="47" spans="1:10" ht="27.75" customHeight="1" x14ac:dyDescent="0.25">
      <c r="A47" s="51" t="s">
        <v>35</v>
      </c>
      <c r="B47" s="51"/>
      <c r="C47" s="51"/>
      <c r="D47" s="51"/>
      <c r="E47" s="51"/>
      <c r="F47" s="51"/>
      <c r="G47" s="51"/>
      <c r="H47" s="51"/>
      <c r="I47" s="51"/>
      <c r="J47" s="51"/>
    </row>
    <row r="48" spans="1:10" ht="27.75" customHeight="1" x14ac:dyDescent="0.25">
      <c r="A48" s="51" t="s">
        <v>36</v>
      </c>
      <c r="B48" s="51"/>
      <c r="C48" s="51"/>
      <c r="D48" s="51"/>
      <c r="E48" s="51"/>
      <c r="F48" s="51"/>
      <c r="G48" s="51"/>
      <c r="H48" s="51"/>
      <c r="I48" s="51"/>
      <c r="J48" s="51"/>
    </row>
    <row r="49" spans="1:10" ht="27.75" customHeight="1" x14ac:dyDescent="0.25">
      <c r="A49" s="51" t="s">
        <v>37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5.75" customHeight="1" x14ac:dyDescent="0.25">
      <c r="A50" s="51" t="s">
        <v>38</v>
      </c>
      <c r="B50" s="51"/>
      <c r="C50" s="51"/>
      <c r="D50" s="51"/>
      <c r="E50" s="51"/>
      <c r="F50" s="51"/>
      <c r="G50" s="51"/>
      <c r="H50" s="51"/>
      <c r="I50" s="51"/>
      <c r="J50" s="51"/>
    </row>
    <row r="51" spans="1:10" ht="27.75" customHeight="1" x14ac:dyDescent="0.25">
      <c r="A51" s="51" t="s">
        <v>39</v>
      </c>
      <c r="B51" s="51"/>
      <c r="C51" s="51"/>
      <c r="D51" s="51"/>
      <c r="E51" s="51"/>
      <c r="F51" s="51"/>
      <c r="G51" s="51"/>
      <c r="H51" s="51"/>
      <c r="I51" s="51"/>
      <c r="J51" s="51"/>
    </row>
  </sheetData>
  <mergeCells count="36">
    <mergeCell ref="A48:J48"/>
    <mergeCell ref="A49:J49"/>
    <mergeCell ref="A50:J50"/>
    <mergeCell ref="A51:J51"/>
    <mergeCell ref="B42:J42"/>
    <mergeCell ref="B43:J43"/>
    <mergeCell ref="B44:J44"/>
    <mergeCell ref="A46:J46"/>
    <mergeCell ref="A47:J47"/>
    <mergeCell ref="A11:J11"/>
    <mergeCell ref="A19:J19"/>
    <mergeCell ref="A26:J26"/>
    <mergeCell ref="A40:J40"/>
    <mergeCell ref="B41:J41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I6:J6"/>
    <mergeCell ref="A1:J1"/>
    <mergeCell ref="A2:G2"/>
    <mergeCell ref="I2:J2"/>
    <mergeCell ref="A4:J4"/>
    <mergeCell ref="A5:B5"/>
    <mergeCell ref="C5:D5"/>
    <mergeCell ref="E5:F5"/>
    <mergeCell ref="G5:H5"/>
    <mergeCell ref="I5:J5"/>
  </mergeCell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E78"/>
    <pageSetUpPr fitToPage="1"/>
  </sheetPr>
  <dimension ref="A1:P3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2" customWidth="1"/>
    <col min="2" max="2" width="27" customWidth="1"/>
    <col min="3" max="3" width="21" customWidth="1"/>
    <col min="4" max="6" width="19" customWidth="1"/>
    <col min="7" max="7" width="11" customWidth="1"/>
    <col min="8" max="8" width="15" customWidth="1"/>
    <col min="9" max="9" width="13" customWidth="1"/>
    <col min="10" max="11" width="15" customWidth="1"/>
    <col min="12" max="12" width="10" customWidth="1"/>
    <col min="13" max="13" width="15" customWidth="1"/>
    <col min="14" max="15" width="16" customWidth="1"/>
    <col min="16" max="16" width="30" customWidth="1"/>
  </cols>
  <sheetData>
    <row r="1" spans="1:16" ht="27.75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8" customHeight="1" x14ac:dyDescent="0.25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6.5" customHeight="1" x14ac:dyDescent="0.25">
      <c r="A3" s="33" t="s">
        <v>42</v>
      </c>
      <c r="B3" s="52" t="s">
        <v>16</v>
      </c>
      <c r="C3" s="52"/>
      <c r="D3" s="53" t="s">
        <v>17</v>
      </c>
      <c r="E3" s="53"/>
      <c r="F3" s="54" t="s">
        <v>43</v>
      </c>
      <c r="G3" s="54"/>
      <c r="H3" s="55" t="s">
        <v>19</v>
      </c>
      <c r="I3" s="55"/>
      <c r="J3" s="56" t="s">
        <v>44</v>
      </c>
      <c r="K3" s="56"/>
      <c r="L3" s="57" t="s">
        <v>45</v>
      </c>
      <c r="M3" s="57"/>
      <c r="N3" s="33" t="s">
        <v>1</v>
      </c>
      <c r="O3" s="12">
        <f ca="1">TODAY()</f>
        <v>46197</v>
      </c>
      <c r="P3" s="12"/>
    </row>
    <row r="4" spans="1:16" ht="31.5" customHeight="1" x14ac:dyDescent="0.25">
      <c r="A4" s="34" t="s">
        <v>46</v>
      </c>
      <c r="B4" s="34" t="s">
        <v>47</v>
      </c>
      <c r="C4" s="34" t="s">
        <v>28</v>
      </c>
      <c r="D4" s="34" t="s">
        <v>48</v>
      </c>
      <c r="E4" s="34" t="s">
        <v>49</v>
      </c>
      <c r="F4" s="34" t="s">
        <v>50</v>
      </c>
      <c r="G4" s="34" t="s">
        <v>22</v>
      </c>
      <c r="H4" s="34" t="s">
        <v>51</v>
      </c>
      <c r="I4" s="34" t="s">
        <v>52</v>
      </c>
      <c r="J4" s="34" t="s">
        <v>53</v>
      </c>
      <c r="K4" s="34" t="s">
        <v>54</v>
      </c>
      <c r="L4" s="34" t="s">
        <v>55</v>
      </c>
      <c r="M4" s="34" t="s">
        <v>13</v>
      </c>
      <c r="N4" s="34" t="s">
        <v>56</v>
      </c>
      <c r="O4" s="34" t="s">
        <v>57</v>
      </c>
      <c r="P4" s="34" t="s">
        <v>58</v>
      </c>
    </row>
    <row r="5" spans="1:16" ht="18" customHeight="1" x14ac:dyDescent="0.25">
      <c r="A5" s="35" t="s">
        <v>59</v>
      </c>
      <c r="B5" s="26" t="s">
        <v>60</v>
      </c>
      <c r="C5" s="26" t="s">
        <v>61</v>
      </c>
      <c r="D5" s="26" t="s">
        <v>62</v>
      </c>
      <c r="E5" s="26" t="s">
        <v>63</v>
      </c>
      <c r="F5" s="36" t="s">
        <v>64</v>
      </c>
      <c r="G5" s="36" t="s">
        <v>24</v>
      </c>
      <c r="H5" s="36" t="s">
        <v>65</v>
      </c>
      <c r="I5" s="37">
        <f>IF($A5="","",IFERROR(VLOOKUP($H5,Konfiguration!$H$11:$I$18,2,0),0))</f>
        <v>30</v>
      </c>
      <c r="J5" s="38">
        <v>46162</v>
      </c>
      <c r="K5" s="39">
        <f t="shared" ref="K5:K36" si="0">IF(OR($A5="",$J5="",$I5=0),"",$J5+$I5)</f>
        <v>46192</v>
      </c>
      <c r="L5" s="40">
        <f t="shared" ref="L5:L36" ca="1" si="1">IF($K5="","",$K5-TODAY())</f>
        <v>-5</v>
      </c>
      <c r="M5" s="41" t="str">
        <f ca="1">IF($A5="","",IF($I5=0,"Nicht geplant",IF($J5="","Datum erfassen",IF($L5&lt;0,"Überfällig",IF($L5&lt;=Konfiguration!$B$5,"Bald fällig","OK")))))</f>
        <v>Überfällig</v>
      </c>
      <c r="N5" s="27">
        <v>180</v>
      </c>
      <c r="O5" s="42">
        <f t="shared" ref="O5:O36" si="2">IF(OR($A5="",$I5=0,$N5=""),"",$N5*365/$I5)</f>
        <v>2190</v>
      </c>
      <c r="P5" s="26" t="s">
        <v>66</v>
      </c>
    </row>
    <row r="6" spans="1:16" ht="18" customHeight="1" x14ac:dyDescent="0.25">
      <c r="A6" s="35" t="s">
        <v>67</v>
      </c>
      <c r="B6" s="26" t="s">
        <v>68</v>
      </c>
      <c r="C6" s="26" t="s">
        <v>61</v>
      </c>
      <c r="D6" s="26" t="s">
        <v>69</v>
      </c>
      <c r="E6" s="26" t="s">
        <v>70</v>
      </c>
      <c r="F6" s="36" t="s">
        <v>71</v>
      </c>
      <c r="G6" s="36" t="s">
        <v>24</v>
      </c>
      <c r="H6" s="36" t="s">
        <v>72</v>
      </c>
      <c r="I6" s="37">
        <f>IF($A6="","",IFERROR(VLOOKUP($H6,Konfiguration!$H$11:$I$18,2,0),0))</f>
        <v>91</v>
      </c>
      <c r="J6" s="38">
        <v>46114</v>
      </c>
      <c r="K6" s="39">
        <f t="shared" si="0"/>
        <v>46205</v>
      </c>
      <c r="L6" s="40">
        <f t="shared" ca="1" si="1"/>
        <v>8</v>
      </c>
      <c r="M6" s="41" t="str">
        <f ca="1">IF($A6="","",IF($I6=0,"Nicht geplant",IF($J6="","Datum erfassen",IF($L6&lt;0,"Überfällig",IF($L6&lt;=Konfiguration!$B$5,"Bald fällig","OK")))))</f>
        <v>Bald fällig</v>
      </c>
      <c r="N6" s="27">
        <v>240</v>
      </c>
      <c r="O6" s="42">
        <f t="shared" si="2"/>
        <v>962.63736263736268</v>
      </c>
      <c r="P6" s="26" t="s">
        <v>73</v>
      </c>
    </row>
    <row r="7" spans="1:16" ht="18" customHeight="1" x14ac:dyDescent="0.25">
      <c r="A7" s="35" t="s">
        <v>74</v>
      </c>
      <c r="B7" s="26" t="s">
        <v>75</v>
      </c>
      <c r="C7" s="26" t="s">
        <v>76</v>
      </c>
      <c r="D7" s="26" t="s">
        <v>77</v>
      </c>
      <c r="E7" s="26" t="s">
        <v>78</v>
      </c>
      <c r="F7" s="36" t="s">
        <v>64</v>
      </c>
      <c r="G7" s="36" t="s">
        <v>25</v>
      </c>
      <c r="H7" s="36" t="s">
        <v>65</v>
      </c>
      <c r="I7" s="37">
        <f>IF($A7="","",IFERROR(VLOOKUP($H7,Konfiguration!$H$11:$I$18,2,0),0))</f>
        <v>30</v>
      </c>
      <c r="J7" s="38">
        <v>46183</v>
      </c>
      <c r="K7" s="39">
        <f t="shared" si="0"/>
        <v>46213</v>
      </c>
      <c r="L7" s="40">
        <f t="shared" ca="1" si="1"/>
        <v>16</v>
      </c>
      <c r="M7" s="41" t="str">
        <f ca="1">IF($A7="","",IF($I7=0,"Nicht geplant",IF($J7="","Datum erfassen",IF($L7&lt;0,"Überfällig",IF($L7&lt;=Konfiguration!$B$5,"Bald fällig","OK")))))</f>
        <v>OK</v>
      </c>
      <c r="N7" s="27">
        <v>90</v>
      </c>
      <c r="O7" s="42">
        <f t="shared" si="2"/>
        <v>1095</v>
      </c>
      <c r="P7" s="26" t="s">
        <v>79</v>
      </c>
    </row>
    <row r="8" spans="1:16" ht="18" customHeight="1" x14ac:dyDescent="0.25">
      <c r="A8" s="35" t="s">
        <v>80</v>
      </c>
      <c r="B8" s="26" t="s">
        <v>81</v>
      </c>
      <c r="C8" s="26" t="s">
        <v>82</v>
      </c>
      <c r="D8" s="26" t="s">
        <v>83</v>
      </c>
      <c r="E8" s="26" t="s">
        <v>84</v>
      </c>
      <c r="F8" s="36" t="s">
        <v>64</v>
      </c>
      <c r="G8" s="36" t="s">
        <v>25</v>
      </c>
      <c r="H8" s="36" t="s">
        <v>85</v>
      </c>
      <c r="I8" s="37">
        <f>IF($A8="","",IFERROR(VLOOKUP($H8,Konfiguration!$H$11:$I$18,2,0),0))</f>
        <v>182</v>
      </c>
      <c r="J8" s="38">
        <v>46037</v>
      </c>
      <c r="K8" s="39">
        <f t="shared" si="0"/>
        <v>46219</v>
      </c>
      <c r="L8" s="40">
        <f t="shared" ca="1" si="1"/>
        <v>22</v>
      </c>
      <c r="M8" s="41" t="str">
        <f ca="1">IF($A8="","",IF($I8=0,"Nicht geplant",IF($J8="","Datum erfassen",IF($L8&lt;0,"Überfällig",IF($L8&lt;=Konfiguration!$B$5,"Bald fällig","OK")))))</f>
        <v>OK</v>
      </c>
      <c r="N8" s="27">
        <v>320</v>
      </c>
      <c r="O8" s="42">
        <f t="shared" si="2"/>
        <v>641.75824175824175</v>
      </c>
      <c r="P8" s="26" t="s">
        <v>86</v>
      </c>
    </row>
    <row r="9" spans="1:16" ht="18" customHeight="1" x14ac:dyDescent="0.25">
      <c r="A9" s="35" t="s">
        <v>87</v>
      </c>
      <c r="B9" s="26" t="s">
        <v>88</v>
      </c>
      <c r="C9" s="26" t="s">
        <v>61</v>
      </c>
      <c r="D9" s="26" t="s">
        <v>62</v>
      </c>
      <c r="E9" s="26" t="s">
        <v>63</v>
      </c>
      <c r="F9" s="36" t="s">
        <v>71</v>
      </c>
      <c r="G9" s="36" t="s">
        <v>24</v>
      </c>
      <c r="H9" s="36" t="s">
        <v>65</v>
      </c>
      <c r="I9" s="37">
        <f>IF($A9="","",IFERROR(VLOOKUP($H9,Konfiguration!$H$11:$I$18,2,0),0))</f>
        <v>30</v>
      </c>
      <c r="J9" s="38">
        <v>46174</v>
      </c>
      <c r="K9" s="39">
        <f t="shared" si="0"/>
        <v>46204</v>
      </c>
      <c r="L9" s="40">
        <f t="shared" ca="1" si="1"/>
        <v>7</v>
      </c>
      <c r="M9" s="41" t="str">
        <f ca="1">IF($A9="","",IF($I9=0,"Nicht geplant",IF($J9="","Datum erfassen",IF($L9&lt;0,"Überfällig",IF($L9&lt;=Konfiguration!$B$5,"Bald fällig","OK")))))</f>
        <v>Bald fällig</v>
      </c>
      <c r="N9" s="27">
        <v>150</v>
      </c>
      <c r="O9" s="42">
        <f t="shared" si="2"/>
        <v>1825</v>
      </c>
      <c r="P9" s="26" t="s">
        <v>89</v>
      </c>
    </row>
    <row r="10" spans="1:16" ht="18" customHeight="1" x14ac:dyDescent="0.25">
      <c r="A10" s="35" t="s">
        <v>90</v>
      </c>
      <c r="B10" s="26" t="s">
        <v>91</v>
      </c>
      <c r="C10" s="26" t="s">
        <v>92</v>
      </c>
      <c r="D10" s="26" t="s">
        <v>77</v>
      </c>
      <c r="E10" s="26" t="s">
        <v>93</v>
      </c>
      <c r="F10" s="36" t="s">
        <v>71</v>
      </c>
      <c r="G10" s="36" t="s">
        <v>24</v>
      </c>
      <c r="H10" s="36" t="s">
        <v>94</v>
      </c>
      <c r="I10" s="37">
        <f>IF($A10="","",IFERROR(VLOOKUP($H10,Konfiguration!$H$11:$I$18,2,0),0))</f>
        <v>365</v>
      </c>
      <c r="J10" s="38">
        <v>45868</v>
      </c>
      <c r="K10" s="39">
        <f t="shared" si="0"/>
        <v>46233</v>
      </c>
      <c r="L10" s="40">
        <f t="shared" ca="1" si="1"/>
        <v>36</v>
      </c>
      <c r="M10" s="41" t="str">
        <f ca="1">IF($A10="","",IF($I10=0,"Nicht geplant",IF($J10="","Datum erfassen",IF($L10&lt;0,"Überfällig",IF($L10&lt;=Konfiguration!$B$5,"Bald fällig","OK")))))</f>
        <v>OK</v>
      </c>
      <c r="N10" s="27">
        <v>280</v>
      </c>
      <c r="O10" s="42">
        <f t="shared" si="2"/>
        <v>280</v>
      </c>
      <c r="P10" s="26" t="s">
        <v>95</v>
      </c>
    </row>
    <row r="11" spans="1:16" ht="18" customHeight="1" x14ac:dyDescent="0.25">
      <c r="A11" s="35" t="s">
        <v>96</v>
      </c>
      <c r="B11" s="26" t="s">
        <v>97</v>
      </c>
      <c r="C11" s="26" t="s">
        <v>98</v>
      </c>
      <c r="D11" s="26" t="s">
        <v>99</v>
      </c>
      <c r="E11" s="26" t="s">
        <v>84</v>
      </c>
      <c r="F11" s="36" t="s">
        <v>64</v>
      </c>
      <c r="G11" s="36" t="s">
        <v>26</v>
      </c>
      <c r="H11" s="36" t="s">
        <v>72</v>
      </c>
      <c r="I11" s="37">
        <f>IF($A11="","",IFERROR(VLOOKUP($H11,Konfiguration!$H$11:$I$18,2,0),0))</f>
        <v>91</v>
      </c>
      <c r="J11" s="38">
        <v>46091</v>
      </c>
      <c r="K11" s="39">
        <f t="shared" si="0"/>
        <v>46182</v>
      </c>
      <c r="L11" s="40">
        <f t="shared" ca="1" si="1"/>
        <v>-15</v>
      </c>
      <c r="M11" s="41" t="str">
        <f ca="1">IF($A11="","",IF($I11=0,"Nicht geplant",IF($J11="","Datum erfassen",IF($L11&lt;0,"Überfällig",IF($L11&lt;=Konfiguration!$B$5,"Bald fällig","OK")))))</f>
        <v>Überfällig</v>
      </c>
      <c r="N11" s="27">
        <v>130</v>
      </c>
      <c r="O11" s="42">
        <f t="shared" si="2"/>
        <v>521.42857142857144</v>
      </c>
      <c r="P11" s="26" t="s">
        <v>100</v>
      </c>
    </row>
    <row r="12" spans="1:16" ht="18" customHeight="1" x14ac:dyDescent="0.25">
      <c r="A12" s="35" t="s">
        <v>101</v>
      </c>
      <c r="B12" s="26" t="s">
        <v>102</v>
      </c>
      <c r="C12" s="26" t="s">
        <v>61</v>
      </c>
      <c r="D12" s="26" t="s">
        <v>62</v>
      </c>
      <c r="E12" s="26" t="s">
        <v>103</v>
      </c>
      <c r="F12" s="36" t="s">
        <v>64</v>
      </c>
      <c r="G12" s="36" t="s">
        <v>25</v>
      </c>
      <c r="H12" s="36" t="s">
        <v>65</v>
      </c>
      <c r="I12" s="37">
        <f>IF($A12="","",IFERROR(VLOOKUP($H12,Konfiguration!$H$11:$I$18,2,0),0))</f>
        <v>30</v>
      </c>
      <c r="J12" s="38">
        <v>46170</v>
      </c>
      <c r="K12" s="39">
        <f t="shared" si="0"/>
        <v>46200</v>
      </c>
      <c r="L12" s="40">
        <f t="shared" ca="1" si="1"/>
        <v>3</v>
      </c>
      <c r="M12" s="41" t="str">
        <f ca="1">IF($A12="","",IF($I12=0,"Nicht geplant",IF($J12="","Datum erfassen",IF($L12&lt;0,"Überfällig",IF($L12&lt;=Konfiguration!$B$5,"Bald fällig","OK")))))</f>
        <v>Bald fällig</v>
      </c>
      <c r="N12" s="27">
        <v>110</v>
      </c>
      <c r="O12" s="42">
        <f t="shared" si="2"/>
        <v>1338.3333333333333</v>
      </c>
      <c r="P12" s="26" t="s">
        <v>104</v>
      </c>
    </row>
    <row r="13" spans="1:16" ht="18" customHeight="1" x14ac:dyDescent="0.25">
      <c r="A13" s="35" t="s">
        <v>105</v>
      </c>
      <c r="B13" s="26" t="s">
        <v>106</v>
      </c>
      <c r="C13" s="26" t="s">
        <v>61</v>
      </c>
      <c r="D13" s="26" t="s">
        <v>69</v>
      </c>
      <c r="E13" s="26" t="s">
        <v>107</v>
      </c>
      <c r="F13" s="36" t="s">
        <v>64</v>
      </c>
      <c r="G13" s="36" t="s">
        <v>25</v>
      </c>
      <c r="H13" s="36" t="s">
        <v>108</v>
      </c>
      <c r="I13" s="37">
        <f>IF($A13="","",IFERROR(VLOOKUP($H13,Konfiguration!$H$11:$I$18,2,0),0))</f>
        <v>14</v>
      </c>
      <c r="J13" s="38">
        <v>46185</v>
      </c>
      <c r="K13" s="39">
        <f t="shared" si="0"/>
        <v>46199</v>
      </c>
      <c r="L13" s="40">
        <f t="shared" ca="1" si="1"/>
        <v>2</v>
      </c>
      <c r="M13" s="41" t="str">
        <f ca="1">IF($A13="","",IF($I13=0,"Nicht geplant",IF($J13="","Datum erfassen",IF($L13&lt;0,"Überfällig",IF($L13&lt;=Konfiguration!$B$5,"Bald fällig","OK")))))</f>
        <v>Bald fällig</v>
      </c>
      <c r="N13" s="27">
        <v>70</v>
      </c>
      <c r="O13" s="42">
        <f t="shared" si="2"/>
        <v>1825</v>
      </c>
      <c r="P13" s="26" t="s">
        <v>109</v>
      </c>
    </row>
    <row r="14" spans="1:16" ht="18" customHeight="1" x14ac:dyDescent="0.25">
      <c r="A14" s="35" t="s">
        <v>110</v>
      </c>
      <c r="B14" s="26" t="s">
        <v>111</v>
      </c>
      <c r="C14" s="26" t="s">
        <v>112</v>
      </c>
      <c r="D14" s="26" t="s">
        <v>69</v>
      </c>
      <c r="E14" s="26" t="s">
        <v>84</v>
      </c>
      <c r="F14" s="36" t="s">
        <v>71</v>
      </c>
      <c r="G14" s="36" t="s">
        <v>24</v>
      </c>
      <c r="H14" s="36" t="s">
        <v>94</v>
      </c>
      <c r="I14" s="37">
        <f>IF($A14="","",IFERROR(VLOOKUP($H14,Konfiguration!$H$11:$I$18,2,0),0))</f>
        <v>365</v>
      </c>
      <c r="J14" s="38">
        <v>45828</v>
      </c>
      <c r="K14" s="39">
        <f t="shared" si="0"/>
        <v>46193</v>
      </c>
      <c r="L14" s="40">
        <f t="shared" ca="1" si="1"/>
        <v>-4</v>
      </c>
      <c r="M14" s="41" t="str">
        <f ca="1">IF($A14="","",IF($I14=0,"Nicht geplant",IF($J14="","Datum erfassen",IF($L14&lt;0,"Überfällig",IF($L14&lt;=Konfiguration!$B$5,"Bald fällig","OK")))))</f>
        <v>Überfällig</v>
      </c>
      <c r="N14" s="27">
        <v>360</v>
      </c>
      <c r="O14" s="42">
        <f t="shared" si="2"/>
        <v>360</v>
      </c>
      <c r="P14" s="26" t="s">
        <v>113</v>
      </c>
    </row>
    <row r="15" spans="1:16" ht="18" customHeight="1" x14ac:dyDescent="0.25">
      <c r="A15" s="35" t="s">
        <v>114</v>
      </c>
      <c r="B15" s="26" t="s">
        <v>115</v>
      </c>
      <c r="C15" s="26" t="s">
        <v>61</v>
      </c>
      <c r="D15" s="26" t="s">
        <v>77</v>
      </c>
      <c r="E15" s="26" t="s">
        <v>78</v>
      </c>
      <c r="F15" s="36" t="s">
        <v>64</v>
      </c>
      <c r="G15" s="36" t="s">
        <v>26</v>
      </c>
      <c r="H15" s="36" t="s">
        <v>116</v>
      </c>
      <c r="I15" s="37">
        <f>IF($A15="","",IFERROR(VLOOKUP($H15,Konfiguration!$H$11:$I$18,2,0),0))</f>
        <v>0</v>
      </c>
      <c r="J15" s="38">
        <v>46058</v>
      </c>
      <c r="K15" s="39" t="str">
        <f t="shared" si="0"/>
        <v/>
      </c>
      <c r="L15" s="40" t="str">
        <f t="shared" ca="1" si="1"/>
        <v/>
      </c>
      <c r="M15" s="41" t="str">
        <f>IF($A15="","",IF($I15=0,"Nicht geplant",IF($J15="","Datum erfassen",IF($L15&lt;0,"Überfällig",IF($L15&lt;=Konfiguration!$B$5,"Bald fällig","OK")))))</f>
        <v>Nicht geplant</v>
      </c>
      <c r="N15" s="27">
        <v>60</v>
      </c>
      <c r="O15" s="42" t="str">
        <f t="shared" si="2"/>
        <v/>
      </c>
      <c r="P15" s="26" t="s">
        <v>117</v>
      </c>
    </row>
    <row r="16" spans="1:16" ht="18" customHeight="1" x14ac:dyDescent="0.25">
      <c r="A16" s="35" t="s">
        <v>118</v>
      </c>
      <c r="B16" s="26" t="s">
        <v>119</v>
      </c>
      <c r="C16" s="26" t="s">
        <v>120</v>
      </c>
      <c r="D16" s="26" t="s">
        <v>121</v>
      </c>
      <c r="E16" s="26" t="s">
        <v>93</v>
      </c>
      <c r="F16" s="36" t="s">
        <v>71</v>
      </c>
      <c r="G16" s="36" t="s">
        <v>24</v>
      </c>
      <c r="H16" s="36" t="s">
        <v>85</v>
      </c>
      <c r="I16" s="37">
        <f>IF($A16="","",IFERROR(VLOOKUP($H16,Konfiguration!$H$11:$I$18,2,0),0))</f>
        <v>182</v>
      </c>
      <c r="J16" s="38">
        <v>46030</v>
      </c>
      <c r="K16" s="39">
        <f t="shared" si="0"/>
        <v>46212</v>
      </c>
      <c r="L16" s="40">
        <f t="shared" ca="1" si="1"/>
        <v>15</v>
      </c>
      <c r="M16" s="41" t="str">
        <f ca="1">IF($A16="","",IF($I16=0,"Nicht geplant",IF($J16="","Datum erfassen",IF($L16&lt;0,"Überfällig",IF($L16&lt;=Konfiguration!$B$5,"Bald fällig","OK")))))</f>
        <v>OK</v>
      </c>
      <c r="N16" s="27">
        <v>200</v>
      </c>
      <c r="O16" s="42">
        <f t="shared" si="2"/>
        <v>401.09890109890108</v>
      </c>
      <c r="P16" s="26" t="s">
        <v>122</v>
      </c>
    </row>
    <row r="17" spans="1:16" ht="18" customHeight="1" x14ac:dyDescent="0.25">
      <c r="A17" s="43"/>
      <c r="B17" s="43"/>
      <c r="C17" s="43"/>
      <c r="D17" s="43"/>
      <c r="E17" s="43"/>
      <c r="F17" s="43"/>
      <c r="G17" s="43"/>
      <c r="H17" s="43"/>
      <c r="I17" s="37" t="str">
        <f>IF($A17="","",IFERROR(VLOOKUP($H17,Konfiguration!$H$11:$I$18,2,0),0))</f>
        <v/>
      </c>
      <c r="J17" s="43"/>
      <c r="K17" s="39" t="str">
        <f t="shared" si="0"/>
        <v/>
      </c>
      <c r="L17" s="40" t="str">
        <f t="shared" ca="1" si="1"/>
        <v/>
      </c>
      <c r="M17" s="41" t="str">
        <f>IF($A17="","",IF($I17=0,"Nicht geplant",IF($J17="","Datum erfassen",IF($L17&lt;0,"Überfällig",IF($L17&lt;=Konfiguration!$B$5,"Bald fällig","OK")))))</f>
        <v/>
      </c>
      <c r="N17" s="43"/>
      <c r="O17" s="42" t="str">
        <f t="shared" si="2"/>
        <v/>
      </c>
      <c r="P17" s="43"/>
    </row>
    <row r="18" spans="1:16" ht="18" customHeight="1" x14ac:dyDescent="0.25">
      <c r="A18" s="43"/>
      <c r="B18" s="43"/>
      <c r="C18" s="43"/>
      <c r="D18" s="43"/>
      <c r="E18" s="43"/>
      <c r="F18" s="43"/>
      <c r="G18" s="43"/>
      <c r="H18" s="43"/>
      <c r="I18" s="37" t="str">
        <f>IF($A18="","",IFERROR(VLOOKUP($H18,Konfiguration!$H$11:$I$18,2,0),0))</f>
        <v/>
      </c>
      <c r="J18" s="43"/>
      <c r="K18" s="39" t="str">
        <f t="shared" si="0"/>
        <v/>
      </c>
      <c r="L18" s="40" t="str">
        <f t="shared" ca="1" si="1"/>
        <v/>
      </c>
      <c r="M18" s="41" t="str">
        <f>IF($A18="","",IF($I18=0,"Nicht geplant",IF($J18="","Datum erfassen",IF($L18&lt;0,"Überfällig",IF($L18&lt;=Konfiguration!$B$5,"Bald fällig","OK")))))</f>
        <v/>
      </c>
      <c r="N18" s="43"/>
      <c r="O18" s="42" t="str">
        <f t="shared" si="2"/>
        <v/>
      </c>
      <c r="P18" s="43"/>
    </row>
    <row r="19" spans="1:16" ht="18" customHeight="1" x14ac:dyDescent="0.25">
      <c r="A19" s="43"/>
      <c r="B19" s="43"/>
      <c r="C19" s="43"/>
      <c r="D19" s="43"/>
      <c r="E19" s="43"/>
      <c r="F19" s="43"/>
      <c r="G19" s="43"/>
      <c r="H19" s="43"/>
      <c r="I19" s="37" t="str">
        <f>IF($A19="","",IFERROR(VLOOKUP($H19,Konfiguration!$H$11:$I$18,2,0),0))</f>
        <v/>
      </c>
      <c r="J19" s="43"/>
      <c r="K19" s="39" t="str">
        <f t="shared" si="0"/>
        <v/>
      </c>
      <c r="L19" s="40" t="str">
        <f t="shared" ca="1" si="1"/>
        <v/>
      </c>
      <c r="M19" s="41" t="str">
        <f>IF($A19="","",IF($I19=0,"Nicht geplant",IF($J19="","Datum erfassen",IF($L19&lt;0,"Überfällig",IF($L19&lt;=Konfiguration!$B$5,"Bald fällig","OK")))))</f>
        <v/>
      </c>
      <c r="N19" s="43"/>
      <c r="O19" s="42" t="str">
        <f t="shared" si="2"/>
        <v/>
      </c>
      <c r="P19" s="43"/>
    </row>
    <row r="20" spans="1:16" ht="18" customHeight="1" x14ac:dyDescent="0.25">
      <c r="A20" s="43"/>
      <c r="B20" s="43"/>
      <c r="C20" s="43"/>
      <c r="D20" s="43"/>
      <c r="E20" s="43"/>
      <c r="F20" s="43"/>
      <c r="G20" s="43"/>
      <c r="H20" s="43"/>
      <c r="I20" s="37" t="str">
        <f>IF($A20="","",IFERROR(VLOOKUP($H20,Konfiguration!$H$11:$I$18,2,0),0))</f>
        <v/>
      </c>
      <c r="J20" s="43"/>
      <c r="K20" s="39" t="str">
        <f t="shared" si="0"/>
        <v/>
      </c>
      <c r="L20" s="40" t="str">
        <f t="shared" ca="1" si="1"/>
        <v/>
      </c>
      <c r="M20" s="41" t="str">
        <f>IF($A20="","",IF($I20=0,"Nicht geplant",IF($J20="","Datum erfassen",IF($L20&lt;0,"Überfällig",IF($L20&lt;=Konfiguration!$B$5,"Bald fällig","OK")))))</f>
        <v/>
      </c>
      <c r="N20" s="43"/>
      <c r="O20" s="42" t="str">
        <f t="shared" si="2"/>
        <v/>
      </c>
      <c r="P20" s="43"/>
    </row>
    <row r="21" spans="1:16" ht="18" customHeight="1" x14ac:dyDescent="0.25">
      <c r="A21" s="43"/>
      <c r="B21" s="43"/>
      <c r="C21" s="43"/>
      <c r="D21" s="43"/>
      <c r="E21" s="43"/>
      <c r="F21" s="43"/>
      <c r="G21" s="43"/>
      <c r="H21" s="43"/>
      <c r="I21" s="37" t="str">
        <f>IF($A21="","",IFERROR(VLOOKUP($H21,Konfiguration!$H$11:$I$18,2,0),0))</f>
        <v/>
      </c>
      <c r="J21" s="43"/>
      <c r="K21" s="39" t="str">
        <f t="shared" si="0"/>
        <v/>
      </c>
      <c r="L21" s="40" t="str">
        <f t="shared" ca="1" si="1"/>
        <v/>
      </c>
      <c r="M21" s="41" t="str">
        <f>IF($A21="","",IF($I21=0,"Nicht geplant",IF($J21="","Datum erfassen",IF($L21&lt;0,"Überfällig",IF($L21&lt;=Konfiguration!$B$5,"Bald fällig","OK")))))</f>
        <v/>
      </c>
      <c r="N21" s="43"/>
      <c r="O21" s="42" t="str">
        <f t="shared" si="2"/>
        <v/>
      </c>
      <c r="P21" s="43"/>
    </row>
    <row r="22" spans="1:16" ht="18" customHeight="1" x14ac:dyDescent="0.25">
      <c r="A22" s="43"/>
      <c r="B22" s="43"/>
      <c r="C22" s="43"/>
      <c r="D22" s="43"/>
      <c r="E22" s="43"/>
      <c r="F22" s="43"/>
      <c r="G22" s="43"/>
      <c r="H22" s="43"/>
      <c r="I22" s="37" t="str">
        <f>IF($A22="","",IFERROR(VLOOKUP($H22,Konfiguration!$H$11:$I$18,2,0),0))</f>
        <v/>
      </c>
      <c r="J22" s="43"/>
      <c r="K22" s="39" t="str">
        <f t="shared" si="0"/>
        <v/>
      </c>
      <c r="L22" s="40" t="str">
        <f t="shared" ca="1" si="1"/>
        <v/>
      </c>
      <c r="M22" s="41" t="str">
        <f>IF($A22="","",IF($I22=0,"Nicht geplant",IF($J22="","Datum erfassen",IF($L22&lt;0,"Überfällig",IF($L22&lt;=Konfiguration!$B$5,"Bald fällig","OK")))))</f>
        <v/>
      </c>
      <c r="N22" s="43"/>
      <c r="O22" s="42" t="str">
        <f t="shared" si="2"/>
        <v/>
      </c>
      <c r="P22" s="43"/>
    </row>
    <row r="23" spans="1:16" ht="18" customHeight="1" x14ac:dyDescent="0.25">
      <c r="A23" s="43"/>
      <c r="B23" s="43"/>
      <c r="C23" s="43"/>
      <c r="D23" s="43"/>
      <c r="E23" s="43"/>
      <c r="F23" s="43"/>
      <c r="G23" s="43"/>
      <c r="H23" s="43"/>
      <c r="I23" s="37" t="str">
        <f>IF($A23="","",IFERROR(VLOOKUP($H23,Konfiguration!$H$11:$I$18,2,0),0))</f>
        <v/>
      </c>
      <c r="J23" s="43"/>
      <c r="K23" s="39" t="str">
        <f t="shared" si="0"/>
        <v/>
      </c>
      <c r="L23" s="40" t="str">
        <f t="shared" ca="1" si="1"/>
        <v/>
      </c>
      <c r="M23" s="41" t="str">
        <f>IF($A23="","",IF($I23=0,"Nicht geplant",IF($J23="","Datum erfassen",IF($L23&lt;0,"Überfällig",IF($L23&lt;=Konfiguration!$B$5,"Bald fällig","OK")))))</f>
        <v/>
      </c>
      <c r="N23" s="43"/>
      <c r="O23" s="42" t="str">
        <f t="shared" si="2"/>
        <v/>
      </c>
      <c r="P23" s="43"/>
    </row>
    <row r="24" spans="1:16" ht="18" customHeight="1" x14ac:dyDescent="0.25">
      <c r="A24" s="43"/>
      <c r="B24" s="43"/>
      <c r="C24" s="43"/>
      <c r="D24" s="43"/>
      <c r="E24" s="43"/>
      <c r="F24" s="43"/>
      <c r="G24" s="43"/>
      <c r="H24" s="43"/>
      <c r="I24" s="37" t="str">
        <f>IF($A24="","",IFERROR(VLOOKUP($H24,Konfiguration!$H$11:$I$18,2,0),0))</f>
        <v/>
      </c>
      <c r="J24" s="43"/>
      <c r="K24" s="39" t="str">
        <f t="shared" si="0"/>
        <v/>
      </c>
      <c r="L24" s="40" t="str">
        <f t="shared" ca="1" si="1"/>
        <v/>
      </c>
      <c r="M24" s="41" t="str">
        <f>IF($A24="","",IF($I24=0,"Nicht geplant",IF($J24="","Datum erfassen",IF($L24&lt;0,"Überfällig",IF($L24&lt;=Konfiguration!$B$5,"Bald fällig","OK")))))</f>
        <v/>
      </c>
      <c r="N24" s="43"/>
      <c r="O24" s="42" t="str">
        <f t="shared" si="2"/>
        <v/>
      </c>
      <c r="P24" s="43"/>
    </row>
    <row r="25" spans="1:16" ht="18" customHeight="1" x14ac:dyDescent="0.25">
      <c r="A25" s="43"/>
      <c r="B25" s="43"/>
      <c r="C25" s="43"/>
      <c r="D25" s="43"/>
      <c r="E25" s="43"/>
      <c r="F25" s="43"/>
      <c r="G25" s="43"/>
      <c r="H25" s="43"/>
      <c r="I25" s="37" t="str">
        <f>IF($A25="","",IFERROR(VLOOKUP($H25,Konfiguration!$H$11:$I$18,2,0),0))</f>
        <v/>
      </c>
      <c r="J25" s="43"/>
      <c r="K25" s="39" t="str">
        <f t="shared" si="0"/>
        <v/>
      </c>
      <c r="L25" s="40" t="str">
        <f t="shared" ca="1" si="1"/>
        <v/>
      </c>
      <c r="M25" s="41" t="str">
        <f>IF($A25="","",IF($I25=0,"Nicht geplant",IF($J25="","Datum erfassen",IF($L25&lt;0,"Überfällig",IF($L25&lt;=Konfiguration!$B$5,"Bald fällig","OK")))))</f>
        <v/>
      </c>
      <c r="N25" s="43"/>
      <c r="O25" s="42" t="str">
        <f t="shared" si="2"/>
        <v/>
      </c>
      <c r="P25" s="43"/>
    </row>
    <row r="26" spans="1:16" ht="18" customHeight="1" x14ac:dyDescent="0.25">
      <c r="A26" s="43"/>
      <c r="B26" s="43"/>
      <c r="C26" s="43"/>
      <c r="D26" s="43"/>
      <c r="E26" s="43"/>
      <c r="F26" s="43"/>
      <c r="G26" s="43"/>
      <c r="H26" s="43"/>
      <c r="I26" s="37" t="str">
        <f>IF($A26="","",IFERROR(VLOOKUP($H26,Konfiguration!$H$11:$I$18,2,0),0))</f>
        <v/>
      </c>
      <c r="J26" s="43"/>
      <c r="K26" s="39" t="str">
        <f t="shared" si="0"/>
        <v/>
      </c>
      <c r="L26" s="40" t="str">
        <f t="shared" ca="1" si="1"/>
        <v/>
      </c>
      <c r="M26" s="41" t="str">
        <f>IF($A26="","",IF($I26=0,"Nicht geplant",IF($J26="","Datum erfassen",IF($L26&lt;0,"Überfällig",IF($L26&lt;=Konfiguration!$B$5,"Bald fällig","OK")))))</f>
        <v/>
      </c>
      <c r="N26" s="43"/>
      <c r="O26" s="42" t="str">
        <f t="shared" si="2"/>
        <v/>
      </c>
      <c r="P26" s="43"/>
    </row>
    <row r="27" spans="1:16" ht="18" customHeight="1" x14ac:dyDescent="0.25">
      <c r="A27" s="43"/>
      <c r="B27" s="43"/>
      <c r="C27" s="43"/>
      <c r="D27" s="43"/>
      <c r="E27" s="43"/>
      <c r="F27" s="43"/>
      <c r="G27" s="43"/>
      <c r="H27" s="43"/>
      <c r="I27" s="37" t="str">
        <f>IF($A27="","",IFERROR(VLOOKUP($H27,Konfiguration!$H$11:$I$18,2,0),0))</f>
        <v/>
      </c>
      <c r="J27" s="43"/>
      <c r="K27" s="39" t="str">
        <f t="shared" si="0"/>
        <v/>
      </c>
      <c r="L27" s="40" t="str">
        <f t="shared" ca="1" si="1"/>
        <v/>
      </c>
      <c r="M27" s="41" t="str">
        <f>IF($A27="","",IF($I27=0,"Nicht geplant",IF($J27="","Datum erfassen",IF($L27&lt;0,"Überfällig",IF($L27&lt;=Konfiguration!$B$5,"Bald fällig","OK")))))</f>
        <v/>
      </c>
      <c r="N27" s="43"/>
      <c r="O27" s="42" t="str">
        <f t="shared" si="2"/>
        <v/>
      </c>
      <c r="P27" s="43"/>
    </row>
    <row r="28" spans="1:16" ht="18" customHeight="1" x14ac:dyDescent="0.25">
      <c r="A28" s="43"/>
      <c r="B28" s="43"/>
      <c r="C28" s="43"/>
      <c r="D28" s="43"/>
      <c r="E28" s="43"/>
      <c r="F28" s="43"/>
      <c r="G28" s="43"/>
      <c r="H28" s="43"/>
      <c r="I28" s="37" t="str">
        <f>IF($A28="","",IFERROR(VLOOKUP($H28,Konfiguration!$H$11:$I$18,2,0),0))</f>
        <v/>
      </c>
      <c r="J28" s="43"/>
      <c r="K28" s="39" t="str">
        <f t="shared" si="0"/>
        <v/>
      </c>
      <c r="L28" s="40" t="str">
        <f t="shared" ca="1" si="1"/>
        <v/>
      </c>
      <c r="M28" s="41" t="str">
        <f>IF($A28="","",IF($I28=0,"Nicht geplant",IF($J28="","Datum erfassen",IF($L28&lt;0,"Überfällig",IF($L28&lt;=Konfiguration!$B$5,"Bald fällig","OK")))))</f>
        <v/>
      </c>
      <c r="N28" s="43"/>
      <c r="O28" s="42" t="str">
        <f t="shared" si="2"/>
        <v/>
      </c>
      <c r="P28" s="43"/>
    </row>
    <row r="29" spans="1:16" ht="18" customHeight="1" x14ac:dyDescent="0.25">
      <c r="A29" s="43"/>
      <c r="B29" s="43"/>
      <c r="C29" s="43"/>
      <c r="D29" s="43"/>
      <c r="E29" s="43"/>
      <c r="F29" s="43"/>
      <c r="G29" s="43"/>
      <c r="H29" s="43"/>
      <c r="I29" s="37" t="str">
        <f>IF($A29="","",IFERROR(VLOOKUP($H29,Konfiguration!$H$11:$I$18,2,0),0))</f>
        <v/>
      </c>
      <c r="J29" s="43"/>
      <c r="K29" s="39" t="str">
        <f t="shared" si="0"/>
        <v/>
      </c>
      <c r="L29" s="40" t="str">
        <f t="shared" ca="1" si="1"/>
        <v/>
      </c>
      <c r="M29" s="41" t="str">
        <f>IF($A29="","",IF($I29=0,"Nicht geplant",IF($J29="","Datum erfassen",IF($L29&lt;0,"Überfällig",IF($L29&lt;=Konfiguration!$B$5,"Bald fällig","OK")))))</f>
        <v/>
      </c>
      <c r="N29" s="43"/>
      <c r="O29" s="42" t="str">
        <f t="shared" si="2"/>
        <v/>
      </c>
      <c r="P29" s="43"/>
    </row>
    <row r="30" spans="1:16" ht="18" customHeight="1" x14ac:dyDescent="0.25">
      <c r="A30" s="43"/>
      <c r="B30" s="43"/>
      <c r="C30" s="43"/>
      <c r="D30" s="43"/>
      <c r="E30" s="43"/>
      <c r="F30" s="43"/>
      <c r="G30" s="43"/>
      <c r="H30" s="43"/>
      <c r="I30" s="37" t="str">
        <f>IF($A30="","",IFERROR(VLOOKUP($H30,Konfiguration!$H$11:$I$18,2,0),0))</f>
        <v/>
      </c>
      <c r="J30" s="43"/>
      <c r="K30" s="39" t="str">
        <f t="shared" si="0"/>
        <v/>
      </c>
      <c r="L30" s="40" t="str">
        <f t="shared" ca="1" si="1"/>
        <v/>
      </c>
      <c r="M30" s="41" t="str">
        <f>IF($A30="","",IF($I30=0,"Nicht geplant",IF($J30="","Datum erfassen",IF($L30&lt;0,"Überfällig",IF($L30&lt;=Konfiguration!$B$5,"Bald fällig","OK")))))</f>
        <v/>
      </c>
      <c r="N30" s="43"/>
      <c r="O30" s="42" t="str">
        <f t="shared" si="2"/>
        <v/>
      </c>
      <c r="P30" s="43"/>
    </row>
    <row r="31" spans="1:16" ht="18" customHeight="1" x14ac:dyDescent="0.25">
      <c r="A31" s="43"/>
      <c r="B31" s="43"/>
      <c r="C31" s="43"/>
      <c r="D31" s="43"/>
      <c r="E31" s="43"/>
      <c r="F31" s="43"/>
      <c r="G31" s="43"/>
      <c r="H31" s="43"/>
      <c r="I31" s="37" t="str">
        <f>IF($A31="","",IFERROR(VLOOKUP($H31,Konfiguration!$H$11:$I$18,2,0),0))</f>
        <v/>
      </c>
      <c r="J31" s="43"/>
      <c r="K31" s="39" t="str">
        <f t="shared" si="0"/>
        <v/>
      </c>
      <c r="L31" s="40" t="str">
        <f t="shared" ca="1" si="1"/>
        <v/>
      </c>
      <c r="M31" s="41" t="str">
        <f>IF($A31="","",IF($I31=0,"Nicht geplant",IF($J31="","Datum erfassen",IF($L31&lt;0,"Überfällig",IF($L31&lt;=Konfiguration!$B$5,"Bald fällig","OK")))))</f>
        <v/>
      </c>
      <c r="N31" s="43"/>
      <c r="O31" s="42" t="str">
        <f t="shared" si="2"/>
        <v/>
      </c>
      <c r="P31" s="43"/>
    </row>
    <row r="32" spans="1:16" ht="18" customHeight="1" x14ac:dyDescent="0.25">
      <c r="A32" s="43"/>
      <c r="B32" s="43"/>
      <c r="C32" s="43"/>
      <c r="D32" s="43"/>
      <c r="E32" s="43"/>
      <c r="F32" s="43"/>
      <c r="G32" s="43"/>
      <c r="H32" s="43"/>
      <c r="I32" s="37" t="str">
        <f>IF($A32="","",IFERROR(VLOOKUP($H32,Konfiguration!$H$11:$I$18,2,0),0))</f>
        <v/>
      </c>
      <c r="J32" s="43"/>
      <c r="K32" s="39" t="str">
        <f t="shared" si="0"/>
        <v/>
      </c>
      <c r="L32" s="40" t="str">
        <f t="shared" ca="1" si="1"/>
        <v/>
      </c>
      <c r="M32" s="41" t="str">
        <f>IF($A32="","",IF($I32=0,"Nicht geplant",IF($J32="","Datum erfassen",IF($L32&lt;0,"Überfällig",IF($L32&lt;=Konfiguration!$B$5,"Bald fällig","OK")))))</f>
        <v/>
      </c>
      <c r="N32" s="43"/>
      <c r="O32" s="42" t="str">
        <f t="shared" si="2"/>
        <v/>
      </c>
      <c r="P32" s="43"/>
    </row>
    <row r="33" spans="1:16" ht="18" customHeight="1" x14ac:dyDescent="0.25">
      <c r="A33" s="43"/>
      <c r="B33" s="43"/>
      <c r="C33" s="43"/>
      <c r="D33" s="43"/>
      <c r="E33" s="43"/>
      <c r="F33" s="43"/>
      <c r="G33" s="43"/>
      <c r="H33" s="43"/>
      <c r="I33" s="37" t="str">
        <f>IF($A33="","",IFERROR(VLOOKUP($H33,Konfiguration!$H$11:$I$18,2,0),0))</f>
        <v/>
      </c>
      <c r="J33" s="43"/>
      <c r="K33" s="39" t="str">
        <f t="shared" si="0"/>
        <v/>
      </c>
      <c r="L33" s="40" t="str">
        <f t="shared" ca="1" si="1"/>
        <v/>
      </c>
      <c r="M33" s="41" t="str">
        <f>IF($A33="","",IF($I33=0,"Nicht geplant",IF($J33="","Datum erfassen",IF($L33&lt;0,"Überfällig",IF($L33&lt;=Konfiguration!$B$5,"Bald fällig","OK")))))</f>
        <v/>
      </c>
      <c r="N33" s="43"/>
      <c r="O33" s="42" t="str">
        <f t="shared" si="2"/>
        <v/>
      </c>
      <c r="P33" s="43"/>
    </row>
    <row r="34" spans="1:16" ht="18" customHeight="1" x14ac:dyDescent="0.25">
      <c r="A34" s="43"/>
      <c r="B34" s="43"/>
      <c r="C34" s="43"/>
      <c r="D34" s="43"/>
      <c r="E34" s="43"/>
      <c r="F34" s="43"/>
      <c r="G34" s="43"/>
      <c r="H34" s="43"/>
      <c r="I34" s="37" t="str">
        <f>IF($A34="","",IFERROR(VLOOKUP($H34,Konfiguration!$H$11:$I$18,2,0),0))</f>
        <v/>
      </c>
      <c r="J34" s="43"/>
      <c r="K34" s="39" t="str">
        <f t="shared" si="0"/>
        <v/>
      </c>
      <c r="L34" s="40" t="str">
        <f t="shared" ca="1" si="1"/>
        <v/>
      </c>
      <c r="M34" s="41" t="str">
        <f>IF($A34="","",IF($I34=0,"Nicht geplant",IF($J34="","Datum erfassen",IF($L34&lt;0,"Überfällig",IF($L34&lt;=Konfiguration!$B$5,"Bald fällig","OK")))))</f>
        <v/>
      </c>
      <c r="N34" s="43"/>
      <c r="O34" s="42" t="str">
        <f t="shared" si="2"/>
        <v/>
      </c>
      <c r="P34" s="43"/>
    </row>
    <row r="35" spans="1:16" ht="18" customHeight="1" x14ac:dyDescent="0.25">
      <c r="A35" s="43"/>
      <c r="B35" s="43"/>
      <c r="C35" s="43"/>
      <c r="D35" s="43"/>
      <c r="E35" s="43"/>
      <c r="F35" s="43"/>
      <c r="G35" s="43"/>
      <c r="H35" s="43"/>
      <c r="I35" s="37" t="str">
        <f>IF($A35="","",IFERROR(VLOOKUP($H35,Konfiguration!$H$11:$I$18,2,0),0))</f>
        <v/>
      </c>
      <c r="J35" s="43"/>
      <c r="K35" s="39" t="str">
        <f t="shared" si="0"/>
        <v/>
      </c>
      <c r="L35" s="40" t="str">
        <f t="shared" ca="1" si="1"/>
        <v/>
      </c>
      <c r="M35" s="41" t="str">
        <f>IF($A35="","",IF($I35=0,"Nicht geplant",IF($J35="","Datum erfassen",IF($L35&lt;0,"Überfällig",IF($L35&lt;=Konfiguration!$B$5,"Bald fällig","OK")))))</f>
        <v/>
      </c>
      <c r="N35" s="43"/>
      <c r="O35" s="42" t="str">
        <f t="shared" si="2"/>
        <v/>
      </c>
      <c r="P35" s="43"/>
    </row>
    <row r="36" spans="1:16" ht="18" customHeight="1" x14ac:dyDescent="0.25">
      <c r="A36" s="43"/>
      <c r="B36" s="43"/>
      <c r="C36" s="43"/>
      <c r="D36" s="43"/>
      <c r="E36" s="43"/>
      <c r="F36" s="43"/>
      <c r="G36" s="43"/>
      <c r="H36" s="43"/>
      <c r="I36" s="37" t="str">
        <f>IF($A36="","",IFERROR(VLOOKUP($H36,Konfiguration!$H$11:$I$18,2,0),0))</f>
        <v/>
      </c>
      <c r="J36" s="43"/>
      <c r="K36" s="39" t="str">
        <f t="shared" si="0"/>
        <v/>
      </c>
      <c r="L36" s="40" t="str">
        <f t="shared" ca="1" si="1"/>
        <v/>
      </c>
      <c r="M36" s="41" t="str">
        <f>IF($A36="","",IF($I36=0,"Nicht geplant",IF($J36="","Datum erfassen",IF($L36&lt;0,"Überfällig",IF($L36&lt;=Konfiguration!$B$5,"Bald fällig","OK")))))</f>
        <v/>
      </c>
      <c r="N36" s="43"/>
      <c r="O36" s="42" t="str">
        <f t="shared" si="2"/>
        <v/>
      </c>
      <c r="P36" s="43"/>
    </row>
  </sheetData>
  <autoFilter ref="A4:P36" xr:uid="{00000000-0009-0000-0000-000001000000}"/>
  <mergeCells count="9">
    <mergeCell ref="A1:P1"/>
    <mergeCell ref="A2:P2"/>
    <mergeCell ref="B3:C3"/>
    <mergeCell ref="D3:E3"/>
    <mergeCell ref="F3:G3"/>
    <mergeCell ref="H3:I3"/>
    <mergeCell ref="J3:K3"/>
    <mergeCell ref="L3:M3"/>
    <mergeCell ref="O3:P3"/>
  </mergeCells>
  <conditionalFormatting sqref="G5:G36">
    <cfRule type="cellIs" dxfId="10" priority="7" operator="equal">
      <formula>"Hoch"</formula>
    </cfRule>
  </conditionalFormatting>
  <conditionalFormatting sqref="K5:K36">
    <cfRule type="cellIs" dxfId="9" priority="9" operator="lessThan">
      <formula>TODAY()</formula>
    </cfRule>
  </conditionalFormatting>
  <conditionalFormatting sqref="L5:L36">
    <cfRule type="cellIs" dxfId="8" priority="8" operator="lessThan">
      <formula>0</formula>
    </cfRule>
  </conditionalFormatting>
  <conditionalFormatting sqref="M5:M36">
    <cfRule type="cellIs" dxfId="7" priority="2" operator="equal">
      <formula>"Überfällig"</formula>
    </cfRule>
    <cfRule type="cellIs" dxfId="6" priority="3" operator="equal">
      <formula>"Bald fällig"</formula>
    </cfRule>
    <cfRule type="cellIs" dxfId="5" priority="4" operator="equal">
      <formula>"OK"</formula>
    </cfRule>
    <cfRule type="cellIs" dxfId="4" priority="5" operator="equal">
      <formula>"Nicht geplant"</formula>
    </cfRule>
    <cfRule type="cellIs" dxfId="3" priority="6" operator="equal">
      <formula>"Datum erfassen"</formula>
    </cfRule>
  </conditionalFormatting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Konfiguration!$A$11:$A$20</xm:f>
          </x14:formula1>
          <x14:formula2>
            <xm:f>0</xm:f>
          </x14:formula2>
          <xm:sqref>C5:C36</xm:sqref>
        </x14:dataValidation>
        <x14:dataValidation type="list" allowBlank="1" xr:uid="{00000000-0002-0000-0100-000001000000}">
          <x14:formula1>
            <xm:f>Konfiguration!$B$11:$B$17</xm:f>
          </x14:formula1>
          <x14:formula2>
            <xm:f>0</xm:f>
          </x14:formula2>
          <xm:sqref>D5:D36</xm:sqref>
        </x14:dataValidation>
        <x14:dataValidation type="list" allowBlank="1" xr:uid="{00000000-0002-0000-0100-000002000000}">
          <x14:formula1>
            <xm:f>Konfiguration!$C$11:$C$17</xm:f>
          </x14:formula1>
          <x14:formula2>
            <xm:f>0</xm:f>
          </x14:formula2>
          <xm:sqref>E5:E36</xm:sqref>
        </x14:dataValidation>
        <x14:dataValidation type="list" allowBlank="1" xr:uid="{00000000-0002-0000-0100-000003000000}">
          <x14:formula1>
            <xm:f>Konfiguration!$D$11:$D$14</xm:f>
          </x14:formula1>
          <x14:formula2>
            <xm:f>0</xm:f>
          </x14:formula2>
          <xm:sqref>F5:F36</xm:sqref>
        </x14:dataValidation>
        <x14:dataValidation type="list" allowBlank="1" xr:uid="{00000000-0002-0000-0100-000004000000}">
          <x14:formula1>
            <xm:f>Konfiguration!$E$11:$E$13</xm:f>
          </x14:formula1>
          <x14:formula2>
            <xm:f>0</xm:f>
          </x14:formula2>
          <xm:sqref>G5:G36</xm:sqref>
        </x14:dataValidation>
        <x14:dataValidation type="list" allowBlank="1" xr:uid="{00000000-0002-0000-0100-000005000000}">
          <x14:formula1>
            <xm:f>Konfiguration!$H$11:$H$18</xm:f>
          </x14:formula1>
          <x14:formula2>
            <xm:f>0</xm:f>
          </x14:formula2>
          <xm:sqref>H5:H36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6E78"/>
    <pageSetUpPr fitToPage="1"/>
  </sheetPr>
  <dimension ref="A1:K3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13" customWidth="1"/>
    <col min="2" max="2" width="12" customWidth="1"/>
    <col min="3" max="3" width="27" customWidth="1"/>
    <col min="4" max="4" width="17" customWidth="1"/>
    <col min="5" max="5" width="40" customWidth="1"/>
    <col min="6" max="6" width="22" customWidth="1"/>
    <col min="7" max="7" width="11" customWidth="1"/>
    <col min="8" max="9" width="16" customWidth="1"/>
    <col min="10" max="10" width="18" customWidth="1"/>
    <col min="11" max="11" width="30" customWidth="1"/>
  </cols>
  <sheetData>
    <row r="1" spans="1:11" ht="27.75" customHeight="1" x14ac:dyDescent="0.25">
      <c r="A1" s="14" t="s">
        <v>123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3" t="s">
        <v>124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customHeight="1" x14ac:dyDescent="0.25">
      <c r="I3" s="33" t="s">
        <v>125</v>
      </c>
      <c r="J3" s="57" t="s">
        <v>126</v>
      </c>
      <c r="K3" s="57"/>
    </row>
    <row r="4" spans="1:11" ht="30" customHeight="1" x14ac:dyDescent="0.25">
      <c r="A4" s="34" t="s">
        <v>127</v>
      </c>
      <c r="B4" s="34" t="s">
        <v>46</v>
      </c>
      <c r="C4" s="34" t="s">
        <v>47</v>
      </c>
      <c r="D4" s="34" t="s">
        <v>50</v>
      </c>
      <c r="E4" s="34" t="s">
        <v>128</v>
      </c>
      <c r="F4" s="34" t="s">
        <v>129</v>
      </c>
      <c r="G4" s="34" t="s">
        <v>130</v>
      </c>
      <c r="H4" s="34" t="s">
        <v>131</v>
      </c>
      <c r="I4" s="34" t="s">
        <v>132</v>
      </c>
      <c r="J4" s="34" t="s">
        <v>133</v>
      </c>
      <c r="K4" s="34" t="s">
        <v>134</v>
      </c>
    </row>
    <row r="5" spans="1:11" ht="18" customHeight="1" x14ac:dyDescent="0.25">
      <c r="A5" s="38">
        <v>46162</v>
      </c>
      <c r="B5" s="35" t="s">
        <v>59</v>
      </c>
      <c r="C5" s="26" t="s">
        <v>60</v>
      </c>
      <c r="D5" s="36" t="s">
        <v>64</v>
      </c>
      <c r="E5" s="44" t="s">
        <v>135</v>
      </c>
      <c r="F5" s="26" t="s">
        <v>63</v>
      </c>
      <c r="G5" s="45">
        <v>2.5</v>
      </c>
      <c r="H5" s="27">
        <v>45</v>
      </c>
      <c r="I5" s="42">
        <f>IF($A5="","",$G5*Konfiguration!$B$6+$H5)</f>
        <v>207.5</v>
      </c>
      <c r="J5" s="36" t="s">
        <v>136</v>
      </c>
      <c r="K5" s="26" t="s">
        <v>137</v>
      </c>
    </row>
    <row r="6" spans="1:11" ht="18" customHeight="1" x14ac:dyDescent="0.25">
      <c r="A6" s="38">
        <v>46114</v>
      </c>
      <c r="B6" s="35" t="s">
        <v>67</v>
      </c>
      <c r="C6" s="26" t="s">
        <v>68</v>
      </c>
      <c r="D6" s="36" t="s">
        <v>71</v>
      </c>
      <c r="E6" s="44" t="s">
        <v>138</v>
      </c>
      <c r="F6" s="26" t="s">
        <v>70</v>
      </c>
      <c r="G6" s="45">
        <v>3</v>
      </c>
      <c r="H6" s="27">
        <v>60</v>
      </c>
      <c r="I6" s="42">
        <f>IF($A6="","",$G6*Konfiguration!$B$6+$H6)</f>
        <v>255</v>
      </c>
      <c r="J6" s="36" t="s">
        <v>139</v>
      </c>
      <c r="K6" s="26" t="s">
        <v>140</v>
      </c>
    </row>
    <row r="7" spans="1:11" ht="18" customHeight="1" x14ac:dyDescent="0.25">
      <c r="A7" s="38">
        <v>46183</v>
      </c>
      <c r="B7" s="35" t="s">
        <v>74</v>
      </c>
      <c r="C7" s="26" t="s">
        <v>75</v>
      </c>
      <c r="D7" s="36" t="s">
        <v>64</v>
      </c>
      <c r="E7" s="44" t="s">
        <v>141</v>
      </c>
      <c r="F7" s="26" t="s">
        <v>78</v>
      </c>
      <c r="G7" s="45">
        <v>1.5</v>
      </c>
      <c r="H7" s="27">
        <v>20</v>
      </c>
      <c r="I7" s="42">
        <f>IF($A7="","",$G7*Konfiguration!$B$6+$H7)</f>
        <v>117.5</v>
      </c>
      <c r="J7" s="36" t="s">
        <v>136</v>
      </c>
      <c r="K7" s="26" t="s">
        <v>142</v>
      </c>
    </row>
    <row r="8" spans="1:11" ht="18" customHeight="1" x14ac:dyDescent="0.25">
      <c r="A8" s="38">
        <v>46037</v>
      </c>
      <c r="B8" s="35" t="s">
        <v>80</v>
      </c>
      <c r="C8" s="26" t="s">
        <v>81</v>
      </c>
      <c r="D8" s="36" t="s">
        <v>64</v>
      </c>
      <c r="E8" s="44" t="s">
        <v>143</v>
      </c>
      <c r="F8" s="26" t="s">
        <v>84</v>
      </c>
      <c r="G8" s="45">
        <v>2</v>
      </c>
      <c r="H8" s="27">
        <v>95</v>
      </c>
      <c r="I8" s="42">
        <f>IF($A8="","",$G8*Konfiguration!$B$6+$H8)</f>
        <v>225</v>
      </c>
      <c r="J8" s="36" t="s">
        <v>144</v>
      </c>
      <c r="K8" s="26" t="s">
        <v>145</v>
      </c>
    </row>
    <row r="9" spans="1:11" ht="18" customHeight="1" x14ac:dyDescent="0.25">
      <c r="A9" s="38">
        <v>46174</v>
      </c>
      <c r="B9" s="35" t="s">
        <v>87</v>
      </c>
      <c r="C9" s="26" t="s">
        <v>88</v>
      </c>
      <c r="D9" s="36" t="s">
        <v>71</v>
      </c>
      <c r="E9" s="44" t="s">
        <v>146</v>
      </c>
      <c r="F9" s="26" t="s">
        <v>63</v>
      </c>
      <c r="G9" s="45">
        <v>4</v>
      </c>
      <c r="H9" s="27">
        <v>30</v>
      </c>
      <c r="I9" s="42">
        <f>IF($A9="","",$G9*Konfiguration!$B$6+$H9)</f>
        <v>290</v>
      </c>
      <c r="J9" s="36" t="s">
        <v>136</v>
      </c>
      <c r="K9" s="26" t="s">
        <v>142</v>
      </c>
    </row>
    <row r="10" spans="1:11" ht="18" customHeight="1" x14ac:dyDescent="0.25">
      <c r="A10" s="38">
        <v>45868</v>
      </c>
      <c r="B10" s="35" t="s">
        <v>90</v>
      </c>
      <c r="C10" s="26" t="s">
        <v>91</v>
      </c>
      <c r="D10" s="36" t="s">
        <v>71</v>
      </c>
      <c r="E10" s="44" t="s">
        <v>147</v>
      </c>
      <c r="F10" s="26" t="s">
        <v>93</v>
      </c>
      <c r="G10" s="45">
        <v>2</v>
      </c>
      <c r="H10" s="27">
        <v>0</v>
      </c>
      <c r="I10" s="42">
        <f>IF($A10="","",$G10*Konfiguration!$B$6+$H10)</f>
        <v>130</v>
      </c>
      <c r="J10" s="36" t="s">
        <v>136</v>
      </c>
      <c r="K10" s="26" t="s">
        <v>148</v>
      </c>
    </row>
    <row r="11" spans="1:11" ht="18" customHeight="1" x14ac:dyDescent="0.25">
      <c r="A11" s="38">
        <v>46091</v>
      </c>
      <c r="B11" s="35" t="s">
        <v>96</v>
      </c>
      <c r="C11" s="26" t="s">
        <v>97</v>
      </c>
      <c r="D11" s="36" t="s">
        <v>64</v>
      </c>
      <c r="E11" s="44" t="s">
        <v>149</v>
      </c>
      <c r="F11" s="26" t="s">
        <v>84</v>
      </c>
      <c r="G11" s="45">
        <v>1.5</v>
      </c>
      <c r="H11" s="27">
        <v>40</v>
      </c>
      <c r="I11" s="42">
        <f>IF($A11="","",$G11*Konfiguration!$B$6+$H11)</f>
        <v>137.5</v>
      </c>
      <c r="J11" s="36" t="s">
        <v>150</v>
      </c>
      <c r="K11" s="26" t="s">
        <v>151</v>
      </c>
    </row>
    <row r="12" spans="1:11" ht="18" customHeight="1" x14ac:dyDescent="0.25">
      <c r="A12" s="38">
        <v>46170</v>
      </c>
      <c r="B12" s="35" t="s">
        <v>101</v>
      </c>
      <c r="C12" s="26" t="s">
        <v>102</v>
      </c>
      <c r="D12" s="36" t="s">
        <v>64</v>
      </c>
      <c r="E12" s="44" t="s">
        <v>152</v>
      </c>
      <c r="F12" s="26" t="s">
        <v>103</v>
      </c>
      <c r="G12" s="45">
        <v>2</v>
      </c>
      <c r="H12" s="27">
        <v>35</v>
      </c>
      <c r="I12" s="42">
        <f>IF($A12="","",$G12*Konfiguration!$B$6+$H12)</f>
        <v>165</v>
      </c>
      <c r="J12" s="36" t="s">
        <v>136</v>
      </c>
      <c r="K12" s="26" t="s">
        <v>142</v>
      </c>
    </row>
    <row r="13" spans="1:11" ht="18" customHeight="1" x14ac:dyDescent="0.25">
      <c r="A13" s="38">
        <v>45828</v>
      </c>
      <c r="B13" s="35" t="s">
        <v>110</v>
      </c>
      <c r="C13" s="26" t="s">
        <v>111</v>
      </c>
      <c r="D13" s="36" t="s">
        <v>71</v>
      </c>
      <c r="E13" s="44" t="s">
        <v>153</v>
      </c>
      <c r="F13" s="26" t="s">
        <v>84</v>
      </c>
      <c r="G13" s="45">
        <v>3.5</v>
      </c>
      <c r="H13" s="27">
        <v>80</v>
      </c>
      <c r="I13" s="42">
        <f>IF($A13="","",$G13*Konfiguration!$B$6+$H13)</f>
        <v>307.5</v>
      </c>
      <c r="J13" s="36" t="s">
        <v>139</v>
      </c>
      <c r="K13" s="26" t="s">
        <v>154</v>
      </c>
    </row>
    <row r="14" spans="1:11" ht="18" customHeight="1" x14ac:dyDescent="0.25">
      <c r="A14" s="38">
        <v>46030</v>
      </c>
      <c r="B14" s="35" t="s">
        <v>118</v>
      </c>
      <c r="C14" s="26" t="s">
        <v>119</v>
      </c>
      <c r="D14" s="36" t="s">
        <v>71</v>
      </c>
      <c r="E14" s="44" t="s">
        <v>155</v>
      </c>
      <c r="F14" s="26" t="s">
        <v>93</v>
      </c>
      <c r="G14" s="45">
        <v>1.5</v>
      </c>
      <c r="H14" s="27">
        <v>25</v>
      </c>
      <c r="I14" s="42">
        <f>IF($A14="","",$G14*Konfiguration!$B$6+$H14)</f>
        <v>122.5</v>
      </c>
      <c r="J14" s="36" t="s">
        <v>136</v>
      </c>
      <c r="K14" s="26" t="s">
        <v>142</v>
      </c>
    </row>
    <row r="15" spans="1:11" ht="18" customHeight="1" x14ac:dyDescent="0.25">
      <c r="A15" s="43"/>
      <c r="B15" s="43"/>
      <c r="C15" s="43"/>
      <c r="D15" s="43"/>
      <c r="E15" s="43"/>
      <c r="F15" s="43"/>
      <c r="G15" s="43"/>
      <c r="H15" s="43"/>
      <c r="I15" s="42" t="str">
        <f>IF($A15="","",$G15*Konfiguration!$B$6+$H15)</f>
        <v/>
      </c>
      <c r="J15" s="43"/>
      <c r="K15" s="43"/>
    </row>
    <row r="16" spans="1:11" ht="18" customHeight="1" x14ac:dyDescent="0.25">
      <c r="A16" s="43"/>
      <c r="B16" s="43"/>
      <c r="C16" s="43"/>
      <c r="D16" s="43"/>
      <c r="E16" s="43"/>
      <c r="F16" s="43"/>
      <c r="G16" s="43"/>
      <c r="H16" s="43"/>
      <c r="I16" s="42" t="str">
        <f>IF($A16="","",$G16*Konfiguration!$B$6+$H16)</f>
        <v/>
      </c>
      <c r="J16" s="43"/>
      <c r="K16" s="43"/>
    </row>
    <row r="17" spans="1:11" ht="18" customHeight="1" x14ac:dyDescent="0.25">
      <c r="A17" s="43"/>
      <c r="B17" s="43"/>
      <c r="C17" s="43"/>
      <c r="D17" s="43"/>
      <c r="E17" s="43"/>
      <c r="F17" s="43"/>
      <c r="G17" s="43"/>
      <c r="H17" s="43"/>
      <c r="I17" s="42" t="str">
        <f>IF($A17="","",$G17*Konfiguration!$B$6+$H17)</f>
        <v/>
      </c>
      <c r="J17" s="43"/>
      <c r="K17" s="43"/>
    </row>
    <row r="18" spans="1:11" ht="18" customHeight="1" x14ac:dyDescent="0.25">
      <c r="A18" s="43"/>
      <c r="B18" s="43"/>
      <c r="C18" s="43"/>
      <c r="D18" s="43"/>
      <c r="E18" s="43"/>
      <c r="F18" s="43"/>
      <c r="G18" s="43"/>
      <c r="H18" s="43"/>
      <c r="I18" s="42" t="str">
        <f>IF($A18="","",$G18*Konfiguration!$B$6+$H18)</f>
        <v/>
      </c>
      <c r="J18" s="43"/>
      <c r="K18" s="43"/>
    </row>
    <row r="19" spans="1:11" ht="18" customHeight="1" x14ac:dyDescent="0.25">
      <c r="A19" s="43"/>
      <c r="B19" s="43"/>
      <c r="C19" s="43"/>
      <c r="D19" s="43"/>
      <c r="E19" s="43"/>
      <c r="F19" s="43"/>
      <c r="G19" s="43"/>
      <c r="H19" s="43"/>
      <c r="I19" s="42" t="str">
        <f>IF($A19="","",$G19*Konfiguration!$B$6+$H19)</f>
        <v/>
      </c>
      <c r="J19" s="43"/>
      <c r="K19" s="43"/>
    </row>
    <row r="20" spans="1:11" ht="18" customHeight="1" x14ac:dyDescent="0.25">
      <c r="A20" s="43"/>
      <c r="B20" s="43"/>
      <c r="C20" s="43"/>
      <c r="D20" s="43"/>
      <c r="E20" s="43"/>
      <c r="F20" s="43"/>
      <c r="G20" s="43"/>
      <c r="H20" s="43"/>
      <c r="I20" s="42" t="str">
        <f>IF($A20="","",$G20*Konfiguration!$B$6+$H20)</f>
        <v/>
      </c>
      <c r="J20" s="43"/>
      <c r="K20" s="43"/>
    </row>
    <row r="21" spans="1:11" ht="18" customHeight="1" x14ac:dyDescent="0.25">
      <c r="A21" s="43"/>
      <c r="B21" s="43"/>
      <c r="C21" s="43"/>
      <c r="D21" s="43"/>
      <c r="E21" s="43"/>
      <c r="F21" s="43"/>
      <c r="G21" s="43"/>
      <c r="H21" s="43"/>
      <c r="I21" s="42" t="str">
        <f>IF($A21="","",$G21*Konfiguration!$B$6+$H21)</f>
        <v/>
      </c>
      <c r="J21" s="43"/>
      <c r="K21" s="43"/>
    </row>
    <row r="22" spans="1:11" ht="18" customHeight="1" x14ac:dyDescent="0.25">
      <c r="A22" s="43"/>
      <c r="B22" s="43"/>
      <c r="C22" s="43"/>
      <c r="D22" s="43"/>
      <c r="E22" s="43"/>
      <c r="F22" s="43"/>
      <c r="G22" s="43"/>
      <c r="H22" s="43"/>
      <c r="I22" s="42" t="str">
        <f>IF($A22="","",$G22*Konfiguration!$B$6+$H22)</f>
        <v/>
      </c>
      <c r="J22" s="43"/>
      <c r="K22" s="43"/>
    </row>
    <row r="23" spans="1:11" ht="18" customHeight="1" x14ac:dyDescent="0.25">
      <c r="A23" s="43"/>
      <c r="B23" s="43"/>
      <c r="C23" s="43"/>
      <c r="D23" s="43"/>
      <c r="E23" s="43"/>
      <c r="F23" s="43"/>
      <c r="G23" s="43"/>
      <c r="H23" s="43"/>
      <c r="I23" s="42" t="str">
        <f>IF($A23="","",$G23*Konfiguration!$B$6+$H23)</f>
        <v/>
      </c>
      <c r="J23" s="43"/>
      <c r="K23" s="43"/>
    </row>
    <row r="24" spans="1:11" ht="18" customHeight="1" x14ac:dyDescent="0.25">
      <c r="A24" s="43"/>
      <c r="B24" s="43"/>
      <c r="C24" s="43"/>
      <c r="D24" s="43"/>
      <c r="E24" s="43"/>
      <c r="F24" s="43"/>
      <c r="G24" s="43"/>
      <c r="H24" s="43"/>
      <c r="I24" s="42" t="str">
        <f>IF($A24="","",$G24*Konfiguration!$B$6+$H24)</f>
        <v/>
      </c>
      <c r="J24" s="43"/>
      <c r="K24" s="43"/>
    </row>
    <row r="25" spans="1:11" ht="18" customHeight="1" x14ac:dyDescent="0.25">
      <c r="A25" s="43"/>
      <c r="B25" s="43"/>
      <c r="C25" s="43"/>
      <c r="D25" s="43"/>
      <c r="E25" s="43"/>
      <c r="F25" s="43"/>
      <c r="G25" s="43"/>
      <c r="H25" s="43"/>
      <c r="I25" s="42" t="str">
        <f>IF($A25="","",$G25*Konfiguration!$B$6+$H25)</f>
        <v/>
      </c>
      <c r="J25" s="43"/>
      <c r="K25" s="43"/>
    </row>
    <row r="26" spans="1:11" ht="18" customHeight="1" x14ac:dyDescent="0.25">
      <c r="A26" s="43"/>
      <c r="B26" s="43"/>
      <c r="C26" s="43"/>
      <c r="D26" s="43"/>
      <c r="E26" s="43"/>
      <c r="F26" s="43"/>
      <c r="G26" s="43"/>
      <c r="H26" s="43"/>
      <c r="I26" s="42" t="str">
        <f>IF($A26="","",$G26*Konfiguration!$B$6+$H26)</f>
        <v/>
      </c>
      <c r="J26" s="43"/>
      <c r="K26" s="43"/>
    </row>
    <row r="27" spans="1:11" ht="18" customHeight="1" x14ac:dyDescent="0.25">
      <c r="A27" s="43"/>
      <c r="B27" s="43"/>
      <c r="C27" s="43"/>
      <c r="D27" s="43"/>
      <c r="E27" s="43"/>
      <c r="F27" s="43"/>
      <c r="G27" s="43"/>
      <c r="H27" s="43"/>
      <c r="I27" s="42" t="str">
        <f>IF($A27="","",$G27*Konfiguration!$B$6+$H27)</f>
        <v/>
      </c>
      <c r="J27" s="43"/>
      <c r="K27" s="43"/>
    </row>
    <row r="28" spans="1:11" ht="18" customHeight="1" x14ac:dyDescent="0.25">
      <c r="A28" s="43"/>
      <c r="B28" s="43"/>
      <c r="C28" s="43"/>
      <c r="D28" s="43"/>
      <c r="E28" s="43"/>
      <c r="F28" s="43"/>
      <c r="G28" s="43"/>
      <c r="H28" s="43"/>
      <c r="I28" s="42" t="str">
        <f>IF($A28="","",$G28*Konfiguration!$B$6+$H28)</f>
        <v/>
      </c>
      <c r="J28" s="43"/>
      <c r="K28" s="43"/>
    </row>
    <row r="29" spans="1:11" ht="18" customHeight="1" x14ac:dyDescent="0.25">
      <c r="A29" s="43"/>
      <c r="B29" s="43"/>
      <c r="C29" s="43"/>
      <c r="D29" s="43"/>
      <c r="E29" s="43"/>
      <c r="F29" s="43"/>
      <c r="G29" s="43"/>
      <c r="H29" s="43"/>
      <c r="I29" s="42" t="str">
        <f>IF($A29="","",$G29*Konfiguration!$B$6+$H29)</f>
        <v/>
      </c>
      <c r="J29" s="43"/>
      <c r="K29" s="43"/>
    </row>
    <row r="30" spans="1:11" ht="18" customHeight="1" x14ac:dyDescent="0.25">
      <c r="A30" s="43"/>
      <c r="B30" s="43"/>
      <c r="C30" s="43"/>
      <c r="D30" s="43"/>
      <c r="E30" s="43"/>
      <c r="F30" s="43"/>
      <c r="G30" s="43"/>
      <c r="H30" s="43"/>
      <c r="I30" s="42" t="str">
        <f>IF($A30="","",$G30*Konfiguration!$B$6+$H30)</f>
        <v/>
      </c>
      <c r="J30" s="43"/>
      <c r="K30" s="43"/>
    </row>
    <row r="31" spans="1:11" ht="18" customHeight="1" x14ac:dyDescent="0.25">
      <c r="A31" s="43"/>
      <c r="B31" s="43"/>
      <c r="C31" s="43"/>
      <c r="D31" s="43"/>
      <c r="E31" s="43"/>
      <c r="F31" s="43"/>
      <c r="G31" s="43"/>
      <c r="H31" s="43"/>
      <c r="I31" s="42" t="str">
        <f>IF($A31="","",$G31*Konfiguration!$B$6+$H31)</f>
        <v/>
      </c>
      <c r="J31" s="43"/>
      <c r="K31" s="43"/>
    </row>
    <row r="32" spans="1:11" ht="18" customHeight="1" x14ac:dyDescent="0.25">
      <c r="A32" s="43"/>
      <c r="B32" s="43"/>
      <c r="C32" s="43"/>
      <c r="D32" s="43"/>
      <c r="E32" s="43"/>
      <c r="F32" s="43"/>
      <c r="G32" s="43"/>
      <c r="H32" s="43"/>
      <c r="I32" s="42" t="str">
        <f>IF($A32="","",$G32*Konfiguration!$B$6+$H32)</f>
        <v/>
      </c>
      <c r="J32" s="43"/>
      <c r="K32" s="43"/>
    </row>
    <row r="33" spans="1:11" ht="18" customHeight="1" x14ac:dyDescent="0.25">
      <c r="A33" s="43"/>
      <c r="B33" s="43"/>
      <c r="C33" s="43"/>
      <c r="D33" s="43"/>
      <c r="E33" s="43"/>
      <c r="F33" s="43"/>
      <c r="G33" s="43"/>
      <c r="H33" s="43"/>
      <c r="I33" s="42" t="str">
        <f>IF($A33="","",$G33*Konfiguration!$B$6+$H33)</f>
        <v/>
      </c>
      <c r="J33" s="43"/>
      <c r="K33" s="43"/>
    </row>
    <row r="34" spans="1:11" ht="18" customHeight="1" x14ac:dyDescent="0.25">
      <c r="A34" s="43"/>
      <c r="B34" s="43"/>
      <c r="C34" s="43"/>
      <c r="D34" s="43"/>
      <c r="E34" s="43"/>
      <c r="F34" s="43"/>
      <c r="G34" s="43"/>
      <c r="H34" s="43"/>
      <c r="I34" s="42" t="str">
        <f>IF($A34="","",$G34*Konfiguration!$B$6+$H34)</f>
        <v/>
      </c>
      <c r="J34" s="43"/>
      <c r="K34" s="43"/>
    </row>
    <row r="36" spans="1:11" x14ac:dyDescent="0.25">
      <c r="F36" s="46" t="s">
        <v>156</v>
      </c>
      <c r="H36" s="47">
        <f>SUM(H5:H34)</f>
        <v>430</v>
      </c>
      <c r="I36" s="47">
        <f>SUM(I5:I34)</f>
        <v>1957.5</v>
      </c>
    </row>
  </sheetData>
  <autoFilter ref="A4:K34" xr:uid="{00000000-0009-0000-0000-000002000000}"/>
  <mergeCells count="3">
    <mergeCell ref="A1:K1"/>
    <mergeCell ref="A2:K2"/>
    <mergeCell ref="J3:K3"/>
  </mergeCells>
  <conditionalFormatting sqref="J5:J34">
    <cfRule type="cellIs" dxfId="2" priority="2" operator="equal">
      <formula>"Nacharbeit nötig"</formula>
    </cfRule>
    <cfRule type="cellIs" dxfId="1" priority="3" operator="equal">
      <formula>"Stillstand"</formula>
    </cfRule>
    <cfRule type="cellIs" dxfId="0" priority="4" operator="equal">
      <formula>"OK"</formula>
    </cfRule>
  </conditionalFormatting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0000000}">
          <x14:formula1>
            <xm:f>Konfiguration!$D$11:$D$14</xm:f>
          </x14:formula1>
          <x14:formula2>
            <xm:f>0</xm:f>
          </x14:formula2>
          <xm:sqref>D5:D34</xm:sqref>
        </x14:dataValidation>
        <x14:dataValidation type="list" allowBlank="1" xr:uid="{00000000-0002-0000-0200-000001000000}">
          <x14:formula1>
            <xm:f>Konfiguration!$F$11:$F$15</xm:f>
          </x14:formula1>
          <x14:formula2>
            <xm:f>0</xm:f>
          </x14:formula2>
          <xm:sqref>J5:J34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3D44"/>
    <pageSetUpPr fitToPage="1"/>
  </sheetPr>
  <dimension ref="A1:I20"/>
  <sheetViews>
    <sheetView showGridLines="0" zoomScaleNormal="100" workbookViewId="0"/>
  </sheetViews>
  <sheetFormatPr baseColWidth="10" defaultColWidth="8.7109375" defaultRowHeight="15" x14ac:dyDescent="0.25"/>
  <cols>
    <col min="1" max="1" width="34" customWidth="1"/>
    <col min="2" max="2" width="16" customWidth="1"/>
    <col min="3" max="3" width="22" customWidth="1"/>
    <col min="4" max="4" width="24" customWidth="1"/>
    <col min="5" max="5" width="15" customWidth="1"/>
    <col min="6" max="6" width="24" customWidth="1"/>
    <col min="7" max="7" width="3" customWidth="1"/>
    <col min="8" max="8" width="18" customWidth="1"/>
    <col min="9" max="9" width="14" customWidth="1"/>
  </cols>
  <sheetData>
    <row r="1" spans="1:9" ht="27.75" customHeight="1" x14ac:dyDescent="0.25">
      <c r="A1" s="14" t="s">
        <v>157</v>
      </c>
      <c r="B1" s="14"/>
      <c r="C1" s="14"/>
      <c r="D1" s="14"/>
      <c r="E1" s="14"/>
      <c r="F1" s="14"/>
      <c r="G1" s="14"/>
      <c r="H1" s="14"/>
      <c r="I1" s="14"/>
    </row>
    <row r="2" spans="1:9" ht="18" customHeight="1" x14ac:dyDescent="0.25">
      <c r="A2" s="13" t="s">
        <v>158</v>
      </c>
      <c r="B2" s="13"/>
      <c r="C2" s="13"/>
      <c r="D2" s="13"/>
      <c r="E2" s="13"/>
      <c r="F2" s="13"/>
      <c r="G2" s="13"/>
      <c r="H2" s="13"/>
      <c r="I2" s="13"/>
    </row>
    <row r="4" spans="1:9" x14ac:dyDescent="0.25">
      <c r="A4" s="11" t="s">
        <v>159</v>
      </c>
      <c r="B4" s="11"/>
    </row>
    <row r="5" spans="1:9" x14ac:dyDescent="0.25">
      <c r="A5" s="26" t="s">
        <v>160</v>
      </c>
      <c r="B5" s="48">
        <v>14</v>
      </c>
    </row>
    <row r="6" spans="1:9" x14ac:dyDescent="0.25">
      <c r="A6" s="26" t="s">
        <v>161</v>
      </c>
      <c r="B6" s="48">
        <v>65</v>
      </c>
    </row>
    <row r="7" spans="1:9" x14ac:dyDescent="0.25">
      <c r="A7" s="26" t="s">
        <v>162</v>
      </c>
      <c r="B7" s="49">
        <v>2026</v>
      </c>
    </row>
    <row r="9" spans="1:9" x14ac:dyDescent="0.25">
      <c r="A9" s="11" t="s">
        <v>163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6" t="s">
        <v>164</v>
      </c>
      <c r="B10" s="16" t="s">
        <v>165</v>
      </c>
      <c r="C10" s="16" t="s">
        <v>166</v>
      </c>
      <c r="D10" s="16" t="s">
        <v>167</v>
      </c>
      <c r="E10" s="16" t="s">
        <v>22</v>
      </c>
      <c r="F10" s="16" t="s">
        <v>168</v>
      </c>
      <c r="H10" s="16" t="s">
        <v>51</v>
      </c>
      <c r="I10" s="16" t="s">
        <v>169</v>
      </c>
    </row>
    <row r="11" spans="1:9" x14ac:dyDescent="0.25">
      <c r="A11" s="26" t="s">
        <v>61</v>
      </c>
      <c r="B11" s="26" t="s">
        <v>62</v>
      </c>
      <c r="C11" s="26" t="s">
        <v>63</v>
      </c>
      <c r="D11" s="26" t="s">
        <v>64</v>
      </c>
      <c r="E11" s="26" t="s">
        <v>24</v>
      </c>
      <c r="F11" s="26" t="s">
        <v>136</v>
      </c>
      <c r="H11" s="26" t="s">
        <v>170</v>
      </c>
      <c r="I11" s="18">
        <v>1</v>
      </c>
    </row>
    <row r="12" spans="1:9" x14ac:dyDescent="0.25">
      <c r="A12" s="26" t="s">
        <v>76</v>
      </c>
      <c r="B12" s="26" t="s">
        <v>69</v>
      </c>
      <c r="C12" s="26" t="s">
        <v>70</v>
      </c>
      <c r="D12" s="26" t="s">
        <v>71</v>
      </c>
      <c r="E12" s="26" t="s">
        <v>25</v>
      </c>
      <c r="F12" s="26" t="s">
        <v>139</v>
      </c>
      <c r="H12" s="26" t="s">
        <v>171</v>
      </c>
      <c r="I12" s="18">
        <v>7</v>
      </c>
    </row>
    <row r="13" spans="1:9" x14ac:dyDescent="0.25">
      <c r="A13" s="26" t="s">
        <v>82</v>
      </c>
      <c r="B13" s="26" t="s">
        <v>77</v>
      </c>
      <c r="C13" s="26" t="s">
        <v>78</v>
      </c>
      <c r="D13" s="26" t="s">
        <v>172</v>
      </c>
      <c r="E13" s="26" t="s">
        <v>26</v>
      </c>
      <c r="F13" s="26" t="s">
        <v>144</v>
      </c>
      <c r="H13" s="26" t="s">
        <v>108</v>
      </c>
      <c r="I13" s="18">
        <v>14</v>
      </c>
    </row>
    <row r="14" spans="1:9" x14ac:dyDescent="0.25">
      <c r="A14" s="26" t="s">
        <v>98</v>
      </c>
      <c r="B14" s="26" t="s">
        <v>121</v>
      </c>
      <c r="C14" s="26" t="s">
        <v>107</v>
      </c>
      <c r="D14" s="26" t="s">
        <v>173</v>
      </c>
      <c r="F14" s="26" t="s">
        <v>150</v>
      </c>
      <c r="H14" s="26" t="s">
        <v>65</v>
      </c>
      <c r="I14" s="18">
        <v>30</v>
      </c>
    </row>
    <row r="15" spans="1:9" x14ac:dyDescent="0.25">
      <c r="A15" s="26" t="s">
        <v>174</v>
      </c>
      <c r="B15" s="26" t="s">
        <v>83</v>
      </c>
      <c r="C15" s="26" t="s">
        <v>103</v>
      </c>
      <c r="F15" s="26" t="s">
        <v>175</v>
      </c>
      <c r="H15" s="26" t="s">
        <v>72</v>
      </c>
      <c r="I15" s="18">
        <v>91</v>
      </c>
    </row>
    <row r="16" spans="1:9" x14ac:dyDescent="0.25">
      <c r="A16" s="26" t="s">
        <v>176</v>
      </c>
      <c r="B16" s="26" t="s">
        <v>99</v>
      </c>
      <c r="C16" s="26" t="s">
        <v>93</v>
      </c>
      <c r="H16" s="26" t="s">
        <v>85</v>
      </c>
      <c r="I16" s="18">
        <v>182</v>
      </c>
    </row>
    <row r="17" spans="1:9" x14ac:dyDescent="0.25">
      <c r="A17" s="26" t="s">
        <v>92</v>
      </c>
      <c r="B17" s="26" t="s">
        <v>177</v>
      </c>
      <c r="C17" s="26" t="s">
        <v>84</v>
      </c>
      <c r="H17" s="26" t="s">
        <v>94</v>
      </c>
      <c r="I17" s="18">
        <v>365</v>
      </c>
    </row>
    <row r="18" spans="1:9" x14ac:dyDescent="0.25">
      <c r="A18" s="26" t="s">
        <v>178</v>
      </c>
      <c r="H18" s="26" t="s">
        <v>116</v>
      </c>
      <c r="I18" s="18">
        <v>0</v>
      </c>
    </row>
    <row r="19" spans="1:9" x14ac:dyDescent="0.25">
      <c r="A19" s="26" t="s">
        <v>112</v>
      </c>
    </row>
    <row r="20" spans="1:9" x14ac:dyDescent="0.25">
      <c r="A20" s="26" t="s">
        <v>120</v>
      </c>
    </row>
  </sheetData>
  <mergeCells count="4">
    <mergeCell ref="A1:I1"/>
    <mergeCell ref="A2:I2"/>
    <mergeCell ref="A4:B4"/>
    <mergeCell ref="A9:I9"/>
  </mergeCell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Übersicht</vt:lpstr>
      <vt:lpstr>Wartungsplan</vt:lpstr>
      <vt:lpstr>Wartungsprotokoll</vt:lpstr>
      <vt:lpstr>Konfiguration</vt:lpstr>
      <vt:lpstr>Wartungsplan!Drucktitel</vt:lpstr>
      <vt:lpstr>Wartungsprotokoll!Drucktitel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Wartungsplan Maschinen &amp; Anlagen</dc:title>
  <dc:subject/>
  <dc:creator>Instandhaltung</dc:creator>
  <dc:description>Vorlage zur Wartungs- und Instandhaltungsplanung</dc:description>
  <cp:lastModifiedBy>Sergio Jiménez Canales</cp:lastModifiedBy>
  <cp:revision>1</cp:revision>
  <dcterms:created xsi:type="dcterms:W3CDTF">2026-06-24T05:52:45Z</dcterms:created>
  <dcterms:modified xsi:type="dcterms:W3CDTF">2026-06-24T06:29:48Z</dcterms:modified>
  <dc:language>en-US</dc:language>
</cp:coreProperties>
</file>