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9AA4CB20-9781-4748-B57C-116C282EED5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Übersicht" sheetId="1" r:id="rId1"/>
    <sheet name="Trades" sheetId="2" r:id="rId2"/>
    <sheet name="Stammdaten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52" i="2" l="1"/>
  <c r="N52" i="2"/>
  <c r="M52" i="2"/>
  <c r="L52" i="2"/>
  <c r="K52" i="2"/>
  <c r="O51" i="2"/>
  <c r="N51" i="2"/>
  <c r="M51" i="2"/>
  <c r="L51" i="2"/>
  <c r="K51" i="2"/>
  <c r="O50" i="2"/>
  <c r="N50" i="2"/>
  <c r="M50" i="2"/>
  <c r="L50" i="2"/>
  <c r="K50" i="2"/>
  <c r="O49" i="2"/>
  <c r="N49" i="2"/>
  <c r="M49" i="2"/>
  <c r="L49" i="2"/>
  <c r="K49" i="2"/>
  <c r="O48" i="2"/>
  <c r="N48" i="2"/>
  <c r="M48" i="2"/>
  <c r="L48" i="2"/>
  <c r="K48" i="2"/>
  <c r="O47" i="2"/>
  <c r="N47" i="2"/>
  <c r="M47" i="2"/>
  <c r="L47" i="2"/>
  <c r="K47" i="2"/>
  <c r="O46" i="2"/>
  <c r="N46" i="2"/>
  <c r="M46" i="2"/>
  <c r="L46" i="2"/>
  <c r="K46" i="2"/>
  <c r="O45" i="2"/>
  <c r="N45" i="2"/>
  <c r="M45" i="2"/>
  <c r="L45" i="2"/>
  <c r="K45" i="2"/>
  <c r="O44" i="2"/>
  <c r="N44" i="2"/>
  <c r="M44" i="2"/>
  <c r="L44" i="2"/>
  <c r="K44" i="2"/>
  <c r="O43" i="2"/>
  <c r="N43" i="2"/>
  <c r="M43" i="2"/>
  <c r="L43" i="2"/>
  <c r="K43" i="2"/>
  <c r="O42" i="2"/>
  <c r="N42" i="2"/>
  <c r="M42" i="2"/>
  <c r="L42" i="2"/>
  <c r="K42" i="2"/>
  <c r="O41" i="2"/>
  <c r="N41" i="2"/>
  <c r="M41" i="2"/>
  <c r="L41" i="2"/>
  <c r="K41" i="2"/>
  <c r="O40" i="2"/>
  <c r="N40" i="2"/>
  <c r="M40" i="2"/>
  <c r="L40" i="2"/>
  <c r="K40" i="2"/>
  <c r="O39" i="2"/>
  <c r="N39" i="2"/>
  <c r="M39" i="2"/>
  <c r="L39" i="2"/>
  <c r="K39" i="2"/>
  <c r="O38" i="2"/>
  <c r="N38" i="2"/>
  <c r="M38" i="2"/>
  <c r="L38" i="2"/>
  <c r="K38" i="2"/>
  <c r="L37" i="2"/>
  <c r="M37" i="2" s="1"/>
  <c r="K37" i="2"/>
  <c r="L36" i="2"/>
  <c r="M36" i="2" s="1"/>
  <c r="K36" i="2"/>
  <c r="L35" i="2"/>
  <c r="M35" i="2" s="1"/>
  <c r="K35" i="2"/>
  <c r="L34" i="2"/>
  <c r="M34" i="2" s="1"/>
  <c r="K34" i="2"/>
  <c r="L33" i="2"/>
  <c r="M33" i="2" s="1"/>
  <c r="K33" i="2"/>
  <c r="L32" i="2"/>
  <c r="M32" i="2" s="1"/>
  <c r="K32" i="2"/>
  <c r="L31" i="2"/>
  <c r="M31" i="2" s="1"/>
  <c r="K31" i="2"/>
  <c r="L30" i="2"/>
  <c r="M30" i="2" s="1"/>
  <c r="K30" i="2"/>
  <c r="L29" i="2"/>
  <c r="M29" i="2" s="1"/>
  <c r="K29" i="2"/>
  <c r="L28" i="2"/>
  <c r="M28" i="2" s="1"/>
  <c r="K28" i="2"/>
  <c r="L27" i="2"/>
  <c r="M27" i="2" s="1"/>
  <c r="K27" i="2"/>
  <c r="L26" i="2"/>
  <c r="M26" i="2" s="1"/>
  <c r="K26" i="2"/>
  <c r="L25" i="2"/>
  <c r="D40" i="1" s="1"/>
  <c r="F40" i="1" s="1"/>
  <c r="K25" i="2"/>
  <c r="L24" i="2"/>
  <c r="M24" i="2" s="1"/>
  <c r="K24" i="2"/>
  <c r="L23" i="2"/>
  <c r="M23" i="2" s="1"/>
  <c r="K23" i="2"/>
  <c r="L22" i="2"/>
  <c r="H27" i="1" s="1"/>
  <c r="K22" i="2"/>
  <c r="L21" i="2"/>
  <c r="M21" i="2" s="1"/>
  <c r="K21" i="2"/>
  <c r="L20" i="2"/>
  <c r="M20" i="2" s="1"/>
  <c r="K20" i="2"/>
  <c r="L19" i="2"/>
  <c r="M19" i="2" s="1"/>
  <c r="K19" i="2"/>
  <c r="L18" i="2"/>
  <c r="M18" i="2" s="1"/>
  <c r="K18" i="2"/>
  <c r="L17" i="2"/>
  <c r="H30" i="1" s="1"/>
  <c r="K17" i="2"/>
  <c r="L16" i="2"/>
  <c r="M16" i="2" s="1"/>
  <c r="K16" i="2"/>
  <c r="L15" i="2"/>
  <c r="M15" i="2" s="1"/>
  <c r="K15" i="2"/>
  <c r="L14" i="2"/>
  <c r="M14" i="2" s="1"/>
  <c r="K14" i="2"/>
  <c r="L13" i="2"/>
  <c r="M13" i="2" s="1"/>
  <c r="K13" i="2"/>
  <c r="L12" i="2"/>
  <c r="M12" i="2" s="1"/>
  <c r="K12" i="2"/>
  <c r="L11" i="2"/>
  <c r="M11" i="2" s="1"/>
  <c r="K11" i="2"/>
  <c r="L10" i="2"/>
  <c r="M10" i="2" s="1"/>
  <c r="K10" i="2"/>
  <c r="L9" i="2"/>
  <c r="M9" i="2" s="1"/>
  <c r="K9" i="2"/>
  <c r="L8" i="2"/>
  <c r="M8" i="2" s="1"/>
  <c r="K8" i="2"/>
  <c r="L7" i="2"/>
  <c r="F28" i="1" s="1"/>
  <c r="K7" i="2"/>
  <c r="L6" i="2"/>
  <c r="H29" i="1" s="1"/>
  <c r="K6" i="2"/>
  <c r="L5" i="2"/>
  <c r="D39" i="1" s="1"/>
  <c r="K5" i="2"/>
  <c r="B2" i="2"/>
  <c r="H50" i="1"/>
  <c r="G50" i="1"/>
  <c r="E50" i="1"/>
  <c r="D50" i="1"/>
  <c r="F50" i="1" s="1"/>
  <c r="C50" i="1"/>
  <c r="H49" i="1"/>
  <c r="G49" i="1"/>
  <c r="F49" i="1"/>
  <c r="E49" i="1"/>
  <c r="D49" i="1"/>
  <c r="C49" i="1"/>
  <c r="H48" i="1"/>
  <c r="G48" i="1"/>
  <c r="E48" i="1"/>
  <c r="D48" i="1"/>
  <c r="F48" i="1" s="1"/>
  <c r="C48" i="1"/>
  <c r="H47" i="1"/>
  <c r="G47" i="1"/>
  <c r="E47" i="1"/>
  <c r="D47" i="1"/>
  <c r="F47" i="1" s="1"/>
  <c r="C47" i="1"/>
  <c r="H46" i="1"/>
  <c r="G46" i="1"/>
  <c r="E46" i="1"/>
  <c r="D46" i="1"/>
  <c r="F46" i="1" s="1"/>
  <c r="C46" i="1"/>
  <c r="H45" i="1"/>
  <c r="G45" i="1"/>
  <c r="E45" i="1"/>
  <c r="D45" i="1"/>
  <c r="F45" i="1" s="1"/>
  <c r="C45" i="1"/>
  <c r="H44" i="1"/>
  <c r="G44" i="1"/>
  <c r="F44" i="1"/>
  <c r="E44" i="1"/>
  <c r="D44" i="1"/>
  <c r="C44" i="1"/>
  <c r="H43" i="1"/>
  <c r="G43" i="1"/>
  <c r="E43" i="1"/>
  <c r="D43" i="1"/>
  <c r="F43" i="1" s="1"/>
  <c r="C43" i="1"/>
  <c r="H42" i="1"/>
  <c r="G42" i="1"/>
  <c r="E42" i="1"/>
  <c r="D42" i="1"/>
  <c r="F42" i="1" s="1"/>
  <c r="C42" i="1"/>
  <c r="H41" i="1"/>
  <c r="G41" i="1"/>
  <c r="E41" i="1"/>
  <c r="D41" i="1"/>
  <c r="F41" i="1" s="1"/>
  <c r="C41" i="1"/>
  <c r="H40" i="1"/>
  <c r="C40" i="1"/>
  <c r="H39" i="1"/>
  <c r="E39" i="1"/>
  <c r="C39" i="1"/>
  <c r="C51" i="1" s="1"/>
  <c r="H33" i="1"/>
  <c r="D33" i="1"/>
  <c r="E33" i="1" s="1"/>
  <c r="C33" i="1"/>
  <c r="H32" i="1"/>
  <c r="G32" i="1"/>
  <c r="F32" i="1"/>
  <c r="D32" i="1"/>
  <c r="E32" i="1" s="1"/>
  <c r="C32" i="1"/>
  <c r="H31" i="1"/>
  <c r="G31" i="1"/>
  <c r="F31" i="1"/>
  <c r="D31" i="1"/>
  <c r="E31" i="1" s="1"/>
  <c r="C31" i="1"/>
  <c r="C30" i="1"/>
  <c r="C29" i="1"/>
  <c r="H28" i="1"/>
  <c r="C28" i="1"/>
  <c r="C27" i="1"/>
  <c r="C26" i="1"/>
  <c r="K21" i="1"/>
  <c r="E21" i="1"/>
  <c r="B21" i="1"/>
  <c r="L7" i="1"/>
  <c r="I7" i="1"/>
  <c r="F7" i="1"/>
  <c r="C7" i="1"/>
  <c r="G33" i="1" l="1"/>
  <c r="F39" i="1"/>
  <c r="D51" i="1"/>
  <c r="F51" i="1" s="1"/>
  <c r="N13" i="2"/>
  <c r="F29" i="1"/>
  <c r="M6" i="2"/>
  <c r="G29" i="1" s="1"/>
  <c r="M22" i="2"/>
  <c r="G27" i="1" s="1"/>
  <c r="B12" i="1"/>
  <c r="G40" i="1"/>
  <c r="N6" i="2"/>
  <c r="O6" i="2" s="1"/>
  <c r="N10" i="2"/>
  <c r="N14" i="2"/>
  <c r="N18" i="2"/>
  <c r="N22" i="2"/>
  <c r="N26" i="2"/>
  <c r="O26" i="2" s="1"/>
  <c r="N30" i="2"/>
  <c r="N34" i="2"/>
  <c r="E12" i="1"/>
  <c r="H26" i="1"/>
  <c r="D30" i="1"/>
  <c r="E30" i="1" s="1"/>
  <c r="F33" i="1"/>
  <c r="H12" i="1"/>
  <c r="D29" i="1"/>
  <c r="E29" i="1" s="1"/>
  <c r="E40" i="1"/>
  <c r="E51" i="1" s="1"/>
  <c r="F34" i="1"/>
  <c r="H51" i="1"/>
  <c r="G39" i="1"/>
  <c r="N7" i="2"/>
  <c r="N11" i="2"/>
  <c r="N15" i="2"/>
  <c r="N19" i="2"/>
  <c r="N27" i="2"/>
  <c r="N35" i="2"/>
  <c r="E18" i="1"/>
  <c r="D28" i="1"/>
  <c r="E28" i="1" s="1"/>
  <c r="H34" i="1"/>
  <c r="D2" i="2"/>
  <c r="N9" i="2"/>
  <c r="O9" i="2" s="1"/>
  <c r="N17" i="2"/>
  <c r="N21" i="2"/>
  <c r="N25" i="2"/>
  <c r="N29" i="2"/>
  <c r="N33" i="2"/>
  <c r="N37" i="2"/>
  <c r="F26" i="1"/>
  <c r="K12" i="1"/>
  <c r="B15" i="1"/>
  <c r="F27" i="1"/>
  <c r="N23" i="2"/>
  <c r="K15" i="1"/>
  <c r="H18" i="1"/>
  <c r="F2" i="2"/>
  <c r="N8" i="2"/>
  <c r="O8" i="2" s="1"/>
  <c r="N12" i="2"/>
  <c r="N16" i="2"/>
  <c r="N20" i="2"/>
  <c r="N24" i="2"/>
  <c r="N28" i="2"/>
  <c r="O28" i="2" s="1"/>
  <c r="N32" i="2"/>
  <c r="N36" i="2"/>
  <c r="M5" i="2"/>
  <c r="M17" i="2"/>
  <c r="G30" i="1" s="1"/>
  <c r="M25" i="2"/>
  <c r="N5" i="2"/>
  <c r="O5" i="2" s="1"/>
  <c r="D26" i="1"/>
  <c r="E26" i="1" s="1"/>
  <c r="D27" i="1"/>
  <c r="E27" i="1" s="1"/>
  <c r="F30" i="1"/>
  <c r="C34" i="1"/>
  <c r="M7" i="2"/>
  <c r="G28" i="1" s="1"/>
  <c r="E15" i="1"/>
  <c r="D34" i="1"/>
  <c r="E34" i="1" s="1"/>
  <c r="N31" i="2"/>
  <c r="B18" i="1"/>
  <c r="K18" i="1"/>
  <c r="O34" i="2" l="1"/>
  <c r="O12" i="2"/>
  <c r="O22" i="2"/>
  <c r="O18" i="2"/>
  <c r="O27" i="2"/>
  <c r="O19" i="2"/>
  <c r="G51" i="1"/>
  <c r="O14" i="2"/>
  <c r="O11" i="2"/>
  <c r="O13" i="2"/>
  <c r="O33" i="2"/>
  <c r="O29" i="2"/>
  <c r="O16" i="2"/>
  <c r="O10" i="2"/>
  <c r="O7" i="2"/>
  <c r="H21" i="1" s="1"/>
  <c r="O37" i="2"/>
  <c r="H2" i="2"/>
  <c r="G34" i="1"/>
  <c r="H15" i="1"/>
  <c r="G26" i="1"/>
  <c r="O25" i="2"/>
  <c r="O30" i="2"/>
  <c r="O31" i="2"/>
  <c r="O36" i="2"/>
  <c r="O21" i="2"/>
  <c r="O24" i="2"/>
  <c r="O20" i="2"/>
  <c r="O35" i="2"/>
  <c r="O15" i="2"/>
  <c r="O23" i="2"/>
  <c r="O32" i="2"/>
  <c r="O17" i="2"/>
</calcChain>
</file>

<file path=xl/sharedStrings.xml><?xml version="1.0" encoding="utf-8"?>
<sst xmlns="http://schemas.openxmlformats.org/spreadsheetml/2006/main" count="409" uniqueCount="174">
  <si>
    <t>Performance-Auswertung &amp; Handelsstatistik</t>
  </si>
  <si>
    <t>KONTO-ÜBERSICHT</t>
  </si>
  <si>
    <t>Trader</t>
  </si>
  <si>
    <t>Anfangskapital</t>
  </si>
  <si>
    <t>Risiko pro Trade</t>
  </si>
  <si>
    <t>Startdatum</t>
  </si>
  <si>
    <t>KENNZAHLEN-DASHBOARD</t>
  </si>
  <si>
    <t>Aktuelles Kapital</t>
  </si>
  <si>
    <t>Netto-G/V</t>
  </si>
  <si>
    <t>Performance</t>
  </si>
  <si>
    <t>Anzahl Trades</t>
  </si>
  <si>
    <t>Trefferquote</t>
  </si>
  <si>
    <t>Profit-Faktor</t>
  </si>
  <si>
    <t>Ø R-Vielfaches</t>
  </si>
  <si>
    <t>Erwartungswert</t>
  </si>
  <si>
    <t>Gewinn-Trades</t>
  </si>
  <si>
    <t>Verlust-Trades</t>
  </si>
  <si>
    <t>Ø Gewinn</t>
  </si>
  <si>
    <t>Ø Verlust</t>
  </si>
  <si>
    <t>Größter Gewinn</t>
  </si>
  <si>
    <t>Größter Verlust</t>
  </si>
  <si>
    <t>Max. Drawdown</t>
  </si>
  <si>
    <t>Regel-Quote</t>
  </si>
  <si>
    <t>STRATEGIE-PERFORMANCE</t>
  </si>
  <si>
    <t>Strategie</t>
  </si>
  <si>
    <t>Trades</t>
  </si>
  <si>
    <t>Gewinner</t>
  </si>
  <si>
    <t>Ø R-Vielf.</t>
  </si>
  <si>
    <t>Ausbruch</t>
  </si>
  <si>
    <t>Trendfolge</t>
  </si>
  <si>
    <t>Pullback</t>
  </si>
  <si>
    <t>Reversal</t>
  </si>
  <si>
    <t>Range-Trading</t>
  </si>
  <si>
    <t>Gap-Trading</t>
  </si>
  <si>
    <t>News-Trade</t>
  </si>
  <si>
    <t>Momentum</t>
  </si>
  <si>
    <t>GESAMT</t>
  </si>
  <si>
    <t>MONATSAUSWERTUNG 2026</t>
  </si>
  <si>
    <t>Monat</t>
  </si>
  <si>
    <t>Verlierer</t>
  </si>
  <si>
    <t>Beste/r Trade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</si>
  <si>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</si>
  <si>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</si>
  <si>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</si>
  <si>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</si>
  <si>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</si>
  <si>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</si>
  <si>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</si>
  <si>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</si>
  <si>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</si>
  <si>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</si>
  <si>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</si>
  <si>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</si>
  <si>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KAPITALVERLAUF (EQUITY-KURVE)</t>
  </si>
  <si>
    <t>Hinweis: Diese Vorlage dient ausschließlich der Trade-Dokumentation und Selbstanalyse. Sie stellt keine Anlageempfehlung dar. Trading birgt erhebliche Verlustrisiken.</t>
  </si>
  <si>
    <t>HANDELSBUCH 2026</t>
  </si>
  <si>
    <t>Anzahl Trades:</t>
  </si>
  <si>
    <t>Gesamt G/V:</t>
  </si>
  <si>
    <t>Trefferquote:</t>
  </si>
  <si>
    <t>Ø R-Vielfaches:</t>
  </si>
  <si>
    <t>Nr.</t>
  </si>
  <si>
    <t>Datum</t>
  </si>
  <si>
    <t>Symbol</t>
  </si>
  <si>
    <t>Markt</t>
  </si>
  <si>
    <t>Richtung</t>
  </si>
  <si>
    <t>Einstieg</t>
  </si>
  <si>
    <t>Stop-Loss</t>
  </si>
  <si>
    <t>Take-Profit</t>
  </si>
  <si>
    <t>Ausstieg</t>
  </si>
  <si>
    <t>Stück</t>
  </si>
  <si>
    <t>Risiko (€)</t>
  </si>
  <si>
    <t>G/V (€)</t>
  </si>
  <si>
    <t>R-Vielf.</t>
  </si>
  <si>
    <t>Saldo (€)</t>
  </si>
  <si>
    <t>Drawdown (€)</t>
  </si>
  <si>
    <t>Marktphase</t>
  </si>
  <si>
    <t>Stimmung</t>
  </si>
  <si>
    <t>Regeln OK</t>
  </si>
  <si>
    <t>Notizen</t>
  </si>
  <si>
    <t>SAP</t>
  </si>
  <si>
    <t>Aktien</t>
  </si>
  <si>
    <t>Long</t>
  </si>
  <si>
    <t>Aufwärtstrend</t>
  </si>
  <si>
    <t>Konzentriert</t>
  </si>
  <si>
    <t>Ja</t>
  </si>
  <si>
    <t>Sauberer Ausbruch über Vortageshoch, hohes Volumen.</t>
  </si>
  <si>
    <t>BMW</t>
  </si>
  <si>
    <t>Short</t>
  </si>
  <si>
    <t>Volatil</t>
  </si>
  <si>
    <t>Ruhig</t>
  </si>
  <si>
    <t>Doppeltop am Widerstand, Bestätigung durch RSI-Divergenz.</t>
  </si>
  <si>
    <t>EURUSD</t>
  </si>
  <si>
    <t>Forex</t>
  </si>
  <si>
    <t>Neutral</t>
  </si>
  <si>
    <t>Nein</t>
  </si>
  <si>
    <t>Zu früh eingestiegen, Pullback war nicht abgeschlossen.</t>
  </si>
  <si>
    <t>DAX40</t>
  </si>
  <si>
    <t>Indizes</t>
  </si>
  <si>
    <t>Selbstsicher</t>
  </si>
  <si>
    <t>Gleitender Durchschnitt hielt als Unterstützung.</t>
  </si>
  <si>
    <t>BTCEUR</t>
  </si>
  <si>
    <t>Krypto</t>
  </si>
  <si>
    <t>Ausbruch aus mehrwöchiger Range bei steigendem Volumen.</t>
  </si>
  <si>
    <t>SIE</t>
  </si>
  <si>
    <t>Konsolidierung</t>
  </si>
  <si>
    <t>Unsicher</t>
  </si>
  <si>
    <t>Stop-Loss zu eng gesetzt, Markt war noch unentschlossen.</t>
  </si>
  <si>
    <t>GBPUSD</t>
  </si>
  <si>
    <t>Abwärtstrend</t>
  </si>
  <si>
    <t>Klare Trendwende nach BoE-Statement.</t>
  </si>
  <si>
    <t>GOLD</t>
  </si>
  <si>
    <t>Rohstoffe</t>
  </si>
  <si>
    <t>Safe-Haven-Nachfrage, geopolitische Spannungen.</t>
  </si>
  <si>
    <t>BAS</t>
  </si>
  <si>
    <t>Seitwärts</t>
  </si>
  <si>
    <t>Gierig</t>
  </si>
  <si>
    <t>Falsches Signal, kein Volumen hinter dem Ausbruch.</t>
  </si>
  <si>
    <t>Rejection an Tageshoch, Bear-Engulfing-Candle.</t>
  </si>
  <si>
    <t>ETHEUR</t>
  </si>
  <si>
    <t>Test der 50er-EMA gehalten, klares Long-Setup.</t>
  </si>
  <si>
    <t>Konsequente Trendbewegung, frühzeitige Teilrealisierung.</t>
  </si>
  <si>
    <t>VOW3</t>
  </si>
  <si>
    <t>Obere Range-Grenze, jedoch knapp ausgestoppt.</t>
  </si>
  <si>
    <t>NASDAQ</t>
  </si>
  <si>
    <t>Klarer Range-Ausbruch nach guten Tech-Earnings.</t>
  </si>
  <si>
    <t>DBK</t>
  </si>
  <si>
    <t>Starkes Momentum nach Quartalszahlen.</t>
  </si>
  <si>
    <t>Lower-High nach Distribution, Volumen bestätigt.</t>
  </si>
  <si>
    <t>Gestresst</t>
  </si>
  <si>
    <t>Falscher Einstiegszeitpunkt nach roter Sitzung.</t>
  </si>
  <si>
    <t>Sauberer Aufwärtstrend, Ziel präzise getroffen.</t>
  </si>
  <si>
    <t>Gegen den übergeordneten Trend gehandelt - Lerneffekt.</t>
  </si>
  <si>
    <t>EMA-Bounce, ideales Setup mit hohem R:R.</t>
  </si>
  <si>
    <t>ALV</t>
  </si>
  <si>
    <t>Allianz-Quartalszahlen über Erwartungen.</t>
  </si>
  <si>
    <t>Bear-Flag-Ausbruch nach EZB-Statement.</t>
  </si>
  <si>
    <t>TSLA</t>
  </si>
  <si>
    <t>Zu hohe Volatilität nicht berücksichtigt.</t>
  </si>
  <si>
    <t>Trendkontinuität, sehr sauberer Verlauf.</t>
  </si>
  <si>
    <t>Higher-Low Bestätigung bei 50% Fibonacci.</t>
  </si>
  <si>
    <t>MUV2</t>
  </si>
  <si>
    <t>Obere Range, jedoch zu früh ausgestoppt.</t>
  </si>
  <si>
    <t>Konsolidierung gebrochen, Ziel sauber erreicht.</t>
  </si>
  <si>
    <t>DTE</t>
  </si>
  <si>
    <t>Telekom auf Dividenden-News, gute Kursdynamik.</t>
  </si>
  <si>
    <t>Vorzeitig ausgestoppt, Setup war nicht optimal.</t>
  </si>
  <si>
    <t>Klassischer Trendtag, gute Disziplin.</t>
  </si>
  <si>
    <t>Bearische Divergenz im Tages-Chart.</t>
  </si>
  <si>
    <t>Volumen-Ausbruch nach Autoabsatzzahlen.</t>
  </si>
  <si>
    <t>Setup war OK, aber Markt zu schwach.</t>
  </si>
  <si>
    <t>STAMMDATEN &amp; KONFIGURATION</t>
  </si>
  <si>
    <t>Konto-Einstellungen</t>
  </si>
  <si>
    <t>Märkte</t>
  </si>
  <si>
    <t>Strategien</t>
  </si>
  <si>
    <t>Marktphasen</t>
  </si>
  <si>
    <t>Stimmungen</t>
  </si>
  <si>
    <t>Regeln eingehalten</t>
  </si>
  <si>
    <t>Risiko pro Trade (%)</t>
  </si>
  <si>
    <t>Währung</t>
  </si>
  <si>
    <t>EUR</t>
  </si>
  <si>
    <t>Teilweise</t>
  </si>
  <si>
    <t>Kontoname</t>
  </si>
  <si>
    <t>Beispiel-Konto</t>
  </si>
  <si>
    <t>Mustermann</t>
  </si>
  <si>
    <t>ETF</t>
  </si>
  <si>
    <t>Optionen</t>
  </si>
  <si>
    <t>Futures</t>
  </si>
  <si>
    <t>Ängstlich</t>
  </si>
  <si>
    <t>Hinweis</t>
  </si>
  <si>
    <t>• Gelb hinterlegte Zellen dürfen angepasst werden (Inputs).</t>
  </si>
  <si>
    <t>• Neue Strategien, Märkte etc. können in den Listen rechts ergänzt werden.</t>
  </si>
  <si>
    <t>• Die Trefferquote, der Profit-Faktor und der Erwartungswert werden automatisch berechnet.</t>
  </si>
  <si>
    <t>• Diese Vorlage dient ausschließlich der Selbstkontrolle und stellt keine Anlageberatung dar.</t>
  </si>
  <si>
    <t>TRADING JOURNAL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</si>
</sst>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&quot; €&quot;"/>
    <numFmt numFmtId="165" formatCode="dd\.mm\.yyyy"/>
    <numFmt numFmtId="166" formatCode="#,##0.00&quot; €&quot;;[Red]\-#,##0.00&quot; €&quot;"/>
    <numFmt numFmtId="167" formatCode="0.00%;[Red]\-0.00%"/>
    <numFmt numFmtId="168" formatCode="0.0%"/>
    <numFmt numFmtId="169" formatCode="0.00\R;[Red]\-0.00\R"/>
    <numFmt numFmtId="170" formatCode="0.00\R"/>
    <numFmt numFmtId="171" formatCode="#,##0.0000"/>
    <numFmt numFmtId="172" formatCode="#,##0.##"/>
  </numFmts>
  <fonts count="20" x14ac:knownFonts="1">
    <font>
      <sz val="11"/>
      <color theme="1"/>
      <name val="Calibri"/>
      <family val="2"/>
      <charset val="1"/>
    </font>
    <font>
      <b/>
      <sz val="22"/>
      <color rgb="FF1F3A5F"/>
      <name val="Calibri"/>
      <charset val="1"/>
    </font>
    <font>
      <i/>
      <sz val="11"/>
      <color rgb="FF3D5170"/>
      <name val="Calibri"/>
      <charset val="1"/>
    </font>
    <font>
      <b/>
      <sz val="11"/>
      <color rgb="FFFFFFFF"/>
      <name val="Calibri"/>
      <charset val="1"/>
    </font>
    <font>
      <b/>
      <sz val="9"/>
      <color rgb="FF3D5170"/>
      <name val="Cambria"/>
      <charset val="1"/>
    </font>
    <font>
      <b/>
      <sz val="11"/>
      <color rgb="FF1F3A5F"/>
      <name val="Cambria"/>
      <charset val="1"/>
    </font>
    <font>
      <b/>
      <sz val="9"/>
      <color rgb="FF3D5170"/>
      <name val="Calibri"/>
      <charset val="1"/>
    </font>
    <font>
      <b/>
      <sz val="16"/>
      <color rgb="FF1F3A5F"/>
      <name val="Calibri"/>
      <charset val="1"/>
    </font>
    <font>
      <b/>
      <sz val="16"/>
      <color rgb="FF2E7D5B"/>
      <name val="Calibri"/>
      <charset val="1"/>
    </font>
    <font>
      <b/>
      <sz val="16"/>
      <color rgb="FFB5384E"/>
      <name val="Calibri"/>
      <charset val="1"/>
    </font>
    <font>
      <b/>
      <sz val="10"/>
      <color rgb="FF1F3A5F"/>
      <name val="Calibri"/>
      <charset val="1"/>
    </font>
    <font>
      <b/>
      <sz val="10"/>
      <color rgb="FF1A202C"/>
      <name val="Calibri"/>
      <charset val="1"/>
    </font>
    <font>
      <sz val="10"/>
      <color rgb="FF1A202C"/>
      <name val="Calibri"/>
      <charset val="1"/>
    </font>
    <font>
      <b/>
      <sz val="11"/>
      <color rgb="FFFFFFFF"/>
      <name val="Cambria"/>
      <charset val="1"/>
    </font>
    <font>
      <i/>
      <sz val="9"/>
      <color rgb="FF3D5170"/>
      <name val="Calibri"/>
      <charset val="1"/>
    </font>
    <font>
      <b/>
      <sz val="14"/>
      <color rgb="FFFFFFFF"/>
      <name val="Calibri"/>
      <charset val="1"/>
    </font>
    <font>
      <b/>
      <sz val="10"/>
      <name val="Cambria"/>
      <charset val="1"/>
    </font>
    <font>
      <b/>
      <sz val="10"/>
      <color rgb="FFFFFFFF"/>
      <name val="Calibri"/>
      <charset val="1"/>
    </font>
    <font>
      <b/>
      <sz val="11"/>
      <name val="Cambria"/>
      <charset val="1"/>
    </font>
    <font>
      <b/>
      <sz val="11"/>
      <color rgb="FF1F3A5F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rgb="FF1F3A5F"/>
        <bgColor rgb="FF3D5170"/>
      </patternFill>
    </fill>
    <fill>
      <patternFill patternType="solid">
        <fgColor rgb="FFF4F6F8"/>
        <bgColor rgb="FFEDF2F7"/>
      </patternFill>
    </fill>
    <fill>
      <patternFill patternType="solid">
        <fgColor rgb="FFEDF2F7"/>
        <bgColor rgb="FFF4F6F8"/>
      </patternFill>
    </fill>
    <fill>
      <patternFill patternType="solid">
        <fgColor rgb="FF3D5170"/>
        <bgColor rgb="FF1F3A5F"/>
      </patternFill>
    </fill>
    <fill>
      <patternFill patternType="solid">
        <fgColor rgb="FFFFF4CE"/>
        <bgColor rgb="FFFFF3CD"/>
      </patternFill>
    </fill>
    <fill>
      <patternFill patternType="solid">
        <fgColor rgb="FFE7F6FF"/>
        <bgColor rgb="FFF4F6F8"/>
      </patternFill>
    </fill>
    <fill>
      <patternFill patternType="solid">
        <fgColor rgb="FFE7F6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1F3A5F"/>
      </bottom>
      <diagonal/>
    </border>
    <border>
      <left style="thin">
        <color rgb="FFD1D9E0"/>
      </left>
      <right style="thin">
        <color rgb="FFD1D9E0"/>
      </right>
      <top style="medium">
        <color rgb="FF1F3A5F"/>
      </top>
      <bottom/>
      <diagonal/>
    </border>
    <border>
      <left style="thin">
        <color rgb="FFD1D9E0"/>
      </left>
      <right style="thin">
        <color rgb="FFD1D9E0"/>
      </right>
      <top/>
      <bottom style="thin">
        <color rgb="FFD1D9E0"/>
      </bottom>
      <diagonal/>
    </border>
    <border>
      <left/>
      <right/>
      <top style="thin">
        <color rgb="FFD1D9E0"/>
      </top>
      <bottom style="medium">
        <color rgb="FF1F3A5F"/>
      </bottom>
      <diagonal/>
    </border>
    <border>
      <left style="thin">
        <color rgb="FFD1D9E0"/>
      </left>
      <right style="thin">
        <color rgb="FFD1D9E0"/>
      </right>
      <top style="thin">
        <color rgb="FFD1D9E0"/>
      </top>
      <bottom style="thin">
        <color rgb="FFD1D9E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left" wrapText="1"/>
    </xf>
    <xf numFmtId="0" fontId="15" fillId="2" borderId="0" xfId="0" applyFont="1" applyFill="1" applyAlignment="1">
      <alignment horizontal="left" vertical="center" indent="1"/>
    </xf>
    <xf numFmtId="0" fontId="14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/>
    <xf numFmtId="0" fontId="4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1"/>
    </xf>
    <xf numFmtId="164" fontId="5" fillId="3" borderId="0" xfId="0" applyNumberFormat="1" applyFont="1" applyFill="1" applyAlignment="1">
      <alignment horizontal="left" vertical="center" indent="1"/>
    </xf>
    <xf numFmtId="10" fontId="5" fillId="3" borderId="0" xfId="0" applyNumberFormat="1" applyFont="1" applyFill="1" applyAlignment="1">
      <alignment horizontal="left" vertical="center" indent="1"/>
    </xf>
    <xf numFmtId="165" fontId="5" fillId="3" borderId="0" xfId="0" applyNumberFormat="1" applyFont="1" applyFill="1" applyAlignment="1">
      <alignment horizontal="left" vertical="center" indent="1"/>
    </xf>
    <xf numFmtId="0" fontId="10" fillId="3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 indent="1"/>
    </xf>
    <xf numFmtId="1" fontId="12" fillId="0" borderId="5" xfId="0" applyNumberFormat="1" applyFont="1" applyBorder="1" applyAlignment="1">
      <alignment horizontal="center" vertical="center"/>
    </xf>
    <xf numFmtId="168" fontId="12" fillId="0" borderId="5" xfId="0" applyNumberFormat="1" applyFont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169" fontId="12" fillId="0" borderId="5" xfId="0" applyNumberFormat="1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 indent="1"/>
    </xf>
    <xf numFmtId="1" fontId="12" fillId="4" borderId="5" xfId="0" applyNumberFormat="1" applyFont="1" applyFill="1" applyBorder="1" applyAlignment="1">
      <alignment horizontal="center" vertical="center"/>
    </xf>
    <xf numFmtId="168" fontId="12" fillId="4" borderId="5" xfId="0" applyNumberFormat="1" applyFont="1" applyFill="1" applyBorder="1" applyAlignment="1">
      <alignment horizontal="center" vertical="center"/>
    </xf>
    <xf numFmtId="166" fontId="12" fillId="4" borderId="5" xfId="0" applyNumberFormat="1" applyFont="1" applyFill="1" applyBorder="1" applyAlignment="1">
      <alignment horizontal="center" vertical="center"/>
    </xf>
    <xf numFmtId="169" fontId="12" fillId="4" borderId="5" xfId="0" applyNumberFormat="1" applyFont="1" applyFill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left" vertical="center" indent="1"/>
    </xf>
    <xf numFmtId="1" fontId="13" fillId="5" borderId="5" xfId="0" applyNumberFormat="1" applyFont="1" applyFill="1" applyBorder="1" applyAlignment="1">
      <alignment horizontal="center" vertical="center"/>
    </xf>
    <xf numFmtId="168" fontId="13" fillId="5" borderId="5" xfId="0" applyNumberFormat="1" applyFont="1" applyFill="1" applyBorder="1" applyAlignment="1">
      <alignment horizontal="center" vertical="center"/>
    </xf>
    <xf numFmtId="166" fontId="13" fillId="5" borderId="5" xfId="0" applyNumberFormat="1" applyFont="1" applyFill="1" applyBorder="1" applyAlignment="1">
      <alignment horizontal="center" vertical="center"/>
    </xf>
    <xf numFmtId="169" fontId="13" fillId="5" borderId="5" xfId="0" applyNumberFormat="1" applyFont="1" applyFill="1" applyBorder="1" applyAlignment="1">
      <alignment horizontal="center" vertical="center"/>
    </xf>
    <xf numFmtId="2" fontId="13" fillId="5" borderId="5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/>
    </xf>
    <xf numFmtId="1" fontId="5" fillId="0" borderId="0" xfId="0" applyNumberFormat="1" applyFont="1"/>
    <xf numFmtId="166" fontId="5" fillId="0" borderId="0" xfId="0" applyNumberFormat="1" applyFont="1"/>
    <xf numFmtId="168" fontId="5" fillId="0" borderId="0" xfId="0" applyNumberFormat="1" applyFont="1"/>
    <xf numFmtId="170" fontId="5" fillId="0" borderId="0" xfId="0" applyNumberFormat="1" applyFont="1"/>
    <xf numFmtId="0" fontId="17" fillId="2" borderId="5" xfId="0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1" fontId="0" fillId="0" borderId="5" xfId="0" applyNumberFormat="1" applyBorder="1" applyAlignment="1">
      <alignment horizontal="center" vertical="center"/>
    </xf>
    <xf numFmtId="172" fontId="0" fillId="0" borderId="5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6" fontId="18" fillId="0" borderId="5" xfId="0" applyNumberFormat="1" applyFont="1" applyBorder="1" applyAlignment="1">
      <alignment horizontal="center" vertical="center"/>
    </xf>
    <xf numFmtId="169" fontId="0" fillId="0" borderId="5" xfId="0" applyNumberFormat="1" applyBorder="1" applyAlignment="1">
      <alignment horizontal="center" vertical="center"/>
    </xf>
    <xf numFmtId="164" fontId="18" fillId="0" borderId="5" xfId="0" applyNumberFormat="1" applyFont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 wrapText="1" indent="1"/>
    </xf>
    <xf numFmtId="1" fontId="0" fillId="4" borderId="5" xfId="0" applyNumberFormat="1" applyFill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71" fontId="0" fillId="4" borderId="5" xfId="0" applyNumberFormat="1" applyFill="1" applyBorder="1" applyAlignment="1">
      <alignment horizontal="center" vertical="center"/>
    </xf>
    <xf numFmtId="172" fontId="0" fillId="4" borderId="5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6" fontId="18" fillId="4" borderId="5" xfId="0" applyNumberFormat="1" applyFont="1" applyFill="1" applyBorder="1" applyAlignment="1">
      <alignment horizontal="center" vertical="center"/>
    </xf>
    <xf numFmtId="169" fontId="0" fillId="4" borderId="5" xfId="0" applyNumberFormat="1" applyFill="1" applyBorder="1" applyAlignment="1">
      <alignment horizontal="center" vertical="center"/>
    </xf>
    <xf numFmtId="164" fontId="18" fillId="4" borderId="5" xfId="0" applyNumberFormat="1" applyFont="1" applyFill="1" applyBorder="1" applyAlignment="1">
      <alignment horizontal="center" vertical="center"/>
    </xf>
    <xf numFmtId="166" fontId="0" fillId="4" borderId="5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 wrapText="1" indent="1"/>
    </xf>
    <xf numFmtId="0" fontId="19" fillId="0" borderId="0" xfId="0" applyFont="1"/>
    <xf numFmtId="0" fontId="5" fillId="0" borderId="0" xfId="0" applyFont="1" applyAlignment="1">
      <alignment horizontal="left" indent="1"/>
    </xf>
    <xf numFmtId="0" fontId="18" fillId="0" borderId="0" xfId="0" applyFont="1"/>
    <xf numFmtId="164" fontId="0" fillId="6" borderId="5" xfId="0" applyNumberFormat="1" applyFill="1" applyBorder="1" applyAlignment="1">
      <alignment horizontal="left" indent="1"/>
    </xf>
    <xf numFmtId="0" fontId="0" fillId="0" borderId="5" xfId="0" applyBorder="1" applyAlignment="1">
      <alignment horizontal="left" indent="1"/>
    </xf>
    <xf numFmtId="10" fontId="0" fillId="6" borderId="5" xfId="0" applyNumberFormat="1" applyFill="1" applyBorder="1" applyAlignment="1">
      <alignment horizontal="left" indent="1"/>
    </xf>
    <xf numFmtId="49" fontId="0" fillId="6" borderId="5" xfId="0" applyNumberFormat="1" applyFill="1" applyBorder="1" applyAlignment="1">
      <alignment horizontal="left" indent="1"/>
    </xf>
    <xf numFmtId="165" fontId="0" fillId="6" borderId="5" xfId="0" applyNumberFormat="1" applyFill="1" applyBorder="1" applyAlignment="1">
      <alignment horizontal="left" indent="1"/>
    </xf>
    <xf numFmtId="0" fontId="5" fillId="0" borderId="0" xfId="0" applyFont="1"/>
    <xf numFmtId="0" fontId="6" fillId="7" borderId="2" xfId="0" applyFont="1" applyFill="1" applyBorder="1" applyAlignment="1">
      <alignment horizontal="center" vertical="center"/>
    </xf>
    <xf numFmtId="164" fontId="7" fillId="7" borderId="3" xfId="0" applyNumberFormat="1" applyFont="1" applyFill="1" applyBorder="1" applyAlignment="1">
      <alignment horizontal="center" vertical="center"/>
    </xf>
    <xf numFmtId="168" fontId="7" fillId="7" borderId="3" xfId="0" applyNumberFormat="1" applyFont="1" applyFill="1" applyBorder="1" applyAlignment="1">
      <alignment horizontal="center" vertical="center"/>
    </xf>
    <xf numFmtId="0" fontId="0" fillId="8" borderId="0" xfId="0" applyFill="1"/>
    <xf numFmtId="1" fontId="8" fillId="7" borderId="3" xfId="0" applyNumberFormat="1" applyFont="1" applyFill="1" applyBorder="1" applyAlignment="1">
      <alignment horizontal="center" vertical="center"/>
    </xf>
    <xf numFmtId="164" fontId="8" fillId="7" borderId="3" xfId="0" applyNumberFormat="1" applyFont="1" applyFill="1" applyBorder="1" applyAlignment="1">
      <alignment horizontal="center" vertical="center"/>
    </xf>
    <xf numFmtId="166" fontId="8" fillId="7" borderId="3" xfId="0" applyNumberFormat="1" applyFont="1" applyFill="1" applyBorder="1" applyAlignment="1">
      <alignment horizontal="center" vertical="center"/>
    </xf>
    <xf numFmtId="2" fontId="7" fillId="7" borderId="3" xfId="0" applyNumberFormat="1" applyFont="1" applyFill="1" applyBorder="1" applyAlignment="1">
      <alignment horizontal="center" vertical="center"/>
    </xf>
    <xf numFmtId="1" fontId="9" fillId="7" borderId="3" xfId="0" applyNumberFormat="1" applyFont="1" applyFill="1" applyBorder="1" applyAlignment="1">
      <alignment horizontal="center" vertical="center"/>
    </xf>
    <xf numFmtId="166" fontId="9" fillId="7" borderId="3" xfId="0" applyNumberFormat="1" applyFont="1" applyFill="1" applyBorder="1" applyAlignment="1">
      <alignment horizontal="center" vertical="center"/>
    </xf>
    <xf numFmtId="169" fontId="7" fillId="7" borderId="3" xfId="0" applyNumberFormat="1" applyFont="1" applyFill="1" applyBorder="1" applyAlignment="1">
      <alignment horizontal="center" vertical="center"/>
    </xf>
    <xf numFmtId="167" fontId="8" fillId="7" borderId="3" xfId="0" applyNumberFormat="1" applyFont="1" applyFill="1" applyBorder="1" applyAlignment="1">
      <alignment horizontal="center" vertical="center"/>
    </xf>
    <xf numFmtId="166" fontId="7" fillId="7" borderId="3" xfId="0" applyNumberFormat="1" applyFont="1" applyFill="1" applyBorder="1" applyAlignment="1">
      <alignment horizontal="center" vertical="center"/>
    </xf>
    <xf numFmtId="1" fontId="7" fillId="7" borderId="3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7">
    <dxf>
      <fill>
        <patternFill>
          <bgColor rgb="FFFFF3CD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ont>
        <b/>
        <color rgb="FFB5384E"/>
      </font>
    </dxf>
    <dxf>
      <font>
        <b/>
        <color rgb="FF2E7D5B"/>
      </font>
    </dxf>
    <dxf>
      <font>
        <b/>
        <color rgb="FF721C24"/>
      </font>
      <fill>
        <patternFill>
          <bgColor rgb="FFF8D7DA"/>
        </patternFill>
      </fill>
    </dxf>
    <dxf>
      <font>
        <b/>
        <color rgb="FF155724"/>
      </font>
      <fill>
        <patternFill>
          <bgColor rgb="FFD4EDDA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21C24"/>
      <rgbColor rgb="FF008000"/>
      <rgbColor rgb="FF000080"/>
      <rgbColor rgb="FF808000"/>
      <rgbColor rgb="FF800080"/>
      <rgbColor rgb="FF008080"/>
      <rgbColor rgb="FFD9D9D9"/>
      <rgbColor rgb="FF878787"/>
      <rgbColor rgb="FF9999FF"/>
      <rgbColor rgb="FFB5384E"/>
      <rgbColor rgb="FFFFF4CE"/>
      <rgbColor rgb="FFEDF2F7"/>
      <rgbColor rgb="FF660066"/>
      <rgbColor rgb="FFFF8080"/>
      <rgbColor rgb="FF0066CC"/>
      <rgbColor rgb="FFD1D9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4F6F8"/>
      <rgbColor rgb="FFD4EDDA"/>
      <rgbColor rgb="FFFFF3CD"/>
      <rgbColor rgb="FF99CCFF"/>
      <rgbColor rgb="FFFF99CC"/>
      <rgbColor rgb="FFCC99FF"/>
      <rgbColor rgb="FFF8D7DA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A5F"/>
      <rgbColor rgb="FF2E7D5B"/>
      <rgbColor rgb="FF155724"/>
      <rgbColor rgb="FF333300"/>
      <rgbColor rgb="FF993300"/>
      <rgbColor rgb="FF993366"/>
      <rgbColor rgb="FF3D5170"/>
      <rgbColor rgb="FF1A20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7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Kontostand-Entwicklung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Trades!$N$4</c:f>
              <c:strCache>
                <c:ptCount val="1"/>
                <c:pt idx="0">
                  <c:v>Saldo (€)</c:v>
                </c:pt>
              </c:strCache>
            </c:strRef>
          </c:tx>
          <c:spPr>
            <a:ln w="20160">
              <a:solidFill>
                <a:srgbClr val="1F3A5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Trades!$B$5:$B$37</c:f>
              <c:numCache>
                <c:formatCode>dd\.mm\.yyyy</c:formatCode>
                <c:ptCount val="33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46034</c:v>
                </c:pt>
                <c:pt idx="6">
                  <c:v>46035</c:v>
                </c:pt>
                <c:pt idx="7">
                  <c:v>46036</c:v>
                </c:pt>
                <c:pt idx="8">
                  <c:v>46037</c:v>
                </c:pt>
                <c:pt idx="9">
                  <c:v>46038</c:v>
                </c:pt>
                <c:pt idx="10">
                  <c:v>46041</c:v>
                </c:pt>
                <c:pt idx="11">
                  <c:v>46042</c:v>
                </c:pt>
                <c:pt idx="12">
                  <c:v>46043</c:v>
                </c:pt>
                <c:pt idx="13">
                  <c:v>46044</c:v>
                </c:pt>
                <c:pt idx="14">
                  <c:v>46045</c:v>
                </c:pt>
                <c:pt idx="15">
                  <c:v>46048</c:v>
                </c:pt>
                <c:pt idx="16">
                  <c:v>46049</c:v>
                </c:pt>
                <c:pt idx="17">
                  <c:v>46050</c:v>
                </c:pt>
                <c:pt idx="18">
                  <c:v>46051</c:v>
                </c:pt>
                <c:pt idx="19">
                  <c:v>46052</c:v>
                </c:pt>
                <c:pt idx="20">
                  <c:v>46055</c:v>
                </c:pt>
                <c:pt idx="21">
                  <c:v>46056</c:v>
                </c:pt>
                <c:pt idx="22">
                  <c:v>46057</c:v>
                </c:pt>
                <c:pt idx="23">
                  <c:v>46058</c:v>
                </c:pt>
                <c:pt idx="24">
                  <c:v>46059</c:v>
                </c:pt>
                <c:pt idx="25">
                  <c:v>46062</c:v>
                </c:pt>
                <c:pt idx="26">
                  <c:v>46063</c:v>
                </c:pt>
                <c:pt idx="27">
                  <c:v>46064</c:v>
                </c:pt>
                <c:pt idx="28">
                  <c:v>46065</c:v>
                </c:pt>
                <c:pt idx="29">
                  <c:v>46066</c:v>
                </c:pt>
                <c:pt idx="30">
                  <c:v>46069</c:v>
                </c:pt>
                <c:pt idx="31">
                  <c:v>46070</c:v>
                </c:pt>
                <c:pt idx="32">
                  <c:v>46071</c:v>
                </c:pt>
              </c:numCache>
            </c:numRef>
          </c:cat>
          <c:val>
            <c:numRef>
              <c:f>Trades!$N$5:$N$37</c:f>
              <c:numCache>
                <c:formatCode>#,##0.00" €"</c:formatCode>
                <c:ptCount val="33"/>
                <c:pt idx="0">
                  <c:v>25267</c:v>
                </c:pt>
                <c:pt idx="1">
                  <c:v>25531</c:v>
                </c:pt>
                <c:pt idx="2">
                  <c:v>25440.999999999996</c:v>
                </c:pt>
                <c:pt idx="3">
                  <c:v>25750.999999999996</c:v>
                </c:pt>
                <c:pt idx="4">
                  <c:v>26638.499999999996</c:v>
                </c:pt>
                <c:pt idx="5">
                  <c:v>26573.499999999996</c:v>
                </c:pt>
                <c:pt idx="6">
                  <c:v>26670.999999999996</c:v>
                </c:pt>
                <c:pt idx="7">
                  <c:v>26754.999999999996</c:v>
                </c:pt>
                <c:pt idx="8">
                  <c:v>26594.999999999996</c:v>
                </c:pt>
                <c:pt idx="9">
                  <c:v>26844.999999999996</c:v>
                </c:pt>
                <c:pt idx="10">
                  <c:v>27129.999999999996</c:v>
                </c:pt>
                <c:pt idx="11">
                  <c:v>27223.999999999993</c:v>
                </c:pt>
                <c:pt idx="12">
                  <c:v>27099.999999999993</c:v>
                </c:pt>
                <c:pt idx="13">
                  <c:v>27264.999999999993</c:v>
                </c:pt>
                <c:pt idx="14">
                  <c:v>27574.999999999996</c:v>
                </c:pt>
                <c:pt idx="15">
                  <c:v>28004.999999999996</c:v>
                </c:pt>
                <c:pt idx="16">
                  <c:v>27854.999999999996</c:v>
                </c:pt>
                <c:pt idx="17">
                  <c:v>27956.999999999993</c:v>
                </c:pt>
                <c:pt idx="18">
                  <c:v>27917.999999999993</c:v>
                </c:pt>
                <c:pt idx="19">
                  <c:v>28181.999999999993</c:v>
                </c:pt>
                <c:pt idx="20">
                  <c:v>28406.999999999993</c:v>
                </c:pt>
                <c:pt idx="21">
                  <c:v>28520.999999999993</c:v>
                </c:pt>
                <c:pt idx="22">
                  <c:v>28423.499999999993</c:v>
                </c:pt>
                <c:pt idx="23">
                  <c:v>28659.499999999993</c:v>
                </c:pt>
                <c:pt idx="24">
                  <c:v>29454.499999999993</c:v>
                </c:pt>
                <c:pt idx="25">
                  <c:v>29382.499999999993</c:v>
                </c:pt>
                <c:pt idx="26">
                  <c:v>29491.999999999996</c:v>
                </c:pt>
                <c:pt idx="27">
                  <c:v>29707.999999999996</c:v>
                </c:pt>
                <c:pt idx="28">
                  <c:v>29597.999999999996</c:v>
                </c:pt>
                <c:pt idx="29">
                  <c:v>29699.999999999996</c:v>
                </c:pt>
                <c:pt idx="30">
                  <c:v>30014.999999999996</c:v>
                </c:pt>
                <c:pt idx="31">
                  <c:v>30289.999999999996</c:v>
                </c:pt>
                <c:pt idx="32">
                  <c:v>30265.999999999993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B-4CB7-9990-6A600DC96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3099737"/>
        <c:axId val="64713363"/>
      </c:lineChart>
      <c:dateAx>
        <c:axId val="309973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Datum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.mm\.yyyy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4713363"/>
        <c:crosses val="autoZero"/>
        <c:auto val="1"/>
        <c:lblOffset val="100"/>
        <c:baseTimeUnit val="days"/>
      </c:dateAx>
      <c:valAx>
        <c:axId val="6471336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Kontostand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309973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8</xdr:col>
      <xdr:colOff>25560</xdr:colOff>
      <xdr:row>71</xdr:row>
      <xdr:rowOff>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74"/>
  <sheetViews>
    <sheetView showGridLines="0" tabSelected="1" zoomScaleNormal="100" workbookViewId="0">
      <selection activeCell="Q15" sqref="Q15"/>
    </sheetView>
  </sheetViews>
  <sheetFormatPr baseColWidth="10" defaultColWidth="8.7109375" defaultRowHeight="15" x14ac:dyDescent="0.25"/>
  <cols>
    <col min="1" max="1" width="2" customWidth="1"/>
    <col min="2" max="2" width="24" customWidth="1"/>
    <col min="3" max="3" width="18" customWidth="1"/>
    <col min="4" max="4" width="2" customWidth="1"/>
    <col min="5" max="5" width="24" customWidth="1"/>
    <col min="6" max="6" width="18" customWidth="1"/>
    <col min="7" max="7" width="2" customWidth="1"/>
    <col min="8" max="8" width="24" customWidth="1"/>
    <col min="9" max="9" width="18" customWidth="1"/>
    <col min="10" max="10" width="2" customWidth="1"/>
    <col min="11" max="11" width="24" customWidth="1"/>
    <col min="12" max="12" width="18" customWidth="1"/>
    <col min="13" max="13" width="2" customWidth="1"/>
  </cols>
  <sheetData>
    <row r="1" spans="2:12" ht="8.25" customHeight="1" x14ac:dyDescent="0.25"/>
    <row r="2" spans="2:12" ht="28.5" x14ac:dyDescent="0.25">
      <c r="B2" s="6" t="s">
        <v>173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2:12" ht="18" customHeight="1" x14ac:dyDescent="0.25"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ht="6" customHeight="1" x14ac:dyDescent="0.25"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6" spans="2:12" ht="24" customHeight="1" x14ac:dyDescent="0.25">
      <c r="B6" s="4" t="s">
        <v>1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ht="27.75" customHeight="1" x14ac:dyDescent="0.25">
      <c r="B7" s="8" t="s">
        <v>2</v>
      </c>
      <c r="C7" s="9" t="str">
        <f>Stammdaten!B8</f>
        <v>Mustermann</v>
      </c>
      <c r="E7" s="8" t="s">
        <v>3</v>
      </c>
      <c r="F7" s="10">
        <f>Stammdaten!B4</f>
        <v>25000</v>
      </c>
      <c r="H7" s="8" t="s">
        <v>4</v>
      </c>
      <c r="I7" s="11">
        <f>Stammdaten!B5</f>
        <v>0.01</v>
      </c>
      <c r="K7" s="8" t="s">
        <v>5</v>
      </c>
      <c r="L7" s="12">
        <f>Stammdaten!B9</f>
        <v>46024</v>
      </c>
    </row>
    <row r="9" spans="2:12" ht="24" customHeight="1" x14ac:dyDescent="0.25">
      <c r="B9" s="4" t="s">
        <v>6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1" spans="2:12" ht="18" customHeight="1" x14ac:dyDescent="0.25">
      <c r="B11" s="69" t="s">
        <v>7</v>
      </c>
      <c r="E11" s="69" t="s">
        <v>8</v>
      </c>
      <c r="H11" s="69" t="s">
        <v>9</v>
      </c>
      <c r="K11" s="69" t="s">
        <v>10</v>
      </c>
    </row>
    <row r="12" spans="2:12" ht="36" customHeight="1" x14ac:dyDescent="0.25">
      <c r="B12" s="70">
        <f>Stammdaten!B4+SUM(Trades!L5:L1000)</f>
        <v>30265.999999999993</v>
      </c>
      <c r="E12" s="75">
        <f>SUM(Trades!L5:L1000)</f>
        <v>5265.9999999999936</v>
      </c>
      <c r="H12" s="80">
        <f>IFERROR(SUM(Trades!L5:L1000)/Stammdaten!B4,0)</f>
        <v>0.21063999999999974</v>
      </c>
      <c r="K12" s="82">
        <f>COUNT(Trades!L5:L1000)</f>
        <v>33</v>
      </c>
    </row>
    <row r="14" spans="2:12" ht="18" customHeight="1" x14ac:dyDescent="0.25">
      <c r="B14" s="69" t="s">
        <v>11</v>
      </c>
      <c r="E14" s="69" t="s">
        <v>12</v>
      </c>
      <c r="H14" s="69" t="s">
        <v>13</v>
      </c>
      <c r="K14" s="69" t="s">
        <v>14</v>
      </c>
    </row>
    <row r="15" spans="2:12" ht="36" customHeight="1" x14ac:dyDescent="0.25">
      <c r="B15" s="71">
        <f>IFERROR(COUNTIF(Trades!L5:L1000,"&gt;0")/COUNT(Trades!L5:L1000),0)</f>
        <v>0.69696969696969702</v>
      </c>
      <c r="E15" s="76">
        <f>IFERROR(SUMIF(Trades!L5:L1000,"&gt;0")/ABS(SUMIF(Trades!L5:L1000,"&lt;0")),0)</f>
        <v>6.6532474503488501</v>
      </c>
      <c r="H15" s="79">
        <f>IFERROR(AVERAGE(Trades!M5:M1000),0)</f>
        <v>1.0427859895532328</v>
      </c>
      <c r="K15" s="81">
        <f>IFERROR(SUM(Trades!L5:L1000)/COUNT(Trades!L5:L1000),0)</f>
        <v>159.57575757575739</v>
      </c>
    </row>
    <row r="16" spans="2:12" x14ac:dyDescent="0.25">
      <c r="B16" s="72"/>
    </row>
    <row r="17" spans="2:12" ht="18" customHeight="1" x14ac:dyDescent="0.25">
      <c r="B17" s="69" t="s">
        <v>15</v>
      </c>
      <c r="E17" s="69" t="s">
        <v>16</v>
      </c>
      <c r="H17" s="69" t="s">
        <v>17</v>
      </c>
      <c r="K17" s="69" t="s">
        <v>18</v>
      </c>
    </row>
    <row r="18" spans="2:12" ht="36" customHeight="1" x14ac:dyDescent="0.25">
      <c r="B18" s="73">
        <f>COUNTIF(Trades!L5:L1000,"&gt;0")</f>
        <v>23</v>
      </c>
      <c r="E18" s="77">
        <f>COUNTIF(Trades!L5:L1000,"&lt;0")</f>
        <v>10</v>
      </c>
      <c r="H18" s="74">
        <f>IFERROR(AVERAGEIF(Trades!L5:L1000,"&gt;0"),0)</f>
        <v>269.45652173913044</v>
      </c>
      <c r="K18" s="78">
        <f>IFERROR(AVERAGEIF(Trades!L5:L1000,"&lt;0"),0)</f>
        <v>-93.150000000000688</v>
      </c>
    </row>
    <row r="19" spans="2:12" x14ac:dyDescent="0.25">
      <c r="B19" s="72"/>
    </row>
    <row r="20" spans="2:12" ht="18" customHeight="1" x14ac:dyDescent="0.25">
      <c r="B20" s="69" t="s">
        <v>19</v>
      </c>
      <c r="E20" s="69" t="s">
        <v>20</v>
      </c>
      <c r="H20" s="69" t="s">
        <v>21</v>
      </c>
      <c r="K20" s="69" t="s">
        <v>22</v>
      </c>
    </row>
    <row r="21" spans="2:12" ht="36" customHeight="1" x14ac:dyDescent="0.25">
      <c r="B21" s="74">
        <f>IFERROR(MAX(Trades!L5:L1000),0)</f>
        <v>887.5</v>
      </c>
      <c r="E21" s="78">
        <f>IFERROR(MIN(Trades!L5:L1000),0)</f>
        <v>-160.00000000000085</v>
      </c>
      <c r="H21" s="78">
        <f>IFERROR(MIN(Trades!O5:O1000),0)</f>
        <v>-160</v>
      </c>
      <c r="K21" s="71">
        <f>IFERROR(COUNTIF(Trades!S5:S1000,"Ja")/COUNTA(Trades!S5:S1000),0)</f>
        <v>0.78787878787878785</v>
      </c>
    </row>
    <row r="24" spans="2:12" ht="24" customHeight="1" x14ac:dyDescent="0.25">
      <c r="B24" s="4" t="s">
        <v>23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ht="24" customHeight="1" x14ac:dyDescent="0.25">
      <c r="B25" s="13" t="s">
        <v>24</v>
      </c>
      <c r="C25" s="13" t="s">
        <v>25</v>
      </c>
      <c r="D25" s="13" t="s">
        <v>26</v>
      </c>
      <c r="E25" s="13" t="s">
        <v>11</v>
      </c>
      <c r="F25" s="13" t="s">
        <v>8</v>
      </c>
      <c r="G25" s="13" t="s">
        <v>27</v>
      </c>
      <c r="H25" s="13" t="s">
        <v>12</v>
      </c>
    </row>
    <row r="26" spans="2:12" ht="21.75" customHeight="1" x14ac:dyDescent="0.25">
      <c r="B26" s="14" t="s">
        <v>28</v>
      </c>
      <c r="C26" s="15">
        <f>COUNTIF(Trades!P5:P1000,B26)</f>
        <v>7</v>
      </c>
      <c r="D26" s="15">
        <f>COUNTIFS(Trades!P5:P1000,B26,Trades!L5:L1000,"&gt;0")</f>
        <v>6</v>
      </c>
      <c r="E26" s="16">
        <f t="shared" ref="E26:E34" si="0">IFERROR(D26/C26,0)</f>
        <v>0.8571428571428571</v>
      </c>
      <c r="F26" s="17">
        <f>SUMIF(Trades!P5:P1000,B26,Trades!L5:L1000)</f>
        <v>1769.0000000000014</v>
      </c>
      <c r="G26" s="18">
        <f>IFERROR(AVERAGEIF(Trades!P5:P1000,B26,Trades!M5:M1000),0)</f>
        <v>1.5413690476190531</v>
      </c>
      <c r="H26" s="19">
        <f>IFERROR(SUMIFS(Trades!L5:L1000,Trades!P5:P1000,B26,Trades!L5:L1000,"&gt;0")/ABS(SUMIFS(Trades!L5:L1000,Trades!P5:P1000,B26,Trades!L5:L1000,"&lt;0")),0)</f>
        <v>12.056249999999951</v>
      </c>
    </row>
    <row r="27" spans="2:12" ht="21.75" customHeight="1" x14ac:dyDescent="0.25">
      <c r="B27" s="20" t="s">
        <v>29</v>
      </c>
      <c r="C27" s="21">
        <f>COUNTIF(Trades!P5:P1000,B27)</f>
        <v>6</v>
      </c>
      <c r="D27" s="21">
        <f>COUNTIFS(Trades!P5:P1000,B27,Trades!L5:L1000,"&gt;0")</f>
        <v>6</v>
      </c>
      <c r="E27" s="22">
        <f t="shared" si="0"/>
        <v>1</v>
      </c>
      <c r="F27" s="23">
        <f>SUMIF(Trades!P5:P1000,B27,Trades!L5:L1000)</f>
        <v>927.99999999999727</v>
      </c>
      <c r="G27" s="24">
        <f>IFERROR(AVERAGEIF(Trades!P5:P1000,B27,Trades!M5:M1000),0)</f>
        <v>1.8392592592592572</v>
      </c>
      <c r="H27" s="25">
        <f>IFERROR(SUMIFS(Trades!L5:L1000,Trades!P5:P1000,B27,Trades!L5:L1000,"&gt;0")/ABS(SUMIFS(Trades!L5:L1000,Trades!P5:P1000,B27,Trades!L5:L1000,"&lt;0")),0)</f>
        <v>0</v>
      </c>
    </row>
    <row r="28" spans="2:12" ht="21.75" customHeight="1" x14ac:dyDescent="0.25">
      <c r="B28" s="14" t="s">
        <v>30</v>
      </c>
      <c r="C28" s="15">
        <f>COUNTIF(Trades!P5:P1000,B28)</f>
        <v>8</v>
      </c>
      <c r="D28" s="15">
        <f>COUNTIFS(Trades!P5:P1000,B28,Trades!L5:L1000,"&gt;0")</f>
        <v>4</v>
      </c>
      <c r="E28" s="16">
        <f t="shared" si="0"/>
        <v>0.5</v>
      </c>
      <c r="F28" s="17">
        <f>SUMIF(Trades!P5:P1000,B28,Trades!L5:L1000)</f>
        <v>1230.9999999999936</v>
      </c>
      <c r="G28" s="18">
        <f>IFERROR(AVERAGEIF(Trades!P5:P1000,B28,Trades!M5:M1000),0)</f>
        <v>0.47072916666666437</v>
      </c>
      <c r="H28" s="19">
        <f>IFERROR(SUMIFS(Trades!L5:L1000,Trades!P5:P1000,B28,Trades!L5:L1000,"&gt;0")/ABS(SUMIFS(Trades!L5:L1000,Trades!P5:P1000,B28,Trades!L5:L1000,"&lt;0")),0)</f>
        <v>4.741641337385933</v>
      </c>
    </row>
    <row r="29" spans="2:12" ht="21.75" customHeight="1" x14ac:dyDescent="0.25">
      <c r="B29" s="20" t="s">
        <v>31</v>
      </c>
      <c r="C29" s="21">
        <f>COUNTIF(Trades!P5:P1000,B29)</f>
        <v>8</v>
      </c>
      <c r="D29" s="21">
        <f>COUNTIFS(Trades!P5:P1000,B29,Trades!L5:L1000,"&gt;0")</f>
        <v>6</v>
      </c>
      <c r="E29" s="22">
        <f t="shared" si="0"/>
        <v>0.75</v>
      </c>
      <c r="F29" s="23">
        <f>SUMIF(Trades!P5:P1000,B29,Trades!L5:L1000)</f>
        <v>1321.5000000000002</v>
      </c>
      <c r="G29" s="24">
        <f>IFERROR(AVERAGEIF(Trades!P5:P1000,B29,Trades!M5:M1000),0)</f>
        <v>1.1624230295566564</v>
      </c>
      <c r="H29" s="25">
        <f>IFERROR(SUMIFS(Trades!L5:L1000,Trades!P5:P1000,B29,Trades!L5:L1000,"&gt;0")/ABS(SUMIFS(Trades!L5:L1000,Trades!P5:P1000,B29,Trades!L5:L1000,"&lt;0")),0)</f>
        <v>9.8691275167785246</v>
      </c>
    </row>
    <row r="30" spans="2:12" ht="21.75" customHeight="1" x14ac:dyDescent="0.25">
      <c r="B30" s="14" t="s">
        <v>32</v>
      </c>
      <c r="C30" s="15">
        <f>COUNTIF(Trades!P5:P1000,B30)</f>
        <v>2</v>
      </c>
      <c r="D30" s="15">
        <f>COUNTIFS(Trades!P5:P1000,B30,Trades!L5:L1000,"&gt;0")</f>
        <v>0</v>
      </c>
      <c r="E30" s="16">
        <f t="shared" si="0"/>
        <v>0</v>
      </c>
      <c r="F30" s="17">
        <f>SUMIF(Trades!P5:P1000,B30,Trades!L5:L1000)</f>
        <v>-196.00000000000023</v>
      </c>
      <c r="G30" s="18">
        <f>IFERROR(AVERAGEIF(Trades!P5:P1000,B30,Trades!M5:M1000),0)</f>
        <v>-0.7767094017094045</v>
      </c>
      <c r="H30" s="19">
        <f>IFERROR(SUMIFS(Trades!L5:L1000,Trades!P5:P1000,B30,Trades!L5:L1000,"&gt;0")/ABS(SUMIFS(Trades!L5:L1000,Trades!P5:P1000,B30,Trades!L5:L1000,"&lt;0")),0)</f>
        <v>0</v>
      </c>
    </row>
    <row r="31" spans="2:12" ht="21.75" customHeight="1" x14ac:dyDescent="0.25">
      <c r="B31" s="20" t="s">
        <v>33</v>
      </c>
      <c r="C31" s="21">
        <f>COUNTIF(Trades!P5:P1000,B31)</f>
        <v>0</v>
      </c>
      <c r="D31" s="21">
        <f>COUNTIFS(Trades!P5:P1000,B31,Trades!L5:L1000,"&gt;0")</f>
        <v>0</v>
      </c>
      <c r="E31" s="22">
        <f t="shared" si="0"/>
        <v>0</v>
      </c>
      <c r="F31" s="23">
        <f>SUMIF(Trades!P5:P1000,B31,Trades!L5:L1000)</f>
        <v>0</v>
      </c>
      <c r="G31" s="24">
        <f>IFERROR(AVERAGEIF(Trades!P5:P1000,B31,Trades!M5:M1000),0)</f>
        <v>0</v>
      </c>
      <c r="H31" s="25">
        <f>IFERROR(SUMIFS(Trades!L5:L1000,Trades!P5:P1000,B31,Trades!L5:L1000,"&gt;0")/ABS(SUMIFS(Trades!L5:L1000,Trades!P5:P1000,B31,Trades!L5:L1000,"&lt;0")),0)</f>
        <v>0</v>
      </c>
    </row>
    <row r="32" spans="2:12" ht="21.75" customHeight="1" x14ac:dyDescent="0.25">
      <c r="B32" s="14" t="s">
        <v>34</v>
      </c>
      <c r="C32" s="15">
        <f>COUNTIF(Trades!P5:P1000,B32)</f>
        <v>0</v>
      </c>
      <c r="D32" s="15">
        <f>COUNTIFS(Trades!P5:P1000,B32,Trades!L5:L1000,"&gt;0")</f>
        <v>0</v>
      </c>
      <c r="E32" s="16">
        <f t="shared" si="0"/>
        <v>0</v>
      </c>
      <c r="F32" s="17">
        <f>SUMIF(Trades!P5:P1000,B32,Trades!L5:L1000)</f>
        <v>0</v>
      </c>
      <c r="G32" s="18">
        <f>IFERROR(AVERAGEIF(Trades!P5:P1000,B32,Trades!M5:M1000),0)</f>
        <v>0</v>
      </c>
      <c r="H32" s="19">
        <f>IFERROR(SUMIFS(Trades!L5:L1000,Trades!P5:P1000,B32,Trades!L5:L1000,"&gt;0")/ABS(SUMIFS(Trades!L5:L1000,Trades!P5:P1000,B32,Trades!L5:L1000,"&lt;0")),0)</f>
        <v>0</v>
      </c>
    </row>
    <row r="33" spans="2:12" ht="21.75" customHeight="1" x14ac:dyDescent="0.25">
      <c r="B33" s="20" t="s">
        <v>35</v>
      </c>
      <c r="C33" s="21">
        <f>COUNTIF(Trades!P5:P1000,B33)</f>
        <v>2</v>
      </c>
      <c r="D33" s="21">
        <f>COUNTIFS(Trades!P5:P1000,B33,Trades!L5:L1000,"&gt;0")</f>
        <v>1</v>
      </c>
      <c r="E33" s="22">
        <f t="shared" si="0"/>
        <v>0.5</v>
      </c>
      <c r="F33" s="23">
        <f>SUMIF(Trades!P5:P1000,B33,Trades!L5:L1000)</f>
        <v>212.50000000000037</v>
      </c>
      <c r="G33" s="24">
        <f>IFERROR(AVERAGEIF(Trades!P5:P1000,B33,Trades!M5:M1000),0)</f>
        <v>0.53749999999999698</v>
      </c>
      <c r="H33" s="25">
        <f>IFERROR(SUMIFS(Trades!L5:L1000,Trades!P5:P1000,B33,Trades!L5:L1000,"&gt;0")/ABS(SUMIFS(Trades!L5:L1000,Trades!P5:P1000,B33,Trades!L5:L1000,"&lt;0")),0)</f>
        <v>3.1794871794871802</v>
      </c>
    </row>
    <row r="34" spans="2:12" ht="24" customHeight="1" x14ac:dyDescent="0.25">
      <c r="B34" s="26" t="s">
        <v>36</v>
      </c>
      <c r="C34" s="27">
        <f>COUNT(Trades!L5:L1000)</f>
        <v>33</v>
      </c>
      <c r="D34" s="27">
        <f>COUNTIF(Trades!L5:L1000,"&gt;0")</f>
        <v>23</v>
      </c>
      <c r="E34" s="28">
        <f t="shared" si="0"/>
        <v>0.69696969696969702</v>
      </c>
      <c r="F34" s="29">
        <f>SUM(Trades!L5:L1000)</f>
        <v>5265.9999999999936</v>
      </c>
      <c r="G34" s="30">
        <f>IFERROR(AVERAGE(Trades!M5:M1000),0)</f>
        <v>1.0427859895532328</v>
      </c>
      <c r="H34" s="31">
        <f>IFERROR(SUMIF(Trades!L5:L1000,"&gt;0")/ABS(SUMIF(Trades!L5:L1000,"&lt;0")),0)</f>
        <v>6.6532474503488501</v>
      </c>
    </row>
    <row r="37" spans="2:12" ht="24" customHeight="1" x14ac:dyDescent="0.25">
      <c r="B37" s="4" t="s">
        <v>37</v>
      </c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12" ht="24" customHeight="1" x14ac:dyDescent="0.25">
      <c r="B38" s="13" t="s">
        <v>38</v>
      </c>
      <c r="C38" s="13" t="s">
        <v>25</v>
      </c>
      <c r="D38" s="13" t="s">
        <v>26</v>
      </c>
      <c r="E38" s="13" t="s">
        <v>39</v>
      </c>
      <c r="F38" s="13" t="s">
        <v>11</v>
      </c>
      <c r="G38" s="13" t="s">
        <v>8</v>
      </c>
      <c r="H38" s="13" t="s">
        <v>40</v>
      </c>
    </row>
    <row r="39" spans="2:12" ht="21.75" customHeight="1" x14ac:dyDescent="0.25">
      <c r="B39" s="14" t="s">
        <v>41</v>
      </c>
      <c r="C39" s="15">
        <f>COUNTIFS(Trades!B5:B1000,"&gt;="&amp;DATE(2026,1,1),Trades!B5:B1000,"&lt;"&amp;DATE(2026,2,1))</f>
        <v>20</v>
      </c>
      <c r="D39" s="15">
        <f>COUNTIFS(Trades!B5:B1000,"&gt;="&amp;DATE(2026,1,1),Trades!B5:B1000,"&lt;"&amp;DATE(2026,2,1),Trades!L5:L1000,"&gt;0")</f>
        <v>14</v>
      </c>
      <c r="E39" s="15">
        <f>COUNTIFS(Trades!B5:B1000,"&gt;="&amp;DATE(2026,1,1),Trades!B5:B1000,"&lt;"&amp;DATE(2026,2,1),Trades!L5:L1000,"&lt;0")</f>
        <v>6</v>
      </c>
      <c r="F39" s="16">
        <f t="shared" ref="F39:F51" si="1">IFERROR(D39/C39,0)</f>
        <v>0.7</v>
      </c>
      <c r="G39" s="17">
        <f>SUMIFS(Trades!L5:L1000,Trades!B5:B1000,"&gt;="&amp;DATE(2026,1,1),Trades!B5:B1000,"&lt;"&amp;DATE(2026,2,1))</f>
        <v>3181.9999999999936</v>
      </c>
      <c r="H39" s="17">
        <f ca="1">IFERROR(_xludf.maxifs(Trades!L5:L1000,Trades!B5:B1000,"&gt;="&amp;DATE(2026,1,1),Trades!B5:B1000,"&lt;"&amp;DATE(2026,2,1)),0)</f>
        <v>0</v>
      </c>
    </row>
    <row r="40" spans="2:12" ht="21.75" customHeight="1" x14ac:dyDescent="0.25">
      <c r="B40" s="20" t="s">
        <v>42</v>
      </c>
      <c r="C40" s="21">
        <f>COUNTIFS(Trades!B5:B1000,"&gt;="&amp;DATE(2026,2,1),Trades!B5:B1000,"&lt;"&amp;DATE(2026,3,1))</f>
        <v>13</v>
      </c>
      <c r="D40" s="21">
        <f>COUNTIFS(Trades!B5:B1000,"&gt;="&amp;DATE(2026,2,1),Trades!B5:B1000,"&lt;"&amp;DATE(2026,3,1),Trades!L5:L1000,"&gt;0")</f>
        <v>9</v>
      </c>
      <c r="E40" s="21">
        <f>COUNTIFS(Trades!B5:B1000,"&gt;="&amp;DATE(2026,2,1),Trades!B5:B1000,"&lt;"&amp;DATE(2026,3,1),Trades!L5:L1000,"&lt;0")</f>
        <v>4</v>
      </c>
      <c r="F40" s="22">
        <f t="shared" si="1"/>
        <v>0.69230769230769229</v>
      </c>
      <c r="G40" s="23">
        <f>SUMIFS(Trades!L5:L1000,Trades!B5:B1000,"&gt;="&amp;DATE(2026,2,1),Trades!B5:B1000,"&lt;"&amp;DATE(2026,3,1))</f>
        <v>2083.9999999999995</v>
      </c>
      <c r="H40" s="23">
        <f ca="1">IFERROR(_xludf.maxifs(Trades!L5:L1000,Trades!B5:B1000,"&gt;="&amp;DATE(2026,2,1),Trades!B5:B1000,"&lt;"&amp;DATE(2026,3,1)),0)</f>
        <v>0</v>
      </c>
    </row>
    <row r="41" spans="2:12" ht="21.75" customHeight="1" x14ac:dyDescent="0.25">
      <c r="B41" s="14" t="s">
        <v>43</v>
      </c>
      <c r="C41" s="15">
        <f>COUNTIFS(Trades!B5:B1000,"&gt;="&amp;DATE(2026,3,1),Trades!B5:B1000,"&lt;"&amp;DATE(2026,4,1))</f>
        <v>0</v>
      </c>
      <c r="D41" s="15">
        <f>COUNTIFS(Trades!B5:B1000,"&gt;="&amp;DATE(2026,3,1),Trades!B5:B1000,"&lt;"&amp;DATE(2026,4,1),Trades!L5:L1000,"&gt;0")</f>
        <v>0</v>
      </c>
      <c r="E41" s="15">
        <f>COUNTIFS(Trades!B5:B1000,"&gt;="&amp;DATE(2026,3,1),Trades!B5:B1000,"&lt;"&amp;DATE(2026,4,1),Trades!L5:L1000,"&lt;0")</f>
        <v>0</v>
      </c>
      <c r="F41" s="16">
        <f t="shared" si="1"/>
        <v>0</v>
      </c>
      <c r="G41" s="17">
        <f>SUMIFS(Trades!L5:L1000,Trades!B5:B1000,"&gt;="&amp;DATE(2026,3,1),Trades!B5:B1000,"&lt;"&amp;DATE(2026,4,1))</f>
        <v>0</v>
      </c>
      <c r="H41" s="17">
        <f ca="1">IFERROR(_xludf.maxifs(Trades!L5:L1000,Trades!B5:B1000,"&gt;="&amp;DATE(2026,3,1),Trades!B5:B1000,"&lt;"&amp;DATE(2026,4,1)),0)</f>
        <v>0</v>
      </c>
    </row>
    <row r="42" spans="2:12" ht="21.75" customHeight="1" x14ac:dyDescent="0.25">
      <c r="B42" s="20" t="s">
        <v>44</v>
      </c>
      <c r="C42" s="21">
        <f>COUNTIFS(Trades!B5:B1000,"&gt;="&amp;DATE(2026,4,1),Trades!B5:B1000,"&lt;"&amp;DATE(2026,5,1))</f>
        <v>0</v>
      </c>
      <c r="D42" s="21">
        <f>COUNTIFS(Trades!B5:B1000,"&gt;="&amp;DATE(2026,4,1),Trades!B5:B1000,"&lt;"&amp;DATE(2026,5,1),Trades!L5:L1000,"&gt;0")</f>
        <v>0</v>
      </c>
      <c r="E42" s="21">
        <f>COUNTIFS(Trades!B5:B1000,"&gt;="&amp;DATE(2026,4,1),Trades!B5:B1000,"&lt;"&amp;DATE(2026,5,1),Trades!L5:L1000,"&lt;0")</f>
        <v>0</v>
      </c>
      <c r="F42" s="22">
        <f t="shared" si="1"/>
        <v>0</v>
      </c>
      <c r="G42" s="23">
        <f>SUMIFS(Trades!L5:L1000,Trades!B5:B1000,"&gt;="&amp;DATE(2026,4,1),Trades!B5:B1000,"&lt;"&amp;DATE(2026,5,1))</f>
        <v>0</v>
      </c>
      <c r="H42" s="23">
        <f ca="1">IFERROR(_xludf.maxifs(Trades!L5:L1000,Trades!B5:B1000,"&gt;="&amp;DATE(2026,4,1),Trades!B5:B1000,"&lt;"&amp;DATE(2026,5,1)),0)</f>
        <v>0</v>
      </c>
    </row>
    <row r="43" spans="2:12" ht="21.75" customHeight="1" x14ac:dyDescent="0.25">
      <c r="B43" s="14" t="s">
        <v>45</v>
      </c>
      <c r="C43" s="15">
        <f>COUNTIFS(Trades!B5:B1000,"&gt;="&amp;DATE(2026,5,1),Trades!B5:B1000,"&lt;"&amp;DATE(2026,6,1))</f>
        <v>0</v>
      </c>
      <c r="D43" s="15">
        <f>COUNTIFS(Trades!B5:B1000,"&gt;="&amp;DATE(2026,5,1),Trades!B5:B1000,"&lt;"&amp;DATE(2026,6,1),Trades!L5:L1000,"&gt;0")</f>
        <v>0</v>
      </c>
      <c r="E43" s="15">
        <f>COUNTIFS(Trades!B5:B1000,"&gt;="&amp;DATE(2026,5,1),Trades!B5:B1000,"&lt;"&amp;DATE(2026,6,1),Trades!L5:L1000,"&lt;0")</f>
        <v>0</v>
      </c>
      <c r="F43" s="16">
        <f t="shared" si="1"/>
        <v>0</v>
      </c>
      <c r="G43" s="17">
        <f>SUMIFS(Trades!L5:L1000,Trades!B5:B1000,"&gt;="&amp;DATE(2026,5,1),Trades!B5:B1000,"&lt;"&amp;DATE(2026,6,1))</f>
        <v>0</v>
      </c>
      <c r="H43" s="17">
        <f ca="1">IFERROR(_xludf.maxifs(Trades!L5:L1000,Trades!B5:B1000,"&gt;="&amp;DATE(2026,5,1),Trades!B5:B1000,"&lt;"&amp;DATE(2026,6,1)),0)</f>
        <v>0</v>
      </c>
    </row>
    <row r="44" spans="2:12" ht="21.75" customHeight="1" x14ac:dyDescent="0.25">
      <c r="B44" s="20" t="s">
        <v>46</v>
      </c>
      <c r="C44" s="21">
        <f>COUNTIFS(Trades!B5:B1000,"&gt;="&amp;DATE(2026,6,1),Trades!B5:B1000,"&lt;"&amp;DATE(2026,7,1))</f>
        <v>0</v>
      </c>
      <c r="D44" s="21">
        <f>COUNTIFS(Trades!B5:B1000,"&gt;="&amp;DATE(2026,6,1),Trades!B5:B1000,"&lt;"&amp;DATE(2026,7,1),Trades!L5:L1000,"&gt;0")</f>
        <v>0</v>
      </c>
      <c r="E44" s="21">
        <f>COUNTIFS(Trades!B5:B1000,"&gt;="&amp;DATE(2026,6,1),Trades!B5:B1000,"&lt;"&amp;DATE(2026,7,1),Trades!L5:L1000,"&lt;0")</f>
        <v>0</v>
      </c>
      <c r="F44" s="22">
        <f t="shared" si="1"/>
        <v>0</v>
      </c>
      <c r="G44" s="23">
        <f>SUMIFS(Trades!L5:L1000,Trades!B5:B1000,"&gt;="&amp;DATE(2026,6,1),Trades!B5:B1000,"&lt;"&amp;DATE(2026,7,1))</f>
        <v>0</v>
      </c>
      <c r="H44" s="23">
        <f ca="1">IFERROR(_xludf.maxifs(Trades!L5:L1000,Trades!B5:B1000,"&gt;="&amp;DATE(2026,6,1),Trades!B5:B1000,"&lt;"&amp;DATE(2026,7,1)),0)</f>
        <v>0</v>
      </c>
    </row>
    <row r="45" spans="2:12" ht="21.75" customHeight="1" x14ac:dyDescent="0.25">
      <c r="B45" s="14" t="s">
        <v>47</v>
      </c>
      <c r="C45" s="15">
        <f>COUNTIFS(Trades!B5:B1000,"&gt;="&amp;DATE(2026,7,1),Trades!B5:B1000,"&lt;"&amp;DATE(2026,8,1))</f>
        <v>0</v>
      </c>
      <c r="D45" s="15">
        <f>COUNTIFS(Trades!B5:B1000,"&gt;="&amp;DATE(2026,7,1),Trades!B5:B1000,"&lt;"&amp;DATE(2026,8,1),Trades!L5:L1000,"&gt;0")</f>
        <v>0</v>
      </c>
      <c r="E45" s="15">
        <f>COUNTIFS(Trades!B5:B1000,"&gt;="&amp;DATE(2026,7,1),Trades!B5:B1000,"&lt;"&amp;DATE(2026,8,1),Trades!L5:L1000,"&lt;0")</f>
        <v>0</v>
      </c>
      <c r="F45" s="16">
        <f t="shared" si="1"/>
        <v>0</v>
      </c>
      <c r="G45" s="17">
        <f>SUMIFS(Trades!L5:L1000,Trades!B5:B1000,"&gt;="&amp;DATE(2026,7,1),Trades!B5:B1000,"&lt;"&amp;DATE(2026,8,1))</f>
        <v>0</v>
      </c>
      <c r="H45" s="17">
        <f ca="1">IFERROR(_xludf.maxifs(Trades!L5:L1000,Trades!B5:B1000,"&gt;="&amp;DATE(2026,7,1),Trades!B5:B1000,"&lt;"&amp;DATE(2026,8,1)),0)</f>
        <v>0</v>
      </c>
    </row>
    <row r="46" spans="2:12" ht="21.75" customHeight="1" x14ac:dyDescent="0.25">
      <c r="B46" s="20" t="s">
        <v>48</v>
      </c>
      <c r="C46" s="21">
        <f>COUNTIFS(Trades!B5:B1000,"&gt;="&amp;DATE(2026,8,1),Trades!B5:B1000,"&lt;"&amp;DATE(2026,9,1))</f>
        <v>0</v>
      </c>
      <c r="D46" s="21">
        <f>COUNTIFS(Trades!B5:B1000,"&gt;="&amp;DATE(2026,8,1),Trades!B5:B1000,"&lt;"&amp;DATE(2026,9,1),Trades!L5:L1000,"&gt;0")</f>
        <v>0</v>
      </c>
      <c r="E46" s="21">
        <f>COUNTIFS(Trades!B5:B1000,"&gt;="&amp;DATE(2026,8,1),Trades!B5:B1000,"&lt;"&amp;DATE(2026,9,1),Trades!L5:L1000,"&lt;0")</f>
        <v>0</v>
      </c>
      <c r="F46" s="22">
        <f t="shared" si="1"/>
        <v>0</v>
      </c>
      <c r="G46" s="23">
        <f>SUMIFS(Trades!L5:L1000,Trades!B5:B1000,"&gt;="&amp;DATE(2026,8,1),Trades!B5:B1000,"&lt;"&amp;DATE(2026,9,1))</f>
        <v>0</v>
      </c>
      <c r="H46" s="23">
        <f ca="1">IFERROR(_xludf.maxifs(Trades!L5:L1000,Trades!B5:B1000,"&gt;="&amp;DATE(2026,8,1),Trades!B5:B1000,"&lt;"&amp;DATE(2026,9,1)),0)</f>
        <v>0</v>
      </c>
    </row>
    <row r="47" spans="2:12" ht="21.75" customHeight="1" x14ac:dyDescent="0.25">
      <c r="B47" s="14" t="s">
        <v>49</v>
      </c>
      <c r="C47" s="15">
        <f>COUNTIFS(Trades!B5:B1000,"&gt;="&amp;DATE(2026,9,1),Trades!B5:B1000,"&lt;"&amp;DATE(2026,10,1))</f>
        <v>0</v>
      </c>
      <c r="D47" s="15">
        <f>COUNTIFS(Trades!B5:B1000,"&gt;="&amp;DATE(2026,9,1),Trades!B5:B1000,"&lt;"&amp;DATE(2026,10,1),Trades!L5:L1000,"&gt;0")</f>
        <v>0</v>
      </c>
      <c r="E47" s="15">
        <f>COUNTIFS(Trades!B5:B1000,"&gt;="&amp;DATE(2026,9,1),Trades!B5:B1000,"&lt;"&amp;DATE(2026,10,1),Trades!L5:L1000,"&lt;0")</f>
        <v>0</v>
      </c>
      <c r="F47" s="16">
        <f t="shared" si="1"/>
        <v>0</v>
      </c>
      <c r="G47" s="17">
        <f>SUMIFS(Trades!L5:L1000,Trades!B5:B1000,"&gt;="&amp;DATE(2026,9,1),Trades!B5:B1000,"&lt;"&amp;DATE(2026,10,1))</f>
        <v>0</v>
      </c>
      <c r="H47" s="17">
        <f ca="1">IFERROR(_xludf.maxifs(Trades!L5:L1000,Trades!B5:B1000,"&gt;="&amp;DATE(2026,9,1),Trades!B5:B1000,"&lt;"&amp;DATE(2026,10,1)),0)</f>
        <v>0</v>
      </c>
    </row>
    <row r="48" spans="2:12" ht="21.75" customHeight="1" x14ac:dyDescent="0.25">
      <c r="B48" s="20" t="s">
        <v>50</v>
      </c>
      <c r="C48" s="21">
        <f>COUNTIFS(Trades!B5:B1000,"&gt;="&amp;DATE(2026,10,1),Trades!B5:B1000,"&lt;"&amp;DATE(2026,11,1))</f>
        <v>0</v>
      </c>
      <c r="D48" s="21">
        <f>COUNTIFS(Trades!B5:B1000,"&gt;="&amp;DATE(2026,10,1),Trades!B5:B1000,"&lt;"&amp;DATE(2026,11,1),Trades!L5:L1000,"&gt;0")</f>
        <v>0</v>
      </c>
      <c r="E48" s="21">
        <f>COUNTIFS(Trades!B5:B1000,"&gt;="&amp;DATE(2026,10,1),Trades!B5:B1000,"&lt;"&amp;DATE(2026,11,1),Trades!L5:L1000,"&lt;0")</f>
        <v>0</v>
      </c>
      <c r="F48" s="22">
        <f t="shared" si="1"/>
        <v>0</v>
      </c>
      <c r="G48" s="23">
        <f>SUMIFS(Trades!L5:L1000,Trades!B5:B1000,"&gt;="&amp;DATE(2026,10,1),Trades!B5:B1000,"&lt;"&amp;DATE(2026,11,1))</f>
        <v>0</v>
      </c>
      <c r="H48" s="23">
        <f ca="1">IFERROR(_xludf.maxifs(Trades!L5:L1000,Trades!B5:B1000,"&gt;="&amp;DATE(2026,10,1),Trades!B5:B1000,"&lt;"&amp;DATE(2026,11,1)),0)</f>
        <v>0</v>
      </c>
    </row>
    <row r="49" spans="2:12" ht="21.75" customHeight="1" x14ac:dyDescent="0.25">
      <c r="B49" s="14" t="s">
        <v>51</v>
      </c>
      <c r="C49" s="15">
        <f>COUNTIFS(Trades!B5:B1000,"&gt;="&amp;DATE(2026,11,1),Trades!B5:B1000,"&lt;"&amp;DATE(2026,12,1))</f>
        <v>0</v>
      </c>
      <c r="D49" s="15">
        <f>COUNTIFS(Trades!B5:B1000,"&gt;="&amp;DATE(2026,11,1),Trades!B5:B1000,"&lt;"&amp;DATE(2026,12,1),Trades!L5:L1000,"&gt;0")</f>
        <v>0</v>
      </c>
      <c r="E49" s="15">
        <f>COUNTIFS(Trades!B5:B1000,"&gt;="&amp;DATE(2026,11,1),Trades!B5:B1000,"&lt;"&amp;DATE(2026,12,1),Trades!L5:L1000,"&lt;0")</f>
        <v>0</v>
      </c>
      <c r="F49" s="16">
        <f t="shared" si="1"/>
        <v>0</v>
      </c>
      <c r="G49" s="17">
        <f>SUMIFS(Trades!L5:L1000,Trades!B5:B1000,"&gt;="&amp;DATE(2026,11,1),Trades!B5:B1000,"&lt;"&amp;DATE(2026,12,1))</f>
        <v>0</v>
      </c>
      <c r="H49" s="17">
        <f ca="1">IFERROR(_xludf.maxifs(Trades!L5:L1000,Trades!B5:B1000,"&gt;="&amp;DATE(2026,11,1),Trades!B5:B1000,"&lt;"&amp;DATE(2026,12,1)),0)</f>
        <v>0</v>
      </c>
    </row>
    <row r="50" spans="2:12" ht="21.75" customHeight="1" x14ac:dyDescent="0.25">
      <c r="B50" s="20" t="s">
        <v>52</v>
      </c>
      <c r="C50" s="21">
        <f>COUNTIFS(Trades!B5:B1000,"&gt;="&amp;DATE(2026,12,1),Trades!B5:B1000,"&lt;"&amp;DATE(2027,1,1))</f>
        <v>0</v>
      </c>
      <c r="D50" s="21">
        <f>COUNTIFS(Trades!B5:B1000,"&gt;="&amp;DATE(2026,12,1),Trades!B5:B1000,"&lt;"&amp;DATE(2027,1,1),Trades!L5:L1000,"&gt;0")</f>
        <v>0</v>
      </c>
      <c r="E50" s="21">
        <f>COUNTIFS(Trades!B5:B1000,"&gt;="&amp;DATE(2026,12,1),Trades!B5:B1000,"&lt;"&amp;DATE(2027,1,1),Trades!L5:L1000,"&lt;0")</f>
        <v>0</v>
      </c>
      <c r="F50" s="22">
        <f t="shared" si="1"/>
        <v>0</v>
      </c>
      <c r="G50" s="23">
        <f>SUMIFS(Trades!L5:L1000,Trades!B5:B1000,"&gt;="&amp;DATE(2026,12,1),Trades!B5:B1000,"&lt;"&amp;DATE(2027,1,1))</f>
        <v>0</v>
      </c>
      <c r="H50" s="23">
        <f ca="1">IFERROR(_xludf.maxifs(Trades!L5:L1000,Trades!B5:B1000,"&gt;="&amp;DATE(2026,12,1),Trades!B5:B1000,"&lt;"&amp;DATE(2027,1,1)),0)</f>
        <v>0</v>
      </c>
    </row>
    <row r="51" spans="2:12" ht="24" customHeight="1" x14ac:dyDescent="0.25">
      <c r="B51" s="26" t="s">
        <v>36</v>
      </c>
      <c r="C51" s="27">
        <f>SUM(C39:C50)</f>
        <v>33</v>
      </c>
      <c r="D51" s="27">
        <f>SUM(D39:D50)</f>
        <v>23</v>
      </c>
      <c r="E51" s="27">
        <f>SUM(E39:E50)</f>
        <v>10</v>
      </c>
      <c r="F51" s="28">
        <f t="shared" si="1"/>
        <v>0.69696969696969702</v>
      </c>
      <c r="G51" s="29">
        <f>SUM(G39:G50)</f>
        <v>5265.9999999999927</v>
      </c>
      <c r="H51" s="29">
        <f>IFERROR(MAX(Trades!L5:L1000),0)</f>
        <v>887.5</v>
      </c>
    </row>
    <row r="54" spans="2:12" ht="24" customHeight="1" x14ac:dyDescent="0.25">
      <c r="B54" s="4" t="s">
        <v>53</v>
      </c>
      <c r="C54" s="4"/>
      <c r="D54" s="4"/>
      <c r="E54" s="4"/>
      <c r="F54" s="4"/>
      <c r="G54" s="4"/>
      <c r="H54" s="4"/>
      <c r="I54" s="4"/>
      <c r="J54" s="4"/>
      <c r="K54" s="4"/>
      <c r="L54" s="4"/>
    </row>
    <row r="74" spans="2:12" ht="30" customHeight="1" x14ac:dyDescent="0.25">
      <c r="B74" s="3" t="s">
        <v>54</v>
      </c>
      <c r="C74" s="3"/>
      <c r="D74" s="3"/>
      <c r="E74" s="3"/>
      <c r="F74" s="3"/>
      <c r="G74" s="3"/>
      <c r="H74" s="3"/>
      <c r="I74" s="3"/>
      <c r="J74" s="3"/>
      <c r="K74" s="3"/>
      <c r="L74" s="3"/>
    </row>
  </sheetData>
  <mergeCells count="8">
    <mergeCell ref="B37:L37"/>
    <mergeCell ref="B54:L54"/>
    <mergeCell ref="B74:L74"/>
    <mergeCell ref="B2:L2"/>
    <mergeCell ref="B3:L3"/>
    <mergeCell ref="B6:L6"/>
    <mergeCell ref="B9:L9"/>
    <mergeCell ref="B24:L24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2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5" customWidth="1"/>
    <col min="2" max="4" width="11" customWidth="1"/>
    <col min="5" max="5" width="10" customWidth="1"/>
    <col min="6" max="7" width="11" customWidth="1"/>
    <col min="8" max="8" width="12" customWidth="1"/>
    <col min="9" max="9" width="11" customWidth="1"/>
    <col min="10" max="10" width="9" customWidth="1"/>
    <col min="11" max="11" width="12" customWidth="1"/>
    <col min="12" max="12" width="13" customWidth="1"/>
    <col min="13" max="13" width="10" customWidth="1"/>
    <col min="14" max="17" width="14" customWidth="1"/>
    <col min="18" max="18" width="13" customWidth="1"/>
    <col min="19" max="19" width="11" customWidth="1"/>
    <col min="20" max="20" width="40" customWidth="1"/>
  </cols>
  <sheetData>
    <row r="1" spans="1:20" ht="27.75" customHeight="1" x14ac:dyDescent="0.25">
      <c r="A1" s="2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1.75" customHeight="1" x14ac:dyDescent="0.25">
      <c r="A2" s="32" t="s">
        <v>56</v>
      </c>
      <c r="B2" s="33">
        <f>COUNTA(B5:B1000)</f>
        <v>33</v>
      </c>
      <c r="C2" s="32" t="s">
        <v>57</v>
      </c>
      <c r="D2" s="34">
        <f>SUM(L5:L1000)</f>
        <v>5265.9999999999936</v>
      </c>
      <c r="E2" s="32" t="s">
        <v>58</v>
      </c>
      <c r="F2" s="35">
        <f>IFERROR(COUNTIF(L5:L1000,"&gt;0")/COUNTA(L5:L1000),0)</f>
        <v>0.47916666666666669</v>
      </c>
      <c r="G2" s="32" t="s">
        <v>59</v>
      </c>
      <c r="H2" s="36">
        <f>IFERROR(AVERAGE(M5:M1000),0)</f>
        <v>1.0427859895532328</v>
      </c>
    </row>
    <row r="4" spans="1:20" ht="31.5" customHeight="1" x14ac:dyDescent="0.25">
      <c r="A4" s="37" t="s">
        <v>60</v>
      </c>
      <c r="B4" s="37" t="s">
        <v>61</v>
      </c>
      <c r="C4" s="37" t="s">
        <v>62</v>
      </c>
      <c r="D4" s="37" t="s">
        <v>63</v>
      </c>
      <c r="E4" s="37" t="s">
        <v>64</v>
      </c>
      <c r="F4" s="37" t="s">
        <v>65</v>
      </c>
      <c r="G4" s="37" t="s">
        <v>66</v>
      </c>
      <c r="H4" s="37" t="s">
        <v>67</v>
      </c>
      <c r="I4" s="37" t="s">
        <v>68</v>
      </c>
      <c r="J4" s="37" t="s">
        <v>69</v>
      </c>
      <c r="K4" s="37" t="s">
        <v>70</v>
      </c>
      <c r="L4" s="37" t="s">
        <v>71</v>
      </c>
      <c r="M4" s="37" t="s">
        <v>72</v>
      </c>
      <c r="N4" s="37" t="s">
        <v>73</v>
      </c>
      <c r="O4" s="37" t="s">
        <v>74</v>
      </c>
      <c r="P4" s="37" t="s">
        <v>24</v>
      </c>
      <c r="Q4" s="37" t="s">
        <v>75</v>
      </c>
      <c r="R4" s="37" t="s">
        <v>76</v>
      </c>
      <c r="S4" s="37" t="s">
        <v>77</v>
      </c>
      <c r="T4" s="37" t="s">
        <v>78</v>
      </c>
    </row>
    <row r="5" spans="1:20" ht="25.5" customHeight="1" x14ac:dyDescent="0.25">
      <c r="A5" s="38">
        <v>1</v>
      </c>
      <c r="B5" s="39">
        <v>46027</v>
      </c>
      <c r="C5" s="40" t="s">
        <v>79</v>
      </c>
      <c r="D5" s="40" t="s">
        <v>80</v>
      </c>
      <c r="E5" s="40" t="s">
        <v>81</v>
      </c>
      <c r="F5" s="41">
        <v>148.19999999999999</v>
      </c>
      <c r="G5" s="41">
        <v>145.80000000000001</v>
      </c>
      <c r="H5" s="41">
        <v>153</v>
      </c>
      <c r="I5" s="41">
        <v>152.65</v>
      </c>
      <c r="J5" s="42">
        <v>60</v>
      </c>
      <c r="K5" s="43">
        <f t="shared" ref="K5:K37" si="0">IFERROR(ABS(F5-G5)*J5,0)</f>
        <v>143.99999999999864</v>
      </c>
      <c r="L5" s="44">
        <f t="shared" ref="L5:L37" si="1">IFERROR((I5-F5)*J5*IF(E5="Long",1,-1),0)</f>
        <v>267.00000000000102</v>
      </c>
      <c r="M5" s="45">
        <f t="shared" ref="M5:M37" si="2">IFERROR(L5/K5,0)</f>
        <v>1.8541666666666914</v>
      </c>
      <c r="N5" s="46">
        <f>Stammdaten!$B$4+SUM(L$5:L5)</f>
        <v>25267</v>
      </c>
      <c r="O5" s="47">
        <f>MIN(0,N5-MAX(N$5:N5))</f>
        <v>0</v>
      </c>
      <c r="P5" s="40" t="s">
        <v>28</v>
      </c>
      <c r="Q5" s="40" t="s">
        <v>82</v>
      </c>
      <c r="R5" s="40" t="s">
        <v>83</v>
      </c>
      <c r="S5" s="40" t="s">
        <v>84</v>
      </c>
      <c r="T5" s="48" t="s">
        <v>85</v>
      </c>
    </row>
    <row r="6" spans="1:20" ht="25.5" customHeight="1" x14ac:dyDescent="0.25">
      <c r="A6" s="49">
        <v>2</v>
      </c>
      <c r="B6" s="50">
        <v>46028</v>
      </c>
      <c r="C6" s="51" t="s">
        <v>86</v>
      </c>
      <c r="D6" s="51" t="s">
        <v>80</v>
      </c>
      <c r="E6" s="51" t="s">
        <v>87</v>
      </c>
      <c r="F6" s="52">
        <v>92.4</v>
      </c>
      <c r="G6" s="52">
        <v>93.85</v>
      </c>
      <c r="H6" s="52">
        <v>89.1</v>
      </c>
      <c r="I6" s="52">
        <v>90.2</v>
      </c>
      <c r="J6" s="53">
        <v>120</v>
      </c>
      <c r="K6" s="54">
        <f t="shared" si="0"/>
        <v>173.99999999999864</v>
      </c>
      <c r="L6" s="55">
        <f t="shared" si="1"/>
        <v>264.00000000000034</v>
      </c>
      <c r="M6" s="56">
        <f t="shared" si="2"/>
        <v>1.5172413793103587</v>
      </c>
      <c r="N6" s="57">
        <f>Stammdaten!$B$4+SUM(L$5:L6)</f>
        <v>25531</v>
      </c>
      <c r="O6" s="58">
        <f>MIN(0,N6-MAX(N$5:N6))</f>
        <v>0</v>
      </c>
      <c r="P6" s="51" t="s">
        <v>31</v>
      </c>
      <c r="Q6" s="51" t="s">
        <v>88</v>
      </c>
      <c r="R6" s="51" t="s">
        <v>89</v>
      </c>
      <c r="S6" s="51" t="s">
        <v>84</v>
      </c>
      <c r="T6" s="59" t="s">
        <v>90</v>
      </c>
    </row>
    <row r="7" spans="1:20" ht="25.5" customHeight="1" x14ac:dyDescent="0.25">
      <c r="A7" s="38">
        <v>3</v>
      </c>
      <c r="B7" s="39">
        <v>46029</v>
      </c>
      <c r="C7" s="40" t="s">
        <v>91</v>
      </c>
      <c r="D7" s="40" t="s">
        <v>92</v>
      </c>
      <c r="E7" s="40" t="s">
        <v>81</v>
      </c>
      <c r="F7" s="41">
        <v>1.0820000000000001</v>
      </c>
      <c r="G7" s="41">
        <v>1.079</v>
      </c>
      <c r="H7" s="41">
        <v>1.089</v>
      </c>
      <c r="I7" s="41">
        <v>1.0774999999999999</v>
      </c>
      <c r="J7" s="42">
        <v>20000</v>
      </c>
      <c r="K7" s="43">
        <f t="shared" si="0"/>
        <v>60.000000000002274</v>
      </c>
      <c r="L7" s="44">
        <f t="shared" si="1"/>
        <v>-90.000000000003411</v>
      </c>
      <c r="M7" s="45">
        <f t="shared" si="2"/>
        <v>-1.5</v>
      </c>
      <c r="N7" s="46">
        <f>Stammdaten!$B$4+SUM(L$5:L7)</f>
        <v>25440.999999999996</v>
      </c>
      <c r="O7" s="47">
        <f>MIN(0,N7-MAX(N$5:N7))</f>
        <v>-90.000000000003638</v>
      </c>
      <c r="P7" s="40" t="s">
        <v>30</v>
      </c>
      <c r="Q7" s="40" t="s">
        <v>82</v>
      </c>
      <c r="R7" s="40" t="s">
        <v>93</v>
      </c>
      <c r="S7" s="40" t="s">
        <v>94</v>
      </c>
      <c r="T7" s="48" t="s">
        <v>95</v>
      </c>
    </row>
    <row r="8" spans="1:20" ht="25.5" customHeight="1" x14ac:dyDescent="0.25">
      <c r="A8" s="49">
        <v>4</v>
      </c>
      <c r="B8" s="50">
        <v>46030</v>
      </c>
      <c r="C8" s="51" t="s">
        <v>96</v>
      </c>
      <c r="D8" s="51" t="s">
        <v>97</v>
      </c>
      <c r="E8" s="51" t="s">
        <v>81</v>
      </c>
      <c r="F8" s="52">
        <v>18450</v>
      </c>
      <c r="G8" s="52">
        <v>18380</v>
      </c>
      <c r="H8" s="52">
        <v>18620</v>
      </c>
      <c r="I8" s="52">
        <v>18605</v>
      </c>
      <c r="J8" s="53">
        <v>2</v>
      </c>
      <c r="K8" s="54">
        <f t="shared" si="0"/>
        <v>140</v>
      </c>
      <c r="L8" s="55">
        <f t="shared" si="1"/>
        <v>310</v>
      </c>
      <c r="M8" s="56">
        <f t="shared" si="2"/>
        <v>2.2142857142857144</v>
      </c>
      <c r="N8" s="57">
        <f>Stammdaten!$B$4+SUM(L$5:L8)</f>
        <v>25750.999999999996</v>
      </c>
      <c r="O8" s="58">
        <f>MIN(0,N8-MAX(N$5:N8))</f>
        <v>0</v>
      </c>
      <c r="P8" s="51" t="s">
        <v>29</v>
      </c>
      <c r="Q8" s="51" t="s">
        <v>82</v>
      </c>
      <c r="R8" s="51" t="s">
        <v>98</v>
      </c>
      <c r="S8" s="51" t="s">
        <v>84</v>
      </c>
      <c r="T8" s="59" t="s">
        <v>99</v>
      </c>
    </row>
    <row r="9" spans="1:20" ht="25.5" customHeight="1" x14ac:dyDescent="0.25">
      <c r="A9" s="38">
        <v>5</v>
      </c>
      <c r="B9" s="39">
        <v>46031</v>
      </c>
      <c r="C9" s="40" t="s">
        <v>100</v>
      </c>
      <c r="D9" s="40" t="s">
        <v>101</v>
      </c>
      <c r="E9" s="40" t="s">
        <v>81</v>
      </c>
      <c r="F9" s="41">
        <v>62400</v>
      </c>
      <c r="G9" s="41">
        <v>60800</v>
      </c>
      <c r="H9" s="41">
        <v>66200</v>
      </c>
      <c r="I9" s="41">
        <v>65950</v>
      </c>
      <c r="J9" s="42">
        <v>0.25</v>
      </c>
      <c r="K9" s="43">
        <f t="shared" si="0"/>
        <v>400</v>
      </c>
      <c r="L9" s="44">
        <f t="shared" si="1"/>
        <v>887.5</v>
      </c>
      <c r="M9" s="45">
        <f t="shared" si="2"/>
        <v>2.21875</v>
      </c>
      <c r="N9" s="46">
        <f>Stammdaten!$B$4+SUM(L$5:L9)</f>
        <v>26638.499999999996</v>
      </c>
      <c r="O9" s="47">
        <f>MIN(0,N9-MAX(N$5:N9))</f>
        <v>0</v>
      </c>
      <c r="P9" s="40" t="s">
        <v>28</v>
      </c>
      <c r="Q9" s="40" t="s">
        <v>88</v>
      </c>
      <c r="R9" s="40" t="s">
        <v>83</v>
      </c>
      <c r="S9" s="40" t="s">
        <v>84</v>
      </c>
      <c r="T9" s="48" t="s">
        <v>102</v>
      </c>
    </row>
    <row r="10" spans="1:20" ht="25.5" customHeight="1" x14ac:dyDescent="0.25">
      <c r="A10" s="49">
        <v>6</v>
      </c>
      <c r="B10" s="50">
        <v>46034</v>
      </c>
      <c r="C10" s="51" t="s">
        <v>103</v>
      </c>
      <c r="D10" s="51" t="s">
        <v>80</v>
      </c>
      <c r="E10" s="51" t="s">
        <v>81</v>
      </c>
      <c r="F10" s="52">
        <v>185.4</v>
      </c>
      <c r="G10" s="52">
        <v>182.8</v>
      </c>
      <c r="H10" s="52">
        <v>191.2</v>
      </c>
      <c r="I10" s="52">
        <v>184.1</v>
      </c>
      <c r="J10" s="53">
        <v>50</v>
      </c>
      <c r="K10" s="54">
        <f t="shared" si="0"/>
        <v>129.99999999999972</v>
      </c>
      <c r="L10" s="55">
        <f t="shared" si="1"/>
        <v>-65.000000000000568</v>
      </c>
      <c r="M10" s="56">
        <f t="shared" si="2"/>
        <v>-0.50000000000000544</v>
      </c>
      <c r="N10" s="57">
        <f>Stammdaten!$B$4+SUM(L$5:L10)</f>
        <v>26573.499999999996</v>
      </c>
      <c r="O10" s="58">
        <f>MIN(0,N10-MAX(N$5:N10))</f>
        <v>-65</v>
      </c>
      <c r="P10" s="51" t="s">
        <v>30</v>
      </c>
      <c r="Q10" s="51" t="s">
        <v>104</v>
      </c>
      <c r="R10" s="51" t="s">
        <v>105</v>
      </c>
      <c r="S10" s="51" t="s">
        <v>94</v>
      </c>
      <c r="T10" s="59" t="s">
        <v>106</v>
      </c>
    </row>
    <row r="11" spans="1:20" ht="25.5" customHeight="1" x14ac:dyDescent="0.25">
      <c r="A11" s="38">
        <v>7</v>
      </c>
      <c r="B11" s="39">
        <v>46035</v>
      </c>
      <c r="C11" s="40" t="s">
        <v>107</v>
      </c>
      <c r="D11" s="40" t="s">
        <v>92</v>
      </c>
      <c r="E11" s="40" t="s">
        <v>87</v>
      </c>
      <c r="F11" s="41">
        <v>1.2709999999999999</v>
      </c>
      <c r="G11" s="41">
        <v>1.2745</v>
      </c>
      <c r="H11" s="41">
        <v>1.264</v>
      </c>
      <c r="I11" s="41">
        <v>1.2645</v>
      </c>
      <c r="J11" s="42">
        <v>15000</v>
      </c>
      <c r="K11" s="43">
        <f t="shared" si="0"/>
        <v>52.500000000000881</v>
      </c>
      <c r="L11" s="44">
        <f t="shared" si="1"/>
        <v>97.499999999999261</v>
      </c>
      <c r="M11" s="45">
        <f t="shared" si="2"/>
        <v>1.8571428571428119</v>
      </c>
      <c r="N11" s="46">
        <f>Stammdaten!$B$4+SUM(L$5:L11)</f>
        <v>26670.999999999996</v>
      </c>
      <c r="O11" s="47">
        <f>MIN(0,N11-MAX(N$5:N11))</f>
        <v>0</v>
      </c>
      <c r="P11" s="40" t="s">
        <v>31</v>
      </c>
      <c r="Q11" s="40" t="s">
        <v>108</v>
      </c>
      <c r="R11" s="40" t="s">
        <v>89</v>
      </c>
      <c r="S11" s="40" t="s">
        <v>84</v>
      </c>
      <c r="T11" s="48" t="s">
        <v>109</v>
      </c>
    </row>
    <row r="12" spans="1:20" ht="25.5" customHeight="1" x14ac:dyDescent="0.25">
      <c r="A12" s="49">
        <v>8</v>
      </c>
      <c r="B12" s="50">
        <v>46036</v>
      </c>
      <c r="C12" s="51" t="s">
        <v>110</v>
      </c>
      <c r="D12" s="51" t="s">
        <v>111</v>
      </c>
      <c r="E12" s="51" t="s">
        <v>81</v>
      </c>
      <c r="F12" s="52">
        <v>2380</v>
      </c>
      <c r="G12" s="52">
        <v>2362</v>
      </c>
      <c r="H12" s="52">
        <v>2415</v>
      </c>
      <c r="I12" s="52">
        <v>2408</v>
      </c>
      <c r="J12" s="53">
        <v>3</v>
      </c>
      <c r="K12" s="54">
        <f t="shared" si="0"/>
        <v>54</v>
      </c>
      <c r="L12" s="55">
        <f t="shared" si="1"/>
        <v>84</v>
      </c>
      <c r="M12" s="56">
        <f t="shared" si="2"/>
        <v>1.5555555555555556</v>
      </c>
      <c r="N12" s="57">
        <f>Stammdaten!$B$4+SUM(L$5:L12)</f>
        <v>26754.999999999996</v>
      </c>
      <c r="O12" s="58">
        <f>MIN(0,N12-MAX(N$5:N12))</f>
        <v>0</v>
      </c>
      <c r="P12" s="51" t="s">
        <v>29</v>
      </c>
      <c r="Q12" s="51" t="s">
        <v>82</v>
      </c>
      <c r="R12" s="51" t="s">
        <v>83</v>
      </c>
      <c r="S12" s="51" t="s">
        <v>84</v>
      </c>
      <c r="T12" s="59" t="s">
        <v>112</v>
      </c>
    </row>
    <row r="13" spans="1:20" ht="25.5" customHeight="1" x14ac:dyDescent="0.25">
      <c r="A13" s="38">
        <v>9</v>
      </c>
      <c r="B13" s="39">
        <v>46037</v>
      </c>
      <c r="C13" s="40" t="s">
        <v>113</v>
      </c>
      <c r="D13" s="40" t="s">
        <v>80</v>
      </c>
      <c r="E13" s="40" t="s">
        <v>81</v>
      </c>
      <c r="F13" s="41">
        <v>48.6</v>
      </c>
      <c r="G13" s="41">
        <v>47.85</v>
      </c>
      <c r="H13" s="41">
        <v>50.4</v>
      </c>
      <c r="I13" s="41">
        <v>47.8</v>
      </c>
      <c r="J13" s="42">
        <v>200</v>
      </c>
      <c r="K13" s="43">
        <f t="shared" si="0"/>
        <v>150</v>
      </c>
      <c r="L13" s="44">
        <f t="shared" si="1"/>
        <v>-160.00000000000085</v>
      </c>
      <c r="M13" s="45">
        <f t="shared" si="2"/>
        <v>-1.0666666666666724</v>
      </c>
      <c r="N13" s="46">
        <f>Stammdaten!$B$4+SUM(L$5:L13)</f>
        <v>26594.999999999996</v>
      </c>
      <c r="O13" s="47">
        <f>MIN(0,N13-MAX(N$5:N13))</f>
        <v>-160</v>
      </c>
      <c r="P13" s="40" t="s">
        <v>28</v>
      </c>
      <c r="Q13" s="40" t="s">
        <v>114</v>
      </c>
      <c r="R13" s="40" t="s">
        <v>115</v>
      </c>
      <c r="S13" s="40" t="s">
        <v>94</v>
      </c>
      <c r="T13" s="48" t="s">
        <v>116</v>
      </c>
    </row>
    <row r="14" spans="1:20" ht="25.5" customHeight="1" x14ac:dyDescent="0.25">
      <c r="A14" s="49">
        <v>10</v>
      </c>
      <c r="B14" s="50">
        <v>46038</v>
      </c>
      <c r="C14" s="51" t="s">
        <v>96</v>
      </c>
      <c r="D14" s="51" t="s">
        <v>97</v>
      </c>
      <c r="E14" s="51" t="s">
        <v>87</v>
      </c>
      <c r="F14" s="52">
        <v>18620</v>
      </c>
      <c r="G14" s="52">
        <v>18690</v>
      </c>
      <c r="H14" s="52">
        <v>18470</v>
      </c>
      <c r="I14" s="52">
        <v>18495</v>
      </c>
      <c r="J14" s="53">
        <v>2</v>
      </c>
      <c r="K14" s="54">
        <f t="shared" si="0"/>
        <v>140</v>
      </c>
      <c r="L14" s="55">
        <f t="shared" si="1"/>
        <v>250</v>
      </c>
      <c r="M14" s="56">
        <f t="shared" si="2"/>
        <v>1.7857142857142858</v>
      </c>
      <c r="N14" s="57">
        <f>Stammdaten!$B$4+SUM(L$5:L14)</f>
        <v>26844.999999999996</v>
      </c>
      <c r="O14" s="58">
        <f>MIN(0,N14-MAX(N$5:N14))</f>
        <v>0</v>
      </c>
      <c r="P14" s="51" t="s">
        <v>31</v>
      </c>
      <c r="Q14" s="51" t="s">
        <v>88</v>
      </c>
      <c r="R14" s="51" t="s">
        <v>83</v>
      </c>
      <c r="S14" s="51" t="s">
        <v>84</v>
      </c>
      <c r="T14" s="59" t="s">
        <v>117</v>
      </c>
    </row>
    <row r="15" spans="1:20" ht="25.5" customHeight="1" x14ac:dyDescent="0.25">
      <c r="A15" s="38">
        <v>11</v>
      </c>
      <c r="B15" s="39">
        <v>46041</v>
      </c>
      <c r="C15" s="40" t="s">
        <v>118</v>
      </c>
      <c r="D15" s="40" t="s">
        <v>101</v>
      </c>
      <c r="E15" s="40" t="s">
        <v>81</v>
      </c>
      <c r="F15" s="41">
        <v>3120</v>
      </c>
      <c r="G15" s="41">
        <v>3050</v>
      </c>
      <c r="H15" s="41">
        <v>3260</v>
      </c>
      <c r="I15" s="41">
        <v>3215</v>
      </c>
      <c r="J15" s="42">
        <v>3</v>
      </c>
      <c r="K15" s="43">
        <f t="shared" si="0"/>
        <v>210</v>
      </c>
      <c r="L15" s="44">
        <f t="shared" si="1"/>
        <v>285</v>
      </c>
      <c r="M15" s="45">
        <f t="shared" si="2"/>
        <v>1.3571428571428572</v>
      </c>
      <c r="N15" s="46">
        <f>Stammdaten!$B$4+SUM(L$5:L15)</f>
        <v>27129.999999999996</v>
      </c>
      <c r="O15" s="47">
        <f>MIN(0,N15-MAX(N$5:N15))</f>
        <v>0</v>
      </c>
      <c r="P15" s="40" t="s">
        <v>30</v>
      </c>
      <c r="Q15" s="40" t="s">
        <v>82</v>
      </c>
      <c r="R15" s="40" t="s">
        <v>89</v>
      </c>
      <c r="S15" s="40" t="s">
        <v>84</v>
      </c>
      <c r="T15" s="48" t="s">
        <v>119</v>
      </c>
    </row>
    <row r="16" spans="1:20" ht="25.5" customHeight="1" x14ac:dyDescent="0.25">
      <c r="A16" s="49">
        <v>12</v>
      </c>
      <c r="B16" s="50">
        <v>46042</v>
      </c>
      <c r="C16" s="51" t="s">
        <v>91</v>
      </c>
      <c r="D16" s="51" t="s">
        <v>92</v>
      </c>
      <c r="E16" s="51" t="s">
        <v>81</v>
      </c>
      <c r="F16" s="52">
        <v>1.0845</v>
      </c>
      <c r="G16" s="52">
        <v>1.0820000000000001</v>
      </c>
      <c r="H16" s="52">
        <v>1.0905</v>
      </c>
      <c r="I16" s="52">
        <v>1.0891999999999999</v>
      </c>
      <c r="J16" s="53">
        <v>20000</v>
      </c>
      <c r="K16" s="54">
        <f t="shared" si="0"/>
        <v>49.999999999998934</v>
      </c>
      <c r="L16" s="55">
        <f t="shared" si="1"/>
        <v>93.999999999998522</v>
      </c>
      <c r="M16" s="56">
        <f t="shared" si="2"/>
        <v>1.8800000000000106</v>
      </c>
      <c r="N16" s="57">
        <f>Stammdaten!$B$4+SUM(L$5:L16)</f>
        <v>27223.999999999993</v>
      </c>
      <c r="O16" s="58">
        <f>MIN(0,N16-MAX(N$5:N16))</f>
        <v>0</v>
      </c>
      <c r="P16" s="51" t="s">
        <v>29</v>
      </c>
      <c r="Q16" s="51" t="s">
        <v>82</v>
      </c>
      <c r="R16" s="51" t="s">
        <v>98</v>
      </c>
      <c r="S16" s="51" t="s">
        <v>84</v>
      </c>
      <c r="T16" s="59" t="s">
        <v>120</v>
      </c>
    </row>
    <row r="17" spans="1:20" ht="25.5" customHeight="1" x14ac:dyDescent="0.25">
      <c r="A17" s="38">
        <v>13</v>
      </c>
      <c r="B17" s="39">
        <v>46043</v>
      </c>
      <c r="C17" s="40" t="s">
        <v>121</v>
      </c>
      <c r="D17" s="40" t="s">
        <v>80</v>
      </c>
      <c r="E17" s="40" t="s">
        <v>87</v>
      </c>
      <c r="F17" s="41">
        <v>112.4</v>
      </c>
      <c r="G17" s="41">
        <v>114.2</v>
      </c>
      <c r="H17" s="41">
        <v>108.6</v>
      </c>
      <c r="I17" s="41">
        <v>113.95</v>
      </c>
      <c r="J17" s="42">
        <v>80</v>
      </c>
      <c r="K17" s="43">
        <f t="shared" si="0"/>
        <v>143.99999999999977</v>
      </c>
      <c r="L17" s="44">
        <f t="shared" si="1"/>
        <v>-123.99999999999977</v>
      </c>
      <c r="M17" s="45">
        <f t="shared" si="2"/>
        <v>-0.86111111111111094</v>
      </c>
      <c r="N17" s="46">
        <f>Stammdaten!$B$4+SUM(L$5:L17)</f>
        <v>27099.999999999993</v>
      </c>
      <c r="O17" s="47">
        <f>MIN(0,N17-MAX(N$5:N17))</f>
        <v>-124</v>
      </c>
      <c r="P17" s="40" t="s">
        <v>32</v>
      </c>
      <c r="Q17" s="40" t="s">
        <v>114</v>
      </c>
      <c r="R17" s="40" t="s">
        <v>93</v>
      </c>
      <c r="S17" s="40" t="s">
        <v>84</v>
      </c>
      <c r="T17" s="48" t="s">
        <v>122</v>
      </c>
    </row>
    <row r="18" spans="1:20" ht="25.5" customHeight="1" x14ac:dyDescent="0.25">
      <c r="A18" s="49">
        <v>14</v>
      </c>
      <c r="B18" s="50">
        <v>46044</v>
      </c>
      <c r="C18" s="51" t="s">
        <v>123</v>
      </c>
      <c r="D18" s="51" t="s">
        <v>97</v>
      </c>
      <c r="E18" s="51" t="s">
        <v>81</v>
      </c>
      <c r="F18" s="52">
        <v>17820</v>
      </c>
      <c r="G18" s="52">
        <v>17720</v>
      </c>
      <c r="H18" s="52">
        <v>18020</v>
      </c>
      <c r="I18" s="52">
        <v>17985</v>
      </c>
      <c r="J18" s="53">
        <v>1</v>
      </c>
      <c r="K18" s="54">
        <f t="shared" si="0"/>
        <v>100</v>
      </c>
      <c r="L18" s="55">
        <f t="shared" si="1"/>
        <v>165</v>
      </c>
      <c r="M18" s="56">
        <f t="shared" si="2"/>
        <v>1.65</v>
      </c>
      <c r="N18" s="57">
        <f>Stammdaten!$B$4+SUM(L$5:L18)</f>
        <v>27264.999999999993</v>
      </c>
      <c r="O18" s="58">
        <f>MIN(0,N18-MAX(N$5:N18))</f>
        <v>0</v>
      </c>
      <c r="P18" s="51" t="s">
        <v>28</v>
      </c>
      <c r="Q18" s="51" t="s">
        <v>82</v>
      </c>
      <c r="R18" s="51" t="s">
        <v>83</v>
      </c>
      <c r="S18" s="51" t="s">
        <v>84</v>
      </c>
      <c r="T18" s="59" t="s">
        <v>124</v>
      </c>
    </row>
    <row r="19" spans="1:20" ht="25.5" customHeight="1" x14ac:dyDescent="0.25">
      <c r="A19" s="38">
        <v>15</v>
      </c>
      <c r="B19" s="39">
        <v>46045</v>
      </c>
      <c r="C19" s="40" t="s">
        <v>125</v>
      </c>
      <c r="D19" s="40" t="s">
        <v>80</v>
      </c>
      <c r="E19" s="40" t="s">
        <v>81</v>
      </c>
      <c r="F19" s="41">
        <v>15.8</v>
      </c>
      <c r="G19" s="41">
        <v>15.45</v>
      </c>
      <c r="H19" s="41">
        <v>16.600000000000001</v>
      </c>
      <c r="I19" s="41">
        <v>16.420000000000002</v>
      </c>
      <c r="J19" s="42">
        <v>500</v>
      </c>
      <c r="K19" s="43">
        <f t="shared" si="0"/>
        <v>175.00000000000071</v>
      </c>
      <c r="L19" s="44">
        <f t="shared" si="1"/>
        <v>310.00000000000051</v>
      </c>
      <c r="M19" s="45">
        <f t="shared" si="2"/>
        <v>1.7714285714285671</v>
      </c>
      <c r="N19" s="46">
        <f>Stammdaten!$B$4+SUM(L$5:L19)</f>
        <v>27574.999999999996</v>
      </c>
      <c r="O19" s="47">
        <f>MIN(0,N19-MAX(N$5:N19))</f>
        <v>0</v>
      </c>
      <c r="P19" s="40" t="s">
        <v>35</v>
      </c>
      <c r="Q19" s="40" t="s">
        <v>82</v>
      </c>
      <c r="R19" s="40" t="s">
        <v>89</v>
      </c>
      <c r="S19" s="40" t="s">
        <v>84</v>
      </c>
      <c r="T19" s="48" t="s">
        <v>126</v>
      </c>
    </row>
    <row r="20" spans="1:20" ht="25.5" customHeight="1" x14ac:dyDescent="0.25">
      <c r="A20" s="49">
        <v>16</v>
      </c>
      <c r="B20" s="50">
        <v>46048</v>
      </c>
      <c r="C20" s="51" t="s">
        <v>100</v>
      </c>
      <c r="D20" s="51" t="s">
        <v>101</v>
      </c>
      <c r="E20" s="51" t="s">
        <v>87</v>
      </c>
      <c r="F20" s="52">
        <v>64200</v>
      </c>
      <c r="G20" s="52">
        <v>65400</v>
      </c>
      <c r="H20" s="52">
        <v>61800</v>
      </c>
      <c r="I20" s="52">
        <v>62050</v>
      </c>
      <c r="J20" s="53">
        <v>0.2</v>
      </c>
      <c r="K20" s="54">
        <f t="shared" si="0"/>
        <v>240</v>
      </c>
      <c r="L20" s="55">
        <f t="shared" si="1"/>
        <v>430</v>
      </c>
      <c r="M20" s="56">
        <f t="shared" si="2"/>
        <v>1.7916666666666667</v>
      </c>
      <c r="N20" s="57">
        <f>Stammdaten!$B$4+SUM(L$5:L20)</f>
        <v>28004.999999999996</v>
      </c>
      <c r="O20" s="58">
        <f>MIN(0,N20-MAX(N$5:N20))</f>
        <v>0</v>
      </c>
      <c r="P20" s="51" t="s">
        <v>31</v>
      </c>
      <c r="Q20" s="51" t="s">
        <v>88</v>
      </c>
      <c r="R20" s="51" t="s">
        <v>83</v>
      </c>
      <c r="S20" s="51" t="s">
        <v>84</v>
      </c>
      <c r="T20" s="59" t="s">
        <v>127</v>
      </c>
    </row>
    <row r="21" spans="1:20" ht="25.5" customHeight="1" x14ac:dyDescent="0.25">
      <c r="A21" s="38">
        <v>17</v>
      </c>
      <c r="B21" s="39">
        <v>46049</v>
      </c>
      <c r="C21" s="40" t="s">
        <v>79</v>
      </c>
      <c r="D21" s="40" t="s">
        <v>80</v>
      </c>
      <c r="E21" s="40" t="s">
        <v>81</v>
      </c>
      <c r="F21" s="41">
        <v>153.80000000000001</v>
      </c>
      <c r="G21" s="41">
        <v>151.4</v>
      </c>
      <c r="H21" s="41">
        <v>158.19999999999999</v>
      </c>
      <c r="I21" s="41">
        <v>151.30000000000001</v>
      </c>
      <c r="J21" s="42">
        <v>60</v>
      </c>
      <c r="K21" s="43">
        <f t="shared" si="0"/>
        <v>144.00000000000034</v>
      </c>
      <c r="L21" s="44">
        <f t="shared" si="1"/>
        <v>-150</v>
      </c>
      <c r="M21" s="45">
        <f t="shared" si="2"/>
        <v>-1.0416666666666643</v>
      </c>
      <c r="N21" s="46">
        <f>Stammdaten!$B$4+SUM(L$5:L21)</f>
        <v>27854.999999999996</v>
      </c>
      <c r="O21" s="47">
        <f>MIN(0,N21-MAX(N$5:N21))</f>
        <v>-150</v>
      </c>
      <c r="P21" s="40" t="s">
        <v>30</v>
      </c>
      <c r="Q21" s="40" t="s">
        <v>104</v>
      </c>
      <c r="R21" s="40" t="s">
        <v>128</v>
      </c>
      <c r="S21" s="40" t="s">
        <v>94</v>
      </c>
      <c r="T21" s="48" t="s">
        <v>129</v>
      </c>
    </row>
    <row r="22" spans="1:20" ht="25.5" customHeight="1" x14ac:dyDescent="0.25">
      <c r="A22" s="49">
        <v>18</v>
      </c>
      <c r="B22" s="50">
        <v>46050</v>
      </c>
      <c r="C22" s="51" t="s">
        <v>107</v>
      </c>
      <c r="D22" s="51" t="s">
        <v>92</v>
      </c>
      <c r="E22" s="51" t="s">
        <v>81</v>
      </c>
      <c r="F22" s="52">
        <v>1.268</v>
      </c>
      <c r="G22" s="52">
        <v>1.264</v>
      </c>
      <c r="H22" s="52">
        <v>1.276</v>
      </c>
      <c r="I22" s="52">
        <v>1.2747999999999999</v>
      </c>
      <c r="J22" s="53">
        <v>15000</v>
      </c>
      <c r="K22" s="54">
        <f t="shared" si="0"/>
        <v>60.000000000000057</v>
      </c>
      <c r="L22" s="55">
        <f t="shared" si="1"/>
        <v>101.99999999999876</v>
      </c>
      <c r="M22" s="56">
        <f t="shared" si="2"/>
        <v>1.6999999999999778</v>
      </c>
      <c r="N22" s="57">
        <f>Stammdaten!$B$4+SUM(L$5:L22)</f>
        <v>27956.999999999993</v>
      </c>
      <c r="O22" s="58">
        <f>MIN(0,N22-MAX(N$5:N22))</f>
        <v>-48.000000000003638</v>
      </c>
      <c r="P22" s="51" t="s">
        <v>29</v>
      </c>
      <c r="Q22" s="51" t="s">
        <v>82</v>
      </c>
      <c r="R22" s="51" t="s">
        <v>98</v>
      </c>
      <c r="S22" s="51" t="s">
        <v>84</v>
      </c>
      <c r="T22" s="59" t="s">
        <v>130</v>
      </c>
    </row>
    <row r="23" spans="1:20" ht="25.5" customHeight="1" x14ac:dyDescent="0.25">
      <c r="A23" s="38">
        <v>19</v>
      </c>
      <c r="B23" s="39">
        <v>46051</v>
      </c>
      <c r="C23" s="40" t="s">
        <v>110</v>
      </c>
      <c r="D23" s="40" t="s">
        <v>111</v>
      </c>
      <c r="E23" s="40" t="s">
        <v>87</v>
      </c>
      <c r="F23" s="41">
        <v>2425</v>
      </c>
      <c r="G23" s="41">
        <v>2440</v>
      </c>
      <c r="H23" s="41">
        <v>2390</v>
      </c>
      <c r="I23" s="41">
        <v>2438</v>
      </c>
      <c r="J23" s="42">
        <v>3</v>
      </c>
      <c r="K23" s="43">
        <f t="shared" si="0"/>
        <v>45</v>
      </c>
      <c r="L23" s="44">
        <f t="shared" si="1"/>
        <v>-39</v>
      </c>
      <c r="M23" s="45">
        <f t="shared" si="2"/>
        <v>-0.8666666666666667</v>
      </c>
      <c r="N23" s="46">
        <f>Stammdaten!$B$4+SUM(L$5:L23)</f>
        <v>27917.999999999993</v>
      </c>
      <c r="O23" s="47">
        <f>MIN(0,N23-MAX(N$5:N23))</f>
        <v>-87.000000000003638</v>
      </c>
      <c r="P23" s="40" t="s">
        <v>31</v>
      </c>
      <c r="Q23" s="40" t="s">
        <v>88</v>
      </c>
      <c r="R23" s="40" t="s">
        <v>105</v>
      </c>
      <c r="S23" s="40" t="s">
        <v>94</v>
      </c>
      <c r="T23" s="48" t="s">
        <v>131</v>
      </c>
    </row>
    <row r="24" spans="1:20" ht="25.5" customHeight="1" x14ac:dyDescent="0.25">
      <c r="A24" s="49">
        <v>20</v>
      </c>
      <c r="B24" s="50">
        <v>46052</v>
      </c>
      <c r="C24" s="51" t="s">
        <v>96</v>
      </c>
      <c r="D24" s="51" t="s">
        <v>97</v>
      </c>
      <c r="E24" s="51" t="s">
        <v>81</v>
      </c>
      <c r="F24" s="52">
        <v>18540</v>
      </c>
      <c r="G24" s="52">
        <v>18470</v>
      </c>
      <c r="H24" s="52">
        <v>18680</v>
      </c>
      <c r="I24" s="52">
        <v>18672</v>
      </c>
      <c r="J24" s="53">
        <v>2</v>
      </c>
      <c r="K24" s="54">
        <f t="shared" si="0"/>
        <v>140</v>
      </c>
      <c r="L24" s="55">
        <f t="shared" si="1"/>
        <v>264</v>
      </c>
      <c r="M24" s="56">
        <f t="shared" si="2"/>
        <v>1.8857142857142857</v>
      </c>
      <c r="N24" s="57">
        <f>Stammdaten!$B$4+SUM(L$5:L24)</f>
        <v>28181.999999999993</v>
      </c>
      <c r="O24" s="58">
        <f>MIN(0,N24-MAX(N$5:N24))</f>
        <v>0</v>
      </c>
      <c r="P24" s="51" t="s">
        <v>30</v>
      </c>
      <c r="Q24" s="51" t="s">
        <v>82</v>
      </c>
      <c r="R24" s="51" t="s">
        <v>89</v>
      </c>
      <c r="S24" s="51" t="s">
        <v>84</v>
      </c>
      <c r="T24" s="59" t="s">
        <v>132</v>
      </c>
    </row>
    <row r="25" spans="1:20" ht="25.5" customHeight="1" x14ac:dyDescent="0.25">
      <c r="A25" s="38">
        <v>21</v>
      </c>
      <c r="B25" s="39">
        <v>46055</v>
      </c>
      <c r="C25" s="40" t="s">
        <v>133</v>
      </c>
      <c r="D25" s="40" t="s">
        <v>80</v>
      </c>
      <c r="E25" s="40" t="s">
        <v>81</v>
      </c>
      <c r="F25" s="41">
        <v>295.39999999999998</v>
      </c>
      <c r="G25" s="41">
        <v>291.8</v>
      </c>
      <c r="H25" s="41">
        <v>303.60000000000002</v>
      </c>
      <c r="I25" s="41">
        <v>302.89999999999998</v>
      </c>
      <c r="J25" s="42">
        <v>30</v>
      </c>
      <c r="K25" s="43">
        <f t="shared" si="0"/>
        <v>107.99999999999898</v>
      </c>
      <c r="L25" s="44">
        <f t="shared" si="1"/>
        <v>225</v>
      </c>
      <c r="M25" s="45">
        <f t="shared" si="2"/>
        <v>2.083333333333353</v>
      </c>
      <c r="N25" s="46">
        <f>Stammdaten!$B$4+SUM(L$5:L25)</f>
        <v>28406.999999999993</v>
      </c>
      <c r="O25" s="47">
        <f>MIN(0,N25-MAX(N$5:N25))</f>
        <v>0</v>
      </c>
      <c r="P25" s="40" t="s">
        <v>28</v>
      </c>
      <c r="Q25" s="40" t="s">
        <v>82</v>
      </c>
      <c r="R25" s="40" t="s">
        <v>83</v>
      </c>
      <c r="S25" s="40" t="s">
        <v>84</v>
      </c>
      <c r="T25" s="48" t="s">
        <v>134</v>
      </c>
    </row>
    <row r="26" spans="1:20" ht="25.5" customHeight="1" x14ac:dyDescent="0.25">
      <c r="A26" s="49">
        <v>22</v>
      </c>
      <c r="B26" s="50">
        <v>46056</v>
      </c>
      <c r="C26" s="51" t="s">
        <v>91</v>
      </c>
      <c r="D26" s="51" t="s">
        <v>92</v>
      </c>
      <c r="E26" s="51" t="s">
        <v>87</v>
      </c>
      <c r="F26" s="52">
        <v>1.0905</v>
      </c>
      <c r="G26" s="52">
        <v>1.0934999999999999</v>
      </c>
      <c r="H26" s="52">
        <v>1.0840000000000001</v>
      </c>
      <c r="I26" s="52">
        <v>1.0848</v>
      </c>
      <c r="J26" s="53">
        <v>20000</v>
      </c>
      <c r="K26" s="54">
        <f t="shared" si="0"/>
        <v>59.999999999997833</v>
      </c>
      <c r="L26" s="55">
        <f t="shared" si="1"/>
        <v>114.00000000000077</v>
      </c>
      <c r="M26" s="56">
        <f t="shared" si="2"/>
        <v>1.9000000000000814</v>
      </c>
      <c r="N26" s="57">
        <f>Stammdaten!$B$4+SUM(L$5:L26)</f>
        <v>28520.999999999993</v>
      </c>
      <c r="O26" s="58">
        <f>MIN(0,N26-MAX(N$5:N26))</f>
        <v>0</v>
      </c>
      <c r="P26" s="51" t="s">
        <v>31</v>
      </c>
      <c r="Q26" s="51" t="s">
        <v>108</v>
      </c>
      <c r="R26" s="51" t="s">
        <v>89</v>
      </c>
      <c r="S26" s="51" t="s">
        <v>84</v>
      </c>
      <c r="T26" s="59" t="s">
        <v>135</v>
      </c>
    </row>
    <row r="27" spans="1:20" ht="25.5" customHeight="1" x14ac:dyDescent="0.25">
      <c r="A27" s="38">
        <v>23</v>
      </c>
      <c r="B27" s="39">
        <v>46057</v>
      </c>
      <c r="C27" s="40" t="s">
        <v>136</v>
      </c>
      <c r="D27" s="40" t="s">
        <v>80</v>
      </c>
      <c r="E27" s="40" t="s">
        <v>81</v>
      </c>
      <c r="F27" s="41">
        <v>238.4</v>
      </c>
      <c r="G27" s="41">
        <v>232.8</v>
      </c>
      <c r="H27" s="41">
        <v>250</v>
      </c>
      <c r="I27" s="41">
        <v>234.5</v>
      </c>
      <c r="J27" s="42">
        <v>25</v>
      </c>
      <c r="K27" s="43">
        <f t="shared" si="0"/>
        <v>139.99999999999986</v>
      </c>
      <c r="L27" s="44">
        <f t="shared" si="1"/>
        <v>-97.500000000000142</v>
      </c>
      <c r="M27" s="45">
        <f t="shared" si="2"/>
        <v>-0.69642857142857317</v>
      </c>
      <c r="N27" s="46">
        <f>Stammdaten!$B$4+SUM(L$5:L27)</f>
        <v>28423.499999999993</v>
      </c>
      <c r="O27" s="47">
        <f>MIN(0,N27-MAX(N$5:N27))</f>
        <v>-97.5</v>
      </c>
      <c r="P27" s="40" t="s">
        <v>35</v>
      </c>
      <c r="Q27" s="40" t="s">
        <v>88</v>
      </c>
      <c r="R27" s="40" t="s">
        <v>115</v>
      </c>
      <c r="S27" s="40" t="s">
        <v>94</v>
      </c>
      <c r="T27" s="48" t="s">
        <v>137</v>
      </c>
    </row>
    <row r="28" spans="1:20" ht="25.5" customHeight="1" x14ac:dyDescent="0.25">
      <c r="A28" s="49">
        <v>24</v>
      </c>
      <c r="B28" s="50">
        <v>46058</v>
      </c>
      <c r="C28" s="51" t="s">
        <v>96</v>
      </c>
      <c r="D28" s="51" t="s">
        <v>97</v>
      </c>
      <c r="E28" s="51" t="s">
        <v>81</v>
      </c>
      <c r="F28" s="52">
        <v>18720</v>
      </c>
      <c r="G28" s="52">
        <v>18650</v>
      </c>
      <c r="H28" s="52">
        <v>18850</v>
      </c>
      <c r="I28" s="52">
        <v>18838</v>
      </c>
      <c r="J28" s="53">
        <v>2</v>
      </c>
      <c r="K28" s="54">
        <f t="shared" si="0"/>
        <v>140</v>
      </c>
      <c r="L28" s="55">
        <f t="shared" si="1"/>
        <v>236</v>
      </c>
      <c r="M28" s="56">
        <f t="shared" si="2"/>
        <v>1.6857142857142857</v>
      </c>
      <c r="N28" s="57">
        <f>Stammdaten!$B$4+SUM(L$5:L28)</f>
        <v>28659.499999999993</v>
      </c>
      <c r="O28" s="58">
        <f>MIN(0,N28-MAX(N$5:N28))</f>
        <v>0</v>
      </c>
      <c r="P28" s="51" t="s">
        <v>29</v>
      </c>
      <c r="Q28" s="51" t="s">
        <v>82</v>
      </c>
      <c r="R28" s="51" t="s">
        <v>83</v>
      </c>
      <c r="S28" s="51" t="s">
        <v>84</v>
      </c>
      <c r="T28" s="59" t="s">
        <v>138</v>
      </c>
    </row>
    <row r="29" spans="1:20" ht="25.5" customHeight="1" x14ac:dyDescent="0.25">
      <c r="A29" s="38">
        <v>25</v>
      </c>
      <c r="B29" s="39">
        <v>46059</v>
      </c>
      <c r="C29" s="40" t="s">
        <v>100</v>
      </c>
      <c r="D29" s="40" t="s">
        <v>101</v>
      </c>
      <c r="E29" s="40" t="s">
        <v>81</v>
      </c>
      <c r="F29" s="41">
        <v>63800</v>
      </c>
      <c r="G29" s="41">
        <v>62200</v>
      </c>
      <c r="H29" s="41">
        <v>67200</v>
      </c>
      <c r="I29" s="41">
        <v>66980</v>
      </c>
      <c r="J29" s="42">
        <v>0.25</v>
      </c>
      <c r="K29" s="43">
        <f t="shared" si="0"/>
        <v>400</v>
      </c>
      <c r="L29" s="44">
        <f t="shared" si="1"/>
        <v>795</v>
      </c>
      <c r="M29" s="45">
        <f t="shared" si="2"/>
        <v>1.9875</v>
      </c>
      <c r="N29" s="46">
        <f>Stammdaten!$B$4+SUM(L$5:L29)</f>
        <v>29454.499999999993</v>
      </c>
      <c r="O29" s="47">
        <f>MIN(0,N29-MAX(N$5:N29))</f>
        <v>0</v>
      </c>
      <c r="P29" s="40" t="s">
        <v>30</v>
      </c>
      <c r="Q29" s="40" t="s">
        <v>82</v>
      </c>
      <c r="R29" s="40" t="s">
        <v>98</v>
      </c>
      <c r="S29" s="40" t="s">
        <v>84</v>
      </c>
      <c r="T29" s="48" t="s">
        <v>139</v>
      </c>
    </row>
    <row r="30" spans="1:20" ht="25.5" customHeight="1" x14ac:dyDescent="0.25">
      <c r="A30" s="49">
        <v>26</v>
      </c>
      <c r="B30" s="50">
        <v>46062</v>
      </c>
      <c r="C30" s="51" t="s">
        <v>140</v>
      </c>
      <c r="D30" s="51" t="s">
        <v>80</v>
      </c>
      <c r="E30" s="51" t="s">
        <v>87</v>
      </c>
      <c r="F30" s="52">
        <v>415.2</v>
      </c>
      <c r="G30" s="52">
        <v>420.4</v>
      </c>
      <c r="H30" s="52">
        <v>405</v>
      </c>
      <c r="I30" s="52">
        <v>418.8</v>
      </c>
      <c r="J30" s="53">
        <v>20</v>
      </c>
      <c r="K30" s="54">
        <f t="shared" si="0"/>
        <v>103.99999999999977</v>
      </c>
      <c r="L30" s="55">
        <f t="shared" si="1"/>
        <v>-72.000000000000455</v>
      </c>
      <c r="M30" s="56">
        <f t="shared" si="2"/>
        <v>-0.69230769230769817</v>
      </c>
      <c r="N30" s="57">
        <f>Stammdaten!$B$4+SUM(L$5:L30)</f>
        <v>29382.499999999993</v>
      </c>
      <c r="O30" s="58">
        <f>MIN(0,N30-MAX(N$5:N30))</f>
        <v>-72</v>
      </c>
      <c r="P30" s="51" t="s">
        <v>32</v>
      </c>
      <c r="Q30" s="51" t="s">
        <v>114</v>
      </c>
      <c r="R30" s="51" t="s">
        <v>93</v>
      </c>
      <c r="S30" s="51" t="s">
        <v>84</v>
      </c>
      <c r="T30" s="59" t="s">
        <v>141</v>
      </c>
    </row>
    <row r="31" spans="1:20" ht="25.5" customHeight="1" x14ac:dyDescent="0.25">
      <c r="A31" s="38">
        <v>27</v>
      </c>
      <c r="B31" s="39">
        <v>46063</v>
      </c>
      <c r="C31" s="40" t="s">
        <v>107</v>
      </c>
      <c r="D31" s="40" t="s">
        <v>92</v>
      </c>
      <c r="E31" s="40" t="s">
        <v>81</v>
      </c>
      <c r="F31" s="41">
        <v>1.2745</v>
      </c>
      <c r="G31" s="41">
        <v>1.2709999999999999</v>
      </c>
      <c r="H31" s="41">
        <v>1.2825</v>
      </c>
      <c r="I31" s="41">
        <v>1.2818000000000001</v>
      </c>
      <c r="J31" s="42">
        <v>15000</v>
      </c>
      <c r="K31" s="43">
        <f t="shared" si="0"/>
        <v>52.500000000000881</v>
      </c>
      <c r="L31" s="44">
        <f t="shared" si="1"/>
        <v>109.50000000000126</v>
      </c>
      <c r="M31" s="45">
        <f t="shared" si="2"/>
        <v>2.0857142857142748</v>
      </c>
      <c r="N31" s="46">
        <f>Stammdaten!$B$4+SUM(L$5:L31)</f>
        <v>29491.999999999996</v>
      </c>
      <c r="O31" s="47">
        <f>MIN(0,N31-MAX(N$5:N31))</f>
        <v>0</v>
      </c>
      <c r="P31" s="40" t="s">
        <v>28</v>
      </c>
      <c r="Q31" s="40" t="s">
        <v>82</v>
      </c>
      <c r="R31" s="40" t="s">
        <v>83</v>
      </c>
      <c r="S31" s="40" t="s">
        <v>84</v>
      </c>
      <c r="T31" s="48" t="s">
        <v>142</v>
      </c>
    </row>
    <row r="32" spans="1:20" ht="25.5" customHeight="1" x14ac:dyDescent="0.25">
      <c r="A32" s="49">
        <v>28</v>
      </c>
      <c r="B32" s="50">
        <v>46064</v>
      </c>
      <c r="C32" s="51" t="s">
        <v>143</v>
      </c>
      <c r="D32" s="51" t="s">
        <v>80</v>
      </c>
      <c r="E32" s="51" t="s">
        <v>81</v>
      </c>
      <c r="F32" s="52">
        <v>22.8</v>
      </c>
      <c r="G32" s="52">
        <v>22.45</v>
      </c>
      <c r="H32" s="52">
        <v>23.6</v>
      </c>
      <c r="I32" s="52">
        <v>23.52</v>
      </c>
      <c r="J32" s="53">
        <v>300</v>
      </c>
      <c r="K32" s="54">
        <f t="shared" si="0"/>
        <v>105.00000000000043</v>
      </c>
      <c r="L32" s="55">
        <f t="shared" si="1"/>
        <v>215.99999999999966</v>
      </c>
      <c r="M32" s="56">
        <f t="shared" si="2"/>
        <v>2.0571428571428454</v>
      </c>
      <c r="N32" s="57">
        <f>Stammdaten!$B$4+SUM(L$5:L32)</f>
        <v>29707.999999999996</v>
      </c>
      <c r="O32" s="58">
        <f>MIN(0,N32-MAX(N$5:N32))</f>
        <v>0</v>
      </c>
      <c r="P32" s="51" t="s">
        <v>30</v>
      </c>
      <c r="Q32" s="51" t="s">
        <v>82</v>
      </c>
      <c r="R32" s="51" t="s">
        <v>89</v>
      </c>
      <c r="S32" s="51" t="s">
        <v>84</v>
      </c>
      <c r="T32" s="59" t="s">
        <v>144</v>
      </c>
    </row>
    <row r="33" spans="1:20" ht="25.5" customHeight="1" x14ac:dyDescent="0.25">
      <c r="A33" s="38">
        <v>29</v>
      </c>
      <c r="B33" s="39">
        <v>46065</v>
      </c>
      <c r="C33" s="40" t="s">
        <v>96</v>
      </c>
      <c r="D33" s="40" t="s">
        <v>97</v>
      </c>
      <c r="E33" s="40" t="s">
        <v>87</v>
      </c>
      <c r="F33" s="41">
        <v>18840</v>
      </c>
      <c r="G33" s="41">
        <v>18910</v>
      </c>
      <c r="H33" s="41">
        <v>18700</v>
      </c>
      <c r="I33" s="41">
        <v>18895</v>
      </c>
      <c r="J33" s="42">
        <v>2</v>
      </c>
      <c r="K33" s="43">
        <f t="shared" si="0"/>
        <v>140</v>
      </c>
      <c r="L33" s="44">
        <f t="shared" si="1"/>
        <v>-110</v>
      </c>
      <c r="M33" s="45">
        <f t="shared" si="2"/>
        <v>-0.7857142857142857</v>
      </c>
      <c r="N33" s="46">
        <f>Stammdaten!$B$4+SUM(L$5:L33)</f>
        <v>29597.999999999996</v>
      </c>
      <c r="O33" s="47">
        <f>MIN(0,N33-MAX(N$5:N33))</f>
        <v>-110</v>
      </c>
      <c r="P33" s="40" t="s">
        <v>31</v>
      </c>
      <c r="Q33" s="40" t="s">
        <v>88</v>
      </c>
      <c r="R33" s="40" t="s">
        <v>105</v>
      </c>
      <c r="S33" s="40" t="s">
        <v>94</v>
      </c>
      <c r="T33" s="48" t="s">
        <v>145</v>
      </c>
    </row>
    <row r="34" spans="1:20" ht="25.5" customHeight="1" x14ac:dyDescent="0.25">
      <c r="A34" s="49">
        <v>30</v>
      </c>
      <c r="B34" s="50">
        <v>46066</v>
      </c>
      <c r="C34" s="51" t="s">
        <v>110</v>
      </c>
      <c r="D34" s="51" t="s">
        <v>111</v>
      </c>
      <c r="E34" s="51" t="s">
        <v>81</v>
      </c>
      <c r="F34" s="52">
        <v>2402</v>
      </c>
      <c r="G34" s="52">
        <v>2385</v>
      </c>
      <c r="H34" s="52">
        <v>2440</v>
      </c>
      <c r="I34" s="52">
        <v>2436</v>
      </c>
      <c r="J34" s="53">
        <v>3</v>
      </c>
      <c r="K34" s="54">
        <f t="shared" si="0"/>
        <v>51</v>
      </c>
      <c r="L34" s="55">
        <f t="shared" si="1"/>
        <v>102</v>
      </c>
      <c r="M34" s="56">
        <f t="shared" si="2"/>
        <v>2</v>
      </c>
      <c r="N34" s="57">
        <f>Stammdaten!$B$4+SUM(L$5:L34)</f>
        <v>29699.999999999996</v>
      </c>
      <c r="O34" s="58">
        <f>MIN(0,N34-MAX(N$5:N34))</f>
        <v>-8</v>
      </c>
      <c r="P34" s="51" t="s">
        <v>29</v>
      </c>
      <c r="Q34" s="51" t="s">
        <v>82</v>
      </c>
      <c r="R34" s="51" t="s">
        <v>98</v>
      </c>
      <c r="S34" s="51" t="s">
        <v>84</v>
      </c>
      <c r="T34" s="59" t="s">
        <v>146</v>
      </c>
    </row>
    <row r="35" spans="1:20" ht="25.5" customHeight="1" x14ac:dyDescent="0.25">
      <c r="A35" s="38">
        <v>31</v>
      </c>
      <c r="B35" s="39">
        <v>46069</v>
      </c>
      <c r="C35" s="40" t="s">
        <v>118</v>
      </c>
      <c r="D35" s="40" t="s">
        <v>101</v>
      </c>
      <c r="E35" s="40" t="s">
        <v>87</v>
      </c>
      <c r="F35" s="41">
        <v>3290</v>
      </c>
      <c r="G35" s="41">
        <v>3340</v>
      </c>
      <c r="H35" s="41">
        <v>3180</v>
      </c>
      <c r="I35" s="41">
        <v>3185</v>
      </c>
      <c r="J35" s="42">
        <v>3</v>
      </c>
      <c r="K35" s="43">
        <f t="shared" si="0"/>
        <v>150</v>
      </c>
      <c r="L35" s="44">
        <f t="shared" si="1"/>
        <v>315</v>
      </c>
      <c r="M35" s="45">
        <f t="shared" si="2"/>
        <v>2.1</v>
      </c>
      <c r="N35" s="46">
        <f>Stammdaten!$B$4+SUM(L$5:L35)</f>
        <v>30014.999999999996</v>
      </c>
      <c r="O35" s="47">
        <f>MIN(0,N35-MAX(N$5:N35))</f>
        <v>0</v>
      </c>
      <c r="P35" s="40" t="s">
        <v>31</v>
      </c>
      <c r="Q35" s="40" t="s">
        <v>88</v>
      </c>
      <c r="R35" s="40" t="s">
        <v>83</v>
      </c>
      <c r="S35" s="40" t="s">
        <v>84</v>
      </c>
      <c r="T35" s="48" t="s">
        <v>147</v>
      </c>
    </row>
    <row r="36" spans="1:20" ht="25.5" customHeight="1" x14ac:dyDescent="0.25">
      <c r="A36" s="49">
        <v>32</v>
      </c>
      <c r="B36" s="50">
        <v>46070</v>
      </c>
      <c r="C36" s="51" t="s">
        <v>86</v>
      </c>
      <c r="D36" s="51" t="s">
        <v>80</v>
      </c>
      <c r="E36" s="51" t="s">
        <v>81</v>
      </c>
      <c r="F36" s="52">
        <v>93.8</v>
      </c>
      <c r="G36" s="52">
        <v>92.4</v>
      </c>
      <c r="H36" s="52">
        <v>96.8</v>
      </c>
      <c r="I36" s="52">
        <v>96.55</v>
      </c>
      <c r="J36" s="53">
        <v>100</v>
      </c>
      <c r="K36" s="54">
        <f t="shared" si="0"/>
        <v>139.99999999999915</v>
      </c>
      <c r="L36" s="55">
        <f t="shared" si="1"/>
        <v>275</v>
      </c>
      <c r="M36" s="56">
        <f t="shared" si="2"/>
        <v>1.9642857142857262</v>
      </c>
      <c r="N36" s="57">
        <f>Stammdaten!$B$4+SUM(L$5:L36)</f>
        <v>30289.999999999996</v>
      </c>
      <c r="O36" s="58">
        <f>MIN(0,N36-MAX(N$5:N36))</f>
        <v>0</v>
      </c>
      <c r="P36" s="51" t="s">
        <v>28</v>
      </c>
      <c r="Q36" s="51" t="s">
        <v>82</v>
      </c>
      <c r="R36" s="51" t="s">
        <v>89</v>
      </c>
      <c r="S36" s="51" t="s">
        <v>84</v>
      </c>
      <c r="T36" s="59" t="s">
        <v>148</v>
      </c>
    </row>
    <row r="37" spans="1:20" ht="25.5" customHeight="1" x14ac:dyDescent="0.25">
      <c r="A37" s="38">
        <v>33</v>
      </c>
      <c r="B37" s="39">
        <v>46071</v>
      </c>
      <c r="C37" s="40" t="s">
        <v>91</v>
      </c>
      <c r="D37" s="40" t="s">
        <v>92</v>
      </c>
      <c r="E37" s="40" t="s">
        <v>81</v>
      </c>
      <c r="F37" s="41">
        <v>1.0860000000000001</v>
      </c>
      <c r="G37" s="41">
        <v>1.0834999999999999</v>
      </c>
      <c r="H37" s="41">
        <v>1.0925</v>
      </c>
      <c r="I37" s="41">
        <v>1.0848</v>
      </c>
      <c r="J37" s="42">
        <v>20000</v>
      </c>
      <c r="K37" s="43">
        <f t="shared" si="0"/>
        <v>50.000000000003375</v>
      </c>
      <c r="L37" s="44">
        <f t="shared" si="1"/>
        <v>-24.000000000001798</v>
      </c>
      <c r="M37" s="45">
        <f t="shared" si="2"/>
        <v>-0.48000000000000353</v>
      </c>
      <c r="N37" s="46">
        <f>Stammdaten!$B$4+SUM(L$5:L37)</f>
        <v>30265.999999999993</v>
      </c>
      <c r="O37" s="47">
        <f>MIN(0,N37-MAX(N$5:N37))</f>
        <v>-24.000000000003638</v>
      </c>
      <c r="P37" s="40" t="s">
        <v>30</v>
      </c>
      <c r="Q37" s="40" t="s">
        <v>114</v>
      </c>
      <c r="R37" s="40" t="s">
        <v>93</v>
      </c>
      <c r="S37" s="40" t="s">
        <v>84</v>
      </c>
      <c r="T37" s="48" t="s">
        <v>149</v>
      </c>
    </row>
    <row r="38" spans="1:20" ht="21.75" customHeight="1" x14ac:dyDescent="0.25">
      <c r="A38" s="51"/>
      <c r="B38" s="50"/>
      <c r="C38" s="51"/>
      <c r="D38" s="51"/>
      <c r="E38" s="51"/>
      <c r="F38" s="52"/>
      <c r="G38" s="52"/>
      <c r="H38" s="52"/>
      <c r="I38" s="52"/>
      <c r="J38" s="53"/>
      <c r="K38" s="54" t="str">
        <f t="shared" ref="K38:K52" si="3">IF(F38="","",IFERROR(ABS(F38-G38)*J38,0))</f>
        <v/>
      </c>
      <c r="L38" s="58" t="str">
        <f t="shared" ref="L38:L52" si="4">IF(F38="","",IFERROR((I38-F38)*J38*IF(E38="Long",1,-1),0))</f>
        <v/>
      </c>
      <c r="M38" s="56" t="str">
        <f t="shared" ref="M38:M52" si="5">IF(F38="","",IFERROR(L38/K38,0))</f>
        <v/>
      </c>
      <c r="N38" s="54" t="str">
        <f>IF(F38="","",Stammdaten!$B$4+SUM(L$5:L38))</f>
        <v/>
      </c>
      <c r="O38" s="58" t="str">
        <f>IF(F38="","",MIN(0,N38-MAX(N$5:N38)))</f>
        <v/>
      </c>
      <c r="P38" s="51"/>
      <c r="Q38" s="51"/>
      <c r="R38" s="51"/>
      <c r="S38" s="51"/>
      <c r="T38" s="59"/>
    </row>
    <row r="39" spans="1:20" ht="21.75" customHeight="1" x14ac:dyDescent="0.25">
      <c r="A39" s="40"/>
      <c r="B39" s="39"/>
      <c r="C39" s="40"/>
      <c r="D39" s="40"/>
      <c r="E39" s="40"/>
      <c r="F39" s="41"/>
      <c r="G39" s="41"/>
      <c r="H39" s="41"/>
      <c r="I39" s="41"/>
      <c r="J39" s="42"/>
      <c r="K39" s="43" t="str">
        <f t="shared" si="3"/>
        <v/>
      </c>
      <c r="L39" s="47" t="str">
        <f t="shared" si="4"/>
        <v/>
      </c>
      <c r="M39" s="45" t="str">
        <f t="shared" si="5"/>
        <v/>
      </c>
      <c r="N39" s="43" t="str">
        <f>IF(F39="","",Stammdaten!$B$4+SUM(L$5:L39))</f>
        <v/>
      </c>
      <c r="O39" s="47" t="str">
        <f>IF(F39="","",MIN(0,N39-MAX(N$5:N39)))</f>
        <v/>
      </c>
      <c r="P39" s="40"/>
      <c r="Q39" s="40"/>
      <c r="R39" s="40"/>
      <c r="S39" s="40"/>
      <c r="T39" s="48"/>
    </row>
    <row r="40" spans="1:20" ht="21.75" customHeight="1" x14ac:dyDescent="0.25">
      <c r="A40" s="51"/>
      <c r="B40" s="50"/>
      <c r="C40" s="51"/>
      <c r="D40" s="51"/>
      <c r="E40" s="51"/>
      <c r="F40" s="52"/>
      <c r="G40" s="52"/>
      <c r="H40" s="52"/>
      <c r="I40" s="52"/>
      <c r="J40" s="53"/>
      <c r="K40" s="54" t="str">
        <f t="shared" si="3"/>
        <v/>
      </c>
      <c r="L40" s="58" t="str">
        <f t="shared" si="4"/>
        <v/>
      </c>
      <c r="M40" s="56" t="str">
        <f t="shared" si="5"/>
        <v/>
      </c>
      <c r="N40" s="54" t="str">
        <f>IF(F40="","",Stammdaten!$B$4+SUM(L$5:L40))</f>
        <v/>
      </c>
      <c r="O40" s="58" t="str">
        <f>IF(F40="","",MIN(0,N40-MAX(N$5:N40)))</f>
        <v/>
      </c>
      <c r="P40" s="51"/>
      <c r="Q40" s="51"/>
      <c r="R40" s="51"/>
      <c r="S40" s="51"/>
      <c r="T40" s="59"/>
    </row>
    <row r="41" spans="1:20" ht="21.75" customHeight="1" x14ac:dyDescent="0.25">
      <c r="A41" s="40"/>
      <c r="B41" s="39"/>
      <c r="C41" s="40"/>
      <c r="D41" s="40"/>
      <c r="E41" s="40"/>
      <c r="F41" s="41"/>
      <c r="G41" s="41"/>
      <c r="H41" s="41"/>
      <c r="I41" s="41"/>
      <c r="J41" s="42"/>
      <c r="K41" s="43" t="str">
        <f t="shared" si="3"/>
        <v/>
      </c>
      <c r="L41" s="47" t="str">
        <f t="shared" si="4"/>
        <v/>
      </c>
      <c r="M41" s="45" t="str">
        <f t="shared" si="5"/>
        <v/>
      </c>
      <c r="N41" s="43" t="str">
        <f>IF(F41="","",Stammdaten!$B$4+SUM(L$5:L41))</f>
        <v/>
      </c>
      <c r="O41" s="47" t="str">
        <f>IF(F41="","",MIN(0,N41-MAX(N$5:N41)))</f>
        <v/>
      </c>
      <c r="P41" s="40"/>
      <c r="Q41" s="40"/>
      <c r="R41" s="40"/>
      <c r="S41" s="40"/>
      <c r="T41" s="48"/>
    </row>
    <row r="42" spans="1:20" ht="21.75" customHeight="1" x14ac:dyDescent="0.25">
      <c r="A42" s="51"/>
      <c r="B42" s="50"/>
      <c r="C42" s="51"/>
      <c r="D42" s="51"/>
      <c r="E42" s="51"/>
      <c r="F42" s="52"/>
      <c r="G42" s="52"/>
      <c r="H42" s="52"/>
      <c r="I42" s="52"/>
      <c r="J42" s="53"/>
      <c r="K42" s="54" t="str">
        <f t="shared" si="3"/>
        <v/>
      </c>
      <c r="L42" s="58" t="str">
        <f t="shared" si="4"/>
        <v/>
      </c>
      <c r="M42" s="56" t="str">
        <f t="shared" si="5"/>
        <v/>
      </c>
      <c r="N42" s="54" t="str">
        <f>IF(F42="","",Stammdaten!$B$4+SUM(L$5:L42))</f>
        <v/>
      </c>
      <c r="O42" s="58" t="str">
        <f>IF(F42="","",MIN(0,N42-MAX(N$5:N42)))</f>
        <v/>
      </c>
      <c r="P42" s="51"/>
      <c r="Q42" s="51"/>
      <c r="R42" s="51"/>
      <c r="S42" s="51"/>
      <c r="T42" s="59"/>
    </row>
    <row r="43" spans="1:20" ht="21.75" customHeight="1" x14ac:dyDescent="0.25">
      <c r="A43" s="40"/>
      <c r="B43" s="39"/>
      <c r="C43" s="40"/>
      <c r="D43" s="40"/>
      <c r="E43" s="40"/>
      <c r="F43" s="41"/>
      <c r="G43" s="41"/>
      <c r="H43" s="41"/>
      <c r="I43" s="41"/>
      <c r="J43" s="42"/>
      <c r="K43" s="43" t="str">
        <f t="shared" si="3"/>
        <v/>
      </c>
      <c r="L43" s="47" t="str">
        <f t="shared" si="4"/>
        <v/>
      </c>
      <c r="M43" s="45" t="str">
        <f t="shared" si="5"/>
        <v/>
      </c>
      <c r="N43" s="43" t="str">
        <f>IF(F43="","",Stammdaten!$B$4+SUM(L$5:L43))</f>
        <v/>
      </c>
      <c r="O43" s="47" t="str">
        <f>IF(F43="","",MIN(0,N43-MAX(N$5:N43)))</f>
        <v/>
      </c>
      <c r="P43" s="40"/>
      <c r="Q43" s="40"/>
      <c r="R43" s="40"/>
      <c r="S43" s="40"/>
      <c r="T43" s="48"/>
    </row>
    <row r="44" spans="1:20" ht="21.75" customHeight="1" x14ac:dyDescent="0.25">
      <c r="A44" s="51"/>
      <c r="B44" s="50"/>
      <c r="C44" s="51"/>
      <c r="D44" s="51"/>
      <c r="E44" s="51"/>
      <c r="F44" s="52"/>
      <c r="G44" s="52"/>
      <c r="H44" s="52"/>
      <c r="I44" s="52"/>
      <c r="J44" s="53"/>
      <c r="K44" s="54" t="str">
        <f t="shared" si="3"/>
        <v/>
      </c>
      <c r="L44" s="58" t="str">
        <f t="shared" si="4"/>
        <v/>
      </c>
      <c r="M44" s="56" t="str">
        <f t="shared" si="5"/>
        <v/>
      </c>
      <c r="N44" s="54" t="str">
        <f>IF(F44="","",Stammdaten!$B$4+SUM(L$5:L44))</f>
        <v/>
      </c>
      <c r="O44" s="58" t="str">
        <f>IF(F44="","",MIN(0,N44-MAX(N$5:N44)))</f>
        <v/>
      </c>
      <c r="P44" s="51"/>
      <c r="Q44" s="51"/>
      <c r="R44" s="51"/>
      <c r="S44" s="51"/>
      <c r="T44" s="59"/>
    </row>
    <row r="45" spans="1:20" ht="21.75" customHeight="1" x14ac:dyDescent="0.25">
      <c r="A45" s="40"/>
      <c r="B45" s="39"/>
      <c r="C45" s="40"/>
      <c r="D45" s="40"/>
      <c r="E45" s="40"/>
      <c r="F45" s="41"/>
      <c r="G45" s="41"/>
      <c r="H45" s="41"/>
      <c r="I45" s="41"/>
      <c r="J45" s="42"/>
      <c r="K45" s="43" t="str">
        <f t="shared" si="3"/>
        <v/>
      </c>
      <c r="L45" s="47" t="str">
        <f t="shared" si="4"/>
        <v/>
      </c>
      <c r="M45" s="45" t="str">
        <f t="shared" si="5"/>
        <v/>
      </c>
      <c r="N45" s="43" t="str">
        <f>IF(F45="","",Stammdaten!$B$4+SUM(L$5:L45))</f>
        <v/>
      </c>
      <c r="O45" s="47" t="str">
        <f>IF(F45="","",MIN(0,N45-MAX(N$5:N45)))</f>
        <v/>
      </c>
      <c r="P45" s="40"/>
      <c r="Q45" s="40"/>
      <c r="R45" s="40"/>
      <c r="S45" s="40"/>
      <c r="T45" s="48"/>
    </row>
    <row r="46" spans="1:20" ht="21.75" customHeight="1" x14ac:dyDescent="0.25">
      <c r="A46" s="51"/>
      <c r="B46" s="50"/>
      <c r="C46" s="51"/>
      <c r="D46" s="51"/>
      <c r="E46" s="51"/>
      <c r="F46" s="52"/>
      <c r="G46" s="52"/>
      <c r="H46" s="52"/>
      <c r="I46" s="52"/>
      <c r="J46" s="53"/>
      <c r="K46" s="54" t="str">
        <f t="shared" si="3"/>
        <v/>
      </c>
      <c r="L46" s="58" t="str">
        <f t="shared" si="4"/>
        <v/>
      </c>
      <c r="M46" s="56" t="str">
        <f t="shared" si="5"/>
        <v/>
      </c>
      <c r="N46" s="54" t="str">
        <f>IF(F46="","",Stammdaten!$B$4+SUM(L$5:L46))</f>
        <v/>
      </c>
      <c r="O46" s="58" t="str">
        <f>IF(F46="","",MIN(0,N46-MAX(N$5:N46)))</f>
        <v/>
      </c>
      <c r="P46" s="51"/>
      <c r="Q46" s="51"/>
      <c r="R46" s="51"/>
      <c r="S46" s="51"/>
      <c r="T46" s="59"/>
    </row>
    <row r="47" spans="1:20" ht="21.75" customHeight="1" x14ac:dyDescent="0.25">
      <c r="A47" s="40"/>
      <c r="B47" s="39"/>
      <c r="C47" s="40"/>
      <c r="D47" s="40"/>
      <c r="E47" s="40"/>
      <c r="F47" s="41"/>
      <c r="G47" s="41"/>
      <c r="H47" s="41"/>
      <c r="I47" s="41"/>
      <c r="J47" s="42"/>
      <c r="K47" s="43" t="str">
        <f t="shared" si="3"/>
        <v/>
      </c>
      <c r="L47" s="47" t="str">
        <f t="shared" si="4"/>
        <v/>
      </c>
      <c r="M47" s="45" t="str">
        <f t="shared" si="5"/>
        <v/>
      </c>
      <c r="N47" s="43" t="str">
        <f>IF(F47="","",Stammdaten!$B$4+SUM(L$5:L47))</f>
        <v/>
      </c>
      <c r="O47" s="47" t="str">
        <f>IF(F47="","",MIN(0,N47-MAX(N$5:N47)))</f>
        <v/>
      </c>
      <c r="P47" s="40"/>
      <c r="Q47" s="40"/>
      <c r="R47" s="40"/>
      <c r="S47" s="40"/>
      <c r="T47" s="48"/>
    </row>
    <row r="48" spans="1:20" ht="21.75" customHeight="1" x14ac:dyDescent="0.25">
      <c r="A48" s="51"/>
      <c r="B48" s="50"/>
      <c r="C48" s="51"/>
      <c r="D48" s="51"/>
      <c r="E48" s="51"/>
      <c r="F48" s="52"/>
      <c r="G48" s="52"/>
      <c r="H48" s="52"/>
      <c r="I48" s="52"/>
      <c r="J48" s="53"/>
      <c r="K48" s="54" t="str">
        <f t="shared" si="3"/>
        <v/>
      </c>
      <c r="L48" s="58" t="str">
        <f t="shared" si="4"/>
        <v/>
      </c>
      <c r="M48" s="56" t="str">
        <f t="shared" si="5"/>
        <v/>
      </c>
      <c r="N48" s="54" t="str">
        <f>IF(F48="","",Stammdaten!$B$4+SUM(L$5:L48))</f>
        <v/>
      </c>
      <c r="O48" s="58" t="str">
        <f>IF(F48="","",MIN(0,N48-MAX(N$5:N48)))</f>
        <v/>
      </c>
      <c r="P48" s="51"/>
      <c r="Q48" s="51"/>
      <c r="R48" s="51"/>
      <c r="S48" s="51"/>
      <c r="T48" s="59"/>
    </row>
    <row r="49" spans="1:20" ht="21.75" customHeight="1" x14ac:dyDescent="0.25">
      <c r="A49" s="40"/>
      <c r="B49" s="39"/>
      <c r="C49" s="40"/>
      <c r="D49" s="40"/>
      <c r="E49" s="40"/>
      <c r="F49" s="41"/>
      <c r="G49" s="41"/>
      <c r="H49" s="41"/>
      <c r="I49" s="41"/>
      <c r="J49" s="42"/>
      <c r="K49" s="43" t="str">
        <f t="shared" si="3"/>
        <v/>
      </c>
      <c r="L49" s="47" t="str">
        <f t="shared" si="4"/>
        <v/>
      </c>
      <c r="M49" s="45" t="str">
        <f t="shared" si="5"/>
        <v/>
      </c>
      <c r="N49" s="43" t="str">
        <f>IF(F49="","",Stammdaten!$B$4+SUM(L$5:L49))</f>
        <v/>
      </c>
      <c r="O49" s="47" t="str">
        <f>IF(F49="","",MIN(0,N49-MAX(N$5:N49)))</f>
        <v/>
      </c>
      <c r="P49" s="40"/>
      <c r="Q49" s="40"/>
      <c r="R49" s="40"/>
      <c r="S49" s="40"/>
      <c r="T49" s="48"/>
    </row>
    <row r="50" spans="1:20" ht="21.75" customHeight="1" x14ac:dyDescent="0.25">
      <c r="A50" s="51"/>
      <c r="B50" s="50"/>
      <c r="C50" s="51"/>
      <c r="D50" s="51"/>
      <c r="E50" s="51"/>
      <c r="F50" s="52"/>
      <c r="G50" s="52"/>
      <c r="H50" s="52"/>
      <c r="I50" s="52"/>
      <c r="J50" s="53"/>
      <c r="K50" s="54" t="str">
        <f t="shared" si="3"/>
        <v/>
      </c>
      <c r="L50" s="58" t="str">
        <f t="shared" si="4"/>
        <v/>
      </c>
      <c r="M50" s="56" t="str">
        <f t="shared" si="5"/>
        <v/>
      </c>
      <c r="N50" s="54" t="str">
        <f>IF(F50="","",Stammdaten!$B$4+SUM(L$5:L50))</f>
        <v/>
      </c>
      <c r="O50" s="58" t="str">
        <f>IF(F50="","",MIN(0,N50-MAX(N$5:N50)))</f>
        <v/>
      </c>
      <c r="P50" s="51"/>
      <c r="Q50" s="51"/>
      <c r="R50" s="51"/>
      <c r="S50" s="51"/>
      <c r="T50" s="59"/>
    </row>
    <row r="51" spans="1:20" ht="21.75" customHeight="1" x14ac:dyDescent="0.25">
      <c r="A51" s="40"/>
      <c r="B51" s="39"/>
      <c r="C51" s="40"/>
      <c r="D51" s="40"/>
      <c r="E51" s="40"/>
      <c r="F51" s="41"/>
      <c r="G51" s="41"/>
      <c r="H51" s="41"/>
      <c r="I51" s="41"/>
      <c r="J51" s="42"/>
      <c r="K51" s="43" t="str">
        <f t="shared" si="3"/>
        <v/>
      </c>
      <c r="L51" s="47" t="str">
        <f t="shared" si="4"/>
        <v/>
      </c>
      <c r="M51" s="45" t="str">
        <f t="shared" si="5"/>
        <v/>
      </c>
      <c r="N51" s="43" t="str">
        <f>IF(F51="","",Stammdaten!$B$4+SUM(L$5:L51))</f>
        <v/>
      </c>
      <c r="O51" s="47" t="str">
        <f>IF(F51="","",MIN(0,N51-MAX(N$5:N51)))</f>
        <v/>
      </c>
      <c r="P51" s="40"/>
      <c r="Q51" s="40"/>
      <c r="R51" s="40"/>
      <c r="S51" s="40"/>
      <c r="T51" s="48"/>
    </row>
    <row r="52" spans="1:20" ht="21.75" customHeight="1" x14ac:dyDescent="0.25">
      <c r="A52" s="51"/>
      <c r="B52" s="50"/>
      <c r="C52" s="51"/>
      <c r="D52" s="51"/>
      <c r="E52" s="51"/>
      <c r="F52" s="52"/>
      <c r="G52" s="52"/>
      <c r="H52" s="52"/>
      <c r="I52" s="52"/>
      <c r="J52" s="53"/>
      <c r="K52" s="54" t="str">
        <f t="shared" si="3"/>
        <v/>
      </c>
      <c r="L52" s="58" t="str">
        <f t="shared" si="4"/>
        <v/>
      </c>
      <c r="M52" s="56" t="str">
        <f t="shared" si="5"/>
        <v/>
      </c>
      <c r="N52" s="54" t="str">
        <f>IF(F52="","",Stammdaten!$B$4+SUM(L$5:L52))</f>
        <v/>
      </c>
      <c r="O52" s="58" t="str">
        <f>IF(F52="","",MIN(0,N52-MAX(N$5:N52)))</f>
        <v/>
      </c>
      <c r="P52" s="51"/>
      <c r="Q52" s="51"/>
      <c r="R52" s="51"/>
      <c r="S52" s="51"/>
      <c r="T52" s="59"/>
    </row>
  </sheetData>
  <mergeCells count="1">
    <mergeCell ref="A1:T1"/>
  </mergeCells>
  <conditionalFormatting sqref="L5:L52">
    <cfRule type="cellIs" dxfId="6" priority="2" operator="greaterThan">
      <formula>0</formula>
    </cfRule>
    <cfRule type="cellIs" dxfId="5" priority="3" operator="lessThan">
      <formula>0</formula>
    </cfRule>
  </conditionalFormatting>
  <conditionalFormatting sqref="M5:M37">
    <cfRule type="cellIs" dxfId="4" priority="4" operator="greaterThan">
      <formula>0</formula>
    </cfRule>
    <cfRule type="cellIs" dxfId="3" priority="5" operator="lessThan">
      <formula>0</formula>
    </cfRule>
  </conditionalFormatting>
  <conditionalFormatting sqref="S5:S37">
    <cfRule type="expression" dxfId="2" priority="6">
      <formula>S5="Ja"</formula>
    </cfRule>
    <cfRule type="expression" dxfId="1" priority="7">
      <formula>S5="Nein"</formula>
    </cfRule>
    <cfRule type="expression" dxfId="0" priority="8">
      <formula>S5="Teilweise"</formula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100-000000000000}">
          <x14:formula1>
            <xm:f>Stammdaten!$E$4:$E$5</xm:f>
          </x14:formula1>
          <x14:formula2>
            <xm:f>0</xm:f>
          </x14:formula2>
          <xm:sqref>E5:E1000</xm:sqref>
        </x14:dataValidation>
        <x14:dataValidation type="list" allowBlank="1" xr:uid="{00000000-0002-0000-0100-000001000000}">
          <x14:formula1>
            <xm:f>Stammdaten!$D$4:$D$11</xm:f>
          </x14:formula1>
          <x14:formula2>
            <xm:f>0</xm:f>
          </x14:formula2>
          <xm:sqref>D5:D1000</xm:sqref>
        </x14:dataValidation>
        <x14:dataValidation type="list" allowBlank="1" xr:uid="{00000000-0002-0000-0100-000002000000}">
          <x14:formula1>
            <xm:f>Stammdaten!$F$4:$F$11</xm:f>
          </x14:formula1>
          <x14:formula2>
            <xm:f>0</xm:f>
          </x14:formula2>
          <xm:sqref>P5:P1000</xm:sqref>
        </x14:dataValidation>
        <x14:dataValidation type="list" allowBlank="1" xr:uid="{00000000-0002-0000-0100-000003000000}">
          <x14:formula1>
            <xm:f>Stammdaten!$G$4:$G$8</xm:f>
          </x14:formula1>
          <x14:formula2>
            <xm:f>0</xm:f>
          </x14:formula2>
          <xm:sqref>Q5:Q1000</xm:sqref>
        </x14:dataValidation>
        <x14:dataValidation type="list" allowBlank="1" xr:uid="{00000000-0002-0000-0100-000004000000}">
          <x14:formula1>
            <xm:f>Stammdaten!$H$4:$H$11</xm:f>
          </x14:formula1>
          <x14:formula2>
            <xm:f>0</xm:f>
          </x14:formula2>
          <xm:sqref>R5:R1000</xm:sqref>
        </x14:dataValidation>
        <x14:dataValidation type="list" allowBlank="1" xr:uid="{00000000-0002-0000-0100-000005000000}">
          <x14:formula1>
            <xm:f>Stammdaten!$I$4:$I$6</xm:f>
          </x14:formula1>
          <x14:formula2>
            <xm:f>0</xm:f>
          </x14:formula2>
          <xm:sqref>S5:S1000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showGridLines="0" zoomScaleNormal="100" workbookViewId="0"/>
  </sheetViews>
  <sheetFormatPr baseColWidth="10" defaultColWidth="8.7109375" defaultRowHeight="15" x14ac:dyDescent="0.25"/>
  <cols>
    <col min="1" max="1" width="28" customWidth="1"/>
    <col min="2" max="2" width="22" customWidth="1"/>
    <col min="3" max="3" width="3" customWidth="1"/>
    <col min="4" max="9" width="20" customWidth="1"/>
  </cols>
  <sheetData>
    <row r="1" spans="1:9" ht="27.75" customHeight="1" x14ac:dyDescent="0.25">
      <c r="A1" s="2" t="s">
        <v>150</v>
      </c>
      <c r="B1" s="2"/>
      <c r="C1" s="2"/>
      <c r="D1" s="2"/>
      <c r="E1" s="2"/>
      <c r="F1" s="2"/>
      <c r="G1" s="2"/>
    </row>
    <row r="3" spans="1:9" x14ac:dyDescent="0.25">
      <c r="A3" s="60" t="s">
        <v>151</v>
      </c>
      <c r="D3" s="61" t="s">
        <v>152</v>
      </c>
      <c r="E3" s="61" t="s">
        <v>64</v>
      </c>
      <c r="F3" s="61" t="s">
        <v>153</v>
      </c>
      <c r="G3" s="61" t="s">
        <v>154</v>
      </c>
      <c r="H3" s="61" t="s">
        <v>155</v>
      </c>
      <c r="I3" s="61" t="s">
        <v>156</v>
      </c>
    </row>
    <row r="4" spans="1:9" x14ac:dyDescent="0.25">
      <c r="A4" s="62" t="s">
        <v>3</v>
      </c>
      <c r="B4" s="63">
        <v>25000</v>
      </c>
      <c r="D4" s="64" t="s">
        <v>80</v>
      </c>
      <c r="E4" s="64" t="s">
        <v>81</v>
      </c>
      <c r="F4" s="64" t="s">
        <v>28</v>
      </c>
      <c r="G4" s="64" t="s">
        <v>82</v>
      </c>
      <c r="H4" s="64" t="s">
        <v>89</v>
      </c>
      <c r="I4" s="64" t="s">
        <v>84</v>
      </c>
    </row>
    <row r="5" spans="1:9" x14ac:dyDescent="0.25">
      <c r="A5" s="62" t="s">
        <v>157</v>
      </c>
      <c r="B5" s="65">
        <v>0.01</v>
      </c>
      <c r="D5" s="64" t="s">
        <v>92</v>
      </c>
      <c r="E5" s="64" t="s">
        <v>87</v>
      </c>
      <c r="F5" s="64" t="s">
        <v>29</v>
      </c>
      <c r="G5" s="64" t="s">
        <v>108</v>
      </c>
      <c r="H5" s="64" t="s">
        <v>83</v>
      </c>
      <c r="I5" s="64" t="s">
        <v>94</v>
      </c>
    </row>
    <row r="6" spans="1:9" x14ac:dyDescent="0.25">
      <c r="A6" s="62" t="s">
        <v>158</v>
      </c>
      <c r="B6" s="66" t="s">
        <v>159</v>
      </c>
      <c r="D6" s="64" t="s">
        <v>101</v>
      </c>
      <c r="F6" s="64" t="s">
        <v>30</v>
      </c>
      <c r="G6" s="64" t="s">
        <v>114</v>
      </c>
      <c r="H6" s="64" t="s">
        <v>98</v>
      </c>
      <c r="I6" s="64" t="s">
        <v>160</v>
      </c>
    </row>
    <row r="7" spans="1:9" x14ac:dyDescent="0.25">
      <c r="A7" s="62" t="s">
        <v>161</v>
      </c>
      <c r="B7" s="66" t="s">
        <v>162</v>
      </c>
      <c r="D7" s="64" t="s">
        <v>97</v>
      </c>
      <c r="F7" s="64" t="s">
        <v>31</v>
      </c>
      <c r="G7" s="64" t="s">
        <v>88</v>
      </c>
      <c r="H7" s="64" t="s">
        <v>93</v>
      </c>
    </row>
    <row r="8" spans="1:9" x14ac:dyDescent="0.25">
      <c r="A8" s="62" t="s">
        <v>2</v>
      </c>
      <c r="B8" s="66" t="s">
        <v>163</v>
      </c>
      <c r="D8" s="64" t="s">
        <v>111</v>
      </c>
      <c r="F8" s="64" t="s">
        <v>32</v>
      </c>
      <c r="G8" s="64" t="s">
        <v>104</v>
      </c>
      <c r="H8" s="64" t="s">
        <v>105</v>
      </c>
    </row>
    <row r="9" spans="1:9" x14ac:dyDescent="0.25">
      <c r="A9" s="62" t="s">
        <v>5</v>
      </c>
      <c r="B9" s="67">
        <v>46024</v>
      </c>
      <c r="D9" s="64" t="s">
        <v>164</v>
      </c>
      <c r="F9" s="64" t="s">
        <v>33</v>
      </c>
      <c r="H9" s="64" t="s">
        <v>128</v>
      </c>
    </row>
    <row r="10" spans="1:9" x14ac:dyDescent="0.25">
      <c r="D10" s="64" t="s">
        <v>165</v>
      </c>
      <c r="F10" s="64" t="s">
        <v>34</v>
      </c>
      <c r="H10" s="64" t="s">
        <v>115</v>
      </c>
    </row>
    <row r="11" spans="1:9" x14ac:dyDescent="0.25">
      <c r="D11" s="64" t="s">
        <v>166</v>
      </c>
      <c r="F11" s="64" t="s">
        <v>35</v>
      </c>
      <c r="H11" s="64" t="s">
        <v>167</v>
      </c>
    </row>
    <row r="14" spans="1:9" x14ac:dyDescent="0.25">
      <c r="A14" s="68" t="s">
        <v>168</v>
      </c>
    </row>
    <row r="15" spans="1:9" ht="15" customHeight="1" x14ac:dyDescent="0.25">
      <c r="A15" s="1" t="s">
        <v>169</v>
      </c>
      <c r="B15" s="1"/>
      <c r="C15" s="1"/>
      <c r="D15" s="1"/>
      <c r="E15" s="1"/>
      <c r="F15" s="1"/>
      <c r="G15" s="1"/>
    </row>
    <row r="16" spans="1:9" ht="15" customHeight="1" x14ac:dyDescent="0.25">
      <c r="A16" s="1" t="s">
        <v>170</v>
      </c>
      <c r="B16" s="1"/>
      <c r="C16" s="1"/>
      <c r="D16" s="1"/>
      <c r="E16" s="1"/>
      <c r="F16" s="1"/>
      <c r="G16" s="1"/>
    </row>
    <row r="17" spans="1:7" ht="15" customHeight="1" x14ac:dyDescent="0.25">
      <c r="A17" s="1" t="s">
        <v>171</v>
      </c>
      <c r="B17" s="1"/>
      <c r="C17" s="1"/>
      <c r="D17" s="1"/>
      <c r="E17" s="1"/>
      <c r="F17" s="1"/>
      <c r="G17" s="1"/>
    </row>
    <row r="18" spans="1:7" ht="15" customHeight="1" x14ac:dyDescent="0.25">
      <c r="A18" s="1" t="s">
        <v>172</v>
      </c>
      <c r="B18" s="1"/>
      <c r="C18" s="1"/>
      <c r="D18" s="1"/>
      <c r="E18" s="1"/>
      <c r="F18" s="1"/>
      <c r="G18" s="1"/>
    </row>
  </sheetData>
  <mergeCells count="5">
    <mergeCell ref="A1:G1"/>
    <mergeCell ref="A15:G15"/>
    <mergeCell ref="A16:G16"/>
    <mergeCell ref="A17:G17"/>
    <mergeCell ref="A18:G18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</vt:lpstr>
      <vt:lpstr>Trades</vt:lpstr>
      <vt:lpstr>Stammdaten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2026-06-10T10:29:35Z</dcterms:created>
  <dcterms:modified xsi:type="dcterms:W3CDTF">2026-06-10T10:52:58Z</dcterms:modified>
  <dc:language>en-US</dc:language>
</cp:coreProperties>
</file>