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255A3F13-63EE-4AC8-A111-2C5E9BBE126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Dashboard" sheetId="1" r:id="rId1"/>
    <sheet name="Listen" sheetId="2" r:id="rId2"/>
    <sheet name="Handelsjournal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30" i="3" l="1"/>
  <c r="M30" i="3"/>
  <c r="N30" i="3" s="1"/>
  <c r="K30" i="3"/>
  <c r="O29" i="3"/>
  <c r="M29" i="3"/>
  <c r="N29" i="3" s="1"/>
  <c r="K29" i="3"/>
  <c r="O28" i="3"/>
  <c r="M28" i="3"/>
  <c r="K28" i="3"/>
  <c r="O27" i="3"/>
  <c r="M27" i="3"/>
  <c r="D43" i="1" s="1"/>
  <c r="K27" i="3"/>
  <c r="O26" i="3"/>
  <c r="M26" i="3"/>
  <c r="E37" i="1" s="1"/>
  <c r="K26" i="3"/>
  <c r="O25" i="3"/>
  <c r="M25" i="3"/>
  <c r="N25" i="3" s="1"/>
  <c r="K25" i="3"/>
  <c r="O24" i="3"/>
  <c r="M24" i="3"/>
  <c r="K24" i="3"/>
  <c r="O23" i="3"/>
  <c r="M23" i="3"/>
  <c r="N23" i="3" s="1"/>
  <c r="K23" i="3"/>
  <c r="O22" i="3"/>
  <c r="M22" i="3"/>
  <c r="D25" i="1" s="1"/>
  <c r="K22" i="3"/>
  <c r="O21" i="3"/>
  <c r="M21" i="3"/>
  <c r="N21" i="3" s="1"/>
  <c r="K21" i="3"/>
  <c r="O20" i="3"/>
  <c r="M20" i="3"/>
  <c r="K20" i="3"/>
  <c r="O19" i="3"/>
  <c r="M19" i="3"/>
  <c r="E24" i="1" s="1"/>
  <c r="K19" i="3"/>
  <c r="O18" i="3"/>
  <c r="N18" i="3"/>
  <c r="M18" i="3"/>
  <c r="K18" i="3"/>
  <c r="O17" i="3"/>
  <c r="M17" i="3"/>
  <c r="N17" i="3" s="1"/>
  <c r="K17" i="3"/>
  <c r="O16" i="3"/>
  <c r="M16" i="3"/>
  <c r="K16" i="3"/>
  <c r="O15" i="3"/>
  <c r="M15" i="3"/>
  <c r="D23" i="1" s="1"/>
  <c r="K15" i="3"/>
  <c r="O14" i="3"/>
  <c r="M14" i="3"/>
  <c r="N14" i="3" s="1"/>
  <c r="K14" i="3"/>
  <c r="O13" i="3"/>
  <c r="M13" i="3"/>
  <c r="N13" i="3" s="1"/>
  <c r="K13" i="3"/>
  <c r="O12" i="3"/>
  <c r="M12" i="3"/>
  <c r="K12" i="3"/>
  <c r="O11" i="3"/>
  <c r="M11" i="3"/>
  <c r="N11" i="3" s="1"/>
  <c r="K11" i="3"/>
  <c r="O10" i="3"/>
  <c r="M10" i="3"/>
  <c r="D41" i="1" s="1"/>
  <c r="K10" i="3"/>
  <c r="O9" i="3"/>
  <c r="M9" i="3"/>
  <c r="N9" i="3" s="1"/>
  <c r="K9" i="3"/>
  <c r="O8" i="3"/>
  <c r="M8" i="3"/>
  <c r="D38" i="1" s="1"/>
  <c r="K8" i="3"/>
  <c r="O7" i="3"/>
  <c r="M7" i="3"/>
  <c r="N7" i="3" s="1"/>
  <c r="K7" i="3"/>
  <c r="O6" i="3"/>
  <c r="M6" i="3"/>
  <c r="K6" i="3"/>
  <c r="O5" i="3"/>
  <c r="M5" i="3"/>
  <c r="N5" i="3" s="1"/>
  <c r="K5" i="3"/>
  <c r="O4" i="3"/>
  <c r="M4" i="3"/>
  <c r="F12" i="1" s="1"/>
  <c r="K4" i="3"/>
  <c r="O3" i="3"/>
  <c r="M3" i="3"/>
  <c r="K3" i="3"/>
  <c r="K138" i="2"/>
  <c r="L137" i="2"/>
  <c r="K137" i="2"/>
  <c r="N137" i="2" s="1"/>
  <c r="K136" i="2"/>
  <c r="N136" i="2" s="1"/>
  <c r="K135" i="2"/>
  <c r="K134" i="2"/>
  <c r="L134" i="2" s="1"/>
  <c r="K133" i="2"/>
  <c r="L132" i="2"/>
  <c r="K132" i="2"/>
  <c r="N132" i="2" s="1"/>
  <c r="K131" i="2"/>
  <c r="N131" i="2" s="1"/>
  <c r="K130" i="2"/>
  <c r="K129" i="2"/>
  <c r="N129" i="2" s="1"/>
  <c r="K128" i="2"/>
  <c r="L127" i="2"/>
  <c r="K127" i="2"/>
  <c r="N127" i="2" s="1"/>
  <c r="K126" i="2"/>
  <c r="N126" i="2" s="1"/>
  <c r="K125" i="2"/>
  <c r="K124" i="2"/>
  <c r="M124" i="2" s="1"/>
  <c r="K123" i="2"/>
  <c r="L122" i="2"/>
  <c r="K122" i="2"/>
  <c r="N122" i="2" s="1"/>
  <c r="K121" i="2"/>
  <c r="N121" i="2" s="1"/>
  <c r="K120" i="2"/>
  <c r="N119" i="2"/>
  <c r="M119" i="2"/>
  <c r="K119" i="2"/>
  <c r="L119" i="2" s="1"/>
  <c r="K118" i="2"/>
  <c r="L118" i="2" s="1"/>
  <c r="L117" i="2"/>
  <c r="K117" i="2"/>
  <c r="N117" i="2" s="1"/>
  <c r="K116" i="2"/>
  <c r="N116" i="2" s="1"/>
  <c r="K115" i="2"/>
  <c r="L115" i="2" s="1"/>
  <c r="K114" i="2"/>
  <c r="N114" i="2" s="1"/>
  <c r="K113" i="2"/>
  <c r="L112" i="2"/>
  <c r="K112" i="2"/>
  <c r="N112" i="2" s="1"/>
  <c r="K111" i="2"/>
  <c r="N111" i="2" s="1"/>
  <c r="K110" i="2"/>
  <c r="K109" i="2"/>
  <c r="N109" i="2" s="1"/>
  <c r="K108" i="2"/>
  <c r="L108" i="2" s="1"/>
  <c r="L107" i="2"/>
  <c r="K107" i="2"/>
  <c r="N107" i="2" s="1"/>
  <c r="K106" i="2"/>
  <c r="N106" i="2" s="1"/>
  <c r="K105" i="2"/>
  <c r="N104" i="2"/>
  <c r="M104" i="2"/>
  <c r="K104" i="2"/>
  <c r="L104" i="2" s="1"/>
  <c r="K103" i="2"/>
  <c r="L103" i="2" s="1"/>
  <c r="L102" i="2"/>
  <c r="K102" i="2"/>
  <c r="N102" i="2" s="1"/>
  <c r="K101" i="2"/>
  <c r="N101" i="2" s="1"/>
  <c r="K100" i="2"/>
  <c r="K99" i="2"/>
  <c r="M99" i="2" s="1"/>
  <c r="K98" i="2"/>
  <c r="L98" i="2" s="1"/>
  <c r="L97" i="2"/>
  <c r="K97" i="2"/>
  <c r="N97" i="2" s="1"/>
  <c r="K96" i="2"/>
  <c r="N96" i="2" s="1"/>
  <c r="K95" i="2"/>
  <c r="L95" i="2" s="1"/>
  <c r="K94" i="2"/>
  <c r="N94" i="2" s="1"/>
  <c r="K93" i="2"/>
  <c r="L93" i="2" s="1"/>
  <c r="L92" i="2"/>
  <c r="K92" i="2"/>
  <c r="N92" i="2" s="1"/>
  <c r="K91" i="2"/>
  <c r="N91" i="2" s="1"/>
  <c r="K90" i="2"/>
  <c r="N90" i="2" s="1"/>
  <c r="K89" i="2"/>
  <c r="N89" i="2" s="1"/>
  <c r="K88" i="2"/>
  <c r="L87" i="2"/>
  <c r="K87" i="2"/>
  <c r="N87" i="2" s="1"/>
  <c r="K86" i="2"/>
  <c r="N86" i="2" s="1"/>
  <c r="K85" i="2"/>
  <c r="N85" i="2" s="1"/>
  <c r="N84" i="2"/>
  <c r="M84" i="2"/>
  <c r="L84" i="2"/>
  <c r="K84" i="2"/>
  <c r="K83" i="2"/>
  <c r="L82" i="2"/>
  <c r="K82" i="2"/>
  <c r="N82" i="2" s="1"/>
  <c r="K81" i="2"/>
  <c r="N81" i="2" s="1"/>
  <c r="K80" i="2"/>
  <c r="N80" i="2" s="1"/>
  <c r="K79" i="2"/>
  <c r="N79" i="2" s="1"/>
  <c r="K78" i="2"/>
  <c r="L77" i="2"/>
  <c r="K77" i="2"/>
  <c r="N77" i="2" s="1"/>
  <c r="K76" i="2"/>
  <c r="N76" i="2" s="1"/>
  <c r="M75" i="2"/>
  <c r="L75" i="2"/>
  <c r="K75" i="2"/>
  <c r="N75" i="2" s="1"/>
  <c r="K74" i="2"/>
  <c r="M74" i="2" s="1"/>
  <c r="K73" i="2"/>
  <c r="L72" i="2"/>
  <c r="K72" i="2"/>
  <c r="N72" i="2" s="1"/>
  <c r="K71" i="2"/>
  <c r="N71" i="2" s="1"/>
  <c r="K70" i="2"/>
  <c r="N70" i="2" s="1"/>
  <c r="K69" i="2"/>
  <c r="N69" i="2" s="1"/>
  <c r="K68" i="2"/>
  <c r="L67" i="2"/>
  <c r="K67" i="2"/>
  <c r="N67" i="2" s="1"/>
  <c r="K66" i="2"/>
  <c r="N66" i="2" s="1"/>
  <c r="K65" i="2"/>
  <c r="N65" i="2" s="1"/>
  <c r="K64" i="2"/>
  <c r="L64" i="2" s="1"/>
  <c r="K63" i="2"/>
  <c r="L62" i="2"/>
  <c r="K62" i="2"/>
  <c r="N62" i="2" s="1"/>
  <c r="K61" i="2"/>
  <c r="N61" i="2" s="1"/>
  <c r="K60" i="2"/>
  <c r="N60" i="2" s="1"/>
  <c r="N59" i="2"/>
  <c r="M59" i="2"/>
  <c r="L59" i="2"/>
  <c r="K59" i="2"/>
  <c r="K58" i="2"/>
  <c r="L57" i="2"/>
  <c r="K57" i="2"/>
  <c r="N57" i="2" s="1"/>
  <c r="K56" i="2"/>
  <c r="N56" i="2" s="1"/>
  <c r="K55" i="2"/>
  <c r="N55" i="2" s="1"/>
  <c r="K54" i="2"/>
  <c r="N54" i="2" s="1"/>
  <c r="K53" i="2"/>
  <c r="L52" i="2"/>
  <c r="K52" i="2"/>
  <c r="N52" i="2" s="1"/>
  <c r="K51" i="2"/>
  <c r="N51" i="2" s="1"/>
  <c r="M50" i="2"/>
  <c r="L50" i="2"/>
  <c r="K50" i="2"/>
  <c r="N50" i="2" s="1"/>
  <c r="K49" i="2"/>
  <c r="L49" i="2" s="1"/>
  <c r="E44" i="1"/>
  <c r="D44" i="1"/>
  <c r="C44" i="1"/>
  <c r="C43" i="1"/>
  <c r="E42" i="1"/>
  <c r="D42" i="1"/>
  <c r="C42" i="1"/>
  <c r="C41" i="1"/>
  <c r="C40" i="1"/>
  <c r="C39" i="1"/>
  <c r="C38" i="1"/>
  <c r="C37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8" i="1"/>
  <c r="D28" i="1"/>
  <c r="C28" i="1"/>
  <c r="E27" i="1"/>
  <c r="D27" i="1"/>
  <c r="C27" i="1"/>
  <c r="C26" i="1"/>
  <c r="C25" i="1"/>
  <c r="C24" i="1"/>
  <c r="C23" i="1"/>
  <c r="C22" i="1"/>
  <c r="C21" i="1"/>
  <c r="C9" i="1"/>
  <c r="C8" i="1"/>
  <c r="C5" i="1"/>
  <c r="N123" i="2" l="1"/>
  <c r="M123" i="2"/>
  <c r="L79" i="2"/>
  <c r="M54" i="2"/>
  <c r="N26" i="3"/>
  <c r="L114" i="2"/>
  <c r="N20" i="3"/>
  <c r="N63" i="2"/>
  <c r="M63" i="2"/>
  <c r="M79" i="2"/>
  <c r="N88" i="2"/>
  <c r="M88" i="2"/>
  <c r="N105" i="2"/>
  <c r="M105" i="2"/>
  <c r="M114" i="2"/>
  <c r="N133" i="2"/>
  <c r="M133" i="2"/>
  <c r="M55" i="2"/>
  <c r="N73" i="2"/>
  <c r="M73" i="2"/>
  <c r="M89" i="2"/>
  <c r="M134" i="2"/>
  <c r="L73" i="2"/>
  <c r="N134" i="2"/>
  <c r="N27" i="3"/>
  <c r="M49" i="2"/>
  <c r="N58" i="2"/>
  <c r="M58" i="2"/>
  <c r="N83" i="2"/>
  <c r="M83" i="2"/>
  <c r="M90" i="2"/>
  <c r="N99" i="2"/>
  <c r="L109" i="2"/>
  <c r="E22" i="1"/>
  <c r="N49" i="2"/>
  <c r="L58" i="2"/>
  <c r="N74" i="2"/>
  <c r="L83" i="2"/>
  <c r="M100" i="2"/>
  <c r="N100" i="2"/>
  <c r="M109" i="2"/>
  <c r="N128" i="2"/>
  <c r="M128" i="2"/>
  <c r="N12" i="3"/>
  <c r="N28" i="3"/>
  <c r="L100" i="2"/>
  <c r="L128" i="2"/>
  <c r="L54" i="2"/>
  <c r="L70" i="2"/>
  <c r="L123" i="2"/>
  <c r="F9" i="1"/>
  <c r="E41" i="1"/>
  <c r="E26" i="1"/>
  <c r="D26" i="1"/>
  <c r="L88" i="2"/>
  <c r="L105" i="2"/>
  <c r="L124" i="2"/>
  <c r="N115" i="2"/>
  <c r="M115" i="2"/>
  <c r="M64" i="2"/>
  <c r="M80" i="2"/>
  <c r="M125" i="2"/>
  <c r="N125" i="2"/>
  <c r="N16" i="3"/>
  <c r="N64" i="2"/>
  <c r="L99" i="2"/>
  <c r="M135" i="2"/>
  <c r="N135" i="2"/>
  <c r="N22" i="3"/>
  <c r="L74" i="2"/>
  <c r="T27" i="3"/>
  <c r="K45" i="2" s="1"/>
  <c r="N68" i="2"/>
  <c r="M68" i="2"/>
  <c r="L129" i="2"/>
  <c r="T7" i="3"/>
  <c r="K25" i="2" s="1"/>
  <c r="T23" i="3"/>
  <c r="K41" i="2" s="1"/>
  <c r="L68" i="2"/>
  <c r="M120" i="2"/>
  <c r="N120" i="2"/>
  <c r="M129" i="2"/>
  <c r="T30" i="3"/>
  <c r="K48" i="2" s="1"/>
  <c r="T26" i="3"/>
  <c r="K44" i="2" s="1"/>
  <c r="T22" i="3"/>
  <c r="K40" i="2" s="1"/>
  <c r="T18" i="3"/>
  <c r="K36" i="2" s="1"/>
  <c r="T14" i="3"/>
  <c r="K32" i="2" s="1"/>
  <c r="T10" i="3"/>
  <c r="K28" i="2" s="1"/>
  <c r="T6" i="3"/>
  <c r="K24" i="2" s="1"/>
  <c r="F6" i="1"/>
  <c r="T29" i="3"/>
  <c r="K47" i="2" s="1"/>
  <c r="T21" i="3"/>
  <c r="K39" i="2" s="1"/>
  <c r="T17" i="3"/>
  <c r="K35" i="2" s="1"/>
  <c r="T13" i="3"/>
  <c r="K31" i="2" s="1"/>
  <c r="T9" i="3"/>
  <c r="K27" i="2" s="1"/>
  <c r="T5" i="3"/>
  <c r="K23" i="2" s="1"/>
  <c r="E21" i="1"/>
  <c r="C6" i="1"/>
  <c r="F5" i="1"/>
  <c r="F17" i="1" s="1"/>
  <c r="T25" i="3"/>
  <c r="K43" i="2" s="1"/>
  <c r="D21" i="1"/>
  <c r="F16" i="1"/>
  <c r="T28" i="3"/>
  <c r="K46" i="2" s="1"/>
  <c r="T24" i="3"/>
  <c r="K42" i="2" s="1"/>
  <c r="T20" i="3"/>
  <c r="K38" i="2" s="1"/>
  <c r="T16" i="3"/>
  <c r="K34" i="2" s="1"/>
  <c r="T12" i="3"/>
  <c r="K30" i="2" s="1"/>
  <c r="T8" i="3"/>
  <c r="K26" i="2" s="1"/>
  <c r="T4" i="3"/>
  <c r="K22" i="2" s="1"/>
  <c r="F15" i="1"/>
  <c r="E43" i="1"/>
  <c r="L60" i="2"/>
  <c r="L69" i="2"/>
  <c r="L85" i="2"/>
  <c r="L94" i="2"/>
  <c r="N130" i="2"/>
  <c r="M130" i="2"/>
  <c r="N3" i="3"/>
  <c r="N19" i="3"/>
  <c r="L63" i="2"/>
  <c r="L133" i="2"/>
  <c r="N10" i="3"/>
  <c r="F10" i="1"/>
  <c r="T15" i="3"/>
  <c r="K33" i="2" s="1"/>
  <c r="D37" i="1"/>
  <c r="L80" i="2"/>
  <c r="L89" i="2"/>
  <c r="N124" i="2"/>
  <c r="F11" i="1"/>
  <c r="N108" i="2"/>
  <c r="M108" i="2"/>
  <c r="L125" i="2"/>
  <c r="E40" i="1"/>
  <c r="D40" i="1"/>
  <c r="N138" i="2"/>
  <c r="M138" i="2"/>
  <c r="E23" i="1"/>
  <c r="D24" i="1"/>
  <c r="C7" i="1"/>
  <c r="N53" i="2"/>
  <c r="M53" i="2"/>
  <c r="M60" i="2"/>
  <c r="M69" i="2"/>
  <c r="N78" i="2"/>
  <c r="M78" i="2"/>
  <c r="M85" i="2"/>
  <c r="M94" i="2"/>
  <c r="N113" i="2"/>
  <c r="M113" i="2"/>
  <c r="L130" i="2"/>
  <c r="F14" i="1"/>
  <c r="M95" i="2"/>
  <c r="N95" i="2"/>
  <c r="D39" i="1"/>
  <c r="N4" i="3"/>
  <c r="E39" i="1"/>
  <c r="M70" i="2"/>
  <c r="N15" i="3"/>
  <c r="L55" i="2"/>
  <c r="N98" i="2"/>
  <c r="M98" i="2"/>
  <c r="N6" i="3"/>
  <c r="L65" i="2"/>
  <c r="L90" i="2"/>
  <c r="N118" i="2"/>
  <c r="M118" i="2"/>
  <c r="L135" i="2"/>
  <c r="T11" i="3"/>
  <c r="K29" i="2" s="1"/>
  <c r="D22" i="1"/>
  <c r="M65" i="2"/>
  <c r="M110" i="2"/>
  <c r="N110" i="2"/>
  <c r="N93" i="2"/>
  <c r="M93" i="2"/>
  <c r="L110" i="2"/>
  <c r="L138" i="2"/>
  <c r="N103" i="2"/>
  <c r="M103" i="2"/>
  <c r="L120" i="2"/>
  <c r="N24" i="3"/>
  <c r="F7" i="1"/>
  <c r="L53" i="2"/>
  <c r="L78" i="2"/>
  <c r="L113" i="2"/>
  <c r="T3" i="3"/>
  <c r="K21" i="2" s="1"/>
  <c r="T19" i="3"/>
  <c r="K37" i="2" s="1"/>
  <c r="E38" i="1"/>
  <c r="L51" i="2"/>
  <c r="L56" i="2"/>
  <c r="L61" i="2"/>
  <c r="L66" i="2"/>
  <c r="L71" i="2"/>
  <c r="L76" i="2"/>
  <c r="L81" i="2"/>
  <c r="L86" i="2"/>
  <c r="L91" i="2"/>
  <c r="L96" i="2"/>
  <c r="L101" i="2"/>
  <c r="L106" i="2"/>
  <c r="L111" i="2"/>
  <c r="L116" i="2"/>
  <c r="L121" i="2"/>
  <c r="L126" i="2"/>
  <c r="L131" i="2"/>
  <c r="L136" i="2"/>
  <c r="E25" i="1"/>
  <c r="M51" i="2"/>
  <c r="M56" i="2"/>
  <c r="M61" i="2"/>
  <c r="M66" i="2"/>
  <c r="M71" i="2"/>
  <c r="M76" i="2"/>
  <c r="M81" i="2"/>
  <c r="M86" i="2"/>
  <c r="M91" i="2"/>
  <c r="M96" i="2"/>
  <c r="M101" i="2"/>
  <c r="M106" i="2"/>
  <c r="M111" i="2"/>
  <c r="M116" i="2"/>
  <c r="M121" i="2"/>
  <c r="M126" i="2"/>
  <c r="M131" i="2"/>
  <c r="M136" i="2"/>
  <c r="N8" i="3"/>
  <c r="M77" i="2"/>
  <c r="M132" i="2"/>
  <c r="M52" i="2"/>
  <c r="M57" i="2"/>
  <c r="M62" i="2"/>
  <c r="M67" i="2"/>
  <c r="M72" i="2"/>
  <c r="M82" i="2"/>
  <c r="M87" i="2"/>
  <c r="M92" i="2"/>
  <c r="M97" i="2"/>
  <c r="M102" i="2"/>
  <c r="M107" i="2"/>
  <c r="M112" i="2"/>
  <c r="M117" i="2"/>
  <c r="M122" i="2"/>
  <c r="M127" i="2"/>
  <c r="M137" i="2"/>
  <c r="F13" i="1" l="1"/>
  <c r="L41" i="2"/>
  <c r="M41" i="2" s="1"/>
  <c r="N41" i="2" s="1"/>
  <c r="L27" i="2"/>
  <c r="M27" i="2" s="1"/>
  <c r="N27" i="2" s="1"/>
  <c r="L31" i="2"/>
  <c r="M31" i="2" s="1"/>
  <c r="N31" i="2" s="1"/>
  <c r="L35" i="2"/>
  <c r="M35" i="2" s="1"/>
  <c r="N35" i="2" s="1"/>
  <c r="L45" i="2"/>
  <c r="M45" i="2"/>
  <c r="N45" i="2" s="1"/>
  <c r="L39" i="2"/>
  <c r="M39" i="2" s="1"/>
  <c r="N39" i="2" s="1"/>
  <c r="F21" i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D33" i="1"/>
  <c r="L43" i="2"/>
  <c r="M43" i="2" s="1"/>
  <c r="N43" i="2" s="1"/>
  <c r="L47" i="2"/>
  <c r="M47" i="2" s="1"/>
  <c r="N47" i="2" s="1"/>
  <c r="F8" i="1"/>
  <c r="E33" i="1"/>
  <c r="L23" i="2"/>
  <c r="M23" i="2" s="1"/>
  <c r="N23" i="2" s="1"/>
  <c r="L22" i="2"/>
  <c r="M22" i="2" s="1"/>
  <c r="N22" i="2" s="1"/>
  <c r="L24" i="2"/>
  <c r="M24" i="2" s="1"/>
  <c r="N24" i="2" s="1"/>
  <c r="L29" i="2"/>
  <c r="M29" i="2" s="1"/>
  <c r="N29" i="2" s="1"/>
  <c r="L26" i="2"/>
  <c r="M26" i="2" s="1"/>
  <c r="N26" i="2" s="1"/>
  <c r="L28" i="2"/>
  <c r="M28" i="2" s="1"/>
  <c r="N28" i="2" s="1"/>
  <c r="L38" i="2"/>
  <c r="M38" i="2" s="1"/>
  <c r="N38" i="2" s="1"/>
  <c r="L33" i="2"/>
  <c r="M33" i="2" s="1"/>
  <c r="N33" i="2" s="1"/>
  <c r="L42" i="2"/>
  <c r="M42" i="2" s="1"/>
  <c r="N42" i="2" s="1"/>
  <c r="L44" i="2"/>
  <c r="M44" i="2"/>
  <c r="N44" i="2" s="1"/>
  <c r="L25" i="2"/>
  <c r="M25" i="2" s="1"/>
  <c r="N25" i="2" s="1"/>
  <c r="L30" i="2"/>
  <c r="M30" i="2" s="1"/>
  <c r="N30" i="2" s="1"/>
  <c r="M32" i="2"/>
  <c r="N32" i="2" s="1"/>
  <c r="L32" i="2"/>
  <c r="L37" i="2"/>
  <c r="M37" i="2" s="1"/>
  <c r="N37" i="2" s="1"/>
  <c r="L34" i="2"/>
  <c r="M34" i="2" s="1"/>
  <c r="N34" i="2" s="1"/>
  <c r="M36" i="2"/>
  <c r="N36" i="2" s="1"/>
  <c r="L36" i="2"/>
  <c r="L21" i="2"/>
  <c r="M21" i="2" s="1"/>
  <c r="L40" i="2"/>
  <c r="M40" i="2" s="1"/>
  <c r="N40" i="2" s="1"/>
  <c r="L46" i="2"/>
  <c r="M46" i="2" s="1"/>
  <c r="N46" i="2" s="1"/>
  <c r="L48" i="2"/>
  <c r="M48" i="2" s="1"/>
  <c r="N48" i="2" s="1"/>
  <c r="C10" i="1" l="1"/>
  <c r="N21" i="2"/>
  <c r="C11" i="1" s="1"/>
</calcChain>
</file>

<file path=xl/sharedStrings.xml><?xml version="1.0" encoding="utf-8"?>
<sst xmlns="http://schemas.openxmlformats.org/spreadsheetml/2006/main" count="317" uniqueCount="142">
  <si>
    <t>Automatisches Dashboard – alle Kennzahlen aktualisieren sich aus dem Blatt „Handelsjournal“.</t>
  </si>
  <si>
    <t>Kontoübersicht</t>
  </si>
  <si>
    <t>Performance-Kennzahlen</t>
  </si>
  <si>
    <t>Startkapital</t>
  </si>
  <si>
    <t>Anzahl Trades</t>
  </si>
  <si>
    <t>Aktueller Kontostand</t>
  </si>
  <si>
    <t>Gewinn-Trades</t>
  </si>
  <si>
    <t>Gesamtergebnis (GuV)</t>
  </si>
  <si>
    <t>Verlust-Trades</t>
  </si>
  <si>
    <t>Rendite gesamt</t>
  </si>
  <si>
    <t>Trefferquote</t>
  </si>
  <si>
    <t>Gesamtgebühren</t>
  </si>
  <si>
    <t>Ø Gewinn</t>
  </si>
  <si>
    <t>Max. Drawdown (€)</t>
  </si>
  <si>
    <t>Ø Verlust</t>
  </si>
  <si>
    <t>Max. Drawdown (%)</t>
  </si>
  <si>
    <t>Ø GuV / Trade (Erwartungswert)</t>
  </si>
  <si>
    <t>Profitfaktor</t>
  </si>
  <si>
    <t>Ø R-Vielfaches</t>
  </si>
  <si>
    <t>Ø CRV (geplant)</t>
  </si>
  <si>
    <t>Bester Trade</t>
  </si>
  <si>
    <t>Schlechtester Trade</t>
  </si>
  <si>
    <t>Regeldisziplin (Anteil „Ja“)</t>
  </si>
  <si>
    <t>Monatsauswertung 2026</t>
  </si>
  <si>
    <t>Monat</t>
  </si>
  <si>
    <t>Trades</t>
  </si>
  <si>
    <t>GuV (€)</t>
  </si>
  <si>
    <t>Kumuliert (€)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</si>
  <si>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</si>
  <si>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</si>
  <si>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</si>
  <si>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</si>
  <si>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</si>
  <si>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</si>
  <si>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</si>
  <si>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</si>
  <si>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</si>
  <si>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</si>
  <si>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</si>
  <si>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</si>
  <si>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Gesamt</t>
  </si>
  <si>
    <t>Auswertung nach Strategie</t>
  </si>
  <si>
    <t>Strategie / Setup</t>
  </si>
  <si>
    <t>Trendfolge</t>
  </si>
  <si>
    <t>Ausbruch</t>
  </si>
  <si>
    <t>Pullback</t>
  </si>
  <si>
    <t>Reversal</t>
  </si>
  <si>
    <t>Range</t>
  </si>
  <si>
    <t>Swing</t>
  </si>
  <si>
    <t>News</t>
  </si>
  <si>
    <t>Scalping</t>
  </si>
  <si>
    <t>Einstellungen &amp; Listen</t>
  </si>
  <si>
    <t>Startkapital (€)</t>
  </si>
  <si>
    <t>Risiko je Trade (Richtwert)</t>
  </si>
  <si>
    <t>Konto / Broker</t>
  </si>
  <si>
    <t>Musterkonto</t>
  </si>
  <si>
    <t>Trader</t>
  </si>
  <si>
    <t>Mustertrader</t>
  </si>
  <si>
    <t>Berichtsjahr</t>
  </si>
  <si>
    <t>Anlageklasse</t>
  </si>
  <si>
    <t>Richtung</t>
  </si>
  <si>
    <t>Strategie/Setup</t>
  </si>
  <si>
    <t>Regel eingehalten</t>
  </si>
  <si>
    <t>Emotion</t>
  </si>
  <si>
    <t>Bewertung</t>
  </si>
  <si>
    <t>Aktie</t>
  </si>
  <si>
    <t>Long</t>
  </si>
  <si>
    <t>Ja</t>
  </si>
  <si>
    <t>Diszipliniert</t>
  </si>
  <si>
    <t>ETF</t>
  </si>
  <si>
    <t>Short</t>
  </si>
  <si>
    <t>Teilweise</t>
  </si>
  <si>
    <t>Neutral</t>
  </si>
  <si>
    <t>Index/CFD</t>
  </si>
  <si>
    <t>Nein</t>
  </si>
  <si>
    <t>Ungeduldig</t>
  </si>
  <si>
    <t>Forex</t>
  </si>
  <si>
    <t>Ängstlich</t>
  </si>
  <si>
    <t>Krypto</t>
  </si>
  <si>
    <t>Gierig</t>
  </si>
  <si>
    <t>Rohstoff</t>
  </si>
  <si>
    <t>FOMO</t>
  </si>
  <si>
    <t>Future</t>
  </si>
  <si>
    <t>Option</t>
  </si>
  <si>
    <t>Hilfsberechnung Drawdown (nicht bearbeiten)</t>
  </si>
  <si>
    <t>Handelsjournal 2026</t>
  </si>
  <si>
    <t>Nr.</t>
  </si>
  <si>
    <t>Datum</t>
  </si>
  <si>
    <t>Symbol / Instrument</t>
  </si>
  <si>
    <t>Einstiegskurs</t>
  </si>
  <si>
    <t>Ausstiegskurs</t>
  </si>
  <si>
    <t>Positionsgröße</t>
  </si>
  <si>
    <t>Stop-Loss</t>
  </si>
  <si>
    <t>Take-Profit</t>
  </si>
  <si>
    <t>Risiko (€)</t>
  </si>
  <si>
    <t>Gebühren (€)</t>
  </si>
  <si>
    <t>R-Vielfaches</t>
  </si>
  <si>
    <t>CRV (geplant)</t>
  </si>
  <si>
    <t>Regel eingehalten?</t>
  </si>
  <si>
    <t>Bewertung (1-5)</t>
  </si>
  <si>
    <t>Kontostand (€)</t>
  </si>
  <si>
    <t>Notizen</t>
  </si>
  <si>
    <t>DAX</t>
  </si>
  <si>
    <t>Ausbruch über Vortageshoch, Trend bestätigt.</t>
  </si>
  <si>
    <t>EUR/USD</t>
  </si>
  <si>
    <t>Stop knapp ausgelöst, Setup blieb gültig.</t>
  </si>
  <si>
    <t>BTC/USD</t>
  </si>
  <si>
    <t>Momentum nach Range-Ausbruch mitgenommen.</t>
  </si>
  <si>
    <t>SAP</t>
  </si>
  <si>
    <t>Reversal zu früh angetestet, Verlust begrenzt.</t>
  </si>
  <si>
    <t>XAU/USD</t>
  </si>
  <si>
    <t>Trendfolge sauber, Teilgewinn am Ziel.</t>
  </si>
  <si>
    <t>AAPL</t>
  </si>
  <si>
    <t>Starker Tagestrend, Position bis Ziel gehalten.</t>
  </si>
  <si>
    <t>US100</t>
  </si>
  <si>
    <t>Short am Widerstand, Markt drehte planmäßig.</t>
  </si>
  <si>
    <t>Range-Trade, Ausstieg am oberen Band.</t>
  </si>
  <si>
    <t>TSLA</t>
  </si>
  <si>
    <t>Zu groß positioniert, Stop missachtet – Lehre.</t>
  </si>
  <si>
    <t>Pullback lief nicht, früh ausgestoppt.</t>
  </si>
  <si>
    <t>Reversal am Support, gutes CRV.</t>
  </si>
  <si>
    <t>Siemens</t>
  </si>
  <si>
    <t>Ausbruch mit Volumen, schnell im Plus.</t>
  </si>
  <si>
    <t>Range eng, kleiner Verlust akzeptiert.</t>
  </si>
  <si>
    <t>Pullback an EMA20, planmäßiger Einstieg.</t>
  </si>
  <si>
    <t>NVDA</t>
  </si>
  <si>
    <t>Trend stark, bestes Setup der Woche.</t>
  </si>
  <si>
    <t>FOMO-Einstieg, Regel gebrochen.</t>
  </si>
  <si>
    <t>Ausbruch nach News, diszipliniert gehalten.</t>
  </si>
  <si>
    <t>Range-Trade zu spät, Teilregel verletzt.</t>
  </si>
  <si>
    <t>Short-Reversal, sauber abgearbeitet.</t>
  </si>
  <si>
    <t>Trendfolge, Ziel exakt erreicht.</t>
  </si>
  <si>
    <t>Pullback verfrüht, kein klares Signal.</t>
  </si>
  <si>
    <t>Range am Widerstand, kleiner Gewinn.</t>
  </si>
  <si>
    <t>Swing über mehrere Tage gehalten.</t>
  </si>
  <si>
    <t>Trendfolge im DAX, solider Trade.</t>
  </si>
  <si>
    <t>News-Trade ohne Plan, Verlust.</t>
  </si>
  <si>
    <t>Pullback bestätigt, planmäßig.</t>
  </si>
  <si>
    <t>Reversal am Hoch, gut getimt.</t>
  </si>
  <si>
    <t>Trendfolge zum Wochenschluss, stark.</t>
  </si>
  <si>
    <t>Hinweis: Kursiv-graue Spalten (Risiko, GuV, R-Vielfaches, CRV, Kontostand) werden automatisch berechnet – bitte nicht überschreiben. Neue Trades einfach in der nächsten freien Zeile direkt unter der Tabelle eintragen; Formeln, Format und Auswahllisten werden übernommen.</t>
  </si>
  <si>
    <t>Trading-Journal  ·  Auswertung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</si>
</sst>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&quot; €&quot;"/>
    <numFmt numFmtId="165" formatCode="[Green]#,##0.00&quot; €&quot;;[Red]\-#,##0.00&quot; €&quot;;0&quot; €&quot;"/>
    <numFmt numFmtId="166" formatCode="0.0%"/>
    <numFmt numFmtId="167" formatCode="#,##0.00&quot; €&quot;;[Red]\-#,##0.00&quot; €&quot;"/>
    <numFmt numFmtId="168" formatCode="[Green]0.00;[Red]\-0.00;0.00"/>
    <numFmt numFmtId="169" formatCode="dd\.mm\.yyyy"/>
    <numFmt numFmtId="170" formatCode="#,##0.######"/>
    <numFmt numFmtId="171" formatCode="#,##0.####"/>
  </numFmts>
  <fonts count="13" x14ac:knownFonts="1">
    <font>
      <sz val="11"/>
      <color theme="1"/>
      <name val="Calibri"/>
      <family val="2"/>
      <charset val="1"/>
    </font>
    <font>
      <i/>
      <sz val="9"/>
      <color rgb="FF595959"/>
      <name val="Calibri"/>
      <charset val="1"/>
    </font>
    <font>
      <b/>
      <sz val="11"/>
      <color rgb="FFFFFFFF"/>
      <name val="Calibri"/>
      <charset val="1"/>
    </font>
    <font>
      <sz val="10"/>
      <name val="Calibri"/>
      <charset val="1"/>
    </font>
    <font>
      <b/>
      <sz val="10"/>
      <name val="Calibri"/>
      <charset val="1"/>
    </font>
    <font>
      <sz val="11"/>
      <name val="Calibri"/>
      <charset val="1"/>
    </font>
    <font>
      <b/>
      <sz val="11"/>
      <name val="Calibri"/>
      <charset val="1"/>
    </font>
    <font>
      <b/>
      <sz val="14"/>
      <color rgb="FFFFFFFF"/>
      <name val="Calibri"/>
      <charset val="1"/>
    </font>
    <font>
      <sz val="11"/>
      <color rgb="FF0000FF"/>
      <name val="Calibri"/>
      <charset val="1"/>
    </font>
    <font>
      <i/>
      <sz val="8"/>
      <color rgb="FF595959"/>
      <name val="Calibri"/>
      <charset val="1"/>
    </font>
    <font>
      <b/>
      <sz val="15"/>
      <color rgb="FFFFFFFF"/>
      <name val="Calibri"/>
      <charset val="1"/>
    </font>
    <font>
      <i/>
      <sz val="11"/>
      <color rgb="FF595959"/>
      <name val="Calibri"/>
      <charset val="1"/>
    </font>
    <font>
      <b/>
      <sz val="20"/>
      <color rgb="FFFFFFFF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5496"/>
        <bgColor rgb="FF1F3864"/>
      </patternFill>
    </fill>
    <fill>
      <patternFill patternType="solid">
        <fgColor rgb="FFF2F2F2"/>
        <bgColor rgb="FFEAF0FA"/>
      </patternFill>
    </fill>
    <fill>
      <patternFill patternType="solid">
        <fgColor rgb="FFEAF0FA"/>
        <bgColor rgb="FFF2F2F2"/>
      </patternFill>
    </fill>
    <fill>
      <patternFill patternType="solid">
        <fgColor rgb="FFD9E1F2"/>
        <bgColor rgb="FFD9D9D9"/>
      </patternFill>
    </fill>
    <fill>
      <patternFill patternType="solid">
        <fgColor rgb="FF595959"/>
        <bgColor rgb="FF2E5496"/>
      </patternFill>
    </fill>
    <fill>
      <patternFill patternType="solid">
        <fgColor rgb="FFFFF2CC"/>
        <bgColor rgb="FFF2F2F2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top" wrapText="1"/>
    </xf>
    <xf numFmtId="0" fontId="10" fillId="2" borderId="0" xfId="0" applyFont="1" applyFill="1" applyAlignment="1">
      <alignment horizontal="left" vertical="center" indent="1"/>
    </xf>
    <xf numFmtId="0" fontId="9" fillId="0" borderId="0" xfId="0" applyFont="1"/>
    <xf numFmtId="0" fontId="7" fillId="7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1" fillId="0" borderId="0" xfId="0" applyFont="1"/>
    <xf numFmtId="0" fontId="3" fillId="4" borderId="1" xfId="0" applyFont="1" applyFill="1" applyBorder="1" applyAlignment="1">
      <alignment horizontal="left" indent="1"/>
    </xf>
    <xf numFmtId="164" fontId="4" fillId="5" borderId="1" xfId="0" applyNumberFormat="1" applyFont="1" applyFill="1" applyBorder="1" applyAlignment="1">
      <alignment horizontal="right" indent="1"/>
    </xf>
    <xf numFmtId="1" fontId="4" fillId="5" borderId="1" xfId="0" applyNumberFormat="1" applyFont="1" applyFill="1" applyBorder="1" applyAlignment="1">
      <alignment horizontal="right" indent="1"/>
    </xf>
    <xf numFmtId="165" fontId="4" fillId="5" borderId="1" xfId="0" applyNumberFormat="1" applyFont="1" applyFill="1" applyBorder="1" applyAlignment="1">
      <alignment horizontal="right" indent="1"/>
    </xf>
    <xf numFmtId="166" fontId="4" fillId="5" borderId="1" xfId="0" applyNumberFormat="1" applyFont="1" applyFill="1" applyBorder="1" applyAlignment="1">
      <alignment horizontal="right" indent="1"/>
    </xf>
    <xf numFmtId="167" fontId="4" fillId="5" borderId="1" xfId="0" applyNumberFormat="1" applyFont="1" applyFill="1" applyBorder="1" applyAlignment="1">
      <alignment horizontal="right" indent="1"/>
    </xf>
    <xf numFmtId="2" fontId="4" fillId="5" borderId="1" xfId="0" applyNumberFormat="1" applyFont="1" applyFill="1" applyBorder="1" applyAlignment="1">
      <alignment horizontal="right" indent="1"/>
    </xf>
    <xf numFmtId="168" fontId="4" fillId="5" borderId="1" xfId="0" applyNumberFormat="1" applyFont="1" applyFill="1" applyBorder="1" applyAlignment="1">
      <alignment horizontal="right" indent="1"/>
    </xf>
    <xf numFmtId="0" fontId="2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indent="1"/>
    </xf>
    <xf numFmtId="1" fontId="0" fillId="0" borderId="1" xfId="0" applyNumberFormat="1" applyBorder="1" applyAlignment="1">
      <alignment horizontal="right" indent="1"/>
    </xf>
    <xf numFmtId="165" fontId="0" fillId="0" borderId="1" xfId="0" applyNumberFormat="1" applyBorder="1" applyAlignment="1">
      <alignment horizontal="right" indent="1"/>
    </xf>
    <xf numFmtId="166" fontId="0" fillId="0" borderId="1" xfId="0" applyNumberFormat="1" applyBorder="1" applyAlignment="1">
      <alignment horizontal="right" indent="1"/>
    </xf>
    <xf numFmtId="164" fontId="0" fillId="0" borderId="1" xfId="0" applyNumberFormat="1" applyBorder="1" applyAlignment="1">
      <alignment horizontal="right" indent="1"/>
    </xf>
    <xf numFmtId="0" fontId="6" fillId="6" borderId="1" xfId="0" applyFont="1" applyFill="1" applyBorder="1" applyAlignment="1">
      <alignment horizontal="left" indent="1"/>
    </xf>
    <xf numFmtId="1" fontId="6" fillId="6" borderId="1" xfId="0" applyNumberFormat="1" applyFont="1" applyFill="1" applyBorder="1" applyAlignment="1">
      <alignment horizontal="right" indent="1"/>
    </xf>
    <xf numFmtId="165" fontId="6" fillId="6" borderId="1" xfId="0" applyNumberFormat="1" applyFont="1" applyFill="1" applyBorder="1" applyAlignment="1">
      <alignment horizontal="right" indent="1"/>
    </xf>
    <xf numFmtId="166" fontId="6" fillId="6" borderId="1" xfId="0" applyNumberFormat="1" applyFont="1" applyFill="1" applyBorder="1" applyAlignment="1">
      <alignment horizontal="right" indent="1"/>
    </xf>
    <xf numFmtId="164" fontId="6" fillId="6" borderId="1" xfId="0" applyNumberFormat="1" applyFont="1" applyFill="1" applyBorder="1" applyAlignment="1">
      <alignment horizontal="right" indent="1"/>
    </xf>
    <xf numFmtId="0" fontId="6" fillId="0" borderId="1" xfId="0" applyFont="1" applyBorder="1"/>
    <xf numFmtId="164" fontId="8" fillId="8" borderId="1" xfId="0" applyNumberFormat="1" applyFont="1" applyFill="1" applyBorder="1" applyAlignment="1">
      <alignment horizontal="left"/>
    </xf>
    <xf numFmtId="166" fontId="8" fillId="8" borderId="1" xfId="0" applyNumberFormat="1" applyFont="1" applyFill="1" applyBorder="1" applyAlignment="1">
      <alignment horizontal="left"/>
    </xf>
    <xf numFmtId="0" fontId="8" fillId="8" borderId="1" xfId="0" applyFont="1" applyFill="1" applyBorder="1" applyAlignment="1">
      <alignment horizontal="left"/>
    </xf>
    <xf numFmtId="1" fontId="8" fillId="8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/>
    </xf>
    <xf numFmtId="169" fontId="5" fillId="0" borderId="1" xfId="0" applyNumberFormat="1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70" fontId="5" fillId="0" borderId="1" xfId="0" applyNumberFormat="1" applyFont="1" applyBorder="1"/>
    <xf numFmtId="171" fontId="5" fillId="0" borderId="1" xfId="0" applyNumberFormat="1" applyFont="1" applyBorder="1"/>
    <xf numFmtId="164" fontId="11" fillId="0" borderId="1" xfId="0" applyNumberFormat="1" applyFont="1" applyBorder="1"/>
    <xf numFmtId="164" fontId="5" fillId="0" borderId="1" xfId="0" applyNumberFormat="1" applyFont="1" applyBorder="1"/>
    <xf numFmtId="165" fontId="11" fillId="0" borderId="1" xfId="0" applyNumberFormat="1" applyFont="1" applyBorder="1"/>
    <xf numFmtId="168" fontId="11" fillId="0" borderId="1" xfId="0" applyNumberFormat="1" applyFont="1" applyBorder="1"/>
    <xf numFmtId="2" fontId="11" fillId="0" borderId="1" xfId="0" applyNumberFormat="1" applyFont="1" applyBorder="1"/>
    <xf numFmtId="0" fontId="5" fillId="0" borderId="1" xfId="0" applyFont="1" applyBorder="1" applyAlignment="1">
      <alignment horizontal="left"/>
    </xf>
    <xf numFmtId="0" fontId="12" fillId="2" borderId="0" xfId="0" applyFont="1" applyFill="1" applyAlignment="1">
      <alignment horizontal="left" vertical="center" inden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F7A7A"/>
      <rgbColor rgb="FFBFBFBF"/>
      <rgbColor rgb="FF808080"/>
      <rgbColor rgb="FF9999FF"/>
      <rgbColor rgb="FF993366"/>
      <rgbColor rgb="FFFFF2CC"/>
      <rgbColor rgb="FFEAF0FA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D9E1F2"/>
      <rgbColor rgb="FFF9F9F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878787"/>
      <rgbColor rgb="FF1F3864"/>
      <rgbColor rgb="FF339966"/>
      <rgbColor rgb="FF003300"/>
      <rgbColor rgb="FF333300"/>
      <rgbColor rgb="FF993300"/>
      <rgbColor rgb="FF993366"/>
      <rgbColor rgb="FF2E549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Kapitalkurve (Equity)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Handelsjournal!$T$2</c:f>
              <c:strCache>
                <c:ptCount val="1"/>
                <c:pt idx="0">
                  <c:v>Kontostand (€)</c:v>
                </c:pt>
              </c:strCache>
            </c:strRef>
          </c:tx>
          <c:spPr>
            <a:ln w="25920">
              <a:solidFill>
                <a:srgbClr val="1F3864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Handelsjournal!$A$3:$A$30</c:f>
              <c:numCache>
                <c:formatCode>0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Handelsjournal!$T$3:$T$30</c:f>
              <c:numCache>
                <c:formatCode>#,##0.00" €"</c:formatCode>
                <c:ptCount val="28"/>
                <c:pt idx="0">
                  <c:v>10138</c:v>
                </c:pt>
                <c:pt idx="1">
                  <c:v>10094.999999999998</c:v>
                </c:pt>
                <c:pt idx="2">
                  <c:v>10264.999999999998</c:v>
                </c:pt>
                <c:pt idx="3">
                  <c:v>10131</c:v>
                </c:pt>
                <c:pt idx="4">
                  <c:v>10191</c:v>
                </c:pt>
                <c:pt idx="5">
                  <c:v>10388.999999999998</c:v>
                </c:pt>
                <c:pt idx="6">
                  <c:v>10556.999999999998</c:v>
                </c:pt>
                <c:pt idx="7">
                  <c:v>10516.499999999998</c:v>
                </c:pt>
                <c:pt idx="8">
                  <c:v>10232.499999999998</c:v>
                </c:pt>
                <c:pt idx="9">
                  <c:v>10170.499999999998</c:v>
                </c:pt>
                <c:pt idx="10">
                  <c:v>10265.499999999998</c:v>
                </c:pt>
                <c:pt idx="11">
                  <c:v>10442.499999999998</c:v>
                </c:pt>
                <c:pt idx="12">
                  <c:v>10418.499999999998</c:v>
                </c:pt>
                <c:pt idx="13">
                  <c:v>10552.999999999995</c:v>
                </c:pt>
                <c:pt idx="14">
                  <c:v>10816.999999999993</c:v>
                </c:pt>
                <c:pt idx="15">
                  <c:v>10754.999999999993</c:v>
                </c:pt>
                <c:pt idx="16">
                  <c:v>11024.999999999993</c:v>
                </c:pt>
                <c:pt idx="17">
                  <c:v>10946.999999999993</c:v>
                </c:pt>
                <c:pt idx="18">
                  <c:v>11068.999999999991</c:v>
                </c:pt>
                <c:pt idx="19">
                  <c:v>11389.999999999991</c:v>
                </c:pt>
                <c:pt idx="20">
                  <c:v>11307.999999999991</c:v>
                </c:pt>
                <c:pt idx="21">
                  <c:v>11347.999999999991</c:v>
                </c:pt>
                <c:pt idx="22">
                  <c:v>11763.999999999991</c:v>
                </c:pt>
                <c:pt idx="23">
                  <c:v>11901.999999999991</c:v>
                </c:pt>
                <c:pt idx="24">
                  <c:v>11836.999999999991</c:v>
                </c:pt>
                <c:pt idx="25">
                  <c:v>11946.499999999989</c:v>
                </c:pt>
                <c:pt idx="26">
                  <c:v>12080.999999999989</c:v>
                </c:pt>
                <c:pt idx="27">
                  <c:v>12311.999999999989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A1B-43B3-9DDA-5F553E2AE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57100367"/>
        <c:axId val="98546040"/>
      </c:lineChart>
      <c:catAx>
        <c:axId val="5710036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Trade-Nr.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98546040"/>
        <c:crosses val="autoZero"/>
        <c:auto val="1"/>
        <c:lblAlgn val="ctr"/>
        <c:lblOffset val="100"/>
        <c:noMultiLvlLbl val="0"/>
      </c:catAx>
      <c:valAx>
        <c:axId val="9854604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Kontostand (€)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0&quot; €&quot;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57100367"/>
        <c:crosses val="autoZero"/>
        <c:crossBetween val="between"/>
      </c:valAx>
      <c:spPr>
        <a:solidFill>
          <a:schemeClr val="bg1">
            <a:lumMod val="95000"/>
          </a:schemeClr>
        </a:solidFill>
        <a:ln w="0">
          <a:noFill/>
        </a:ln>
      </c:spPr>
    </c:plotArea>
    <c:plotVisOnly val="1"/>
    <c:dispBlanksAs val="gap"/>
    <c:showDLblsOverMax val="1"/>
  </c:chart>
  <c:spPr>
    <a:solidFill>
      <a:srgbClr val="FFFFCC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GuV pro Monat (€)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Dashboard!$D$20</c:f>
              <c:strCache>
                <c:ptCount val="1"/>
                <c:pt idx="0">
                  <c:v>GuV (€)</c:v>
                </c:pt>
              </c:strCache>
            </c:strRef>
          </c:tx>
          <c:spPr>
            <a:solidFill>
              <a:srgbClr val="2E5496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Dashboard!$B$21:$B$32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Dashboard!$D$21:$D$32</c:f>
              <c:numCache>
                <c:formatCode>General</c:formatCode>
                <c:ptCount val="12"/>
                <c:pt idx="0">
                  <c:v>190.99999999999915</c:v>
                </c:pt>
                <c:pt idx="1">
                  <c:v>41.499999999998238</c:v>
                </c:pt>
                <c:pt idx="2">
                  <c:v>186.00000000000043</c:v>
                </c:pt>
                <c:pt idx="3">
                  <c:v>528.49999999999545</c:v>
                </c:pt>
                <c:pt idx="4">
                  <c:v>816.99999999999727</c:v>
                </c:pt>
                <c:pt idx="5">
                  <c:v>547.99999999999909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97-4010-835A-F683E0800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735381"/>
        <c:axId val="25739935"/>
      </c:barChart>
      <c:catAx>
        <c:axId val="6173538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25739935"/>
        <c:crosses val="autoZero"/>
        <c:auto val="1"/>
        <c:lblAlgn val="ctr"/>
        <c:lblOffset val="100"/>
        <c:noMultiLvlLbl val="0"/>
      </c:catAx>
      <c:valAx>
        <c:axId val="25739935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GuV (€)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61735381"/>
        <c:crosses val="autoZero"/>
        <c:crossBetween val="between"/>
      </c:valAx>
      <c:spPr>
        <a:solidFill>
          <a:srgbClr val="FFFFCC"/>
        </a:solidFill>
        <a:ln w="0">
          <a:noFill/>
        </a:ln>
      </c:spPr>
    </c:plotArea>
    <c:plotVisOnly val="1"/>
    <c:dispBlanksAs val="gap"/>
    <c:showDLblsOverMax val="1"/>
  </c:chart>
  <c:spPr>
    <a:solidFill>
      <a:schemeClr val="bg1">
        <a:lumMod val="95000"/>
      </a:schemeClr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17</xdr:col>
      <xdr:colOff>475200</xdr:colOff>
      <xdr:row>17</xdr:row>
      <xdr:rowOff>32760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19</xdr:row>
      <xdr:rowOff>0</xdr:rowOff>
    </xdr:from>
    <xdr:to>
      <xdr:col>17</xdr:col>
      <xdr:colOff>475200</xdr:colOff>
      <xdr:row>33</xdr:row>
      <xdr:rowOff>32400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Trades" displayName="tblTrades" ref="A2:U30" totalsRowShown="0">
  <autoFilter ref="A2:U30" xr:uid="{00000000-0009-0000-0100-000001000000}"/>
  <tableColumns count="21">
    <tableColumn id="1" xr3:uid="{00000000-0010-0000-0000-000001000000}" name="Nr."/>
    <tableColumn id="2" xr3:uid="{00000000-0010-0000-0000-000002000000}" name="Datum"/>
    <tableColumn id="3" xr3:uid="{00000000-0010-0000-0000-000003000000}" name="Symbol / Instrument"/>
    <tableColumn id="4" xr3:uid="{00000000-0010-0000-0000-000004000000}" name="Anlageklasse"/>
    <tableColumn id="5" xr3:uid="{00000000-0010-0000-0000-000005000000}" name="Richtung"/>
    <tableColumn id="6" xr3:uid="{00000000-0010-0000-0000-000006000000}" name="Einstiegskurs"/>
    <tableColumn id="7" xr3:uid="{00000000-0010-0000-0000-000007000000}" name="Ausstiegskurs"/>
    <tableColumn id="8" xr3:uid="{00000000-0010-0000-0000-000008000000}" name="Positionsgröße"/>
    <tableColumn id="9" xr3:uid="{00000000-0010-0000-0000-000009000000}" name="Stop-Loss"/>
    <tableColumn id="10" xr3:uid="{00000000-0010-0000-0000-00000A000000}" name="Take-Profit"/>
    <tableColumn id="11" xr3:uid="{00000000-0010-0000-0000-00000B000000}" name="Risiko (€)"/>
    <tableColumn id="12" xr3:uid="{00000000-0010-0000-0000-00000C000000}" name="Gebühren (€)"/>
    <tableColumn id="13" xr3:uid="{00000000-0010-0000-0000-00000D000000}" name="GuV (€)"/>
    <tableColumn id="14" xr3:uid="{00000000-0010-0000-0000-00000E000000}" name="R-Vielfaches"/>
    <tableColumn id="15" xr3:uid="{00000000-0010-0000-0000-00000F000000}" name="CRV (geplant)"/>
    <tableColumn id="16" xr3:uid="{00000000-0010-0000-0000-000010000000}" name="Strategie / Setup"/>
    <tableColumn id="17" xr3:uid="{00000000-0010-0000-0000-000011000000}" name="Regel eingehalten?"/>
    <tableColumn id="18" xr3:uid="{00000000-0010-0000-0000-000012000000}" name="Emotion"/>
    <tableColumn id="19" xr3:uid="{00000000-0010-0000-0000-000013000000}" name="Bewertung (1-5)"/>
    <tableColumn id="20" xr3:uid="{00000000-0010-0000-0000-000014000000}" name="Kontostand (€)"/>
    <tableColumn id="21" xr3:uid="{00000000-0010-0000-0000-000015000000}" name="Notizen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3864"/>
  </sheetPr>
  <dimension ref="B1:H44"/>
  <sheetViews>
    <sheetView showGridLines="0" tabSelected="1" zoomScaleNormal="100" workbookViewId="0">
      <selection activeCell="AB22" sqref="AB22"/>
    </sheetView>
  </sheetViews>
  <sheetFormatPr baseColWidth="10" defaultColWidth="8.7109375" defaultRowHeight="15" x14ac:dyDescent="0.25"/>
  <cols>
    <col min="1" max="1" width="2" customWidth="1"/>
    <col min="2" max="2" width="30" customWidth="1"/>
    <col min="3" max="4" width="14" customWidth="1"/>
    <col min="5" max="5" width="16" customWidth="1"/>
    <col min="6" max="6" width="14" customWidth="1"/>
    <col min="7" max="7" width="3" customWidth="1"/>
    <col min="8" max="8" width="2" customWidth="1"/>
  </cols>
  <sheetData>
    <row r="1" spans="2:8" ht="30" customHeight="1" x14ac:dyDescent="0.25">
      <c r="B1" s="47" t="s">
        <v>141</v>
      </c>
      <c r="C1" s="47"/>
      <c r="D1" s="47"/>
      <c r="E1" s="47"/>
      <c r="F1" s="47"/>
      <c r="G1" s="47"/>
      <c r="H1" s="47"/>
    </row>
    <row r="2" spans="2:8" x14ac:dyDescent="0.25">
      <c r="B2" s="6" t="s">
        <v>0</v>
      </c>
      <c r="C2" s="6"/>
      <c r="D2" s="6"/>
      <c r="E2" s="6"/>
      <c r="F2" s="6"/>
      <c r="G2" s="6"/>
      <c r="H2" s="6"/>
    </row>
    <row r="4" spans="2:8" x14ac:dyDescent="0.25">
      <c r="B4" s="5" t="s">
        <v>1</v>
      </c>
      <c r="C4" s="5"/>
      <c r="E4" s="5" t="s">
        <v>2</v>
      </c>
      <c r="F4" s="5"/>
    </row>
    <row r="5" spans="2:8" x14ac:dyDescent="0.25">
      <c r="B5" s="7" t="s">
        <v>3</v>
      </c>
      <c r="C5" s="8">
        <f>Listen!$B$3</f>
        <v>10000</v>
      </c>
      <c r="E5" s="7" t="s">
        <v>4</v>
      </c>
      <c r="F5" s="9">
        <f>COUNT(Handelsjournal!$M$3:$M$500)</f>
        <v>28</v>
      </c>
    </row>
    <row r="6" spans="2:8" x14ac:dyDescent="0.25">
      <c r="B6" s="7" t="s">
        <v>5</v>
      </c>
      <c r="C6" s="8">
        <f>Listen!$B$3+SUM(Handelsjournal!$M$3:$M$500)</f>
        <v>12311.999999999989</v>
      </c>
      <c r="E6" s="7" t="s">
        <v>6</v>
      </c>
      <c r="F6" s="9">
        <f>COUNTIF(Handelsjournal!$M$3:$M$500,"&gt;0")</f>
        <v>18</v>
      </c>
    </row>
    <row r="7" spans="2:8" x14ac:dyDescent="0.25">
      <c r="B7" s="7" t="s">
        <v>7</v>
      </c>
      <c r="C7" s="10">
        <f>SUM(Handelsjournal!$M$3:$M$500)</f>
        <v>2311.9999999999895</v>
      </c>
      <c r="E7" s="7" t="s">
        <v>8</v>
      </c>
      <c r="F7" s="9">
        <f>COUNTIF(Handelsjournal!$M$3:$M$500,"&lt;0")</f>
        <v>10</v>
      </c>
    </row>
    <row r="8" spans="2:8" x14ac:dyDescent="0.25">
      <c r="B8" s="7" t="s">
        <v>9</v>
      </c>
      <c r="C8" s="11">
        <f>IFERROR(SUM(Handelsjournal!$M$3:$M$500)/Listen!$B$3,"")</f>
        <v>0.23119999999999896</v>
      </c>
      <c r="E8" s="7" t="s">
        <v>10</v>
      </c>
      <c r="F8" s="11">
        <f>IFERROR($F$6/$F$5,"")</f>
        <v>0.6428571428571429</v>
      </c>
    </row>
    <row r="9" spans="2:8" x14ac:dyDescent="0.25">
      <c r="B9" s="7" t="s">
        <v>11</v>
      </c>
      <c r="C9" s="8">
        <f>SUM(Handelsjournal!$L$3:$L$500)</f>
        <v>94</v>
      </c>
      <c r="E9" s="7" t="s">
        <v>12</v>
      </c>
      <c r="F9" s="10">
        <f>IFERROR(AVERAGEIF(Handelsjournal!$M$3:$M$500,"&gt;0"),"")</f>
        <v>177.02777777777732</v>
      </c>
    </row>
    <row r="10" spans="2:8" x14ac:dyDescent="0.25">
      <c r="B10" s="7" t="s">
        <v>13</v>
      </c>
      <c r="C10" s="12">
        <f>MIN(Listen!$M$21:$M$138)</f>
        <v>-386.5</v>
      </c>
      <c r="E10" s="7" t="s">
        <v>14</v>
      </c>
      <c r="F10" s="10">
        <f>IFERROR(AVERAGEIF(Handelsjournal!$M$3:$M$500,"&lt;0"),"")</f>
        <v>-87.45000000000023</v>
      </c>
    </row>
    <row r="11" spans="2:8" x14ac:dyDescent="0.25">
      <c r="B11" s="7" t="s">
        <v>15</v>
      </c>
      <c r="C11" s="11">
        <f>MIN(Listen!$N$21:$N$138)</f>
        <v>-3.6610779577531505E-2</v>
      </c>
      <c r="E11" s="7" t="s">
        <v>16</v>
      </c>
      <c r="F11" s="10">
        <f>IFERROR(AVERAGE(Handelsjournal!$M$3:$M$500),"")</f>
        <v>82.5714285714282</v>
      </c>
    </row>
    <row r="12" spans="2:8" x14ac:dyDescent="0.25">
      <c r="E12" s="7" t="s">
        <v>17</v>
      </c>
      <c r="F12" s="13">
        <f>IFERROR(SUMIF(Handelsjournal!$M$3:$M$500,"&gt;0")/-SUMIF(Handelsjournal!$M$3:$M$500,"&lt;0"),"")</f>
        <v>3.6437964551171911</v>
      </c>
    </row>
    <row r="13" spans="2:8" x14ac:dyDescent="0.25">
      <c r="E13" s="7" t="s">
        <v>18</v>
      </c>
      <c r="F13" s="14">
        <f>IFERROR(AVERAGE(Handelsjournal!$N$3:$N$500),"")</f>
        <v>1.1191115189544854</v>
      </c>
    </row>
    <row r="14" spans="2:8" x14ac:dyDescent="0.25">
      <c r="E14" s="7" t="s">
        <v>19</v>
      </c>
      <c r="F14" s="13">
        <f>IFERROR(AVERAGE(Handelsjournal!$O$3:$O$500),"")</f>
        <v>2.7864963631743045</v>
      </c>
    </row>
    <row r="15" spans="2:8" x14ac:dyDescent="0.25">
      <c r="E15" s="7" t="s">
        <v>20</v>
      </c>
      <c r="F15" s="10">
        <f>IFERROR(MAX(Handelsjournal!$M$3:$M$500),"")</f>
        <v>416</v>
      </c>
    </row>
    <row r="16" spans="2:8" x14ac:dyDescent="0.25">
      <c r="E16" s="7" t="s">
        <v>21</v>
      </c>
      <c r="F16" s="10">
        <f>IFERROR(MIN(Handelsjournal!$M$3:$M$500),"")</f>
        <v>-284</v>
      </c>
    </row>
    <row r="17" spans="2:6" x14ac:dyDescent="0.25">
      <c r="E17" s="7" t="s">
        <v>22</v>
      </c>
      <c r="F17" s="11">
        <f>IFERROR(COUNTIF(Handelsjournal!$Q$3:$Q$500,"Ja")/$F$5,"")</f>
        <v>0.75</v>
      </c>
    </row>
    <row r="19" spans="2:6" x14ac:dyDescent="0.25">
      <c r="B19" s="5" t="s">
        <v>23</v>
      </c>
      <c r="C19" s="5"/>
      <c r="D19" s="5"/>
      <c r="E19" s="5"/>
      <c r="F19" s="5"/>
    </row>
    <row r="20" spans="2:6" x14ac:dyDescent="0.25">
      <c r="B20" s="15" t="s">
        <v>24</v>
      </c>
      <c r="C20" s="15" t="s">
        <v>25</v>
      </c>
      <c r="D20" s="15" t="s">
        <v>26</v>
      </c>
      <c r="E20" s="15" t="s">
        <v>10</v>
      </c>
      <c r="F20" s="15" t="s">
        <v>27</v>
      </c>
    </row>
    <row r="21" spans="2:6" x14ac:dyDescent="0.25">
      <c r="B21" s="16" t="s">
        <v>28</v>
      </c>
      <c r="C21" s="17">
        <f>COUNTIFS(Handelsjournal!$B$3:$B$500,"&gt;="&amp;DATE(2026,1,1),Handelsjournal!$B$3:$B$500,"&lt;="&amp;EOMONTH(DATE(2026,1,1),0))</f>
        <v>5</v>
      </c>
      <c r="D21" s="18">
        <f>SUMIFS(Handelsjournal!$M$3:$M$500,Handelsjournal!$B$3:$B$500,"&gt;="&amp;DATE(2026,1,1),Handelsjournal!$B$3:$B$500,"&lt;="&amp;EOMONTH(DATE(2026,1,1),0))</f>
        <v>190.99999999999915</v>
      </c>
      <c r="E21" s="19">
        <f>IFERROR(COUNTIFS(Handelsjournal!$B$3:$B$500,"&gt;="&amp;DATE(2026,1,1),Handelsjournal!$B$3:$B$500,"&lt;="&amp;EOMONTH(DATE(2026,1,1),0),Handelsjournal!$M$3:$M$500,"&gt;0")/(COUNTIFS(Handelsjournal!$B$3:$B$500,"&gt;="&amp;DATE(2026,1,1),Handelsjournal!$B$3:$B$500,"&lt;="&amp;EOMONTH(DATE(2026,1,1),0),Handelsjournal!$M$3:$M$500,"&gt;0")+COUNTIFS(Handelsjournal!$B$3:$B$500,"&gt;="&amp;DATE(2026,1,1),Handelsjournal!$B$3:$B$500,"&lt;="&amp;EOMONTH(DATE(2026,1,1),0),Handelsjournal!$M$3:$M$500,"&lt;0")),"")</f>
        <v>0.6</v>
      </c>
      <c r="F21" s="20">
        <f>D21</f>
        <v>190.99999999999915</v>
      </c>
    </row>
    <row r="22" spans="2:6" x14ac:dyDescent="0.25">
      <c r="B22" s="16" t="s">
        <v>29</v>
      </c>
      <c r="C22" s="17">
        <f>COUNTIFS(Handelsjournal!$B$3:$B$500,"&gt;="&amp;DATE(2026,2,1),Handelsjournal!$B$3:$B$500,"&lt;="&amp;EOMONTH(DATE(2026,2,1),0))</f>
        <v>4</v>
      </c>
      <c r="D22" s="18">
        <f>SUMIFS(Handelsjournal!$M$3:$M$500,Handelsjournal!$B$3:$B$500,"&gt;="&amp;DATE(2026,2,1),Handelsjournal!$B$3:$B$500,"&lt;="&amp;EOMONTH(DATE(2026,2,1),0))</f>
        <v>41.499999999998238</v>
      </c>
      <c r="E22" s="19">
        <f>IFERROR(COUNTIFS(Handelsjournal!$B$3:$B$500,"&gt;="&amp;DATE(2026,2,1),Handelsjournal!$B$3:$B$500,"&lt;="&amp;EOMONTH(DATE(2026,2,1),0),Handelsjournal!$M$3:$M$500,"&gt;0")/(COUNTIFS(Handelsjournal!$B$3:$B$500,"&gt;="&amp;DATE(2026,2,1),Handelsjournal!$B$3:$B$500,"&lt;="&amp;EOMONTH(DATE(2026,2,1),0),Handelsjournal!$M$3:$M$500,"&gt;0")+COUNTIFS(Handelsjournal!$B$3:$B$500,"&gt;="&amp;DATE(2026,2,1),Handelsjournal!$B$3:$B$500,"&lt;="&amp;EOMONTH(DATE(2026,2,1),0),Handelsjournal!$M$3:$M$500,"&lt;0")),"")</f>
        <v>0.5</v>
      </c>
      <c r="F22" s="20">
        <f t="shared" ref="F22:F32" si="0">F21+D22</f>
        <v>232.49999999999739</v>
      </c>
    </row>
    <row r="23" spans="2:6" x14ac:dyDescent="0.25">
      <c r="B23" s="16" t="s">
        <v>30</v>
      </c>
      <c r="C23" s="17">
        <f>COUNTIFS(Handelsjournal!$B$3:$B$500,"&gt;="&amp;DATE(2026,3,1),Handelsjournal!$B$3:$B$500,"&lt;="&amp;EOMONTH(DATE(2026,3,1),0))</f>
        <v>4</v>
      </c>
      <c r="D23" s="18">
        <f>SUMIFS(Handelsjournal!$M$3:$M$500,Handelsjournal!$B$3:$B$500,"&gt;="&amp;DATE(2026,3,1),Handelsjournal!$B$3:$B$500,"&lt;="&amp;EOMONTH(DATE(2026,3,1),0))</f>
        <v>186.00000000000043</v>
      </c>
      <c r="E23" s="19">
        <f>IFERROR(COUNTIFS(Handelsjournal!$B$3:$B$500,"&gt;="&amp;DATE(2026,3,1),Handelsjournal!$B$3:$B$500,"&lt;="&amp;EOMONTH(DATE(2026,3,1),0),Handelsjournal!$M$3:$M$500,"&gt;0")/(COUNTIFS(Handelsjournal!$B$3:$B$500,"&gt;="&amp;DATE(2026,3,1),Handelsjournal!$B$3:$B$500,"&lt;="&amp;EOMONTH(DATE(2026,3,1),0),Handelsjournal!$M$3:$M$500,"&gt;0")+COUNTIFS(Handelsjournal!$B$3:$B$500,"&gt;="&amp;DATE(2026,3,1),Handelsjournal!$B$3:$B$500,"&lt;="&amp;EOMONTH(DATE(2026,3,1),0),Handelsjournal!$M$3:$M$500,"&lt;0")),"")</f>
        <v>0.5</v>
      </c>
      <c r="F23" s="20">
        <f t="shared" si="0"/>
        <v>418.49999999999784</v>
      </c>
    </row>
    <row r="24" spans="2:6" x14ac:dyDescent="0.25">
      <c r="B24" s="16" t="s">
        <v>31</v>
      </c>
      <c r="C24" s="17">
        <f>COUNTIFS(Handelsjournal!$B$3:$B$500,"&gt;="&amp;DATE(2026,4,1),Handelsjournal!$B$3:$B$500,"&lt;="&amp;EOMONTH(DATE(2026,4,1),0))</f>
        <v>5</v>
      </c>
      <c r="D24" s="18">
        <f>SUMIFS(Handelsjournal!$M$3:$M$500,Handelsjournal!$B$3:$B$500,"&gt;="&amp;DATE(2026,4,1),Handelsjournal!$B$3:$B$500,"&lt;="&amp;EOMONTH(DATE(2026,4,1),0))</f>
        <v>528.49999999999545</v>
      </c>
      <c r="E24" s="19">
        <f>IFERROR(COUNTIFS(Handelsjournal!$B$3:$B$500,"&gt;="&amp;DATE(2026,4,1),Handelsjournal!$B$3:$B$500,"&lt;="&amp;EOMONTH(DATE(2026,4,1),0),Handelsjournal!$M$3:$M$500,"&gt;0")/(COUNTIFS(Handelsjournal!$B$3:$B$500,"&gt;="&amp;DATE(2026,4,1),Handelsjournal!$B$3:$B$500,"&lt;="&amp;EOMONTH(DATE(2026,4,1),0),Handelsjournal!$M$3:$M$500,"&gt;0")+COUNTIFS(Handelsjournal!$B$3:$B$500,"&gt;="&amp;DATE(2026,4,1),Handelsjournal!$B$3:$B$500,"&lt;="&amp;EOMONTH(DATE(2026,4,1),0),Handelsjournal!$M$3:$M$500,"&lt;0")),"")</f>
        <v>0.6</v>
      </c>
      <c r="F24" s="20">
        <f t="shared" si="0"/>
        <v>946.99999999999329</v>
      </c>
    </row>
    <row r="25" spans="2:6" x14ac:dyDescent="0.25">
      <c r="B25" s="16" t="s">
        <v>32</v>
      </c>
      <c r="C25" s="17">
        <f>COUNTIFS(Handelsjournal!$B$3:$B$500,"&gt;="&amp;DATE(2026,5,1),Handelsjournal!$B$3:$B$500,"&lt;="&amp;EOMONTH(DATE(2026,5,1),0))</f>
        <v>5</v>
      </c>
      <c r="D25" s="18">
        <f>SUMIFS(Handelsjournal!$M$3:$M$500,Handelsjournal!$B$3:$B$500,"&gt;="&amp;DATE(2026,5,1),Handelsjournal!$B$3:$B$500,"&lt;="&amp;EOMONTH(DATE(2026,5,1),0))</f>
        <v>816.99999999999727</v>
      </c>
      <c r="E25" s="19">
        <f>IFERROR(COUNTIFS(Handelsjournal!$B$3:$B$500,"&gt;="&amp;DATE(2026,5,1),Handelsjournal!$B$3:$B$500,"&lt;="&amp;EOMONTH(DATE(2026,5,1),0),Handelsjournal!$M$3:$M$500,"&gt;0")/(COUNTIFS(Handelsjournal!$B$3:$B$500,"&gt;="&amp;DATE(2026,5,1),Handelsjournal!$B$3:$B$500,"&lt;="&amp;EOMONTH(DATE(2026,5,1),0),Handelsjournal!$M$3:$M$500,"&gt;0")+COUNTIFS(Handelsjournal!$B$3:$B$500,"&gt;="&amp;DATE(2026,5,1),Handelsjournal!$B$3:$B$500,"&lt;="&amp;EOMONTH(DATE(2026,5,1),0),Handelsjournal!$M$3:$M$500,"&lt;0")),"")</f>
        <v>0.8</v>
      </c>
      <c r="F25" s="20">
        <f t="shared" si="0"/>
        <v>1763.9999999999905</v>
      </c>
    </row>
    <row r="26" spans="2:6" x14ac:dyDescent="0.25">
      <c r="B26" s="16" t="s">
        <v>33</v>
      </c>
      <c r="C26" s="17">
        <f>COUNTIFS(Handelsjournal!$B$3:$B$500,"&gt;="&amp;DATE(2026,6,1),Handelsjournal!$B$3:$B$500,"&lt;="&amp;EOMONTH(DATE(2026,6,1),0))</f>
        <v>5</v>
      </c>
      <c r="D26" s="18">
        <f>SUMIFS(Handelsjournal!$M$3:$M$500,Handelsjournal!$B$3:$B$500,"&gt;="&amp;DATE(2026,6,1),Handelsjournal!$B$3:$B$500,"&lt;="&amp;EOMONTH(DATE(2026,6,1),0))</f>
        <v>547.99999999999909</v>
      </c>
      <c r="E26" s="19">
        <f>IFERROR(COUNTIFS(Handelsjournal!$B$3:$B$500,"&gt;="&amp;DATE(2026,6,1),Handelsjournal!$B$3:$B$500,"&lt;="&amp;EOMONTH(DATE(2026,6,1),0),Handelsjournal!$M$3:$M$500,"&gt;0")/(COUNTIFS(Handelsjournal!$B$3:$B$500,"&gt;="&amp;DATE(2026,6,1),Handelsjournal!$B$3:$B$500,"&lt;="&amp;EOMONTH(DATE(2026,6,1),0),Handelsjournal!$M$3:$M$500,"&gt;0")+COUNTIFS(Handelsjournal!$B$3:$B$500,"&gt;="&amp;DATE(2026,6,1),Handelsjournal!$B$3:$B$500,"&lt;="&amp;EOMONTH(DATE(2026,6,1),0),Handelsjournal!$M$3:$M$500,"&lt;0")),"")</f>
        <v>0.8</v>
      </c>
      <c r="F26" s="20">
        <f t="shared" si="0"/>
        <v>2311.9999999999895</v>
      </c>
    </row>
    <row r="27" spans="2:6" x14ac:dyDescent="0.25">
      <c r="B27" s="16" t="s">
        <v>34</v>
      </c>
      <c r="C27" s="17">
        <f>COUNTIFS(Handelsjournal!$B$3:$B$500,"&gt;="&amp;DATE(2026,7,1),Handelsjournal!$B$3:$B$500,"&lt;="&amp;EOMONTH(DATE(2026,7,1),0))</f>
        <v>0</v>
      </c>
      <c r="D27" s="18">
        <f>SUMIFS(Handelsjournal!$M$3:$M$500,Handelsjournal!$B$3:$B$500,"&gt;="&amp;DATE(2026,7,1),Handelsjournal!$B$3:$B$500,"&lt;="&amp;EOMONTH(DATE(2026,7,1),0))</f>
        <v>0</v>
      </c>
      <c r="E27" s="19" t="str">
        <f>IFERROR(COUNTIFS(Handelsjournal!$B$3:$B$500,"&gt;="&amp;DATE(2026,7,1),Handelsjournal!$B$3:$B$500,"&lt;="&amp;EOMONTH(DATE(2026,7,1),0),Handelsjournal!$M$3:$M$500,"&gt;0")/(COUNTIFS(Handelsjournal!$B$3:$B$500,"&gt;="&amp;DATE(2026,7,1),Handelsjournal!$B$3:$B$500,"&lt;="&amp;EOMONTH(DATE(2026,7,1),0),Handelsjournal!$M$3:$M$500,"&gt;0")+COUNTIFS(Handelsjournal!$B$3:$B$500,"&gt;="&amp;DATE(2026,7,1),Handelsjournal!$B$3:$B$500,"&lt;="&amp;EOMONTH(DATE(2026,7,1),0),Handelsjournal!$M$3:$M$500,"&lt;0")),"")</f>
        <v/>
      </c>
      <c r="F27" s="20">
        <f t="shared" si="0"/>
        <v>2311.9999999999895</v>
      </c>
    </row>
    <row r="28" spans="2:6" x14ac:dyDescent="0.25">
      <c r="B28" s="16" t="s">
        <v>35</v>
      </c>
      <c r="C28" s="17">
        <f>COUNTIFS(Handelsjournal!$B$3:$B$500,"&gt;="&amp;DATE(2026,8,1),Handelsjournal!$B$3:$B$500,"&lt;="&amp;EOMONTH(DATE(2026,8,1),0))</f>
        <v>0</v>
      </c>
      <c r="D28" s="18">
        <f>SUMIFS(Handelsjournal!$M$3:$M$500,Handelsjournal!$B$3:$B$500,"&gt;="&amp;DATE(2026,8,1),Handelsjournal!$B$3:$B$500,"&lt;="&amp;EOMONTH(DATE(2026,8,1),0))</f>
        <v>0</v>
      </c>
      <c r="E28" s="19" t="str">
        <f>IFERROR(COUNTIFS(Handelsjournal!$B$3:$B$500,"&gt;="&amp;DATE(2026,8,1),Handelsjournal!$B$3:$B$500,"&lt;="&amp;EOMONTH(DATE(2026,8,1),0),Handelsjournal!$M$3:$M$500,"&gt;0")/(COUNTIFS(Handelsjournal!$B$3:$B$500,"&gt;="&amp;DATE(2026,8,1),Handelsjournal!$B$3:$B$500,"&lt;="&amp;EOMONTH(DATE(2026,8,1),0),Handelsjournal!$M$3:$M$500,"&gt;0")+COUNTIFS(Handelsjournal!$B$3:$B$500,"&gt;="&amp;DATE(2026,8,1),Handelsjournal!$B$3:$B$500,"&lt;="&amp;EOMONTH(DATE(2026,8,1),0),Handelsjournal!$M$3:$M$500,"&lt;0")),"")</f>
        <v/>
      </c>
      <c r="F28" s="20">
        <f t="shared" si="0"/>
        <v>2311.9999999999895</v>
      </c>
    </row>
    <row r="29" spans="2:6" x14ac:dyDescent="0.25">
      <c r="B29" s="16" t="s">
        <v>36</v>
      </c>
      <c r="C29" s="17">
        <f>COUNTIFS(Handelsjournal!$B$3:$B$500,"&gt;="&amp;DATE(2026,9,1),Handelsjournal!$B$3:$B$500,"&lt;="&amp;EOMONTH(DATE(2026,9,1),0))</f>
        <v>0</v>
      </c>
      <c r="D29" s="18">
        <f>SUMIFS(Handelsjournal!$M$3:$M$500,Handelsjournal!$B$3:$B$500,"&gt;="&amp;DATE(2026,9,1),Handelsjournal!$B$3:$B$500,"&lt;="&amp;EOMONTH(DATE(2026,9,1),0))</f>
        <v>0</v>
      </c>
      <c r="E29" s="19" t="str">
        <f>IFERROR(COUNTIFS(Handelsjournal!$B$3:$B$500,"&gt;="&amp;DATE(2026,9,1),Handelsjournal!$B$3:$B$500,"&lt;="&amp;EOMONTH(DATE(2026,9,1),0),Handelsjournal!$M$3:$M$500,"&gt;0")/(COUNTIFS(Handelsjournal!$B$3:$B$500,"&gt;="&amp;DATE(2026,9,1),Handelsjournal!$B$3:$B$500,"&lt;="&amp;EOMONTH(DATE(2026,9,1),0),Handelsjournal!$M$3:$M$500,"&gt;0")+COUNTIFS(Handelsjournal!$B$3:$B$500,"&gt;="&amp;DATE(2026,9,1),Handelsjournal!$B$3:$B$500,"&lt;="&amp;EOMONTH(DATE(2026,9,1),0),Handelsjournal!$M$3:$M$500,"&lt;0")),"")</f>
        <v/>
      </c>
      <c r="F29" s="20">
        <f t="shared" si="0"/>
        <v>2311.9999999999895</v>
      </c>
    </row>
    <row r="30" spans="2:6" x14ac:dyDescent="0.25">
      <c r="B30" s="16" t="s">
        <v>37</v>
      </c>
      <c r="C30" s="17">
        <f>COUNTIFS(Handelsjournal!$B$3:$B$500,"&gt;="&amp;DATE(2026,10,1),Handelsjournal!$B$3:$B$500,"&lt;="&amp;EOMONTH(DATE(2026,10,1),0))</f>
        <v>0</v>
      </c>
      <c r="D30" s="18">
        <f>SUMIFS(Handelsjournal!$M$3:$M$500,Handelsjournal!$B$3:$B$500,"&gt;="&amp;DATE(2026,10,1),Handelsjournal!$B$3:$B$500,"&lt;="&amp;EOMONTH(DATE(2026,10,1),0))</f>
        <v>0</v>
      </c>
      <c r="E30" s="19" t="str">
        <f>IFERROR(COUNTIFS(Handelsjournal!$B$3:$B$500,"&gt;="&amp;DATE(2026,10,1),Handelsjournal!$B$3:$B$500,"&lt;="&amp;EOMONTH(DATE(2026,10,1),0),Handelsjournal!$M$3:$M$500,"&gt;0")/(COUNTIFS(Handelsjournal!$B$3:$B$500,"&gt;="&amp;DATE(2026,10,1),Handelsjournal!$B$3:$B$500,"&lt;="&amp;EOMONTH(DATE(2026,10,1),0),Handelsjournal!$M$3:$M$500,"&gt;0")+COUNTIFS(Handelsjournal!$B$3:$B$500,"&gt;="&amp;DATE(2026,10,1),Handelsjournal!$B$3:$B$500,"&lt;="&amp;EOMONTH(DATE(2026,10,1),0),Handelsjournal!$M$3:$M$500,"&lt;0")),"")</f>
        <v/>
      </c>
      <c r="F30" s="20">
        <f t="shared" si="0"/>
        <v>2311.9999999999895</v>
      </c>
    </row>
    <row r="31" spans="2:6" x14ac:dyDescent="0.25">
      <c r="B31" s="16" t="s">
        <v>38</v>
      </c>
      <c r="C31" s="17">
        <f>COUNTIFS(Handelsjournal!$B$3:$B$500,"&gt;="&amp;DATE(2026,11,1),Handelsjournal!$B$3:$B$500,"&lt;="&amp;EOMONTH(DATE(2026,11,1),0))</f>
        <v>0</v>
      </c>
      <c r="D31" s="18">
        <f>SUMIFS(Handelsjournal!$M$3:$M$500,Handelsjournal!$B$3:$B$500,"&gt;="&amp;DATE(2026,11,1),Handelsjournal!$B$3:$B$500,"&lt;="&amp;EOMONTH(DATE(2026,11,1),0))</f>
        <v>0</v>
      </c>
      <c r="E31" s="19" t="str">
        <f>IFERROR(COUNTIFS(Handelsjournal!$B$3:$B$500,"&gt;="&amp;DATE(2026,11,1),Handelsjournal!$B$3:$B$500,"&lt;="&amp;EOMONTH(DATE(2026,11,1),0),Handelsjournal!$M$3:$M$500,"&gt;0")/(COUNTIFS(Handelsjournal!$B$3:$B$500,"&gt;="&amp;DATE(2026,11,1),Handelsjournal!$B$3:$B$500,"&lt;="&amp;EOMONTH(DATE(2026,11,1),0),Handelsjournal!$M$3:$M$500,"&gt;0")+COUNTIFS(Handelsjournal!$B$3:$B$500,"&gt;="&amp;DATE(2026,11,1),Handelsjournal!$B$3:$B$500,"&lt;="&amp;EOMONTH(DATE(2026,11,1),0),Handelsjournal!$M$3:$M$500,"&lt;0")),"")</f>
        <v/>
      </c>
      <c r="F31" s="20">
        <f t="shared" si="0"/>
        <v>2311.9999999999895</v>
      </c>
    </row>
    <row r="32" spans="2:6" x14ac:dyDescent="0.25">
      <c r="B32" s="16" t="s">
        <v>39</v>
      </c>
      <c r="C32" s="17">
        <f>COUNTIFS(Handelsjournal!$B$3:$B$500,"&gt;="&amp;DATE(2026,12,1),Handelsjournal!$B$3:$B$500,"&lt;="&amp;EOMONTH(DATE(2026,12,1),0))</f>
        <v>0</v>
      </c>
      <c r="D32" s="18">
        <f>SUMIFS(Handelsjournal!$M$3:$M$500,Handelsjournal!$B$3:$B$500,"&gt;="&amp;DATE(2026,12,1),Handelsjournal!$B$3:$B$500,"&lt;="&amp;EOMONTH(DATE(2026,12,1),0))</f>
        <v>0</v>
      </c>
      <c r="E32" s="19" t="str">
        <f>IFERROR(COUNTIFS(Handelsjournal!$B$3:$B$500,"&gt;="&amp;DATE(2026,12,1),Handelsjournal!$B$3:$B$500,"&lt;="&amp;EOMONTH(DATE(2026,12,1),0),Handelsjournal!$M$3:$M$500,"&gt;0")/(COUNTIFS(Handelsjournal!$B$3:$B$500,"&gt;="&amp;DATE(2026,12,1),Handelsjournal!$B$3:$B$500,"&lt;="&amp;EOMONTH(DATE(2026,12,1),0),Handelsjournal!$M$3:$M$500,"&gt;0")+COUNTIFS(Handelsjournal!$B$3:$B$500,"&gt;="&amp;DATE(2026,12,1),Handelsjournal!$B$3:$B$500,"&lt;="&amp;EOMONTH(DATE(2026,12,1),0),Handelsjournal!$M$3:$M$500,"&lt;0")),"")</f>
        <v/>
      </c>
      <c r="F32" s="20">
        <f t="shared" si="0"/>
        <v>2311.9999999999895</v>
      </c>
    </row>
    <row r="33" spans="2:6" x14ac:dyDescent="0.25">
      <c r="B33" s="21" t="s">
        <v>40</v>
      </c>
      <c r="C33" s="22">
        <f>SUM(C21:C32)</f>
        <v>28</v>
      </c>
      <c r="D33" s="23">
        <f>SUM(D21:D32)</f>
        <v>2311.9999999999895</v>
      </c>
      <c r="E33" s="24">
        <f>IFERROR($F$6/$F$5,"")</f>
        <v>0.6428571428571429</v>
      </c>
      <c r="F33" s="25">
        <f>F32</f>
        <v>2311.9999999999895</v>
      </c>
    </row>
    <row r="35" spans="2:6" x14ac:dyDescent="0.25">
      <c r="B35" s="5" t="s">
        <v>41</v>
      </c>
      <c r="C35" s="5"/>
      <c r="D35" s="5"/>
      <c r="E35" s="5"/>
    </row>
    <row r="36" spans="2:6" x14ac:dyDescent="0.25">
      <c r="B36" s="15" t="s">
        <v>42</v>
      </c>
      <c r="C36" s="15" t="s">
        <v>25</v>
      </c>
      <c r="D36" s="15" t="s">
        <v>26</v>
      </c>
      <c r="E36" s="15" t="s">
        <v>10</v>
      </c>
    </row>
    <row r="37" spans="2:6" x14ac:dyDescent="0.25">
      <c r="B37" s="16" t="s">
        <v>43</v>
      </c>
      <c r="C37" s="17">
        <f>COUNTIF(Handelsjournal!$P$3:$P$500,$B37)</f>
        <v>7</v>
      </c>
      <c r="D37" s="18">
        <f>SUMIF(Handelsjournal!$P$3:$P$500,$B37,Handelsjournal!$M$3:$M$500)</f>
        <v>867.99999999999989</v>
      </c>
      <c r="E37" s="19">
        <f>IFERROR(COUNTIFS(Handelsjournal!$P$3:$P$500,$B37,Handelsjournal!$M$3:$M$500,"&gt;0")/(COUNTIFS(Handelsjournal!$P$3:$P$500,$B37,Handelsjournal!$M$3:$M$500,"&gt;0")+COUNTIFS(Handelsjournal!$P$3:$P$500,$B37,Handelsjournal!$M$3:$M$500,"&lt;0")),"")</f>
        <v>0.8571428571428571</v>
      </c>
    </row>
    <row r="38" spans="2:6" x14ac:dyDescent="0.25">
      <c r="B38" s="16" t="s">
        <v>44</v>
      </c>
      <c r="C38" s="17">
        <f>COUNTIF(Handelsjournal!$P$3:$P$500,$B38)</f>
        <v>4</v>
      </c>
      <c r="D38" s="18">
        <f>SUMIF(Handelsjournal!$P$3:$P$500,$B38,Handelsjournal!$M$3:$M$500)</f>
        <v>815.00000000000011</v>
      </c>
      <c r="E38" s="19">
        <f>IFERROR(COUNTIFS(Handelsjournal!$P$3:$P$500,$B38,Handelsjournal!$M$3:$M$500,"&gt;0")/(COUNTIFS(Handelsjournal!$P$3:$P$500,$B38,Handelsjournal!$M$3:$M$500,"&gt;0")+COUNTIFS(Handelsjournal!$P$3:$P$500,$B38,Handelsjournal!$M$3:$M$500,"&lt;0")),"")</f>
        <v>1</v>
      </c>
    </row>
    <row r="39" spans="2:6" x14ac:dyDescent="0.25">
      <c r="B39" s="16" t="s">
        <v>45</v>
      </c>
      <c r="C39" s="17">
        <f>COUNTIF(Handelsjournal!$P$3:$P$500,$B39)</f>
        <v>5</v>
      </c>
      <c r="D39" s="18">
        <f>SUMIF(Handelsjournal!$P$3:$P$500,$B39,Handelsjournal!$M$3:$M$500)</f>
        <v>56.999999999993534</v>
      </c>
      <c r="E39" s="19">
        <f>IFERROR(COUNTIFS(Handelsjournal!$P$3:$P$500,$B39,Handelsjournal!$M$3:$M$500,"&gt;0")/(COUNTIFS(Handelsjournal!$P$3:$P$500,$B39,Handelsjournal!$M$3:$M$500,"&gt;0")+COUNTIFS(Handelsjournal!$P$3:$P$500,$B39,Handelsjournal!$M$3:$M$500,"&lt;0")),"")</f>
        <v>0.4</v>
      </c>
    </row>
    <row r="40" spans="2:6" x14ac:dyDescent="0.25">
      <c r="B40" s="16" t="s">
        <v>46</v>
      </c>
      <c r="C40" s="17">
        <f>COUNTIF(Handelsjournal!$P$3:$P$500,$B40)</f>
        <v>6</v>
      </c>
      <c r="D40" s="18">
        <f>SUMIF(Handelsjournal!$P$3:$P$500,$B40,Handelsjournal!$M$3:$M$500)</f>
        <v>323.49999999999761</v>
      </c>
      <c r="E40" s="19">
        <f>IFERROR(COUNTIFS(Handelsjournal!$P$3:$P$500,$B40,Handelsjournal!$M$3:$M$500,"&gt;0")/(COUNTIFS(Handelsjournal!$P$3:$P$500,$B40,Handelsjournal!$M$3:$M$500,"&gt;0")+COUNTIFS(Handelsjournal!$P$3:$P$500,$B40,Handelsjournal!$M$3:$M$500,"&lt;0")),"")</f>
        <v>0.66666666666666663</v>
      </c>
    </row>
    <row r="41" spans="2:6" x14ac:dyDescent="0.25">
      <c r="B41" s="16" t="s">
        <v>47</v>
      </c>
      <c r="C41" s="17">
        <f>COUNTIF(Handelsjournal!$P$3:$P$500,$B41)</f>
        <v>4</v>
      </c>
      <c r="D41" s="18">
        <f>SUMIF(Handelsjournal!$P$3:$P$500,$B41,Handelsjournal!$M$3:$M$500)</f>
        <v>-102.50000000000142</v>
      </c>
      <c r="E41" s="19">
        <f>IFERROR(COUNTIFS(Handelsjournal!$P$3:$P$500,$B41,Handelsjournal!$M$3:$M$500,"&gt;0")/(COUNTIFS(Handelsjournal!$P$3:$P$500,$B41,Handelsjournal!$M$3:$M$500,"&gt;0")+COUNTIFS(Handelsjournal!$P$3:$P$500,$B41,Handelsjournal!$M$3:$M$500,"&lt;0")),"")</f>
        <v>0.25</v>
      </c>
    </row>
    <row r="42" spans="2:6" x14ac:dyDescent="0.25">
      <c r="B42" s="16" t="s">
        <v>48</v>
      </c>
      <c r="C42" s="17">
        <f>COUNTIF(Handelsjournal!$P$3:$P$500,$B42)</f>
        <v>1</v>
      </c>
      <c r="D42" s="18">
        <f>SUMIF(Handelsjournal!$P$3:$P$500,$B42,Handelsjournal!$M$3:$M$500)</f>
        <v>416</v>
      </c>
      <c r="E42" s="19">
        <f>IFERROR(COUNTIFS(Handelsjournal!$P$3:$P$500,$B42,Handelsjournal!$M$3:$M$500,"&gt;0")/(COUNTIFS(Handelsjournal!$P$3:$P$500,$B42,Handelsjournal!$M$3:$M$500,"&gt;0")+COUNTIFS(Handelsjournal!$P$3:$P$500,$B42,Handelsjournal!$M$3:$M$500,"&lt;0")),"")</f>
        <v>1</v>
      </c>
    </row>
    <row r="43" spans="2:6" x14ac:dyDescent="0.25">
      <c r="B43" s="16" t="s">
        <v>49</v>
      </c>
      <c r="C43" s="17">
        <f>COUNTIF(Handelsjournal!$P$3:$P$500,$B43)</f>
        <v>1</v>
      </c>
      <c r="D43" s="18">
        <f>SUMIF(Handelsjournal!$P$3:$P$500,$B43,Handelsjournal!$M$3:$M$500)</f>
        <v>-65</v>
      </c>
      <c r="E43" s="19">
        <f>IFERROR(COUNTIFS(Handelsjournal!$P$3:$P$500,$B43,Handelsjournal!$M$3:$M$500,"&gt;0")/(COUNTIFS(Handelsjournal!$P$3:$P$500,$B43,Handelsjournal!$M$3:$M$500,"&gt;0")+COUNTIFS(Handelsjournal!$P$3:$P$500,$B43,Handelsjournal!$M$3:$M$500,"&lt;0")),"")</f>
        <v>0</v>
      </c>
    </row>
    <row r="44" spans="2:6" x14ac:dyDescent="0.25">
      <c r="B44" s="16" t="s">
        <v>50</v>
      </c>
      <c r="C44" s="17">
        <f>COUNTIF(Handelsjournal!$P$3:$P$500,$B44)</f>
        <v>0</v>
      </c>
      <c r="D44" s="18">
        <f>SUMIF(Handelsjournal!$P$3:$P$500,$B44,Handelsjournal!$M$3:$M$500)</f>
        <v>0</v>
      </c>
      <c r="E44" s="19" t="str">
        <f>IFERROR(COUNTIFS(Handelsjournal!$P$3:$P$500,$B44,Handelsjournal!$M$3:$M$500,"&gt;0")/(COUNTIFS(Handelsjournal!$P$3:$P$500,$B44,Handelsjournal!$M$3:$M$500,"&gt;0")+COUNTIFS(Handelsjournal!$P$3:$P$500,$B44,Handelsjournal!$M$3:$M$500,"&lt;0")),"")</f>
        <v/>
      </c>
    </row>
  </sheetData>
  <mergeCells count="6">
    <mergeCell ref="B35:E35"/>
    <mergeCell ref="B1:H1"/>
    <mergeCell ref="B2:H2"/>
    <mergeCell ref="B4:C4"/>
    <mergeCell ref="E4:F4"/>
    <mergeCell ref="B19:F19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808080"/>
  </sheetPr>
  <dimension ref="A1:N138"/>
  <sheetViews>
    <sheetView zoomScaleNormal="100" workbookViewId="0"/>
  </sheetViews>
  <sheetFormatPr baseColWidth="10" defaultColWidth="8.7109375" defaultRowHeight="15" x14ac:dyDescent="0.25"/>
  <cols>
    <col min="1" max="1" width="28" customWidth="1"/>
    <col min="2" max="2" width="16" customWidth="1"/>
    <col min="3" max="9" width="14" customWidth="1"/>
    <col min="11" max="14" width="13" hidden="1" customWidth="1"/>
  </cols>
  <sheetData>
    <row r="1" spans="1:9" ht="18.75" x14ac:dyDescent="0.25">
      <c r="A1" s="4" t="s">
        <v>51</v>
      </c>
      <c r="B1" s="4"/>
    </row>
    <row r="3" spans="1:9" x14ac:dyDescent="0.25">
      <c r="A3" s="26" t="s">
        <v>52</v>
      </c>
      <c r="B3" s="27">
        <v>10000</v>
      </c>
    </row>
    <row r="4" spans="1:9" x14ac:dyDescent="0.25">
      <c r="A4" s="26" t="s">
        <v>53</v>
      </c>
      <c r="B4" s="28">
        <v>0.01</v>
      </c>
    </row>
    <row r="5" spans="1:9" x14ac:dyDescent="0.25">
      <c r="A5" s="26" t="s">
        <v>54</v>
      </c>
      <c r="B5" s="29" t="s">
        <v>55</v>
      </c>
    </row>
    <row r="6" spans="1:9" x14ac:dyDescent="0.25">
      <c r="A6" s="26" t="s">
        <v>56</v>
      </c>
      <c r="B6" s="29" t="s">
        <v>57</v>
      </c>
    </row>
    <row r="7" spans="1:9" x14ac:dyDescent="0.25">
      <c r="A7" s="26" t="s">
        <v>58</v>
      </c>
      <c r="B7" s="30">
        <v>2026</v>
      </c>
    </row>
    <row r="8" spans="1:9" x14ac:dyDescent="0.25">
      <c r="D8" s="15" t="s">
        <v>59</v>
      </c>
      <c r="E8" s="15" t="s">
        <v>60</v>
      </c>
      <c r="F8" s="15" t="s">
        <v>61</v>
      </c>
      <c r="G8" s="15" t="s">
        <v>62</v>
      </c>
      <c r="H8" s="15" t="s">
        <v>63</v>
      </c>
      <c r="I8" s="15" t="s">
        <v>64</v>
      </c>
    </row>
    <row r="9" spans="1:9" x14ac:dyDescent="0.25">
      <c r="D9" s="31" t="s">
        <v>65</v>
      </c>
      <c r="E9" s="31" t="s">
        <v>66</v>
      </c>
      <c r="F9" s="31" t="s">
        <v>43</v>
      </c>
      <c r="G9" s="31" t="s">
        <v>67</v>
      </c>
      <c r="H9" s="31" t="s">
        <v>68</v>
      </c>
      <c r="I9" s="32">
        <v>1</v>
      </c>
    </row>
    <row r="10" spans="1:9" x14ac:dyDescent="0.25">
      <c r="D10" s="31" t="s">
        <v>69</v>
      </c>
      <c r="E10" s="31" t="s">
        <v>70</v>
      </c>
      <c r="F10" s="31" t="s">
        <v>44</v>
      </c>
      <c r="G10" s="31" t="s">
        <v>71</v>
      </c>
      <c r="H10" s="31" t="s">
        <v>72</v>
      </c>
      <c r="I10" s="32">
        <v>2</v>
      </c>
    </row>
    <row r="11" spans="1:9" x14ac:dyDescent="0.25">
      <c r="D11" s="31" t="s">
        <v>73</v>
      </c>
      <c r="F11" s="31" t="s">
        <v>45</v>
      </c>
      <c r="G11" s="31" t="s">
        <v>74</v>
      </c>
      <c r="H11" s="31" t="s">
        <v>75</v>
      </c>
      <c r="I11" s="32">
        <v>3</v>
      </c>
    </row>
    <row r="12" spans="1:9" x14ac:dyDescent="0.25">
      <c r="D12" s="31" t="s">
        <v>76</v>
      </c>
      <c r="F12" s="31" t="s">
        <v>46</v>
      </c>
      <c r="H12" s="31" t="s">
        <v>77</v>
      </c>
      <c r="I12" s="32">
        <v>4</v>
      </c>
    </row>
    <row r="13" spans="1:9" x14ac:dyDescent="0.25">
      <c r="D13" s="31" t="s">
        <v>78</v>
      </c>
      <c r="F13" s="31" t="s">
        <v>47</v>
      </c>
      <c r="H13" s="31" t="s">
        <v>79</v>
      </c>
      <c r="I13" s="32">
        <v>5</v>
      </c>
    </row>
    <row r="14" spans="1:9" x14ac:dyDescent="0.25">
      <c r="D14" s="31" t="s">
        <v>80</v>
      </c>
      <c r="F14" s="31" t="s">
        <v>48</v>
      </c>
      <c r="H14" s="31" t="s">
        <v>81</v>
      </c>
    </row>
    <row r="15" spans="1:9" x14ac:dyDescent="0.25">
      <c r="D15" s="31" t="s">
        <v>82</v>
      </c>
      <c r="F15" s="31" t="s">
        <v>49</v>
      </c>
    </row>
    <row r="16" spans="1:9" x14ac:dyDescent="0.25">
      <c r="D16" s="31" t="s">
        <v>83</v>
      </c>
      <c r="F16" s="31" t="s">
        <v>50</v>
      </c>
    </row>
    <row r="20" spans="11:14" x14ac:dyDescent="0.25">
      <c r="K20" s="3" t="s">
        <v>84</v>
      </c>
      <c r="L20" s="3"/>
      <c r="M20" s="3"/>
      <c r="N20" s="3"/>
    </row>
    <row r="21" spans="11:14" x14ac:dyDescent="0.25">
      <c r="K21" s="33">
        <f>IF(Handelsjournal!T3="","",Handelsjournal!T3)</f>
        <v>10138</v>
      </c>
      <c r="L21">
        <f>IF(K21="","",MAX(Listen!$B$3,MAX($K$21:K21)))</f>
        <v>10138</v>
      </c>
      <c r="M21">
        <f t="shared" ref="M21:M52" si="0">IF(K21="","",K21-L21)</f>
        <v>0</v>
      </c>
      <c r="N21">
        <f t="shared" ref="N21:N52" si="1">IFERROR(IF(K21="","",M21/L21),"")</f>
        <v>0</v>
      </c>
    </row>
    <row r="22" spans="11:14" x14ac:dyDescent="0.25">
      <c r="K22" s="33">
        <f>IF(Handelsjournal!T4="","",Handelsjournal!T4)</f>
        <v>10094.999999999998</v>
      </c>
      <c r="L22">
        <f>IF(K22="","",MAX(Listen!$B$3,MAX($K$21:K22)))</f>
        <v>10138</v>
      </c>
      <c r="M22">
        <f t="shared" si="0"/>
        <v>-43.000000000001819</v>
      </c>
      <c r="N22">
        <f t="shared" si="1"/>
        <v>-4.2414677451175593E-3</v>
      </c>
    </row>
    <row r="23" spans="11:14" x14ac:dyDescent="0.25">
      <c r="K23" s="33">
        <f>IF(Handelsjournal!T5="","",Handelsjournal!T5)</f>
        <v>10264.999999999998</v>
      </c>
      <c r="L23">
        <f>IF(K23="","",MAX(Listen!$B$3,MAX($K$21:K23)))</f>
        <v>10264.999999999998</v>
      </c>
      <c r="M23">
        <f t="shared" si="0"/>
        <v>0</v>
      </c>
      <c r="N23">
        <f t="shared" si="1"/>
        <v>0</v>
      </c>
    </row>
    <row r="24" spans="11:14" x14ac:dyDescent="0.25">
      <c r="K24" s="33">
        <f>IF(Handelsjournal!T6="","",Handelsjournal!T6)</f>
        <v>10131</v>
      </c>
      <c r="L24">
        <f>IF(K24="","",MAX(Listen!$B$3,MAX($K$21:K24)))</f>
        <v>10264.999999999998</v>
      </c>
      <c r="M24">
        <f t="shared" si="0"/>
        <v>-133.99999999999818</v>
      </c>
      <c r="N24">
        <f t="shared" si="1"/>
        <v>-1.305406721870416E-2</v>
      </c>
    </row>
    <row r="25" spans="11:14" x14ac:dyDescent="0.25">
      <c r="K25" s="33">
        <f>IF(Handelsjournal!T7="","",Handelsjournal!T7)</f>
        <v>10191</v>
      </c>
      <c r="L25">
        <f>IF(K25="","",MAX(Listen!$B$3,MAX($K$21:K25)))</f>
        <v>10264.999999999998</v>
      </c>
      <c r="M25">
        <f t="shared" si="0"/>
        <v>-73.999999999998181</v>
      </c>
      <c r="N25">
        <f t="shared" si="1"/>
        <v>-7.2089624939111734E-3</v>
      </c>
    </row>
    <row r="26" spans="11:14" x14ac:dyDescent="0.25">
      <c r="K26" s="33">
        <f>IF(Handelsjournal!T8="","",Handelsjournal!T8)</f>
        <v>10388.999999999998</v>
      </c>
      <c r="L26">
        <f>IF(K26="","",MAX(Listen!$B$3,MAX($K$21:K26)))</f>
        <v>10388.999999999998</v>
      </c>
      <c r="M26">
        <f t="shared" si="0"/>
        <v>0</v>
      </c>
      <c r="N26">
        <f t="shared" si="1"/>
        <v>0</v>
      </c>
    </row>
    <row r="27" spans="11:14" x14ac:dyDescent="0.25">
      <c r="K27" s="33">
        <f>IF(Handelsjournal!T9="","",Handelsjournal!T9)</f>
        <v>10556.999999999998</v>
      </c>
      <c r="L27">
        <f>IF(K27="","",MAX(Listen!$B$3,MAX($K$21:K27)))</f>
        <v>10556.999999999998</v>
      </c>
      <c r="M27">
        <f t="shared" si="0"/>
        <v>0</v>
      </c>
      <c r="N27">
        <f t="shared" si="1"/>
        <v>0</v>
      </c>
    </row>
    <row r="28" spans="11:14" x14ac:dyDescent="0.25">
      <c r="K28" s="33">
        <f>IF(Handelsjournal!T10="","",Handelsjournal!T10)</f>
        <v>10516.499999999998</v>
      </c>
      <c r="L28">
        <f>IF(K28="","",MAX(Listen!$B$3,MAX($K$21:K28)))</f>
        <v>10556.999999999998</v>
      </c>
      <c r="M28">
        <f t="shared" si="0"/>
        <v>-40.5</v>
      </c>
      <c r="N28">
        <f t="shared" si="1"/>
        <v>-3.8363171355498727E-3</v>
      </c>
    </row>
    <row r="29" spans="11:14" x14ac:dyDescent="0.25">
      <c r="K29" s="33">
        <f>IF(Handelsjournal!T11="","",Handelsjournal!T11)</f>
        <v>10232.499999999998</v>
      </c>
      <c r="L29">
        <f>IF(K29="","",MAX(Listen!$B$3,MAX($K$21:K29)))</f>
        <v>10556.999999999998</v>
      </c>
      <c r="M29">
        <f t="shared" si="0"/>
        <v>-324.5</v>
      </c>
      <c r="N29">
        <f t="shared" si="1"/>
        <v>-3.0737899024344043E-2</v>
      </c>
    </row>
    <row r="30" spans="11:14" x14ac:dyDescent="0.25">
      <c r="K30" s="33">
        <f>IF(Handelsjournal!T12="","",Handelsjournal!T12)</f>
        <v>10170.499999999998</v>
      </c>
      <c r="L30">
        <f>IF(K30="","",MAX(Listen!$B$3,MAX($K$21:K30)))</f>
        <v>10556.999999999998</v>
      </c>
      <c r="M30">
        <f t="shared" si="0"/>
        <v>-386.5</v>
      </c>
      <c r="N30">
        <f t="shared" si="1"/>
        <v>-3.6610779577531505E-2</v>
      </c>
    </row>
    <row r="31" spans="11:14" x14ac:dyDescent="0.25">
      <c r="K31" s="33">
        <f>IF(Handelsjournal!T13="","",Handelsjournal!T13)</f>
        <v>10265.499999999998</v>
      </c>
      <c r="L31">
        <f>IF(K31="","",MAX(Listen!$B$3,MAX($K$21:K31)))</f>
        <v>10556.999999999998</v>
      </c>
      <c r="M31">
        <f t="shared" si="0"/>
        <v>-291.5</v>
      </c>
      <c r="N31">
        <f t="shared" si="1"/>
        <v>-2.7612010987970073E-2</v>
      </c>
    </row>
    <row r="32" spans="11:14" x14ac:dyDescent="0.25">
      <c r="K32" s="33">
        <f>IF(Handelsjournal!T14="","",Handelsjournal!T14)</f>
        <v>10442.499999999998</v>
      </c>
      <c r="L32">
        <f>IF(K32="","",MAX(Listen!$B$3,MAX($K$21:K32)))</f>
        <v>10556.999999999998</v>
      </c>
      <c r="M32">
        <f t="shared" si="0"/>
        <v>-114.5</v>
      </c>
      <c r="N32">
        <f t="shared" si="1"/>
        <v>-1.0845884247418777E-2</v>
      </c>
    </row>
    <row r="33" spans="11:14" x14ac:dyDescent="0.25">
      <c r="K33" s="33">
        <f>IF(Handelsjournal!T15="","",Handelsjournal!T15)</f>
        <v>10418.499999999998</v>
      </c>
      <c r="L33">
        <f>IF(K33="","",MAX(Listen!$B$3,MAX($K$21:K33)))</f>
        <v>10556.999999999998</v>
      </c>
      <c r="M33">
        <f t="shared" si="0"/>
        <v>-138.5</v>
      </c>
      <c r="N33">
        <f t="shared" si="1"/>
        <v>-1.3119257364781664E-2</v>
      </c>
    </row>
    <row r="34" spans="11:14" x14ac:dyDescent="0.25">
      <c r="K34" s="33">
        <f>IF(Handelsjournal!T16="","",Handelsjournal!T16)</f>
        <v>10552.999999999995</v>
      </c>
      <c r="L34">
        <f>IF(K34="","",MAX(Listen!$B$3,MAX($K$21:K34)))</f>
        <v>10556.999999999998</v>
      </c>
      <c r="M34">
        <f t="shared" si="0"/>
        <v>-4.000000000003638</v>
      </c>
      <c r="N34">
        <f t="shared" si="1"/>
        <v>-3.7889551956082586E-4</v>
      </c>
    </row>
    <row r="35" spans="11:14" x14ac:dyDescent="0.25">
      <c r="K35" s="33">
        <f>IF(Handelsjournal!T17="","",Handelsjournal!T17)</f>
        <v>10816.999999999993</v>
      </c>
      <c r="L35">
        <f>IF(K35="","",MAX(Listen!$B$3,MAX($K$21:K35)))</f>
        <v>10816.999999999993</v>
      </c>
      <c r="M35">
        <f t="shared" si="0"/>
        <v>0</v>
      </c>
      <c r="N35">
        <f t="shared" si="1"/>
        <v>0</v>
      </c>
    </row>
    <row r="36" spans="11:14" x14ac:dyDescent="0.25">
      <c r="K36" s="33">
        <f>IF(Handelsjournal!T18="","",Handelsjournal!T18)</f>
        <v>10754.999999999993</v>
      </c>
      <c r="L36">
        <f>IF(K36="","",MAX(Listen!$B$3,MAX($K$21:K36)))</f>
        <v>10816.999999999993</v>
      </c>
      <c r="M36">
        <f t="shared" si="0"/>
        <v>-62</v>
      </c>
      <c r="N36">
        <f t="shared" si="1"/>
        <v>-5.7317185911065953E-3</v>
      </c>
    </row>
    <row r="37" spans="11:14" x14ac:dyDescent="0.25">
      <c r="K37" s="33">
        <f>IF(Handelsjournal!T19="","",Handelsjournal!T19)</f>
        <v>11024.999999999993</v>
      </c>
      <c r="L37">
        <f>IF(K37="","",MAX(Listen!$B$3,MAX($K$21:K37)))</f>
        <v>11024.999999999993</v>
      </c>
      <c r="M37">
        <f t="shared" si="0"/>
        <v>0</v>
      </c>
      <c r="N37">
        <f t="shared" si="1"/>
        <v>0</v>
      </c>
    </row>
    <row r="38" spans="11:14" x14ac:dyDescent="0.25">
      <c r="K38" s="33">
        <f>IF(Handelsjournal!T20="","",Handelsjournal!T20)</f>
        <v>10946.999999999993</v>
      </c>
      <c r="L38">
        <f>IF(K38="","",MAX(Listen!$B$3,MAX($K$21:K38)))</f>
        <v>11024.999999999993</v>
      </c>
      <c r="M38">
        <f t="shared" si="0"/>
        <v>-78</v>
      </c>
      <c r="N38">
        <f t="shared" si="1"/>
        <v>-7.0748299319727936E-3</v>
      </c>
    </row>
    <row r="39" spans="11:14" x14ac:dyDescent="0.25">
      <c r="K39" s="33">
        <f>IF(Handelsjournal!T21="","",Handelsjournal!T21)</f>
        <v>11068.999999999991</v>
      </c>
      <c r="L39">
        <f>IF(K39="","",MAX(Listen!$B$3,MAX($K$21:K39)))</f>
        <v>11068.999999999991</v>
      </c>
      <c r="M39">
        <f t="shared" si="0"/>
        <v>0</v>
      </c>
      <c r="N39">
        <f t="shared" si="1"/>
        <v>0</v>
      </c>
    </row>
    <row r="40" spans="11:14" x14ac:dyDescent="0.25">
      <c r="K40" s="33">
        <f>IF(Handelsjournal!T22="","",Handelsjournal!T22)</f>
        <v>11389.999999999991</v>
      </c>
      <c r="L40">
        <f>IF(K40="","",MAX(Listen!$B$3,MAX($K$21:K40)))</f>
        <v>11389.999999999991</v>
      </c>
      <c r="M40">
        <f t="shared" si="0"/>
        <v>0</v>
      </c>
      <c r="N40">
        <f t="shared" si="1"/>
        <v>0</v>
      </c>
    </row>
    <row r="41" spans="11:14" x14ac:dyDescent="0.25">
      <c r="K41" s="33">
        <f>IF(Handelsjournal!T23="","",Handelsjournal!T23)</f>
        <v>11307.999999999991</v>
      </c>
      <c r="L41">
        <f>IF(K41="","",MAX(Listen!$B$3,MAX($K$21:K41)))</f>
        <v>11389.999999999991</v>
      </c>
      <c r="M41">
        <f t="shared" si="0"/>
        <v>-82</v>
      </c>
      <c r="N41">
        <f t="shared" si="1"/>
        <v>-7.1992976294995665E-3</v>
      </c>
    </row>
    <row r="42" spans="11:14" x14ac:dyDescent="0.25">
      <c r="K42" s="33">
        <f>IF(Handelsjournal!T24="","",Handelsjournal!T24)</f>
        <v>11347.999999999991</v>
      </c>
      <c r="L42">
        <f>IF(K42="","",MAX(Listen!$B$3,MAX($K$21:K42)))</f>
        <v>11389.999999999991</v>
      </c>
      <c r="M42">
        <f t="shared" si="0"/>
        <v>-42</v>
      </c>
      <c r="N42">
        <f t="shared" si="1"/>
        <v>-3.6874451273046561E-3</v>
      </c>
    </row>
    <row r="43" spans="11:14" x14ac:dyDescent="0.25">
      <c r="K43" s="33">
        <f>IF(Handelsjournal!T25="","",Handelsjournal!T25)</f>
        <v>11763.999999999991</v>
      </c>
      <c r="L43">
        <f>IF(K43="","",MAX(Listen!$B$3,MAX($K$21:K43)))</f>
        <v>11763.999999999991</v>
      </c>
      <c r="M43">
        <f t="shared" si="0"/>
        <v>0</v>
      </c>
      <c r="N43">
        <f t="shared" si="1"/>
        <v>0</v>
      </c>
    </row>
    <row r="44" spans="11:14" x14ac:dyDescent="0.25">
      <c r="K44" s="33">
        <f>IF(Handelsjournal!T26="","",Handelsjournal!T26)</f>
        <v>11901.999999999991</v>
      </c>
      <c r="L44">
        <f>IF(K44="","",MAX(Listen!$B$3,MAX($K$21:K44)))</f>
        <v>11901.999999999991</v>
      </c>
      <c r="M44">
        <f t="shared" si="0"/>
        <v>0</v>
      </c>
      <c r="N44">
        <f t="shared" si="1"/>
        <v>0</v>
      </c>
    </row>
    <row r="45" spans="11:14" x14ac:dyDescent="0.25">
      <c r="K45" s="33">
        <f>IF(Handelsjournal!T27="","",Handelsjournal!T27)</f>
        <v>11836.999999999991</v>
      </c>
      <c r="L45">
        <f>IF(K45="","",MAX(Listen!$B$3,MAX($K$21:K45)))</f>
        <v>11901.999999999991</v>
      </c>
      <c r="M45">
        <f t="shared" si="0"/>
        <v>-65</v>
      </c>
      <c r="N45">
        <f t="shared" si="1"/>
        <v>-5.4612670139472397E-3</v>
      </c>
    </row>
    <row r="46" spans="11:14" x14ac:dyDescent="0.25">
      <c r="K46" s="33">
        <f>IF(Handelsjournal!T28="","",Handelsjournal!T28)</f>
        <v>11946.499999999989</v>
      </c>
      <c r="L46">
        <f>IF(K46="","",MAX(Listen!$B$3,MAX($K$21:K46)))</f>
        <v>11946.499999999989</v>
      </c>
      <c r="M46">
        <f t="shared" si="0"/>
        <v>0</v>
      </c>
      <c r="N46">
        <f t="shared" si="1"/>
        <v>0</v>
      </c>
    </row>
    <row r="47" spans="11:14" x14ac:dyDescent="0.25">
      <c r="K47" s="33">
        <f>IF(Handelsjournal!T29="","",Handelsjournal!T29)</f>
        <v>12080.999999999989</v>
      </c>
      <c r="L47">
        <f>IF(K47="","",MAX(Listen!$B$3,MAX($K$21:K47)))</f>
        <v>12080.999999999989</v>
      </c>
      <c r="M47">
        <f t="shared" si="0"/>
        <v>0</v>
      </c>
      <c r="N47">
        <f t="shared" si="1"/>
        <v>0</v>
      </c>
    </row>
    <row r="48" spans="11:14" x14ac:dyDescent="0.25">
      <c r="K48" s="33">
        <f>IF(Handelsjournal!T30="","",Handelsjournal!T30)</f>
        <v>12311.999999999989</v>
      </c>
      <c r="L48">
        <f>IF(K48="","",MAX(Listen!$B$3,MAX($K$21:K48)))</f>
        <v>12311.999999999989</v>
      </c>
      <c r="M48">
        <f t="shared" si="0"/>
        <v>0</v>
      </c>
      <c r="N48">
        <f t="shared" si="1"/>
        <v>0</v>
      </c>
    </row>
    <row r="49" spans="11:14" x14ac:dyDescent="0.25">
      <c r="K49" t="str">
        <f>IF(Handelsjournal!T31="","",Handelsjournal!T31)</f>
        <v/>
      </c>
      <c r="L49" t="str">
        <f>IF(K49="","",MAX(Listen!$B$3,MAX($K$21:K49)))</f>
        <v/>
      </c>
      <c r="M49" t="str">
        <f t="shared" si="0"/>
        <v/>
      </c>
      <c r="N49" t="str">
        <f t="shared" si="1"/>
        <v/>
      </c>
    </row>
    <row r="50" spans="11:14" x14ac:dyDescent="0.25">
      <c r="K50" t="str">
        <f>IF(Handelsjournal!T32="","",Handelsjournal!T32)</f>
        <v/>
      </c>
      <c r="L50" t="str">
        <f>IF(K50="","",MAX(Listen!$B$3,MAX($K$21:K50)))</f>
        <v/>
      </c>
      <c r="M50" t="str">
        <f t="shared" si="0"/>
        <v/>
      </c>
      <c r="N50" t="str">
        <f t="shared" si="1"/>
        <v/>
      </c>
    </row>
    <row r="51" spans="11:14" x14ac:dyDescent="0.25">
      <c r="K51" t="str">
        <f>IF(Handelsjournal!T33="","",Handelsjournal!T33)</f>
        <v/>
      </c>
      <c r="L51" t="str">
        <f>IF(K51="","",MAX(Listen!$B$3,MAX($K$21:K51)))</f>
        <v/>
      </c>
      <c r="M51" t="str">
        <f t="shared" si="0"/>
        <v/>
      </c>
      <c r="N51" t="str">
        <f t="shared" si="1"/>
        <v/>
      </c>
    </row>
    <row r="52" spans="11:14" x14ac:dyDescent="0.25">
      <c r="K52" t="str">
        <f>IF(Handelsjournal!T34="","",Handelsjournal!T34)</f>
        <v/>
      </c>
      <c r="L52" t="str">
        <f>IF(K52="","",MAX(Listen!$B$3,MAX($K$21:K52)))</f>
        <v/>
      </c>
      <c r="M52" t="str">
        <f t="shared" si="0"/>
        <v/>
      </c>
      <c r="N52" t="str">
        <f t="shared" si="1"/>
        <v/>
      </c>
    </row>
    <row r="53" spans="11:14" x14ac:dyDescent="0.25">
      <c r="K53" t="str">
        <f>IF(Handelsjournal!T35="","",Handelsjournal!T35)</f>
        <v/>
      </c>
      <c r="L53" t="str">
        <f>IF(K53="","",MAX(Listen!$B$3,MAX($K$21:K53)))</f>
        <v/>
      </c>
      <c r="M53" t="str">
        <f t="shared" ref="M53:M84" si="2">IF(K53="","",K53-L53)</f>
        <v/>
      </c>
      <c r="N53" t="str">
        <f t="shared" ref="N53:N84" si="3">IFERROR(IF(K53="","",M53/L53),"")</f>
        <v/>
      </c>
    </row>
    <row r="54" spans="11:14" x14ac:dyDescent="0.25">
      <c r="K54" t="str">
        <f>IF(Handelsjournal!T36="","",Handelsjournal!T36)</f>
        <v/>
      </c>
      <c r="L54" t="str">
        <f>IF(K54="","",MAX(Listen!$B$3,MAX($K$21:K54)))</f>
        <v/>
      </c>
      <c r="M54" t="str">
        <f t="shared" si="2"/>
        <v/>
      </c>
      <c r="N54" t="str">
        <f t="shared" si="3"/>
        <v/>
      </c>
    </row>
    <row r="55" spans="11:14" x14ac:dyDescent="0.25">
      <c r="K55" t="str">
        <f>IF(Handelsjournal!T37="","",Handelsjournal!T37)</f>
        <v/>
      </c>
      <c r="L55" t="str">
        <f>IF(K55="","",MAX(Listen!$B$3,MAX($K$21:K55)))</f>
        <v/>
      </c>
      <c r="M55" t="str">
        <f t="shared" si="2"/>
        <v/>
      </c>
      <c r="N55" t="str">
        <f t="shared" si="3"/>
        <v/>
      </c>
    </row>
    <row r="56" spans="11:14" x14ac:dyDescent="0.25">
      <c r="K56" t="str">
        <f>IF(Handelsjournal!T38="","",Handelsjournal!T38)</f>
        <v/>
      </c>
      <c r="L56" t="str">
        <f>IF(K56="","",MAX(Listen!$B$3,MAX($K$21:K56)))</f>
        <v/>
      </c>
      <c r="M56" t="str">
        <f t="shared" si="2"/>
        <v/>
      </c>
      <c r="N56" t="str">
        <f t="shared" si="3"/>
        <v/>
      </c>
    </row>
    <row r="57" spans="11:14" x14ac:dyDescent="0.25">
      <c r="K57" t="str">
        <f>IF(Handelsjournal!T39="","",Handelsjournal!T39)</f>
        <v/>
      </c>
      <c r="L57" t="str">
        <f>IF(K57="","",MAX(Listen!$B$3,MAX($K$21:K57)))</f>
        <v/>
      </c>
      <c r="M57" t="str">
        <f t="shared" si="2"/>
        <v/>
      </c>
      <c r="N57" t="str">
        <f t="shared" si="3"/>
        <v/>
      </c>
    </row>
    <row r="58" spans="11:14" x14ac:dyDescent="0.25">
      <c r="K58" t="str">
        <f>IF(Handelsjournal!T40="","",Handelsjournal!T40)</f>
        <v/>
      </c>
      <c r="L58" t="str">
        <f>IF(K58="","",MAX(Listen!$B$3,MAX($K$21:K58)))</f>
        <v/>
      </c>
      <c r="M58" t="str">
        <f t="shared" si="2"/>
        <v/>
      </c>
      <c r="N58" t="str">
        <f t="shared" si="3"/>
        <v/>
      </c>
    </row>
    <row r="59" spans="11:14" x14ac:dyDescent="0.25">
      <c r="K59" t="str">
        <f>IF(Handelsjournal!T41="","",Handelsjournal!T41)</f>
        <v/>
      </c>
      <c r="L59" t="str">
        <f>IF(K59="","",MAX(Listen!$B$3,MAX($K$21:K59)))</f>
        <v/>
      </c>
      <c r="M59" t="str">
        <f t="shared" si="2"/>
        <v/>
      </c>
      <c r="N59" t="str">
        <f t="shared" si="3"/>
        <v/>
      </c>
    </row>
    <row r="60" spans="11:14" x14ac:dyDescent="0.25">
      <c r="K60" t="str">
        <f>IF(Handelsjournal!T42="","",Handelsjournal!T42)</f>
        <v/>
      </c>
      <c r="L60" t="str">
        <f>IF(K60="","",MAX(Listen!$B$3,MAX($K$21:K60)))</f>
        <v/>
      </c>
      <c r="M60" t="str">
        <f t="shared" si="2"/>
        <v/>
      </c>
      <c r="N60" t="str">
        <f t="shared" si="3"/>
        <v/>
      </c>
    </row>
    <row r="61" spans="11:14" x14ac:dyDescent="0.25">
      <c r="K61" t="str">
        <f>IF(Handelsjournal!T43="","",Handelsjournal!T43)</f>
        <v/>
      </c>
      <c r="L61" t="str">
        <f>IF(K61="","",MAX(Listen!$B$3,MAX($K$21:K61)))</f>
        <v/>
      </c>
      <c r="M61" t="str">
        <f t="shared" si="2"/>
        <v/>
      </c>
      <c r="N61" t="str">
        <f t="shared" si="3"/>
        <v/>
      </c>
    </row>
    <row r="62" spans="11:14" x14ac:dyDescent="0.25">
      <c r="K62" t="str">
        <f>IF(Handelsjournal!T44="","",Handelsjournal!T44)</f>
        <v/>
      </c>
      <c r="L62" t="str">
        <f>IF(K62="","",MAX(Listen!$B$3,MAX($K$21:K62)))</f>
        <v/>
      </c>
      <c r="M62" t="str">
        <f t="shared" si="2"/>
        <v/>
      </c>
      <c r="N62" t="str">
        <f t="shared" si="3"/>
        <v/>
      </c>
    </row>
    <row r="63" spans="11:14" x14ac:dyDescent="0.25">
      <c r="K63" t="str">
        <f>IF(Handelsjournal!T45="","",Handelsjournal!T45)</f>
        <v/>
      </c>
      <c r="L63" t="str">
        <f>IF(K63="","",MAX(Listen!$B$3,MAX($K$21:K63)))</f>
        <v/>
      </c>
      <c r="M63" t="str">
        <f t="shared" si="2"/>
        <v/>
      </c>
      <c r="N63" t="str">
        <f t="shared" si="3"/>
        <v/>
      </c>
    </row>
    <row r="64" spans="11:14" x14ac:dyDescent="0.25">
      <c r="K64" t="str">
        <f>IF(Handelsjournal!T46="","",Handelsjournal!T46)</f>
        <v/>
      </c>
      <c r="L64" t="str">
        <f>IF(K64="","",MAX(Listen!$B$3,MAX($K$21:K64)))</f>
        <v/>
      </c>
      <c r="M64" t="str">
        <f t="shared" si="2"/>
        <v/>
      </c>
      <c r="N64" t="str">
        <f t="shared" si="3"/>
        <v/>
      </c>
    </row>
    <row r="65" spans="11:14" x14ac:dyDescent="0.25">
      <c r="K65" t="str">
        <f>IF(Handelsjournal!T47="","",Handelsjournal!T47)</f>
        <v/>
      </c>
      <c r="L65" t="str">
        <f>IF(K65="","",MAX(Listen!$B$3,MAX($K$21:K65)))</f>
        <v/>
      </c>
      <c r="M65" t="str">
        <f t="shared" si="2"/>
        <v/>
      </c>
      <c r="N65" t="str">
        <f t="shared" si="3"/>
        <v/>
      </c>
    </row>
    <row r="66" spans="11:14" x14ac:dyDescent="0.25">
      <c r="K66" t="str">
        <f>IF(Handelsjournal!T48="","",Handelsjournal!T48)</f>
        <v/>
      </c>
      <c r="L66" t="str">
        <f>IF(K66="","",MAX(Listen!$B$3,MAX($K$21:K66)))</f>
        <v/>
      </c>
      <c r="M66" t="str">
        <f t="shared" si="2"/>
        <v/>
      </c>
      <c r="N66" t="str">
        <f t="shared" si="3"/>
        <v/>
      </c>
    </row>
    <row r="67" spans="11:14" x14ac:dyDescent="0.25">
      <c r="K67" t="str">
        <f>IF(Handelsjournal!T49="","",Handelsjournal!T49)</f>
        <v/>
      </c>
      <c r="L67" t="str">
        <f>IF(K67="","",MAX(Listen!$B$3,MAX($K$21:K67)))</f>
        <v/>
      </c>
      <c r="M67" t="str">
        <f t="shared" si="2"/>
        <v/>
      </c>
      <c r="N67" t="str">
        <f t="shared" si="3"/>
        <v/>
      </c>
    </row>
    <row r="68" spans="11:14" x14ac:dyDescent="0.25">
      <c r="K68" t="str">
        <f>IF(Handelsjournal!T50="","",Handelsjournal!T50)</f>
        <v/>
      </c>
      <c r="L68" t="str">
        <f>IF(K68="","",MAX(Listen!$B$3,MAX($K$21:K68)))</f>
        <v/>
      </c>
      <c r="M68" t="str">
        <f t="shared" si="2"/>
        <v/>
      </c>
      <c r="N68" t="str">
        <f t="shared" si="3"/>
        <v/>
      </c>
    </row>
    <row r="69" spans="11:14" x14ac:dyDescent="0.25">
      <c r="K69" t="str">
        <f>IF(Handelsjournal!T51="","",Handelsjournal!T51)</f>
        <v/>
      </c>
      <c r="L69" t="str">
        <f>IF(K69="","",MAX(Listen!$B$3,MAX($K$21:K69)))</f>
        <v/>
      </c>
      <c r="M69" t="str">
        <f t="shared" si="2"/>
        <v/>
      </c>
      <c r="N69" t="str">
        <f t="shared" si="3"/>
        <v/>
      </c>
    </row>
    <row r="70" spans="11:14" x14ac:dyDescent="0.25">
      <c r="K70" t="str">
        <f>IF(Handelsjournal!T52="","",Handelsjournal!T52)</f>
        <v/>
      </c>
      <c r="L70" t="str">
        <f>IF(K70="","",MAX(Listen!$B$3,MAX($K$21:K70)))</f>
        <v/>
      </c>
      <c r="M70" t="str">
        <f t="shared" si="2"/>
        <v/>
      </c>
      <c r="N70" t="str">
        <f t="shared" si="3"/>
        <v/>
      </c>
    </row>
    <row r="71" spans="11:14" x14ac:dyDescent="0.25">
      <c r="K71" t="str">
        <f>IF(Handelsjournal!T53="","",Handelsjournal!T53)</f>
        <v/>
      </c>
      <c r="L71" t="str">
        <f>IF(K71="","",MAX(Listen!$B$3,MAX($K$21:K71)))</f>
        <v/>
      </c>
      <c r="M71" t="str">
        <f t="shared" si="2"/>
        <v/>
      </c>
      <c r="N71" t="str">
        <f t="shared" si="3"/>
        <v/>
      </c>
    </row>
    <row r="72" spans="11:14" x14ac:dyDescent="0.25">
      <c r="K72" t="str">
        <f>IF(Handelsjournal!T54="","",Handelsjournal!T54)</f>
        <v/>
      </c>
      <c r="L72" t="str">
        <f>IF(K72="","",MAX(Listen!$B$3,MAX($K$21:K72)))</f>
        <v/>
      </c>
      <c r="M72" t="str">
        <f t="shared" si="2"/>
        <v/>
      </c>
      <c r="N72" t="str">
        <f t="shared" si="3"/>
        <v/>
      </c>
    </row>
    <row r="73" spans="11:14" x14ac:dyDescent="0.25">
      <c r="K73" t="str">
        <f>IF(Handelsjournal!T55="","",Handelsjournal!T55)</f>
        <v/>
      </c>
      <c r="L73" t="str">
        <f>IF(K73="","",MAX(Listen!$B$3,MAX($K$21:K73)))</f>
        <v/>
      </c>
      <c r="M73" t="str">
        <f t="shared" si="2"/>
        <v/>
      </c>
      <c r="N73" t="str">
        <f t="shared" si="3"/>
        <v/>
      </c>
    </row>
    <row r="74" spans="11:14" x14ac:dyDescent="0.25">
      <c r="K74" t="str">
        <f>IF(Handelsjournal!T56="","",Handelsjournal!T56)</f>
        <v/>
      </c>
      <c r="L74" t="str">
        <f>IF(K74="","",MAX(Listen!$B$3,MAX($K$21:K74)))</f>
        <v/>
      </c>
      <c r="M74" t="str">
        <f t="shared" si="2"/>
        <v/>
      </c>
      <c r="N74" t="str">
        <f t="shared" si="3"/>
        <v/>
      </c>
    </row>
    <row r="75" spans="11:14" x14ac:dyDescent="0.25">
      <c r="K75" t="str">
        <f>IF(Handelsjournal!T57="","",Handelsjournal!T57)</f>
        <v/>
      </c>
      <c r="L75" t="str">
        <f>IF(K75="","",MAX(Listen!$B$3,MAX($K$21:K75)))</f>
        <v/>
      </c>
      <c r="M75" t="str">
        <f t="shared" si="2"/>
        <v/>
      </c>
      <c r="N75" t="str">
        <f t="shared" si="3"/>
        <v/>
      </c>
    </row>
    <row r="76" spans="11:14" x14ac:dyDescent="0.25">
      <c r="K76" t="str">
        <f>IF(Handelsjournal!T58="","",Handelsjournal!T58)</f>
        <v/>
      </c>
      <c r="L76" t="str">
        <f>IF(K76="","",MAX(Listen!$B$3,MAX($K$21:K76)))</f>
        <v/>
      </c>
      <c r="M76" t="str">
        <f t="shared" si="2"/>
        <v/>
      </c>
      <c r="N76" t="str">
        <f t="shared" si="3"/>
        <v/>
      </c>
    </row>
    <row r="77" spans="11:14" x14ac:dyDescent="0.25">
      <c r="K77" t="str">
        <f>IF(Handelsjournal!T59="","",Handelsjournal!T59)</f>
        <v/>
      </c>
      <c r="L77" t="str">
        <f>IF(K77="","",MAX(Listen!$B$3,MAX($K$21:K77)))</f>
        <v/>
      </c>
      <c r="M77" t="str">
        <f t="shared" si="2"/>
        <v/>
      </c>
      <c r="N77" t="str">
        <f t="shared" si="3"/>
        <v/>
      </c>
    </row>
    <row r="78" spans="11:14" x14ac:dyDescent="0.25">
      <c r="K78" t="str">
        <f>IF(Handelsjournal!T60="","",Handelsjournal!T60)</f>
        <v/>
      </c>
      <c r="L78" t="str">
        <f>IF(K78="","",MAX(Listen!$B$3,MAX($K$21:K78)))</f>
        <v/>
      </c>
      <c r="M78" t="str">
        <f t="shared" si="2"/>
        <v/>
      </c>
      <c r="N78" t="str">
        <f t="shared" si="3"/>
        <v/>
      </c>
    </row>
    <row r="79" spans="11:14" x14ac:dyDescent="0.25">
      <c r="K79" t="str">
        <f>IF(Handelsjournal!T61="","",Handelsjournal!T61)</f>
        <v/>
      </c>
      <c r="L79" t="str">
        <f>IF(K79="","",MAX(Listen!$B$3,MAX($K$21:K79)))</f>
        <v/>
      </c>
      <c r="M79" t="str">
        <f t="shared" si="2"/>
        <v/>
      </c>
      <c r="N79" t="str">
        <f t="shared" si="3"/>
        <v/>
      </c>
    </row>
    <row r="80" spans="11:14" x14ac:dyDescent="0.25">
      <c r="K80" t="str">
        <f>IF(Handelsjournal!T62="","",Handelsjournal!T62)</f>
        <v/>
      </c>
      <c r="L80" t="str">
        <f>IF(K80="","",MAX(Listen!$B$3,MAX($K$21:K80)))</f>
        <v/>
      </c>
      <c r="M80" t="str">
        <f t="shared" si="2"/>
        <v/>
      </c>
      <c r="N80" t="str">
        <f t="shared" si="3"/>
        <v/>
      </c>
    </row>
    <row r="81" spans="11:14" x14ac:dyDescent="0.25">
      <c r="K81" t="str">
        <f>IF(Handelsjournal!T63="","",Handelsjournal!T63)</f>
        <v/>
      </c>
      <c r="L81" t="str">
        <f>IF(K81="","",MAX(Listen!$B$3,MAX($K$21:K81)))</f>
        <v/>
      </c>
      <c r="M81" t="str">
        <f t="shared" si="2"/>
        <v/>
      </c>
      <c r="N81" t="str">
        <f t="shared" si="3"/>
        <v/>
      </c>
    </row>
    <row r="82" spans="11:14" x14ac:dyDescent="0.25">
      <c r="K82" t="str">
        <f>IF(Handelsjournal!T64="","",Handelsjournal!T64)</f>
        <v/>
      </c>
      <c r="L82" t="str">
        <f>IF(K82="","",MAX(Listen!$B$3,MAX($K$21:K82)))</f>
        <v/>
      </c>
      <c r="M82" t="str">
        <f t="shared" si="2"/>
        <v/>
      </c>
      <c r="N82" t="str">
        <f t="shared" si="3"/>
        <v/>
      </c>
    </row>
    <row r="83" spans="11:14" x14ac:dyDescent="0.25">
      <c r="K83" t="str">
        <f>IF(Handelsjournal!T65="","",Handelsjournal!T65)</f>
        <v/>
      </c>
      <c r="L83" t="str">
        <f>IF(K83="","",MAX(Listen!$B$3,MAX($K$21:K83)))</f>
        <v/>
      </c>
      <c r="M83" t="str">
        <f t="shared" si="2"/>
        <v/>
      </c>
      <c r="N83" t="str">
        <f t="shared" si="3"/>
        <v/>
      </c>
    </row>
    <row r="84" spans="11:14" x14ac:dyDescent="0.25">
      <c r="K84" t="str">
        <f>IF(Handelsjournal!T66="","",Handelsjournal!T66)</f>
        <v/>
      </c>
      <c r="L84" t="str">
        <f>IF(K84="","",MAX(Listen!$B$3,MAX($K$21:K84)))</f>
        <v/>
      </c>
      <c r="M84" t="str">
        <f t="shared" si="2"/>
        <v/>
      </c>
      <c r="N84" t="str">
        <f t="shared" si="3"/>
        <v/>
      </c>
    </row>
    <row r="85" spans="11:14" x14ac:dyDescent="0.25">
      <c r="K85" t="str">
        <f>IF(Handelsjournal!T67="","",Handelsjournal!T67)</f>
        <v/>
      </c>
      <c r="L85" t="str">
        <f>IF(K85="","",MAX(Listen!$B$3,MAX($K$21:K85)))</f>
        <v/>
      </c>
      <c r="M85" t="str">
        <f t="shared" ref="M85:M116" si="4">IF(K85="","",K85-L85)</f>
        <v/>
      </c>
      <c r="N85" t="str">
        <f t="shared" ref="N85:N116" si="5">IFERROR(IF(K85="","",M85/L85),"")</f>
        <v/>
      </c>
    </row>
    <row r="86" spans="11:14" x14ac:dyDescent="0.25">
      <c r="K86" t="str">
        <f>IF(Handelsjournal!T68="","",Handelsjournal!T68)</f>
        <v/>
      </c>
      <c r="L86" t="str">
        <f>IF(K86="","",MAX(Listen!$B$3,MAX($K$21:K86)))</f>
        <v/>
      </c>
      <c r="M86" t="str">
        <f t="shared" si="4"/>
        <v/>
      </c>
      <c r="N86" t="str">
        <f t="shared" si="5"/>
        <v/>
      </c>
    </row>
    <row r="87" spans="11:14" x14ac:dyDescent="0.25">
      <c r="K87" t="str">
        <f>IF(Handelsjournal!T69="","",Handelsjournal!T69)</f>
        <v/>
      </c>
      <c r="L87" t="str">
        <f>IF(K87="","",MAX(Listen!$B$3,MAX($K$21:K87)))</f>
        <v/>
      </c>
      <c r="M87" t="str">
        <f t="shared" si="4"/>
        <v/>
      </c>
      <c r="N87" t="str">
        <f t="shared" si="5"/>
        <v/>
      </c>
    </row>
    <row r="88" spans="11:14" x14ac:dyDescent="0.25">
      <c r="K88" t="str">
        <f>IF(Handelsjournal!T70="","",Handelsjournal!T70)</f>
        <v/>
      </c>
      <c r="L88" t="str">
        <f>IF(K88="","",MAX(Listen!$B$3,MAX($K$21:K88)))</f>
        <v/>
      </c>
      <c r="M88" t="str">
        <f t="shared" si="4"/>
        <v/>
      </c>
      <c r="N88" t="str">
        <f t="shared" si="5"/>
        <v/>
      </c>
    </row>
    <row r="89" spans="11:14" x14ac:dyDescent="0.25">
      <c r="K89" t="str">
        <f>IF(Handelsjournal!T71="","",Handelsjournal!T71)</f>
        <v/>
      </c>
      <c r="L89" t="str">
        <f>IF(K89="","",MAX(Listen!$B$3,MAX($K$21:K89)))</f>
        <v/>
      </c>
      <c r="M89" t="str">
        <f t="shared" si="4"/>
        <v/>
      </c>
      <c r="N89" t="str">
        <f t="shared" si="5"/>
        <v/>
      </c>
    </row>
    <row r="90" spans="11:14" x14ac:dyDescent="0.25">
      <c r="K90" t="str">
        <f>IF(Handelsjournal!T72="","",Handelsjournal!T72)</f>
        <v/>
      </c>
      <c r="L90" t="str">
        <f>IF(K90="","",MAX(Listen!$B$3,MAX($K$21:K90)))</f>
        <v/>
      </c>
      <c r="M90" t="str">
        <f t="shared" si="4"/>
        <v/>
      </c>
      <c r="N90" t="str">
        <f t="shared" si="5"/>
        <v/>
      </c>
    </row>
    <row r="91" spans="11:14" x14ac:dyDescent="0.25">
      <c r="K91" t="str">
        <f>IF(Handelsjournal!T73="","",Handelsjournal!T73)</f>
        <v/>
      </c>
      <c r="L91" t="str">
        <f>IF(K91="","",MAX(Listen!$B$3,MAX($K$21:K91)))</f>
        <v/>
      </c>
      <c r="M91" t="str">
        <f t="shared" si="4"/>
        <v/>
      </c>
      <c r="N91" t="str">
        <f t="shared" si="5"/>
        <v/>
      </c>
    </row>
    <row r="92" spans="11:14" x14ac:dyDescent="0.25">
      <c r="K92" t="str">
        <f>IF(Handelsjournal!T74="","",Handelsjournal!T74)</f>
        <v/>
      </c>
      <c r="L92" t="str">
        <f>IF(K92="","",MAX(Listen!$B$3,MAX($K$21:K92)))</f>
        <v/>
      </c>
      <c r="M92" t="str">
        <f t="shared" si="4"/>
        <v/>
      </c>
      <c r="N92" t="str">
        <f t="shared" si="5"/>
        <v/>
      </c>
    </row>
    <row r="93" spans="11:14" x14ac:dyDescent="0.25">
      <c r="K93" t="str">
        <f>IF(Handelsjournal!T75="","",Handelsjournal!T75)</f>
        <v/>
      </c>
      <c r="L93" t="str">
        <f>IF(K93="","",MAX(Listen!$B$3,MAX($K$21:K93)))</f>
        <v/>
      </c>
      <c r="M93" t="str">
        <f t="shared" si="4"/>
        <v/>
      </c>
      <c r="N93" t="str">
        <f t="shared" si="5"/>
        <v/>
      </c>
    </row>
    <row r="94" spans="11:14" x14ac:dyDescent="0.25">
      <c r="K94" t="str">
        <f>IF(Handelsjournal!T76="","",Handelsjournal!T76)</f>
        <v/>
      </c>
      <c r="L94" t="str">
        <f>IF(K94="","",MAX(Listen!$B$3,MAX($K$21:K94)))</f>
        <v/>
      </c>
      <c r="M94" t="str">
        <f t="shared" si="4"/>
        <v/>
      </c>
      <c r="N94" t="str">
        <f t="shared" si="5"/>
        <v/>
      </c>
    </row>
    <row r="95" spans="11:14" x14ac:dyDescent="0.25">
      <c r="K95" t="str">
        <f>IF(Handelsjournal!T77="","",Handelsjournal!T77)</f>
        <v/>
      </c>
      <c r="L95" t="str">
        <f>IF(K95="","",MAX(Listen!$B$3,MAX($K$21:K95)))</f>
        <v/>
      </c>
      <c r="M95" t="str">
        <f t="shared" si="4"/>
        <v/>
      </c>
      <c r="N95" t="str">
        <f t="shared" si="5"/>
        <v/>
      </c>
    </row>
    <row r="96" spans="11:14" x14ac:dyDescent="0.25">
      <c r="K96" t="str">
        <f>IF(Handelsjournal!T78="","",Handelsjournal!T78)</f>
        <v/>
      </c>
      <c r="L96" t="str">
        <f>IF(K96="","",MAX(Listen!$B$3,MAX($K$21:K96)))</f>
        <v/>
      </c>
      <c r="M96" t="str">
        <f t="shared" si="4"/>
        <v/>
      </c>
      <c r="N96" t="str">
        <f t="shared" si="5"/>
        <v/>
      </c>
    </row>
    <row r="97" spans="11:14" x14ac:dyDescent="0.25">
      <c r="K97" t="str">
        <f>IF(Handelsjournal!T79="","",Handelsjournal!T79)</f>
        <v/>
      </c>
      <c r="L97" t="str">
        <f>IF(K97="","",MAX(Listen!$B$3,MAX($K$21:K97)))</f>
        <v/>
      </c>
      <c r="M97" t="str">
        <f t="shared" si="4"/>
        <v/>
      </c>
      <c r="N97" t="str">
        <f t="shared" si="5"/>
        <v/>
      </c>
    </row>
    <row r="98" spans="11:14" x14ac:dyDescent="0.25">
      <c r="K98" t="str">
        <f>IF(Handelsjournal!T80="","",Handelsjournal!T80)</f>
        <v/>
      </c>
      <c r="L98" t="str">
        <f>IF(K98="","",MAX(Listen!$B$3,MAX($K$21:K98)))</f>
        <v/>
      </c>
      <c r="M98" t="str">
        <f t="shared" si="4"/>
        <v/>
      </c>
      <c r="N98" t="str">
        <f t="shared" si="5"/>
        <v/>
      </c>
    </row>
    <row r="99" spans="11:14" x14ac:dyDescent="0.25">
      <c r="K99" t="str">
        <f>IF(Handelsjournal!T81="","",Handelsjournal!T81)</f>
        <v/>
      </c>
      <c r="L99" t="str">
        <f>IF(K99="","",MAX(Listen!$B$3,MAX($K$21:K99)))</f>
        <v/>
      </c>
      <c r="M99" t="str">
        <f t="shared" si="4"/>
        <v/>
      </c>
      <c r="N99" t="str">
        <f t="shared" si="5"/>
        <v/>
      </c>
    </row>
    <row r="100" spans="11:14" x14ac:dyDescent="0.25">
      <c r="K100" t="str">
        <f>IF(Handelsjournal!T82="","",Handelsjournal!T82)</f>
        <v/>
      </c>
      <c r="L100" t="str">
        <f>IF(K100="","",MAX(Listen!$B$3,MAX($K$21:K100)))</f>
        <v/>
      </c>
      <c r="M100" t="str">
        <f t="shared" si="4"/>
        <v/>
      </c>
      <c r="N100" t="str">
        <f t="shared" si="5"/>
        <v/>
      </c>
    </row>
    <row r="101" spans="11:14" x14ac:dyDescent="0.25">
      <c r="K101" t="str">
        <f>IF(Handelsjournal!T83="","",Handelsjournal!T83)</f>
        <v/>
      </c>
      <c r="L101" t="str">
        <f>IF(K101="","",MAX(Listen!$B$3,MAX($K$21:K101)))</f>
        <v/>
      </c>
      <c r="M101" t="str">
        <f t="shared" si="4"/>
        <v/>
      </c>
      <c r="N101" t="str">
        <f t="shared" si="5"/>
        <v/>
      </c>
    </row>
    <row r="102" spans="11:14" x14ac:dyDescent="0.25">
      <c r="K102" t="str">
        <f>IF(Handelsjournal!T84="","",Handelsjournal!T84)</f>
        <v/>
      </c>
      <c r="L102" t="str">
        <f>IF(K102="","",MAX(Listen!$B$3,MAX($K$21:K102)))</f>
        <v/>
      </c>
      <c r="M102" t="str">
        <f t="shared" si="4"/>
        <v/>
      </c>
      <c r="N102" t="str">
        <f t="shared" si="5"/>
        <v/>
      </c>
    </row>
    <row r="103" spans="11:14" x14ac:dyDescent="0.25">
      <c r="K103" t="str">
        <f>IF(Handelsjournal!T85="","",Handelsjournal!T85)</f>
        <v/>
      </c>
      <c r="L103" t="str">
        <f>IF(K103="","",MAX(Listen!$B$3,MAX($K$21:K103)))</f>
        <v/>
      </c>
      <c r="M103" t="str">
        <f t="shared" si="4"/>
        <v/>
      </c>
      <c r="N103" t="str">
        <f t="shared" si="5"/>
        <v/>
      </c>
    </row>
    <row r="104" spans="11:14" x14ac:dyDescent="0.25">
      <c r="K104" t="str">
        <f>IF(Handelsjournal!T86="","",Handelsjournal!T86)</f>
        <v/>
      </c>
      <c r="L104" t="str">
        <f>IF(K104="","",MAX(Listen!$B$3,MAX($K$21:K104)))</f>
        <v/>
      </c>
      <c r="M104" t="str">
        <f t="shared" si="4"/>
        <v/>
      </c>
      <c r="N104" t="str">
        <f t="shared" si="5"/>
        <v/>
      </c>
    </row>
    <row r="105" spans="11:14" x14ac:dyDescent="0.25">
      <c r="K105" t="str">
        <f>IF(Handelsjournal!T87="","",Handelsjournal!T87)</f>
        <v/>
      </c>
      <c r="L105" t="str">
        <f>IF(K105="","",MAX(Listen!$B$3,MAX($K$21:K105)))</f>
        <v/>
      </c>
      <c r="M105" t="str">
        <f t="shared" si="4"/>
        <v/>
      </c>
      <c r="N105" t="str">
        <f t="shared" si="5"/>
        <v/>
      </c>
    </row>
    <row r="106" spans="11:14" x14ac:dyDescent="0.25">
      <c r="K106" t="str">
        <f>IF(Handelsjournal!T88="","",Handelsjournal!T88)</f>
        <v/>
      </c>
      <c r="L106" t="str">
        <f>IF(K106="","",MAX(Listen!$B$3,MAX($K$21:K106)))</f>
        <v/>
      </c>
      <c r="M106" t="str">
        <f t="shared" si="4"/>
        <v/>
      </c>
      <c r="N106" t="str">
        <f t="shared" si="5"/>
        <v/>
      </c>
    </row>
    <row r="107" spans="11:14" x14ac:dyDescent="0.25">
      <c r="K107" t="str">
        <f>IF(Handelsjournal!T89="","",Handelsjournal!T89)</f>
        <v/>
      </c>
      <c r="L107" t="str">
        <f>IF(K107="","",MAX(Listen!$B$3,MAX($K$21:K107)))</f>
        <v/>
      </c>
      <c r="M107" t="str">
        <f t="shared" si="4"/>
        <v/>
      </c>
      <c r="N107" t="str">
        <f t="shared" si="5"/>
        <v/>
      </c>
    </row>
    <row r="108" spans="11:14" x14ac:dyDescent="0.25">
      <c r="K108" t="str">
        <f>IF(Handelsjournal!T90="","",Handelsjournal!T90)</f>
        <v/>
      </c>
      <c r="L108" t="str">
        <f>IF(K108="","",MAX(Listen!$B$3,MAX($K$21:K108)))</f>
        <v/>
      </c>
      <c r="M108" t="str">
        <f t="shared" si="4"/>
        <v/>
      </c>
      <c r="N108" t="str">
        <f t="shared" si="5"/>
        <v/>
      </c>
    </row>
    <row r="109" spans="11:14" x14ac:dyDescent="0.25">
      <c r="K109" t="str">
        <f>IF(Handelsjournal!T91="","",Handelsjournal!T91)</f>
        <v/>
      </c>
      <c r="L109" t="str">
        <f>IF(K109="","",MAX(Listen!$B$3,MAX($K$21:K109)))</f>
        <v/>
      </c>
      <c r="M109" t="str">
        <f t="shared" si="4"/>
        <v/>
      </c>
      <c r="N109" t="str">
        <f t="shared" si="5"/>
        <v/>
      </c>
    </row>
    <row r="110" spans="11:14" x14ac:dyDescent="0.25">
      <c r="K110" t="str">
        <f>IF(Handelsjournal!T92="","",Handelsjournal!T92)</f>
        <v/>
      </c>
      <c r="L110" t="str">
        <f>IF(K110="","",MAX(Listen!$B$3,MAX($K$21:K110)))</f>
        <v/>
      </c>
      <c r="M110" t="str">
        <f t="shared" si="4"/>
        <v/>
      </c>
      <c r="N110" t="str">
        <f t="shared" si="5"/>
        <v/>
      </c>
    </row>
    <row r="111" spans="11:14" x14ac:dyDescent="0.25">
      <c r="K111" t="str">
        <f>IF(Handelsjournal!T93="","",Handelsjournal!T93)</f>
        <v/>
      </c>
      <c r="L111" t="str">
        <f>IF(K111="","",MAX(Listen!$B$3,MAX($K$21:K111)))</f>
        <v/>
      </c>
      <c r="M111" t="str">
        <f t="shared" si="4"/>
        <v/>
      </c>
      <c r="N111" t="str">
        <f t="shared" si="5"/>
        <v/>
      </c>
    </row>
    <row r="112" spans="11:14" x14ac:dyDescent="0.25">
      <c r="K112" t="str">
        <f>IF(Handelsjournal!T94="","",Handelsjournal!T94)</f>
        <v/>
      </c>
      <c r="L112" t="str">
        <f>IF(K112="","",MAX(Listen!$B$3,MAX($K$21:K112)))</f>
        <v/>
      </c>
      <c r="M112" t="str">
        <f t="shared" si="4"/>
        <v/>
      </c>
      <c r="N112" t="str">
        <f t="shared" si="5"/>
        <v/>
      </c>
    </row>
    <row r="113" spans="11:14" x14ac:dyDescent="0.25">
      <c r="K113" t="str">
        <f>IF(Handelsjournal!T95="","",Handelsjournal!T95)</f>
        <v/>
      </c>
      <c r="L113" t="str">
        <f>IF(K113="","",MAX(Listen!$B$3,MAX($K$21:K113)))</f>
        <v/>
      </c>
      <c r="M113" t="str">
        <f t="shared" si="4"/>
        <v/>
      </c>
      <c r="N113" t="str">
        <f t="shared" si="5"/>
        <v/>
      </c>
    </row>
    <row r="114" spans="11:14" x14ac:dyDescent="0.25">
      <c r="K114" t="str">
        <f>IF(Handelsjournal!T96="","",Handelsjournal!T96)</f>
        <v/>
      </c>
      <c r="L114" t="str">
        <f>IF(K114="","",MAX(Listen!$B$3,MAX($K$21:K114)))</f>
        <v/>
      </c>
      <c r="M114" t="str">
        <f t="shared" si="4"/>
        <v/>
      </c>
      <c r="N114" t="str">
        <f t="shared" si="5"/>
        <v/>
      </c>
    </row>
    <row r="115" spans="11:14" x14ac:dyDescent="0.25">
      <c r="K115" t="str">
        <f>IF(Handelsjournal!T97="","",Handelsjournal!T97)</f>
        <v/>
      </c>
      <c r="L115" t="str">
        <f>IF(K115="","",MAX(Listen!$B$3,MAX($K$21:K115)))</f>
        <v/>
      </c>
      <c r="M115" t="str">
        <f t="shared" si="4"/>
        <v/>
      </c>
      <c r="N115" t="str">
        <f t="shared" si="5"/>
        <v/>
      </c>
    </row>
    <row r="116" spans="11:14" x14ac:dyDescent="0.25">
      <c r="K116" t="str">
        <f>IF(Handelsjournal!T98="","",Handelsjournal!T98)</f>
        <v/>
      </c>
      <c r="L116" t="str">
        <f>IF(K116="","",MAX(Listen!$B$3,MAX($K$21:K116)))</f>
        <v/>
      </c>
      <c r="M116" t="str">
        <f t="shared" si="4"/>
        <v/>
      </c>
      <c r="N116" t="str">
        <f t="shared" si="5"/>
        <v/>
      </c>
    </row>
    <row r="117" spans="11:14" x14ac:dyDescent="0.25">
      <c r="K117" t="str">
        <f>IF(Handelsjournal!T99="","",Handelsjournal!T99)</f>
        <v/>
      </c>
      <c r="L117" t="str">
        <f>IF(K117="","",MAX(Listen!$B$3,MAX($K$21:K117)))</f>
        <v/>
      </c>
      <c r="M117" t="str">
        <f t="shared" ref="M117:M148" si="6">IF(K117="","",K117-L117)</f>
        <v/>
      </c>
      <c r="N117" t="str">
        <f t="shared" ref="N117:N148" si="7">IFERROR(IF(K117="","",M117/L117),"")</f>
        <v/>
      </c>
    </row>
    <row r="118" spans="11:14" x14ac:dyDescent="0.25">
      <c r="K118" t="str">
        <f>IF(Handelsjournal!T100="","",Handelsjournal!T100)</f>
        <v/>
      </c>
      <c r="L118" t="str">
        <f>IF(K118="","",MAX(Listen!$B$3,MAX($K$21:K118)))</f>
        <v/>
      </c>
      <c r="M118" t="str">
        <f t="shared" si="6"/>
        <v/>
      </c>
      <c r="N118" t="str">
        <f t="shared" si="7"/>
        <v/>
      </c>
    </row>
    <row r="119" spans="11:14" x14ac:dyDescent="0.25">
      <c r="K119" t="str">
        <f>IF(Handelsjournal!T101="","",Handelsjournal!T101)</f>
        <v/>
      </c>
      <c r="L119" t="str">
        <f>IF(K119="","",MAX(Listen!$B$3,MAX($K$21:K119)))</f>
        <v/>
      </c>
      <c r="M119" t="str">
        <f t="shared" si="6"/>
        <v/>
      </c>
      <c r="N119" t="str">
        <f t="shared" si="7"/>
        <v/>
      </c>
    </row>
    <row r="120" spans="11:14" x14ac:dyDescent="0.25">
      <c r="K120" t="str">
        <f>IF(Handelsjournal!T102="","",Handelsjournal!T102)</f>
        <v/>
      </c>
      <c r="L120" t="str">
        <f>IF(K120="","",MAX(Listen!$B$3,MAX($K$21:K120)))</f>
        <v/>
      </c>
      <c r="M120" t="str">
        <f t="shared" si="6"/>
        <v/>
      </c>
      <c r="N120" t="str">
        <f t="shared" si="7"/>
        <v/>
      </c>
    </row>
    <row r="121" spans="11:14" x14ac:dyDescent="0.25">
      <c r="K121" t="str">
        <f>IF(Handelsjournal!T103="","",Handelsjournal!T103)</f>
        <v/>
      </c>
      <c r="L121" t="str">
        <f>IF(K121="","",MAX(Listen!$B$3,MAX($K$21:K121)))</f>
        <v/>
      </c>
      <c r="M121" t="str">
        <f t="shared" si="6"/>
        <v/>
      </c>
      <c r="N121" t="str">
        <f t="shared" si="7"/>
        <v/>
      </c>
    </row>
    <row r="122" spans="11:14" x14ac:dyDescent="0.25">
      <c r="K122" t="str">
        <f>IF(Handelsjournal!T104="","",Handelsjournal!T104)</f>
        <v/>
      </c>
      <c r="L122" t="str">
        <f>IF(K122="","",MAX(Listen!$B$3,MAX($K$21:K122)))</f>
        <v/>
      </c>
      <c r="M122" t="str">
        <f t="shared" si="6"/>
        <v/>
      </c>
      <c r="N122" t="str">
        <f t="shared" si="7"/>
        <v/>
      </c>
    </row>
    <row r="123" spans="11:14" x14ac:dyDescent="0.25">
      <c r="K123" t="str">
        <f>IF(Handelsjournal!T105="","",Handelsjournal!T105)</f>
        <v/>
      </c>
      <c r="L123" t="str">
        <f>IF(K123="","",MAX(Listen!$B$3,MAX($K$21:K123)))</f>
        <v/>
      </c>
      <c r="M123" t="str">
        <f t="shared" si="6"/>
        <v/>
      </c>
      <c r="N123" t="str">
        <f t="shared" si="7"/>
        <v/>
      </c>
    </row>
    <row r="124" spans="11:14" x14ac:dyDescent="0.25">
      <c r="K124" t="str">
        <f>IF(Handelsjournal!T106="","",Handelsjournal!T106)</f>
        <v/>
      </c>
      <c r="L124" t="str">
        <f>IF(K124="","",MAX(Listen!$B$3,MAX($K$21:K124)))</f>
        <v/>
      </c>
      <c r="M124" t="str">
        <f t="shared" si="6"/>
        <v/>
      </c>
      <c r="N124" t="str">
        <f t="shared" si="7"/>
        <v/>
      </c>
    </row>
    <row r="125" spans="11:14" x14ac:dyDescent="0.25">
      <c r="K125" t="str">
        <f>IF(Handelsjournal!T107="","",Handelsjournal!T107)</f>
        <v/>
      </c>
      <c r="L125" t="str">
        <f>IF(K125="","",MAX(Listen!$B$3,MAX($K$21:K125)))</f>
        <v/>
      </c>
      <c r="M125" t="str">
        <f t="shared" si="6"/>
        <v/>
      </c>
      <c r="N125" t="str">
        <f t="shared" si="7"/>
        <v/>
      </c>
    </row>
    <row r="126" spans="11:14" x14ac:dyDescent="0.25">
      <c r="K126" t="str">
        <f>IF(Handelsjournal!T108="","",Handelsjournal!T108)</f>
        <v/>
      </c>
      <c r="L126" t="str">
        <f>IF(K126="","",MAX(Listen!$B$3,MAX($K$21:K126)))</f>
        <v/>
      </c>
      <c r="M126" t="str">
        <f t="shared" si="6"/>
        <v/>
      </c>
      <c r="N126" t="str">
        <f t="shared" si="7"/>
        <v/>
      </c>
    </row>
    <row r="127" spans="11:14" x14ac:dyDescent="0.25">
      <c r="K127" t="str">
        <f>IF(Handelsjournal!T109="","",Handelsjournal!T109)</f>
        <v/>
      </c>
      <c r="L127" t="str">
        <f>IF(K127="","",MAX(Listen!$B$3,MAX($K$21:K127)))</f>
        <v/>
      </c>
      <c r="M127" t="str">
        <f t="shared" si="6"/>
        <v/>
      </c>
      <c r="N127" t="str">
        <f t="shared" si="7"/>
        <v/>
      </c>
    </row>
    <row r="128" spans="11:14" x14ac:dyDescent="0.25">
      <c r="K128" t="str">
        <f>IF(Handelsjournal!T110="","",Handelsjournal!T110)</f>
        <v/>
      </c>
      <c r="L128" t="str">
        <f>IF(K128="","",MAX(Listen!$B$3,MAX($K$21:K128)))</f>
        <v/>
      </c>
      <c r="M128" t="str">
        <f t="shared" si="6"/>
        <v/>
      </c>
      <c r="N128" t="str">
        <f t="shared" si="7"/>
        <v/>
      </c>
    </row>
    <row r="129" spans="11:14" x14ac:dyDescent="0.25">
      <c r="K129" t="str">
        <f>IF(Handelsjournal!T111="","",Handelsjournal!T111)</f>
        <v/>
      </c>
      <c r="L129" t="str">
        <f>IF(K129="","",MAX(Listen!$B$3,MAX($K$21:K129)))</f>
        <v/>
      </c>
      <c r="M129" t="str">
        <f t="shared" si="6"/>
        <v/>
      </c>
      <c r="N129" t="str">
        <f t="shared" si="7"/>
        <v/>
      </c>
    </row>
    <row r="130" spans="11:14" x14ac:dyDescent="0.25">
      <c r="K130" t="str">
        <f>IF(Handelsjournal!T112="","",Handelsjournal!T112)</f>
        <v/>
      </c>
      <c r="L130" t="str">
        <f>IF(K130="","",MAX(Listen!$B$3,MAX($K$21:K130)))</f>
        <v/>
      </c>
      <c r="M130" t="str">
        <f t="shared" si="6"/>
        <v/>
      </c>
      <c r="N130" t="str">
        <f t="shared" si="7"/>
        <v/>
      </c>
    </row>
    <row r="131" spans="11:14" x14ac:dyDescent="0.25">
      <c r="K131" t="str">
        <f>IF(Handelsjournal!T113="","",Handelsjournal!T113)</f>
        <v/>
      </c>
      <c r="L131" t="str">
        <f>IF(K131="","",MAX(Listen!$B$3,MAX($K$21:K131)))</f>
        <v/>
      </c>
      <c r="M131" t="str">
        <f t="shared" si="6"/>
        <v/>
      </c>
      <c r="N131" t="str">
        <f t="shared" si="7"/>
        <v/>
      </c>
    </row>
    <row r="132" spans="11:14" x14ac:dyDescent="0.25">
      <c r="K132" t="str">
        <f>IF(Handelsjournal!T114="","",Handelsjournal!T114)</f>
        <v/>
      </c>
      <c r="L132" t="str">
        <f>IF(K132="","",MAX(Listen!$B$3,MAX($K$21:K132)))</f>
        <v/>
      </c>
      <c r="M132" t="str">
        <f t="shared" si="6"/>
        <v/>
      </c>
      <c r="N132" t="str">
        <f t="shared" si="7"/>
        <v/>
      </c>
    </row>
    <row r="133" spans="11:14" x14ac:dyDescent="0.25">
      <c r="K133" t="str">
        <f>IF(Handelsjournal!T115="","",Handelsjournal!T115)</f>
        <v/>
      </c>
      <c r="L133" t="str">
        <f>IF(K133="","",MAX(Listen!$B$3,MAX($K$21:K133)))</f>
        <v/>
      </c>
      <c r="M133" t="str">
        <f t="shared" si="6"/>
        <v/>
      </c>
      <c r="N133" t="str">
        <f t="shared" si="7"/>
        <v/>
      </c>
    </row>
    <row r="134" spans="11:14" x14ac:dyDescent="0.25">
      <c r="K134" t="str">
        <f>IF(Handelsjournal!T116="","",Handelsjournal!T116)</f>
        <v/>
      </c>
      <c r="L134" t="str">
        <f>IF(K134="","",MAX(Listen!$B$3,MAX($K$21:K134)))</f>
        <v/>
      </c>
      <c r="M134" t="str">
        <f t="shared" si="6"/>
        <v/>
      </c>
      <c r="N134" t="str">
        <f t="shared" si="7"/>
        <v/>
      </c>
    </row>
    <row r="135" spans="11:14" x14ac:dyDescent="0.25">
      <c r="K135" t="str">
        <f>IF(Handelsjournal!T117="","",Handelsjournal!T117)</f>
        <v/>
      </c>
      <c r="L135" t="str">
        <f>IF(K135="","",MAX(Listen!$B$3,MAX($K$21:K135)))</f>
        <v/>
      </c>
      <c r="M135" t="str">
        <f t="shared" si="6"/>
        <v/>
      </c>
      <c r="N135" t="str">
        <f t="shared" si="7"/>
        <v/>
      </c>
    </row>
    <row r="136" spans="11:14" x14ac:dyDescent="0.25">
      <c r="K136" t="str">
        <f>IF(Handelsjournal!T118="","",Handelsjournal!T118)</f>
        <v/>
      </c>
      <c r="L136" t="str">
        <f>IF(K136="","",MAX(Listen!$B$3,MAX($K$21:K136)))</f>
        <v/>
      </c>
      <c r="M136" t="str">
        <f t="shared" si="6"/>
        <v/>
      </c>
      <c r="N136" t="str">
        <f t="shared" si="7"/>
        <v/>
      </c>
    </row>
    <row r="137" spans="11:14" x14ac:dyDescent="0.25">
      <c r="K137" t="str">
        <f>IF(Handelsjournal!T119="","",Handelsjournal!T119)</f>
        <v/>
      </c>
      <c r="L137" t="str">
        <f>IF(K137="","",MAX(Listen!$B$3,MAX($K$21:K137)))</f>
        <v/>
      </c>
      <c r="M137" t="str">
        <f t="shared" si="6"/>
        <v/>
      </c>
      <c r="N137" t="str">
        <f t="shared" si="7"/>
        <v/>
      </c>
    </row>
    <row r="138" spans="11:14" x14ac:dyDescent="0.25">
      <c r="K138" t="str">
        <f>IF(Handelsjournal!T120="","",Handelsjournal!T120)</f>
        <v/>
      </c>
      <c r="L138" t="str">
        <f>IF(K138="","",MAX(Listen!$B$3,MAX($K$21:K138)))</f>
        <v/>
      </c>
      <c r="M138" t="str">
        <f t="shared" si="6"/>
        <v/>
      </c>
      <c r="N138" t="str">
        <f t="shared" si="7"/>
        <v/>
      </c>
    </row>
  </sheetData>
  <mergeCells count="2">
    <mergeCell ref="A1:B1"/>
    <mergeCell ref="K20:N20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F7A7A"/>
  </sheetPr>
  <dimension ref="A1:U32"/>
  <sheetViews>
    <sheetView showGridLines="0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baseColWidth="10" defaultColWidth="8.7109375" defaultRowHeight="15" x14ac:dyDescent="0.25"/>
  <cols>
    <col min="1" max="1" width="5" customWidth="1"/>
    <col min="2" max="2" width="12" customWidth="1"/>
    <col min="3" max="3" width="18" customWidth="1"/>
    <col min="4" max="4" width="13" customWidth="1"/>
    <col min="5" max="5" width="9" customWidth="1"/>
    <col min="6" max="8" width="13" customWidth="1"/>
    <col min="9" max="9" width="11" customWidth="1"/>
    <col min="10" max="12" width="12" customWidth="1"/>
    <col min="13" max="13" width="13" customWidth="1"/>
    <col min="14" max="15" width="12" customWidth="1"/>
    <col min="16" max="16" width="16" customWidth="1"/>
    <col min="17" max="17" width="15" customWidth="1"/>
    <col min="18" max="18" width="14" customWidth="1"/>
    <col min="19" max="19" width="13" customWidth="1"/>
    <col min="20" max="20" width="14" customWidth="1"/>
    <col min="21" max="21" width="34" customWidth="1"/>
  </cols>
  <sheetData>
    <row r="1" spans="1:21" ht="25.5" customHeight="1" x14ac:dyDescent="0.25">
      <c r="A1" s="2" t="s">
        <v>85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1.5" customHeight="1" x14ac:dyDescent="0.25">
      <c r="A2" s="34" t="s">
        <v>86</v>
      </c>
      <c r="B2" s="34" t="s">
        <v>87</v>
      </c>
      <c r="C2" s="34" t="s">
        <v>88</v>
      </c>
      <c r="D2" s="34" t="s">
        <v>59</v>
      </c>
      <c r="E2" s="34" t="s">
        <v>60</v>
      </c>
      <c r="F2" s="34" t="s">
        <v>89</v>
      </c>
      <c r="G2" s="34" t="s">
        <v>90</v>
      </c>
      <c r="H2" s="34" t="s">
        <v>91</v>
      </c>
      <c r="I2" s="34" t="s">
        <v>92</v>
      </c>
      <c r="J2" s="34" t="s">
        <v>93</v>
      </c>
      <c r="K2" s="34" t="s">
        <v>94</v>
      </c>
      <c r="L2" s="34" t="s">
        <v>95</v>
      </c>
      <c r="M2" s="34" t="s">
        <v>26</v>
      </c>
      <c r="N2" s="34" t="s">
        <v>96</v>
      </c>
      <c r="O2" s="34" t="s">
        <v>97</v>
      </c>
      <c r="P2" s="34" t="s">
        <v>42</v>
      </c>
      <c r="Q2" s="34" t="s">
        <v>98</v>
      </c>
      <c r="R2" s="34" t="s">
        <v>63</v>
      </c>
      <c r="S2" s="34" t="s">
        <v>99</v>
      </c>
      <c r="T2" s="34" t="s">
        <v>100</v>
      </c>
      <c r="U2" s="34" t="s">
        <v>101</v>
      </c>
    </row>
    <row r="3" spans="1:21" x14ac:dyDescent="0.25">
      <c r="A3" s="35">
        <v>1</v>
      </c>
      <c r="B3" s="36">
        <v>46030</v>
      </c>
      <c r="C3" s="37" t="s">
        <v>102</v>
      </c>
      <c r="D3" s="37" t="s">
        <v>73</v>
      </c>
      <c r="E3" s="38" t="s">
        <v>66</v>
      </c>
      <c r="F3" s="39">
        <v>19850</v>
      </c>
      <c r="G3" s="39">
        <v>19990</v>
      </c>
      <c r="H3" s="40">
        <v>1</v>
      </c>
      <c r="I3" s="39">
        <v>19790</v>
      </c>
      <c r="J3" s="39">
        <v>20030</v>
      </c>
      <c r="K3" s="41">
        <f t="shared" ref="K3:K30" si="0">IF($F3="","",IF($E3="Long",($F3-$I3)*$H3,($I3-$F3)*$H3))</f>
        <v>60</v>
      </c>
      <c r="L3" s="42">
        <v>2</v>
      </c>
      <c r="M3" s="43">
        <f t="shared" ref="M3:M30" si="1">IF(OR($F3="",$G3=""),"",IF($E3="Long",($G3-$F3)*$H3,($F3-$G3)*$H3)-$L3)</f>
        <v>138</v>
      </c>
      <c r="N3" s="44">
        <f t="shared" ref="N3:N30" si="2">IF(OR($M3="",$K3="",$K3=0),"",$M3/$K3)</f>
        <v>2.2999999999999998</v>
      </c>
      <c r="O3" s="45">
        <f t="shared" ref="O3:O30" si="3">IFERROR(IF(OR($J3="",$I3="",$F3=""),"",IF($E3="Long",($J3-$F3)/($F3-$I3),($F3-$J3)/($I3-$F3))),"")</f>
        <v>3</v>
      </c>
      <c r="P3" s="37" t="s">
        <v>43</v>
      </c>
      <c r="Q3" s="37" t="s">
        <v>67</v>
      </c>
      <c r="R3" s="37" t="s">
        <v>68</v>
      </c>
      <c r="S3" s="35">
        <v>4</v>
      </c>
      <c r="T3" s="41">
        <f>IF($F3="","",Listen!$B$3+SUM($M$3:$M3))</f>
        <v>10138</v>
      </c>
      <c r="U3" s="46" t="s">
        <v>103</v>
      </c>
    </row>
    <row r="4" spans="1:21" x14ac:dyDescent="0.25">
      <c r="A4" s="35">
        <v>2</v>
      </c>
      <c r="B4" s="36">
        <v>46035</v>
      </c>
      <c r="C4" s="37" t="s">
        <v>104</v>
      </c>
      <c r="D4" s="37" t="s">
        <v>76</v>
      </c>
      <c r="E4" s="38" t="s">
        <v>66</v>
      </c>
      <c r="F4" s="39">
        <v>1.0820000000000001</v>
      </c>
      <c r="G4" s="39">
        <v>1.0804</v>
      </c>
      <c r="H4" s="40">
        <v>25000</v>
      </c>
      <c r="I4" s="39">
        <v>1.0805</v>
      </c>
      <c r="J4" s="39">
        <v>1.0880000000000001</v>
      </c>
      <c r="K4" s="41">
        <f t="shared" si="0"/>
        <v>37.500000000001421</v>
      </c>
      <c r="L4" s="42">
        <v>3</v>
      </c>
      <c r="M4" s="43">
        <f t="shared" si="1"/>
        <v>-43.000000000001144</v>
      </c>
      <c r="N4" s="44">
        <f t="shared" si="2"/>
        <v>-1.1466666666666536</v>
      </c>
      <c r="O4" s="45">
        <f t="shared" si="3"/>
        <v>3.9999999999998521</v>
      </c>
      <c r="P4" s="37" t="s">
        <v>45</v>
      </c>
      <c r="Q4" s="37" t="s">
        <v>67</v>
      </c>
      <c r="R4" s="37" t="s">
        <v>72</v>
      </c>
      <c r="S4" s="35">
        <v>3</v>
      </c>
      <c r="T4" s="41">
        <f>IF($F4="","",Listen!$B$3+SUM($M$3:$M4))</f>
        <v>10094.999999999998</v>
      </c>
      <c r="U4" s="46" t="s">
        <v>105</v>
      </c>
    </row>
    <row r="5" spans="1:21" x14ac:dyDescent="0.25">
      <c r="A5" s="35">
        <v>3</v>
      </c>
      <c r="B5" s="36">
        <v>46038</v>
      </c>
      <c r="C5" s="37" t="s">
        <v>106</v>
      </c>
      <c r="D5" s="37" t="s">
        <v>78</v>
      </c>
      <c r="E5" s="38" t="s">
        <v>66</v>
      </c>
      <c r="F5" s="39">
        <v>92000</v>
      </c>
      <c r="G5" s="39">
        <v>95500</v>
      </c>
      <c r="H5" s="40">
        <v>0.05</v>
      </c>
      <c r="I5" s="39">
        <v>90500</v>
      </c>
      <c r="J5" s="39">
        <v>96000</v>
      </c>
      <c r="K5" s="41">
        <f t="shared" si="0"/>
        <v>75</v>
      </c>
      <c r="L5" s="42">
        <v>5</v>
      </c>
      <c r="M5" s="43">
        <f t="shared" si="1"/>
        <v>170</v>
      </c>
      <c r="N5" s="44">
        <f t="shared" si="2"/>
        <v>2.2666666666666666</v>
      </c>
      <c r="O5" s="45">
        <f t="shared" si="3"/>
        <v>2.6666666666666665</v>
      </c>
      <c r="P5" s="37" t="s">
        <v>44</v>
      </c>
      <c r="Q5" s="37" t="s">
        <v>67</v>
      </c>
      <c r="R5" s="37" t="s">
        <v>68</v>
      </c>
      <c r="S5" s="35">
        <v>4</v>
      </c>
      <c r="T5" s="41">
        <f>IF($F5="","",Listen!$B$3+SUM($M$3:$M5))</f>
        <v>10264.999999999998</v>
      </c>
      <c r="U5" s="46" t="s">
        <v>107</v>
      </c>
    </row>
    <row r="6" spans="1:21" x14ac:dyDescent="0.25">
      <c r="A6" s="35">
        <v>4</v>
      </c>
      <c r="B6" s="36">
        <v>46044</v>
      </c>
      <c r="C6" s="37" t="s">
        <v>108</v>
      </c>
      <c r="D6" s="37" t="s">
        <v>65</v>
      </c>
      <c r="E6" s="38" t="s">
        <v>66</v>
      </c>
      <c r="F6" s="39">
        <v>152.4</v>
      </c>
      <c r="G6" s="39">
        <v>149.80000000000001</v>
      </c>
      <c r="H6" s="40">
        <v>50</v>
      </c>
      <c r="I6" s="39">
        <v>149.5</v>
      </c>
      <c r="J6" s="39">
        <v>160</v>
      </c>
      <c r="K6" s="41">
        <f t="shared" si="0"/>
        <v>145.00000000000028</v>
      </c>
      <c r="L6" s="42">
        <v>4</v>
      </c>
      <c r="M6" s="43">
        <f t="shared" si="1"/>
        <v>-133.99999999999972</v>
      </c>
      <c r="N6" s="44">
        <f t="shared" si="2"/>
        <v>-0.92413793103447894</v>
      </c>
      <c r="O6" s="45">
        <f t="shared" si="3"/>
        <v>2.6206896551724066</v>
      </c>
      <c r="P6" s="37" t="s">
        <v>46</v>
      </c>
      <c r="Q6" s="37" t="s">
        <v>71</v>
      </c>
      <c r="R6" s="37" t="s">
        <v>75</v>
      </c>
      <c r="S6" s="35">
        <v>2</v>
      </c>
      <c r="T6" s="41">
        <f>IF($F6="","",Listen!$B$3+SUM($M$3:$M6))</f>
        <v>10131</v>
      </c>
      <c r="U6" s="46" t="s">
        <v>109</v>
      </c>
    </row>
    <row r="7" spans="1:21" x14ac:dyDescent="0.25">
      <c r="A7" s="35">
        <v>5</v>
      </c>
      <c r="B7" s="36">
        <v>46050</v>
      </c>
      <c r="C7" s="37" t="s">
        <v>110</v>
      </c>
      <c r="D7" s="37" t="s">
        <v>80</v>
      </c>
      <c r="E7" s="38" t="s">
        <v>66</v>
      </c>
      <c r="F7" s="39">
        <v>2640</v>
      </c>
      <c r="G7" s="39">
        <v>2672</v>
      </c>
      <c r="H7" s="40">
        <v>2</v>
      </c>
      <c r="I7" s="39">
        <v>2628</v>
      </c>
      <c r="J7" s="39">
        <v>2680</v>
      </c>
      <c r="K7" s="41">
        <f t="shared" si="0"/>
        <v>24</v>
      </c>
      <c r="L7" s="42">
        <v>4</v>
      </c>
      <c r="M7" s="43">
        <f t="shared" si="1"/>
        <v>60</v>
      </c>
      <c r="N7" s="44">
        <f t="shared" si="2"/>
        <v>2.5</v>
      </c>
      <c r="O7" s="45">
        <f t="shared" si="3"/>
        <v>3.3333333333333335</v>
      </c>
      <c r="P7" s="37" t="s">
        <v>43</v>
      </c>
      <c r="Q7" s="37" t="s">
        <v>67</v>
      </c>
      <c r="R7" s="37" t="s">
        <v>68</v>
      </c>
      <c r="S7" s="35">
        <v>4</v>
      </c>
      <c r="T7" s="41">
        <f>IF($F7="","",Listen!$B$3+SUM($M$3:$M7))</f>
        <v>10191</v>
      </c>
      <c r="U7" s="46" t="s">
        <v>111</v>
      </c>
    </row>
    <row r="8" spans="1:21" x14ac:dyDescent="0.25">
      <c r="A8" s="35">
        <v>6</v>
      </c>
      <c r="B8" s="36">
        <v>46056</v>
      </c>
      <c r="C8" s="37" t="s">
        <v>112</v>
      </c>
      <c r="D8" s="37" t="s">
        <v>65</v>
      </c>
      <c r="E8" s="38" t="s">
        <v>66</v>
      </c>
      <c r="F8" s="39">
        <v>238.5</v>
      </c>
      <c r="G8" s="39">
        <v>245.2</v>
      </c>
      <c r="H8" s="40">
        <v>30</v>
      </c>
      <c r="I8" s="39">
        <v>234</v>
      </c>
      <c r="J8" s="39">
        <v>246</v>
      </c>
      <c r="K8" s="41">
        <f t="shared" si="0"/>
        <v>135</v>
      </c>
      <c r="L8" s="42">
        <v>3</v>
      </c>
      <c r="M8" s="43">
        <f t="shared" si="1"/>
        <v>197.99999999999966</v>
      </c>
      <c r="N8" s="44">
        <f t="shared" si="2"/>
        <v>1.4666666666666641</v>
      </c>
      <c r="O8" s="45">
        <f t="shared" si="3"/>
        <v>1.6666666666666667</v>
      </c>
      <c r="P8" s="37" t="s">
        <v>44</v>
      </c>
      <c r="Q8" s="37" t="s">
        <v>67</v>
      </c>
      <c r="R8" s="37" t="s">
        <v>68</v>
      </c>
      <c r="S8" s="35">
        <v>5</v>
      </c>
      <c r="T8" s="41">
        <f>IF($F8="","",Listen!$B$3+SUM($M$3:$M8))</f>
        <v>10388.999999999998</v>
      </c>
      <c r="U8" s="46" t="s">
        <v>113</v>
      </c>
    </row>
    <row r="9" spans="1:21" x14ac:dyDescent="0.25">
      <c r="A9" s="35">
        <v>7</v>
      </c>
      <c r="B9" s="36">
        <v>46062</v>
      </c>
      <c r="C9" s="37" t="s">
        <v>114</v>
      </c>
      <c r="D9" s="37" t="s">
        <v>73</v>
      </c>
      <c r="E9" s="38" t="s">
        <v>70</v>
      </c>
      <c r="F9" s="39">
        <v>21450</v>
      </c>
      <c r="G9" s="39">
        <v>21280</v>
      </c>
      <c r="H9" s="40">
        <v>1</v>
      </c>
      <c r="I9" s="39">
        <v>21560</v>
      </c>
      <c r="J9" s="39">
        <v>21250</v>
      </c>
      <c r="K9" s="41">
        <f t="shared" si="0"/>
        <v>110</v>
      </c>
      <c r="L9" s="42">
        <v>2</v>
      </c>
      <c r="M9" s="43">
        <f t="shared" si="1"/>
        <v>168</v>
      </c>
      <c r="N9" s="44">
        <f t="shared" si="2"/>
        <v>1.5272727272727273</v>
      </c>
      <c r="O9" s="45">
        <f t="shared" si="3"/>
        <v>1.8181818181818181</v>
      </c>
      <c r="P9" s="37" t="s">
        <v>46</v>
      </c>
      <c r="Q9" s="37" t="s">
        <v>67</v>
      </c>
      <c r="R9" s="37" t="s">
        <v>72</v>
      </c>
      <c r="S9" s="35">
        <v>4</v>
      </c>
      <c r="T9" s="41">
        <f>IF($F9="","",Listen!$B$3+SUM($M$3:$M9))</f>
        <v>10556.999999999998</v>
      </c>
      <c r="U9" s="46" t="s">
        <v>115</v>
      </c>
    </row>
    <row r="10" spans="1:21" x14ac:dyDescent="0.25">
      <c r="A10" s="35">
        <v>8</v>
      </c>
      <c r="B10" s="36">
        <v>46070</v>
      </c>
      <c r="C10" s="37" t="s">
        <v>104</v>
      </c>
      <c r="D10" s="37" t="s">
        <v>76</v>
      </c>
      <c r="E10" s="38" t="s">
        <v>70</v>
      </c>
      <c r="F10" s="39">
        <v>1.089</v>
      </c>
      <c r="G10" s="39">
        <v>1.0905</v>
      </c>
      <c r="H10" s="40">
        <v>25000</v>
      </c>
      <c r="I10" s="39">
        <v>1.091</v>
      </c>
      <c r="J10" s="39">
        <v>1.0820000000000001</v>
      </c>
      <c r="K10" s="41">
        <f t="shared" si="0"/>
        <v>50.000000000000043</v>
      </c>
      <c r="L10" s="42">
        <v>3</v>
      </c>
      <c r="M10" s="43">
        <f t="shared" si="1"/>
        <v>-40.500000000001421</v>
      </c>
      <c r="N10" s="44">
        <f t="shared" si="2"/>
        <v>-0.8100000000000277</v>
      </c>
      <c r="O10" s="45">
        <f t="shared" si="3"/>
        <v>3.4999999999999445</v>
      </c>
      <c r="P10" s="37" t="s">
        <v>47</v>
      </c>
      <c r="Q10" s="37" t="s">
        <v>67</v>
      </c>
      <c r="R10" s="37" t="s">
        <v>72</v>
      </c>
      <c r="S10" s="35">
        <v>3</v>
      </c>
      <c r="T10" s="41">
        <f>IF($F10="","",Listen!$B$3+SUM($M$3:$M10))</f>
        <v>10516.499999999998</v>
      </c>
      <c r="U10" s="46" t="s">
        <v>116</v>
      </c>
    </row>
    <row r="11" spans="1:21" x14ac:dyDescent="0.25">
      <c r="A11" s="35">
        <v>9</v>
      </c>
      <c r="B11" s="36">
        <v>46077</v>
      </c>
      <c r="C11" s="37" t="s">
        <v>117</v>
      </c>
      <c r="D11" s="37" t="s">
        <v>65</v>
      </c>
      <c r="E11" s="38" t="s">
        <v>66</v>
      </c>
      <c r="F11" s="39">
        <v>412</v>
      </c>
      <c r="G11" s="39">
        <v>398</v>
      </c>
      <c r="H11" s="40">
        <v>20</v>
      </c>
      <c r="I11" s="39">
        <v>396</v>
      </c>
      <c r="J11" s="39">
        <v>440</v>
      </c>
      <c r="K11" s="41">
        <f t="shared" si="0"/>
        <v>320</v>
      </c>
      <c r="L11" s="42">
        <v>4</v>
      </c>
      <c r="M11" s="43">
        <f t="shared" si="1"/>
        <v>-284</v>
      </c>
      <c r="N11" s="44">
        <f t="shared" si="2"/>
        <v>-0.88749999999999996</v>
      </c>
      <c r="O11" s="45">
        <f t="shared" si="3"/>
        <v>1.75</v>
      </c>
      <c r="P11" s="37" t="s">
        <v>43</v>
      </c>
      <c r="Q11" s="37" t="s">
        <v>74</v>
      </c>
      <c r="R11" s="37" t="s">
        <v>79</v>
      </c>
      <c r="S11" s="35">
        <v>1</v>
      </c>
      <c r="T11" s="41">
        <f>IF($F11="","",Listen!$B$3+SUM($M$3:$M11))</f>
        <v>10232.499999999998</v>
      </c>
      <c r="U11" s="46" t="s">
        <v>118</v>
      </c>
    </row>
    <row r="12" spans="1:21" x14ac:dyDescent="0.25">
      <c r="A12" s="35">
        <v>10</v>
      </c>
      <c r="B12" s="36">
        <v>46085</v>
      </c>
      <c r="C12" s="37" t="s">
        <v>102</v>
      </c>
      <c r="D12" s="37" t="s">
        <v>73</v>
      </c>
      <c r="E12" s="38" t="s">
        <v>66</v>
      </c>
      <c r="F12" s="39">
        <v>20120</v>
      </c>
      <c r="G12" s="39">
        <v>20060</v>
      </c>
      <c r="H12" s="40">
        <v>1</v>
      </c>
      <c r="I12" s="39">
        <v>20050</v>
      </c>
      <c r="J12" s="39">
        <v>20260</v>
      </c>
      <c r="K12" s="41">
        <f t="shared" si="0"/>
        <v>70</v>
      </c>
      <c r="L12" s="42">
        <v>2</v>
      </c>
      <c r="M12" s="43">
        <f t="shared" si="1"/>
        <v>-62</v>
      </c>
      <c r="N12" s="44">
        <f t="shared" si="2"/>
        <v>-0.88571428571428568</v>
      </c>
      <c r="O12" s="45">
        <f t="shared" si="3"/>
        <v>2</v>
      </c>
      <c r="P12" s="37" t="s">
        <v>45</v>
      </c>
      <c r="Q12" s="37" t="s">
        <v>71</v>
      </c>
      <c r="R12" s="37" t="s">
        <v>75</v>
      </c>
      <c r="S12" s="35">
        <v>2</v>
      </c>
      <c r="T12" s="41">
        <f>IF($F12="","",Listen!$B$3+SUM($M$3:$M12))</f>
        <v>10170.499999999998</v>
      </c>
      <c r="U12" s="46" t="s">
        <v>119</v>
      </c>
    </row>
    <row r="13" spans="1:21" x14ac:dyDescent="0.25">
      <c r="A13" s="35">
        <v>11</v>
      </c>
      <c r="B13" s="36">
        <v>46092</v>
      </c>
      <c r="C13" s="37" t="s">
        <v>106</v>
      </c>
      <c r="D13" s="37" t="s">
        <v>78</v>
      </c>
      <c r="E13" s="38" t="s">
        <v>70</v>
      </c>
      <c r="F13" s="39">
        <v>99000</v>
      </c>
      <c r="G13" s="39">
        <v>96500</v>
      </c>
      <c r="H13" s="40">
        <v>0.04</v>
      </c>
      <c r="I13" s="39">
        <v>100500</v>
      </c>
      <c r="J13" s="39">
        <v>95000</v>
      </c>
      <c r="K13" s="41">
        <f t="shared" si="0"/>
        <v>60</v>
      </c>
      <c r="L13" s="42">
        <v>5</v>
      </c>
      <c r="M13" s="43">
        <f t="shared" si="1"/>
        <v>95</v>
      </c>
      <c r="N13" s="44">
        <f t="shared" si="2"/>
        <v>1.5833333333333333</v>
      </c>
      <c r="O13" s="45">
        <f t="shared" si="3"/>
        <v>2.6666666666666665</v>
      </c>
      <c r="P13" s="37" t="s">
        <v>46</v>
      </c>
      <c r="Q13" s="37" t="s">
        <v>67</v>
      </c>
      <c r="R13" s="37" t="s">
        <v>72</v>
      </c>
      <c r="S13" s="35">
        <v>3</v>
      </c>
      <c r="T13" s="41">
        <f>IF($F13="","",Listen!$B$3+SUM($M$3:$M13))</f>
        <v>10265.499999999998</v>
      </c>
      <c r="U13" s="46" t="s">
        <v>120</v>
      </c>
    </row>
    <row r="14" spans="1:21" x14ac:dyDescent="0.25">
      <c r="A14" s="35">
        <v>12</v>
      </c>
      <c r="B14" s="36">
        <v>46099</v>
      </c>
      <c r="C14" s="37" t="s">
        <v>121</v>
      </c>
      <c r="D14" s="37" t="s">
        <v>65</v>
      </c>
      <c r="E14" s="38" t="s">
        <v>66</v>
      </c>
      <c r="F14" s="39">
        <v>198.2</v>
      </c>
      <c r="G14" s="39">
        <v>205.4</v>
      </c>
      <c r="H14" s="40">
        <v>25</v>
      </c>
      <c r="I14" s="39">
        <v>195</v>
      </c>
      <c r="J14" s="39">
        <v>206</v>
      </c>
      <c r="K14" s="41">
        <f t="shared" si="0"/>
        <v>79.999999999999716</v>
      </c>
      <c r="L14" s="42">
        <v>3</v>
      </c>
      <c r="M14" s="43">
        <f t="shared" si="1"/>
        <v>177.00000000000043</v>
      </c>
      <c r="N14" s="44">
        <f t="shared" si="2"/>
        <v>2.2125000000000132</v>
      </c>
      <c r="O14" s="45">
        <f t="shared" si="3"/>
        <v>2.4375000000000124</v>
      </c>
      <c r="P14" s="37" t="s">
        <v>44</v>
      </c>
      <c r="Q14" s="37" t="s">
        <v>67</v>
      </c>
      <c r="R14" s="37" t="s">
        <v>68</v>
      </c>
      <c r="S14" s="35">
        <v>4</v>
      </c>
      <c r="T14" s="41">
        <f>IF($F14="","",Listen!$B$3+SUM($M$3:$M14))</f>
        <v>10442.499999999998</v>
      </c>
      <c r="U14" s="46" t="s">
        <v>122</v>
      </c>
    </row>
    <row r="15" spans="1:21" x14ac:dyDescent="0.25">
      <c r="A15" s="35">
        <v>13</v>
      </c>
      <c r="B15" s="36">
        <v>46106</v>
      </c>
      <c r="C15" s="37" t="s">
        <v>110</v>
      </c>
      <c r="D15" s="37" t="s">
        <v>80</v>
      </c>
      <c r="E15" s="38" t="s">
        <v>66</v>
      </c>
      <c r="F15" s="39">
        <v>2685</v>
      </c>
      <c r="G15" s="39">
        <v>2675</v>
      </c>
      <c r="H15" s="40">
        <v>2</v>
      </c>
      <c r="I15" s="39">
        <v>2674</v>
      </c>
      <c r="J15" s="39">
        <v>2715</v>
      </c>
      <c r="K15" s="41">
        <f t="shared" si="0"/>
        <v>22</v>
      </c>
      <c r="L15" s="42">
        <v>4</v>
      </c>
      <c r="M15" s="43">
        <f t="shared" si="1"/>
        <v>-24</v>
      </c>
      <c r="N15" s="44">
        <f t="shared" si="2"/>
        <v>-1.0909090909090908</v>
      </c>
      <c r="O15" s="45">
        <f t="shared" si="3"/>
        <v>2.7272727272727271</v>
      </c>
      <c r="P15" s="37" t="s">
        <v>47</v>
      </c>
      <c r="Q15" s="37" t="s">
        <v>67</v>
      </c>
      <c r="R15" s="37" t="s">
        <v>72</v>
      </c>
      <c r="S15" s="35">
        <v>3</v>
      </c>
      <c r="T15" s="41">
        <f>IF($F15="","",Listen!$B$3+SUM($M$3:$M15))</f>
        <v>10418.499999999998</v>
      </c>
      <c r="U15" s="46" t="s">
        <v>123</v>
      </c>
    </row>
    <row r="16" spans="1:21" x14ac:dyDescent="0.25">
      <c r="A16" s="35">
        <v>14</v>
      </c>
      <c r="B16" s="36">
        <v>46114</v>
      </c>
      <c r="C16" s="37" t="s">
        <v>104</v>
      </c>
      <c r="D16" s="37" t="s">
        <v>76</v>
      </c>
      <c r="E16" s="38" t="s">
        <v>66</v>
      </c>
      <c r="F16" s="39">
        <v>1.0760000000000001</v>
      </c>
      <c r="G16" s="39">
        <v>1.0814999999999999</v>
      </c>
      <c r="H16" s="40">
        <v>25000</v>
      </c>
      <c r="I16" s="39">
        <v>1.0745</v>
      </c>
      <c r="J16" s="39">
        <v>1.0820000000000001</v>
      </c>
      <c r="K16" s="41">
        <f t="shared" si="0"/>
        <v>37.500000000001421</v>
      </c>
      <c r="L16" s="42">
        <v>3</v>
      </c>
      <c r="M16" s="43">
        <f t="shared" si="1"/>
        <v>134.49999999999596</v>
      </c>
      <c r="N16" s="44">
        <f t="shared" si="2"/>
        <v>3.5866666666664231</v>
      </c>
      <c r="O16" s="45">
        <f t="shared" si="3"/>
        <v>3.9999999999998521</v>
      </c>
      <c r="P16" s="37" t="s">
        <v>45</v>
      </c>
      <c r="Q16" s="37" t="s">
        <v>67</v>
      </c>
      <c r="R16" s="37" t="s">
        <v>68</v>
      </c>
      <c r="S16" s="35">
        <v>4</v>
      </c>
      <c r="T16" s="41">
        <f>IF($F16="","",Listen!$B$3+SUM($M$3:$M16))</f>
        <v>10552.999999999995</v>
      </c>
      <c r="U16" s="46" t="s">
        <v>124</v>
      </c>
    </row>
    <row r="17" spans="1:21" x14ac:dyDescent="0.25">
      <c r="A17" s="35">
        <v>15</v>
      </c>
      <c r="B17" s="36">
        <v>46120</v>
      </c>
      <c r="C17" s="37" t="s">
        <v>125</v>
      </c>
      <c r="D17" s="37" t="s">
        <v>65</v>
      </c>
      <c r="E17" s="38" t="s">
        <v>66</v>
      </c>
      <c r="F17" s="39">
        <v>138.5</v>
      </c>
      <c r="G17" s="39">
        <v>145.19999999999999</v>
      </c>
      <c r="H17" s="40">
        <v>40</v>
      </c>
      <c r="I17" s="39">
        <v>135</v>
      </c>
      <c r="J17" s="39">
        <v>147</v>
      </c>
      <c r="K17" s="41">
        <f t="shared" si="0"/>
        <v>140</v>
      </c>
      <c r="L17" s="42">
        <v>4</v>
      </c>
      <c r="M17" s="43">
        <f t="shared" si="1"/>
        <v>263.99999999999955</v>
      </c>
      <c r="N17" s="44">
        <f t="shared" si="2"/>
        <v>1.8857142857142826</v>
      </c>
      <c r="O17" s="45">
        <f t="shared" si="3"/>
        <v>2.4285714285714284</v>
      </c>
      <c r="P17" s="37" t="s">
        <v>43</v>
      </c>
      <c r="Q17" s="37" t="s">
        <v>67</v>
      </c>
      <c r="R17" s="37" t="s">
        <v>68</v>
      </c>
      <c r="S17" s="35">
        <v>5</v>
      </c>
      <c r="T17" s="41">
        <f>IF($F17="","",Listen!$B$3+SUM($M$3:$M17))</f>
        <v>10816.999999999993</v>
      </c>
      <c r="U17" s="46" t="s">
        <v>126</v>
      </c>
    </row>
    <row r="18" spans="1:21" x14ac:dyDescent="0.25">
      <c r="A18" s="35">
        <v>16</v>
      </c>
      <c r="B18" s="36">
        <v>46127</v>
      </c>
      <c r="C18" s="37" t="s">
        <v>102</v>
      </c>
      <c r="D18" s="37" t="s">
        <v>73</v>
      </c>
      <c r="E18" s="38" t="s">
        <v>70</v>
      </c>
      <c r="F18" s="39">
        <v>20350</v>
      </c>
      <c r="G18" s="39">
        <v>20410</v>
      </c>
      <c r="H18" s="40">
        <v>1</v>
      </c>
      <c r="I18" s="39">
        <v>20420</v>
      </c>
      <c r="J18" s="39">
        <v>20180</v>
      </c>
      <c r="K18" s="41">
        <f t="shared" si="0"/>
        <v>70</v>
      </c>
      <c r="L18" s="42">
        <v>2</v>
      </c>
      <c r="M18" s="43">
        <f t="shared" si="1"/>
        <v>-62</v>
      </c>
      <c r="N18" s="44">
        <f t="shared" si="2"/>
        <v>-0.88571428571428568</v>
      </c>
      <c r="O18" s="45">
        <f t="shared" si="3"/>
        <v>2.4285714285714284</v>
      </c>
      <c r="P18" s="37" t="s">
        <v>46</v>
      </c>
      <c r="Q18" s="37" t="s">
        <v>74</v>
      </c>
      <c r="R18" s="37" t="s">
        <v>81</v>
      </c>
      <c r="S18" s="35">
        <v>1</v>
      </c>
      <c r="T18" s="41">
        <f>IF($F18="","",Listen!$B$3+SUM($M$3:$M18))</f>
        <v>10754.999999999993</v>
      </c>
      <c r="U18" s="46" t="s">
        <v>127</v>
      </c>
    </row>
    <row r="19" spans="1:21" x14ac:dyDescent="0.25">
      <c r="A19" s="35">
        <v>17</v>
      </c>
      <c r="B19" s="36">
        <v>46134</v>
      </c>
      <c r="C19" s="37" t="s">
        <v>106</v>
      </c>
      <c r="D19" s="37" t="s">
        <v>78</v>
      </c>
      <c r="E19" s="38" t="s">
        <v>66</v>
      </c>
      <c r="F19" s="39">
        <v>88000</v>
      </c>
      <c r="G19" s="39">
        <v>93500</v>
      </c>
      <c r="H19" s="40">
        <v>0.05</v>
      </c>
      <c r="I19" s="39">
        <v>86500</v>
      </c>
      <c r="J19" s="39">
        <v>94000</v>
      </c>
      <c r="K19" s="41">
        <f t="shared" si="0"/>
        <v>75</v>
      </c>
      <c r="L19" s="42">
        <v>5</v>
      </c>
      <c r="M19" s="43">
        <f t="shared" si="1"/>
        <v>270</v>
      </c>
      <c r="N19" s="44">
        <f t="shared" si="2"/>
        <v>3.6</v>
      </c>
      <c r="O19" s="45">
        <f t="shared" si="3"/>
        <v>4</v>
      </c>
      <c r="P19" s="37" t="s">
        <v>44</v>
      </c>
      <c r="Q19" s="37" t="s">
        <v>67</v>
      </c>
      <c r="R19" s="37" t="s">
        <v>68</v>
      </c>
      <c r="S19" s="35">
        <v>4</v>
      </c>
      <c r="T19" s="41">
        <f>IF($F19="","",Listen!$B$3+SUM($M$3:$M19))</f>
        <v>11024.999999999993</v>
      </c>
      <c r="U19" s="46" t="s">
        <v>128</v>
      </c>
    </row>
    <row r="20" spans="1:21" x14ac:dyDescent="0.25">
      <c r="A20" s="35">
        <v>18</v>
      </c>
      <c r="B20" s="36">
        <v>46141</v>
      </c>
      <c r="C20" s="37" t="s">
        <v>112</v>
      </c>
      <c r="D20" s="37" t="s">
        <v>65</v>
      </c>
      <c r="E20" s="38" t="s">
        <v>66</v>
      </c>
      <c r="F20" s="39">
        <v>246</v>
      </c>
      <c r="G20" s="39">
        <v>243.5</v>
      </c>
      <c r="H20" s="40">
        <v>30</v>
      </c>
      <c r="I20" s="39">
        <v>243</v>
      </c>
      <c r="J20" s="39">
        <v>254</v>
      </c>
      <c r="K20" s="41">
        <f t="shared" si="0"/>
        <v>90</v>
      </c>
      <c r="L20" s="42">
        <v>3</v>
      </c>
      <c r="M20" s="43">
        <f t="shared" si="1"/>
        <v>-78</v>
      </c>
      <c r="N20" s="44">
        <f t="shared" si="2"/>
        <v>-0.8666666666666667</v>
      </c>
      <c r="O20" s="45">
        <f t="shared" si="3"/>
        <v>2.6666666666666665</v>
      </c>
      <c r="P20" s="37" t="s">
        <v>47</v>
      </c>
      <c r="Q20" s="37" t="s">
        <v>71</v>
      </c>
      <c r="R20" s="37" t="s">
        <v>75</v>
      </c>
      <c r="S20" s="35">
        <v>2</v>
      </c>
      <c r="T20" s="41">
        <f>IF($F20="","",Listen!$B$3+SUM($M$3:$M20))</f>
        <v>10946.999999999993</v>
      </c>
      <c r="U20" s="46" t="s">
        <v>129</v>
      </c>
    </row>
    <row r="21" spans="1:21" x14ac:dyDescent="0.25">
      <c r="A21" s="35">
        <v>19</v>
      </c>
      <c r="B21" s="36">
        <v>46146</v>
      </c>
      <c r="C21" s="37" t="s">
        <v>104</v>
      </c>
      <c r="D21" s="37" t="s">
        <v>76</v>
      </c>
      <c r="E21" s="38" t="s">
        <v>70</v>
      </c>
      <c r="F21" s="39">
        <v>1.095</v>
      </c>
      <c r="G21" s="39">
        <v>1.0900000000000001</v>
      </c>
      <c r="H21" s="40">
        <v>25000</v>
      </c>
      <c r="I21" s="39">
        <v>1.0974999999999999</v>
      </c>
      <c r="J21" s="39">
        <v>1.089</v>
      </c>
      <c r="K21" s="41">
        <f t="shared" si="0"/>
        <v>62.499999999998664</v>
      </c>
      <c r="L21" s="42">
        <v>3</v>
      </c>
      <c r="M21" s="43">
        <f t="shared" si="1"/>
        <v>121.99999999999733</v>
      </c>
      <c r="N21" s="44">
        <f t="shared" si="2"/>
        <v>1.9519999999999991</v>
      </c>
      <c r="O21" s="45">
        <f t="shared" si="3"/>
        <v>2.4000000000000532</v>
      </c>
      <c r="P21" s="37" t="s">
        <v>46</v>
      </c>
      <c r="Q21" s="37" t="s">
        <v>67</v>
      </c>
      <c r="R21" s="37" t="s">
        <v>72</v>
      </c>
      <c r="S21" s="35">
        <v>4</v>
      </c>
      <c r="T21" s="41">
        <f>IF($F21="","",Listen!$B$3+SUM($M$3:$M21))</f>
        <v>11068.999999999991</v>
      </c>
      <c r="U21" s="46" t="s">
        <v>130</v>
      </c>
    </row>
    <row r="22" spans="1:21" x14ac:dyDescent="0.25">
      <c r="A22" s="35">
        <v>20</v>
      </c>
      <c r="B22" s="36">
        <v>46153</v>
      </c>
      <c r="C22" s="37" t="s">
        <v>108</v>
      </c>
      <c r="D22" s="37" t="s">
        <v>65</v>
      </c>
      <c r="E22" s="38" t="s">
        <v>66</v>
      </c>
      <c r="F22" s="39">
        <v>158</v>
      </c>
      <c r="G22" s="39">
        <v>164.5</v>
      </c>
      <c r="H22" s="40">
        <v>50</v>
      </c>
      <c r="I22" s="39">
        <v>155.5</v>
      </c>
      <c r="J22" s="39">
        <v>165</v>
      </c>
      <c r="K22" s="41">
        <f t="shared" si="0"/>
        <v>125</v>
      </c>
      <c r="L22" s="42">
        <v>4</v>
      </c>
      <c r="M22" s="43">
        <f t="shared" si="1"/>
        <v>321</v>
      </c>
      <c r="N22" s="44">
        <f t="shared" si="2"/>
        <v>2.5680000000000001</v>
      </c>
      <c r="O22" s="45">
        <f t="shared" si="3"/>
        <v>2.8</v>
      </c>
      <c r="P22" s="37" t="s">
        <v>43</v>
      </c>
      <c r="Q22" s="37" t="s">
        <v>67</v>
      </c>
      <c r="R22" s="37" t="s">
        <v>68</v>
      </c>
      <c r="S22" s="35">
        <v>5</v>
      </c>
      <c r="T22" s="41">
        <f>IF($F22="","",Listen!$B$3+SUM($M$3:$M22))</f>
        <v>11389.999999999991</v>
      </c>
      <c r="U22" s="46" t="s">
        <v>131</v>
      </c>
    </row>
    <row r="23" spans="1:21" x14ac:dyDescent="0.25">
      <c r="A23" s="35">
        <v>21</v>
      </c>
      <c r="B23" s="36">
        <v>46160</v>
      </c>
      <c r="C23" s="37" t="s">
        <v>114</v>
      </c>
      <c r="D23" s="37" t="s">
        <v>73</v>
      </c>
      <c r="E23" s="38" t="s">
        <v>66</v>
      </c>
      <c r="F23" s="39">
        <v>21600</v>
      </c>
      <c r="G23" s="39">
        <v>21520</v>
      </c>
      <c r="H23" s="40">
        <v>1</v>
      </c>
      <c r="I23" s="39">
        <v>21500</v>
      </c>
      <c r="J23" s="39">
        <v>21850</v>
      </c>
      <c r="K23" s="41">
        <f t="shared" si="0"/>
        <v>100</v>
      </c>
      <c r="L23" s="42">
        <v>2</v>
      </c>
      <c r="M23" s="43">
        <f t="shared" si="1"/>
        <v>-82</v>
      </c>
      <c r="N23" s="44">
        <f t="shared" si="2"/>
        <v>-0.82</v>
      </c>
      <c r="O23" s="45">
        <f t="shared" si="3"/>
        <v>2.5</v>
      </c>
      <c r="P23" s="37" t="s">
        <v>45</v>
      </c>
      <c r="Q23" s="37" t="s">
        <v>74</v>
      </c>
      <c r="R23" s="37" t="s">
        <v>81</v>
      </c>
      <c r="S23" s="35">
        <v>1</v>
      </c>
      <c r="T23" s="41">
        <f>IF($F23="","",Listen!$B$3+SUM($M$3:$M23))</f>
        <v>11307.999999999991</v>
      </c>
      <c r="U23" s="46" t="s">
        <v>132</v>
      </c>
    </row>
    <row r="24" spans="1:21" x14ac:dyDescent="0.25">
      <c r="A24" s="35">
        <v>22</v>
      </c>
      <c r="B24" s="36">
        <v>46163</v>
      </c>
      <c r="C24" s="37" t="s">
        <v>110</v>
      </c>
      <c r="D24" s="37" t="s">
        <v>80</v>
      </c>
      <c r="E24" s="38" t="s">
        <v>70</v>
      </c>
      <c r="F24" s="39">
        <v>2720</v>
      </c>
      <c r="G24" s="39">
        <v>2698</v>
      </c>
      <c r="H24" s="40">
        <v>2</v>
      </c>
      <c r="I24" s="39">
        <v>2732</v>
      </c>
      <c r="J24" s="39">
        <v>2690</v>
      </c>
      <c r="K24" s="41">
        <f t="shared" si="0"/>
        <v>24</v>
      </c>
      <c r="L24" s="42">
        <v>4</v>
      </c>
      <c r="M24" s="43">
        <f t="shared" si="1"/>
        <v>40</v>
      </c>
      <c r="N24" s="44">
        <f t="shared" si="2"/>
        <v>1.6666666666666667</v>
      </c>
      <c r="O24" s="45">
        <f t="shared" si="3"/>
        <v>2.5</v>
      </c>
      <c r="P24" s="37" t="s">
        <v>47</v>
      </c>
      <c r="Q24" s="37" t="s">
        <v>67</v>
      </c>
      <c r="R24" s="37" t="s">
        <v>72</v>
      </c>
      <c r="S24" s="35">
        <v>3</v>
      </c>
      <c r="T24" s="41">
        <f>IF($F24="","",Listen!$B$3+SUM($M$3:$M24))</f>
        <v>11347.999999999991</v>
      </c>
      <c r="U24" s="46" t="s">
        <v>133</v>
      </c>
    </row>
    <row r="25" spans="1:21" x14ac:dyDescent="0.25">
      <c r="A25" s="35">
        <v>23</v>
      </c>
      <c r="B25" s="36">
        <v>46170</v>
      </c>
      <c r="C25" s="37" t="s">
        <v>117</v>
      </c>
      <c r="D25" s="37" t="s">
        <v>65</v>
      </c>
      <c r="E25" s="38" t="s">
        <v>66</v>
      </c>
      <c r="F25" s="39">
        <v>405</v>
      </c>
      <c r="G25" s="39">
        <v>426</v>
      </c>
      <c r="H25" s="40">
        <v>20</v>
      </c>
      <c r="I25" s="39">
        <v>396</v>
      </c>
      <c r="J25" s="39">
        <v>430</v>
      </c>
      <c r="K25" s="41">
        <f t="shared" si="0"/>
        <v>180</v>
      </c>
      <c r="L25" s="42">
        <v>4</v>
      </c>
      <c r="M25" s="43">
        <f t="shared" si="1"/>
        <v>416</v>
      </c>
      <c r="N25" s="44">
        <f t="shared" si="2"/>
        <v>2.3111111111111109</v>
      </c>
      <c r="O25" s="45">
        <f t="shared" si="3"/>
        <v>2.7777777777777777</v>
      </c>
      <c r="P25" s="37" t="s">
        <v>48</v>
      </c>
      <c r="Q25" s="37" t="s">
        <v>67</v>
      </c>
      <c r="R25" s="37" t="s">
        <v>68</v>
      </c>
      <c r="S25" s="35">
        <v>5</v>
      </c>
      <c r="T25" s="41">
        <f>IF($F25="","",Listen!$B$3+SUM($M$3:$M25))</f>
        <v>11763.999999999991</v>
      </c>
      <c r="U25" s="46" t="s">
        <v>134</v>
      </c>
    </row>
    <row r="26" spans="1:21" x14ac:dyDescent="0.25">
      <c r="A26" s="35">
        <v>24</v>
      </c>
      <c r="B26" s="36">
        <v>46174</v>
      </c>
      <c r="C26" s="37" t="s">
        <v>102</v>
      </c>
      <c r="D26" s="37" t="s">
        <v>73</v>
      </c>
      <c r="E26" s="38" t="s">
        <v>66</v>
      </c>
      <c r="F26" s="39">
        <v>20500</v>
      </c>
      <c r="G26" s="39">
        <v>20640</v>
      </c>
      <c r="H26" s="40">
        <v>1</v>
      </c>
      <c r="I26" s="39">
        <v>20440</v>
      </c>
      <c r="J26" s="39">
        <v>20680</v>
      </c>
      <c r="K26" s="41">
        <f t="shared" si="0"/>
        <v>60</v>
      </c>
      <c r="L26" s="42">
        <v>2</v>
      </c>
      <c r="M26" s="43">
        <f t="shared" si="1"/>
        <v>138</v>
      </c>
      <c r="N26" s="44">
        <f t="shared" si="2"/>
        <v>2.2999999999999998</v>
      </c>
      <c r="O26" s="45">
        <f t="shared" si="3"/>
        <v>3</v>
      </c>
      <c r="P26" s="37" t="s">
        <v>43</v>
      </c>
      <c r="Q26" s="37" t="s">
        <v>67</v>
      </c>
      <c r="R26" s="37" t="s">
        <v>68</v>
      </c>
      <c r="S26" s="35">
        <v>4</v>
      </c>
      <c r="T26" s="41">
        <f>IF($F26="","",Listen!$B$3+SUM($M$3:$M26))</f>
        <v>11901.999999999991</v>
      </c>
      <c r="U26" s="46" t="s">
        <v>135</v>
      </c>
    </row>
    <row r="27" spans="1:21" x14ac:dyDescent="0.25">
      <c r="A27" s="35">
        <v>25</v>
      </c>
      <c r="B27" s="36">
        <v>46176</v>
      </c>
      <c r="C27" s="37" t="s">
        <v>106</v>
      </c>
      <c r="D27" s="37" t="s">
        <v>78</v>
      </c>
      <c r="E27" s="38" t="s">
        <v>66</v>
      </c>
      <c r="F27" s="39">
        <v>101000</v>
      </c>
      <c r="G27" s="39">
        <v>99500</v>
      </c>
      <c r="H27" s="40">
        <v>0.04</v>
      </c>
      <c r="I27" s="39">
        <v>99800</v>
      </c>
      <c r="J27" s="39">
        <v>105000</v>
      </c>
      <c r="K27" s="41">
        <f t="shared" si="0"/>
        <v>48</v>
      </c>
      <c r="L27" s="42">
        <v>5</v>
      </c>
      <c r="M27" s="43">
        <f t="shared" si="1"/>
        <v>-65</v>
      </c>
      <c r="N27" s="44">
        <f t="shared" si="2"/>
        <v>-1.3541666666666667</v>
      </c>
      <c r="O27" s="45">
        <f t="shared" si="3"/>
        <v>3.3333333333333335</v>
      </c>
      <c r="P27" s="37" t="s">
        <v>49</v>
      </c>
      <c r="Q27" s="37" t="s">
        <v>74</v>
      </c>
      <c r="R27" s="37" t="s">
        <v>79</v>
      </c>
      <c r="S27" s="35">
        <v>1</v>
      </c>
      <c r="T27" s="41">
        <f>IF($F27="","",Listen!$B$3+SUM($M$3:$M27))</f>
        <v>11836.999999999991</v>
      </c>
      <c r="U27" s="46" t="s">
        <v>136</v>
      </c>
    </row>
    <row r="28" spans="1:21" x14ac:dyDescent="0.25">
      <c r="A28" s="35">
        <v>26</v>
      </c>
      <c r="B28" s="36">
        <v>46177</v>
      </c>
      <c r="C28" s="37" t="s">
        <v>104</v>
      </c>
      <c r="D28" s="37" t="s">
        <v>76</v>
      </c>
      <c r="E28" s="38" t="s">
        <v>66</v>
      </c>
      <c r="F28" s="39">
        <v>1.083</v>
      </c>
      <c r="G28" s="39">
        <v>1.0874999999999999</v>
      </c>
      <c r="H28" s="40">
        <v>25000</v>
      </c>
      <c r="I28" s="39">
        <v>1.0814999999999999</v>
      </c>
      <c r="J28" s="39">
        <v>1.0885</v>
      </c>
      <c r="K28" s="41">
        <f t="shared" si="0"/>
        <v>37.500000000001421</v>
      </c>
      <c r="L28" s="42">
        <v>3</v>
      </c>
      <c r="M28" s="43">
        <f t="shared" si="1"/>
        <v>109.49999999999871</v>
      </c>
      <c r="N28" s="44">
        <f t="shared" si="2"/>
        <v>2.9199999999998547</v>
      </c>
      <c r="O28" s="45">
        <f t="shared" si="3"/>
        <v>3.6666666666665679</v>
      </c>
      <c r="P28" s="37" t="s">
        <v>45</v>
      </c>
      <c r="Q28" s="37" t="s">
        <v>67</v>
      </c>
      <c r="R28" s="37" t="s">
        <v>72</v>
      </c>
      <c r="S28" s="35">
        <v>4</v>
      </c>
      <c r="T28" s="41">
        <f>IF($F28="","",Listen!$B$3+SUM($M$3:$M28))</f>
        <v>11946.499999999989</v>
      </c>
      <c r="U28" s="46" t="s">
        <v>137</v>
      </c>
    </row>
    <row r="29" spans="1:21" x14ac:dyDescent="0.25">
      <c r="A29" s="35">
        <v>27</v>
      </c>
      <c r="B29" s="36">
        <v>46181</v>
      </c>
      <c r="C29" s="37" t="s">
        <v>121</v>
      </c>
      <c r="D29" s="37" t="s">
        <v>65</v>
      </c>
      <c r="E29" s="38" t="s">
        <v>70</v>
      </c>
      <c r="F29" s="39">
        <v>212</v>
      </c>
      <c r="G29" s="39">
        <v>206.5</v>
      </c>
      <c r="H29" s="40">
        <v>25</v>
      </c>
      <c r="I29" s="39">
        <v>215</v>
      </c>
      <c r="J29" s="39">
        <v>205</v>
      </c>
      <c r="K29" s="41">
        <f t="shared" si="0"/>
        <v>75</v>
      </c>
      <c r="L29" s="42">
        <v>3</v>
      </c>
      <c r="M29" s="43">
        <f t="shared" si="1"/>
        <v>134.5</v>
      </c>
      <c r="N29" s="44">
        <f t="shared" si="2"/>
        <v>1.7933333333333332</v>
      </c>
      <c r="O29" s="45">
        <f t="shared" si="3"/>
        <v>2.3333333333333335</v>
      </c>
      <c r="P29" s="37" t="s">
        <v>46</v>
      </c>
      <c r="Q29" s="37" t="s">
        <v>67</v>
      </c>
      <c r="R29" s="37" t="s">
        <v>68</v>
      </c>
      <c r="S29" s="35">
        <v>4</v>
      </c>
      <c r="T29" s="41">
        <f>IF($F29="","",Listen!$B$3+SUM($M$3:$M29))</f>
        <v>12080.999999999989</v>
      </c>
      <c r="U29" s="46" t="s">
        <v>138</v>
      </c>
    </row>
    <row r="30" spans="1:21" x14ac:dyDescent="0.25">
      <c r="A30" s="35">
        <v>28</v>
      </c>
      <c r="B30" s="36">
        <v>46182</v>
      </c>
      <c r="C30" s="37" t="s">
        <v>112</v>
      </c>
      <c r="D30" s="37" t="s">
        <v>65</v>
      </c>
      <c r="E30" s="38" t="s">
        <v>66</v>
      </c>
      <c r="F30" s="39">
        <v>249</v>
      </c>
      <c r="G30" s="39">
        <v>256.8</v>
      </c>
      <c r="H30" s="40">
        <v>30</v>
      </c>
      <c r="I30" s="39">
        <v>246</v>
      </c>
      <c r="J30" s="39">
        <v>258</v>
      </c>
      <c r="K30" s="41">
        <f t="shared" si="0"/>
        <v>90</v>
      </c>
      <c r="L30" s="42">
        <v>3</v>
      </c>
      <c r="M30" s="43">
        <f t="shared" si="1"/>
        <v>231.00000000000034</v>
      </c>
      <c r="N30" s="44">
        <f t="shared" si="2"/>
        <v>2.5666666666666704</v>
      </c>
      <c r="O30" s="45">
        <f t="shared" si="3"/>
        <v>3</v>
      </c>
      <c r="P30" s="37" t="s">
        <v>43</v>
      </c>
      <c r="Q30" s="37" t="s">
        <v>67</v>
      </c>
      <c r="R30" s="37" t="s">
        <v>68</v>
      </c>
      <c r="S30" s="35">
        <v>5</v>
      </c>
      <c r="T30" s="41">
        <f>IF($F30="","",Listen!$B$3+SUM($M$3:$M30))</f>
        <v>12311.999999999989</v>
      </c>
      <c r="U30" s="46" t="s">
        <v>139</v>
      </c>
    </row>
    <row r="32" spans="1:21" ht="27.75" customHeight="1" x14ac:dyDescent="0.25">
      <c r="B32" s="1" t="s">
        <v>140</v>
      </c>
      <c r="C32" s="1"/>
      <c r="D32" s="1"/>
      <c r="E32" s="1"/>
      <c r="F32" s="1"/>
      <c r="G32" s="1"/>
      <c r="H32" s="1"/>
      <c r="I32" s="1"/>
      <c r="J32" s="1"/>
      <c r="K32" s="1"/>
      <c r="L32" s="1"/>
    </row>
  </sheetData>
  <mergeCells count="2">
    <mergeCell ref="A1:U1"/>
    <mergeCell ref="B32:L32"/>
  </mergeCells>
  <pageMargins left="0.75" right="0.75" top="1" bottom="1" header="0.511811023622047" footer="0.511811023622047"/>
  <pageSetup paperSize="9" orientation="portrait" horizontalDpi="300" verticalDpi="300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errorTitle="Ungültige Eingabe" error="Bitte einen Wert aus der Liste wählen." xr:uid="{00000000-0002-0000-0200-000000000000}">
          <x14:formula1>
            <xm:f>Listen!$D$9:$D$16</xm:f>
          </x14:formula1>
          <x14:formula2>
            <xm:f>0</xm:f>
          </x14:formula2>
          <xm:sqref>D3:D120</xm:sqref>
        </x14:dataValidation>
        <x14:dataValidation type="list" allowBlank="1" showErrorMessage="1" errorTitle="Ungültige Eingabe" error="Bitte einen Wert aus der Liste wählen." xr:uid="{00000000-0002-0000-0200-000001000000}">
          <x14:formula1>
            <xm:f>Listen!$E$9:$E$10</xm:f>
          </x14:formula1>
          <x14:formula2>
            <xm:f>0</xm:f>
          </x14:formula2>
          <xm:sqref>E3:E120</xm:sqref>
        </x14:dataValidation>
        <x14:dataValidation type="list" allowBlank="1" showErrorMessage="1" errorTitle="Ungültige Eingabe" error="Bitte einen Wert aus der Liste wählen." xr:uid="{00000000-0002-0000-0200-000002000000}">
          <x14:formula1>
            <xm:f>Listen!$F$9:$F$16</xm:f>
          </x14:formula1>
          <x14:formula2>
            <xm:f>0</xm:f>
          </x14:formula2>
          <xm:sqref>P3:P120</xm:sqref>
        </x14:dataValidation>
        <x14:dataValidation type="list" allowBlank="1" showErrorMessage="1" errorTitle="Ungültige Eingabe" error="Bitte einen Wert aus der Liste wählen." xr:uid="{00000000-0002-0000-0200-000003000000}">
          <x14:formula1>
            <xm:f>Listen!$G$9:$G$11</xm:f>
          </x14:formula1>
          <x14:formula2>
            <xm:f>0</xm:f>
          </x14:formula2>
          <xm:sqref>Q3:Q120</xm:sqref>
        </x14:dataValidation>
        <x14:dataValidation type="list" allowBlank="1" showErrorMessage="1" errorTitle="Ungültige Eingabe" error="Bitte einen Wert aus der Liste wählen." xr:uid="{00000000-0002-0000-0200-000004000000}">
          <x14:formula1>
            <xm:f>Listen!$H$9:$H$14</xm:f>
          </x14:formula1>
          <x14:formula2>
            <xm:f>0</xm:f>
          </x14:formula2>
          <xm:sqref>R3:R120</xm:sqref>
        </x14:dataValidation>
        <x14:dataValidation type="list" allowBlank="1" showErrorMessage="1" errorTitle="Ungültige Eingabe" error="Bitte einen Wert aus der Liste wählen." xr:uid="{00000000-0002-0000-0200-000005000000}">
          <x14:formula1>
            <xm:f>Listen!$I$9:$I$13</xm:f>
          </x14:formula1>
          <x14:formula2>
            <xm:f>0</xm:f>
          </x14:formula2>
          <xm:sqref>S3:S120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Dashboard</vt:lpstr>
      <vt:lpstr>Listen</vt:lpstr>
      <vt:lpstr>Handelsjournal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2026-06-10T10:40:12Z</dcterms:created>
  <dcterms:modified xsi:type="dcterms:W3CDTF">2026-06-10T10:50:47Z</dcterms:modified>
  <dc:language>en-US</dc:language>
</cp:coreProperties>
</file>