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B498543-567F-4128-8562-E11C49E408D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adelog" sheetId="1" r:id="rId1"/>
    <sheet name="Dashboard" sheetId="2" r:id="rId2"/>
    <sheet name="Equity-Kurve" sheetId="3" r:id="rId3"/>
    <sheet name="Risiko-Rechner" sheetId="4" r:id="rId4"/>
    <sheet name="Wochenreview" sheetId="5" r:id="rId5"/>
    <sheet name="Anleitung &amp; Glossar" sheetId="6" r:id="rId6"/>
  </sheets>
  <definedNames>
    <definedName name="_xlnm.Print_Titles" localSheetId="5">'Anleitung &amp; Glossar'!$1:$2</definedName>
    <definedName name="_xlnm.Print_Titles" localSheetId="1">Dashboard!$1:$2</definedName>
    <definedName name="_xlnm.Print_Titles" localSheetId="2">'Equity-Kurve'!$1:$2</definedName>
    <definedName name="_xlnm.Print_Titles" localSheetId="3">'Risiko-Rechner'!$1:$2</definedName>
    <definedName name="_xlnm.Print_Titles" localSheetId="0">Tradelog!$1:$2</definedName>
    <definedName name="_xlnm.Print_Titles" localSheetId="4">Wochenreview!$1:$2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" i="5" l="1"/>
  <c r="C18" i="4"/>
  <c r="C20" i="4" s="1"/>
  <c r="C21" i="4" s="1"/>
  <c r="C10" i="4"/>
  <c r="C11" i="4" s="1"/>
  <c r="C6" i="4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57" i="2"/>
  <c r="C56" i="2"/>
  <c r="C55" i="2"/>
  <c r="C54" i="2"/>
  <c r="C53" i="2"/>
  <c r="C52" i="2"/>
  <c r="C51" i="2"/>
  <c r="C50" i="2"/>
  <c r="C49" i="2"/>
  <c r="C48" i="2"/>
  <c r="C47" i="2"/>
  <c r="C46" i="2"/>
  <c r="C42" i="2"/>
  <c r="C41" i="2"/>
  <c r="C37" i="2"/>
  <c r="C36" i="2"/>
  <c r="C35" i="2"/>
  <c r="C34" i="2"/>
  <c r="C33" i="2"/>
  <c r="C32" i="2"/>
  <c r="C28" i="2"/>
  <c r="C20" i="2"/>
  <c r="C16" i="2"/>
  <c r="C5" i="2"/>
  <c r="L35" i="1"/>
  <c r="M35" i="1" s="1"/>
  <c r="N35" i="1" s="1"/>
  <c r="L34" i="1"/>
  <c r="M34" i="1" s="1"/>
  <c r="N34" i="1" s="1"/>
  <c r="L33" i="1"/>
  <c r="M33" i="1" s="1"/>
  <c r="N33" i="1" s="1"/>
  <c r="L32" i="1"/>
  <c r="M32" i="1" s="1"/>
  <c r="N32" i="1" s="1"/>
  <c r="L31" i="1"/>
  <c r="M31" i="1" s="1"/>
  <c r="N31" i="1" s="1"/>
  <c r="L30" i="1"/>
  <c r="M30" i="1" s="1"/>
  <c r="N30" i="1" s="1"/>
  <c r="L29" i="1"/>
  <c r="M29" i="1" s="1"/>
  <c r="N29" i="1" s="1"/>
  <c r="L28" i="1"/>
  <c r="M28" i="1" s="1"/>
  <c r="N28" i="1" s="1"/>
  <c r="L27" i="1"/>
  <c r="M27" i="1" s="1"/>
  <c r="N27" i="1" s="1"/>
  <c r="L26" i="1"/>
  <c r="M26" i="1" s="1"/>
  <c r="N26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L21" i="1"/>
  <c r="M21" i="1" s="1"/>
  <c r="N21" i="1" s="1"/>
  <c r="L20" i="1"/>
  <c r="M20" i="1" s="1"/>
  <c r="N20" i="1" s="1"/>
  <c r="L19" i="1"/>
  <c r="M19" i="1" s="1"/>
  <c r="N19" i="1" s="1"/>
  <c r="L18" i="1"/>
  <c r="M18" i="1" s="1"/>
  <c r="L17" i="1"/>
  <c r="M17" i="1" s="1"/>
  <c r="N17" i="1" s="1"/>
  <c r="L16" i="1"/>
  <c r="M16" i="1" s="1"/>
  <c r="N16" i="1" s="1"/>
  <c r="L15" i="1"/>
  <c r="M15" i="1" s="1"/>
  <c r="N15" i="1" s="1"/>
  <c r="L14" i="1"/>
  <c r="M14" i="1" s="1"/>
  <c r="L13" i="1"/>
  <c r="M13" i="1" s="1"/>
  <c r="L12" i="1"/>
  <c r="M12" i="1" s="1"/>
  <c r="L11" i="1"/>
  <c r="M11" i="1" s="1"/>
  <c r="N22" i="1" l="1"/>
  <c r="G37" i="2" s="1"/>
  <c r="F37" i="2"/>
  <c r="N18" i="1"/>
  <c r="G36" i="2" s="1"/>
  <c r="F36" i="2"/>
  <c r="F41" i="2"/>
  <c r="N14" i="1"/>
  <c r="G35" i="2" s="1"/>
  <c r="F35" i="2"/>
  <c r="N13" i="1"/>
  <c r="C13" i="2"/>
  <c r="F42" i="2"/>
  <c r="F34" i="2"/>
  <c r="E56" i="2"/>
  <c r="F33" i="2"/>
  <c r="C22" i="2"/>
  <c r="C23" i="2"/>
  <c r="D35" i="2"/>
  <c r="E35" i="2" s="1"/>
  <c r="D42" i="2"/>
  <c r="E42" i="2" s="1"/>
  <c r="D49" i="2"/>
  <c r="D53" i="2"/>
  <c r="D57" i="2"/>
  <c r="E49" i="2"/>
  <c r="E53" i="2"/>
  <c r="E57" i="2"/>
  <c r="N11" i="1"/>
  <c r="O11" i="1"/>
  <c r="C8" i="2"/>
  <c r="D32" i="2"/>
  <c r="E32" i="2" s="1"/>
  <c r="D36" i="2"/>
  <c r="E36" i="2" s="1"/>
  <c r="D46" i="2"/>
  <c r="G46" i="2" s="1"/>
  <c r="G47" i="2" s="1"/>
  <c r="D50" i="2"/>
  <c r="D54" i="2"/>
  <c r="C9" i="2"/>
  <c r="E46" i="2"/>
  <c r="E50" i="2"/>
  <c r="E54" i="2"/>
  <c r="C6" i="2"/>
  <c r="F32" i="2"/>
  <c r="N12" i="1"/>
  <c r="G33" i="2" s="1"/>
  <c r="C11" i="2"/>
  <c r="C12" i="2"/>
  <c r="D37" i="2"/>
  <c r="E37" i="2" s="1"/>
  <c r="D51" i="2"/>
  <c r="C10" i="2"/>
  <c r="D33" i="2"/>
  <c r="E33" i="2" s="1"/>
  <c r="D47" i="2"/>
  <c r="D55" i="2"/>
  <c r="C14" i="2"/>
  <c r="E47" i="2"/>
  <c r="E51" i="2"/>
  <c r="E55" i="2"/>
  <c r="D34" i="2"/>
  <c r="E34" i="2" s="1"/>
  <c r="D41" i="2"/>
  <c r="E41" i="2" s="1"/>
  <c r="D48" i="2"/>
  <c r="D52" i="2"/>
  <c r="D56" i="2"/>
  <c r="C7" i="2"/>
  <c r="E48" i="2"/>
  <c r="E52" i="2"/>
  <c r="G48" i="2" l="1"/>
  <c r="G49" i="2"/>
  <c r="G50" i="2" s="1"/>
  <c r="G51" i="2" s="1"/>
  <c r="G52" i="2" s="1"/>
  <c r="G53" i="2" s="1"/>
  <c r="G54" i="2" s="1"/>
  <c r="G55" i="2" s="1"/>
  <c r="G56" i="2" s="1"/>
  <c r="G57" i="2" s="1"/>
  <c r="G42" i="2"/>
  <c r="G34" i="2"/>
  <c r="O12" i="1"/>
  <c r="D5" i="3"/>
  <c r="F56" i="2"/>
  <c r="F52" i="2"/>
  <c r="F48" i="2"/>
  <c r="C15" i="2"/>
  <c r="F55" i="2"/>
  <c r="F51" i="2"/>
  <c r="F47" i="2"/>
  <c r="G32" i="2"/>
  <c r="F54" i="2"/>
  <c r="F50" i="2"/>
  <c r="F46" i="2"/>
  <c r="F57" i="2"/>
  <c r="F53" i="2"/>
  <c r="F49" i="2"/>
  <c r="G41" i="2"/>
  <c r="F5" i="3" l="1"/>
  <c r="E5" i="3"/>
  <c r="O13" i="1"/>
  <c r="D6" i="3"/>
  <c r="F6" i="3" l="1"/>
  <c r="E6" i="3"/>
  <c r="D7" i="3"/>
  <c r="O14" i="1"/>
  <c r="D8" i="3" l="1"/>
  <c r="O15" i="1"/>
  <c r="F7" i="3"/>
  <c r="E7" i="3"/>
  <c r="O16" i="1" l="1"/>
  <c r="D9" i="3"/>
  <c r="F8" i="3"/>
  <c r="E8" i="3"/>
  <c r="E9" i="3" l="1"/>
  <c r="F9" i="3"/>
  <c r="O17" i="1"/>
  <c r="D10" i="3"/>
  <c r="O18" i="1" l="1"/>
  <c r="D11" i="3"/>
  <c r="F10" i="3"/>
  <c r="E10" i="3"/>
  <c r="F11" i="3" l="1"/>
  <c r="E11" i="3"/>
  <c r="D12" i="3"/>
  <c r="O19" i="1"/>
  <c r="F12" i="3" l="1"/>
  <c r="E12" i="3"/>
  <c r="D13" i="3"/>
  <c r="O20" i="1"/>
  <c r="O21" i="1" l="1"/>
  <c r="D14" i="3"/>
  <c r="F13" i="3"/>
  <c r="E13" i="3"/>
  <c r="E14" i="3" l="1"/>
  <c r="F14" i="3"/>
  <c r="O22" i="1"/>
  <c r="D15" i="3"/>
  <c r="O23" i="1" l="1"/>
  <c r="D16" i="3"/>
  <c r="F15" i="3"/>
  <c r="E15" i="3"/>
  <c r="F16" i="3" l="1"/>
  <c r="E16" i="3"/>
  <c r="D17" i="3"/>
  <c r="O24" i="1"/>
  <c r="F17" i="3" l="1"/>
  <c r="E17" i="3"/>
  <c r="D18" i="3"/>
  <c r="O25" i="1"/>
  <c r="O26" i="1" l="1"/>
  <c r="D19" i="3"/>
  <c r="E18" i="3"/>
  <c r="F18" i="3"/>
  <c r="F19" i="3" l="1"/>
  <c r="E19" i="3"/>
  <c r="O27" i="1"/>
  <c r="D20" i="3"/>
  <c r="F20" i="3" l="1"/>
  <c r="E20" i="3"/>
  <c r="O28" i="1"/>
  <c r="D21" i="3"/>
  <c r="F21" i="3" l="1"/>
  <c r="E21" i="3"/>
  <c r="D22" i="3"/>
  <c r="O29" i="1"/>
  <c r="D23" i="3" l="1"/>
  <c r="O30" i="1"/>
  <c r="F22" i="3"/>
  <c r="E22" i="3"/>
  <c r="C19" i="2" l="1"/>
  <c r="O31" i="1"/>
  <c r="O32" i="1" s="1"/>
  <c r="O33" i="1" s="1"/>
  <c r="O34" i="1" s="1"/>
  <c r="O35" i="1" s="1"/>
  <c r="D24" i="3"/>
  <c r="F23" i="3"/>
  <c r="E23" i="3"/>
  <c r="E24" i="3" l="1"/>
  <c r="F24" i="3"/>
  <c r="D27" i="3" s="1"/>
  <c r="D26" i="3"/>
  <c r="C25" i="2"/>
  <c r="C24" i="2"/>
  <c r="C21" i="2"/>
  <c r="C5" i="4"/>
  <c r="C7" i="4" s="1"/>
  <c r="C12" i="4" s="1"/>
  <c r="C26" i="2" l="1"/>
  <c r="C27" i="2" s="1"/>
  <c r="C13" i="4"/>
  <c r="C14" i="4" s="1"/>
  <c r="C19" i="4"/>
</calcChain>
</file>

<file path=xl/sharedStrings.xml><?xml version="1.0" encoding="utf-8"?>
<sst xmlns="http://schemas.openxmlformats.org/spreadsheetml/2006/main" count="398" uniqueCount="286">
  <si>
    <t>TRADING JOURNAL 2026</t>
  </si>
  <si>
    <t>Handelstagebuch · Alle Trades chronologisch erfassen · Blau = Eingabe  ·  Gelb = Pflichtfeld  ·  Schwarz = Formel</t>
  </si>
  <si>
    <t>KONTOEINSTELLUNGEN (Eingabe)</t>
  </si>
  <si>
    <t>Startkapital (€)</t>
  </si>
  <si>
    <t>Risiko pro Trade (%)</t>
  </si>
  <si>
    <t>Standardgebühr (€)</t>
  </si>
  <si>
    <t>Basiswährung</t>
  </si>
  <si>
    <t>EUR</t>
  </si>
  <si>
    <t>#</t>
  </si>
  <si>
    <t>Datum</t>
  </si>
  <si>
    <t>Uhrzeit</t>
  </si>
  <si>
    <t>Instrument</t>
  </si>
  <si>
    <t>Richtung</t>
  </si>
  <si>
    <t>Einstieg (€)</t>
  </si>
  <si>
    <t>Stop-Loss (€)</t>
  </si>
  <si>
    <t>Take-Profit (€)</t>
  </si>
  <si>
    <t>Ausstieg (€)</t>
  </si>
  <si>
    <t>Pos.-Größe</t>
  </si>
  <si>
    <t>Gebühren (€)</t>
  </si>
  <si>
    <t>Gew./Verl. (€)</t>
  </si>
  <si>
    <t>R-Multiple</t>
  </si>
  <si>
    <t>Kontostand (€)</t>
  </si>
  <si>
    <t>Setup</t>
  </si>
  <si>
    <t>Regel ✓</t>
  </si>
  <si>
    <t>Marktphase</t>
  </si>
  <si>
    <t>Emotion</t>
  </si>
  <si>
    <t>Notizen</t>
  </si>
  <si>
    <t>03.01.2026</t>
  </si>
  <si>
    <t>09:35</t>
  </si>
  <si>
    <t>EUR/USD</t>
  </si>
  <si>
    <t>Long</t>
  </si>
  <si>
    <t>Pullback-Long</t>
  </si>
  <si>
    <t>Ja</t>
  </si>
  <si>
    <t>Aufwärtstrend</t>
  </si>
  <si>
    <t>Neutral</t>
  </si>
  <si>
    <t>Trendfortsetzung nach EZB-Daten</t>
  </si>
  <si>
    <t>07.01.2026</t>
  </si>
  <si>
    <t>10:12</t>
  </si>
  <si>
    <t>DAX 40</t>
  </si>
  <si>
    <t>Breakout</t>
  </si>
  <si>
    <t>Seitwärts</t>
  </si>
  <si>
    <t>Zuversichtlich</t>
  </si>
  <si>
    <t>Breakout über Widerstand</t>
  </si>
  <si>
    <t>09.01.2026</t>
  </si>
  <si>
    <t>14:55</t>
  </si>
  <si>
    <t>AAPL</t>
  </si>
  <si>
    <t>Short</t>
  </si>
  <si>
    <t>Reversal</t>
  </si>
  <si>
    <t>Nein</t>
  </si>
  <si>
    <t>Abwärtstrend</t>
  </si>
  <si>
    <t>Nervös</t>
  </si>
  <si>
    <t>Schwaches Momentum, Gap-Close</t>
  </si>
  <si>
    <t>14.01.2026</t>
  </si>
  <si>
    <t>08:45</t>
  </si>
  <si>
    <t>Gold</t>
  </si>
  <si>
    <t>Trend-Follow</t>
  </si>
  <si>
    <t>Saisonale Stärke, SMA200 Unterstütz.</t>
  </si>
  <si>
    <t>16.01.2026</t>
  </si>
  <si>
    <t>11:20</t>
  </si>
  <si>
    <t>USD/JPY</t>
  </si>
  <si>
    <t>Konzentriert</t>
  </si>
  <si>
    <t>Überkauft RSI, Divergenz</t>
  </si>
  <si>
    <t>21.01.2026</t>
  </si>
  <si>
    <t>09:05</t>
  </si>
  <si>
    <t>Verärgert</t>
  </si>
  <si>
    <t>Falscher Ausbruch, Stop getroffen</t>
  </si>
  <si>
    <t>23.01.2026</t>
  </si>
  <si>
    <t>15:30</t>
  </si>
  <si>
    <t>Schwacher Markt, Verkaufsdruck</t>
  </si>
  <si>
    <t>28.01.2026</t>
  </si>
  <si>
    <t>10:00</t>
  </si>
  <si>
    <t>Bitcoin</t>
  </si>
  <si>
    <t>Momentum</t>
  </si>
  <si>
    <t>Euphorisch</t>
  </si>
  <si>
    <t>Momentum-Trade, On-Chain-Signal</t>
  </si>
  <si>
    <t>04.02.2026</t>
  </si>
  <si>
    <t>09:20</t>
  </si>
  <si>
    <t>Silber</t>
  </si>
  <si>
    <t>Ausbruch aus Konsolidierung</t>
  </si>
  <si>
    <t>06.02.2026</t>
  </si>
  <si>
    <t>14:10</t>
  </si>
  <si>
    <t>NVDA</t>
  </si>
  <si>
    <t>Gierig</t>
  </si>
  <si>
    <t>KI-Hype, starke Earnings-Erwartung</t>
  </si>
  <si>
    <t>11.02.2026</t>
  </si>
  <si>
    <t>08:55</t>
  </si>
  <si>
    <t>EUR/GBP</t>
  </si>
  <si>
    <t>BOE Hawkish, EUR schwach</t>
  </si>
  <si>
    <t>13.02.2026</t>
  </si>
  <si>
    <t>11:45</t>
  </si>
  <si>
    <t>Kalender-Effect</t>
  </si>
  <si>
    <t>Statistisch starker Wochentag</t>
  </si>
  <si>
    <t>18.02.2026</t>
  </si>
  <si>
    <t>09:30</t>
  </si>
  <si>
    <t>WTI Öl</t>
  </si>
  <si>
    <t>Unsicher</t>
  </si>
  <si>
    <t>Überangebot-Signal, schwacher Trend</t>
  </si>
  <si>
    <t>20.02.2026</t>
  </si>
  <si>
    <t>10:05</t>
  </si>
  <si>
    <t>Fed Pause-Erwartung, Aufwärtsdruck</t>
  </si>
  <si>
    <t>25.02.2026</t>
  </si>
  <si>
    <t>13:20</t>
  </si>
  <si>
    <t>Widerstand, schwacher Close</t>
  </si>
  <si>
    <t>03.03.2026</t>
  </si>
  <si>
    <t>09:10</t>
  </si>
  <si>
    <t>Starke Vorgaben US, gap up</t>
  </si>
  <si>
    <t>05.03.2026</t>
  </si>
  <si>
    <t>14:50</t>
  </si>
  <si>
    <t>USD/CHF</t>
  </si>
  <si>
    <t>SNB Intervention erwartet</t>
  </si>
  <si>
    <t>10.03.2026</t>
  </si>
  <si>
    <t>10:25</t>
  </si>
  <si>
    <t>MSFT</t>
  </si>
  <si>
    <t>Konsolidierung aufgelöst, starkes Vol</t>
  </si>
  <si>
    <t>12.03.2026</t>
  </si>
  <si>
    <t>09:00</t>
  </si>
  <si>
    <t>Diszipliniert</t>
  </si>
  <si>
    <t>Falsche Breakout-Umkehr, SL akt.</t>
  </si>
  <si>
    <t>17.03.2026</t>
  </si>
  <si>
    <t>11:15</t>
  </si>
  <si>
    <t>CPI besser als erwartet</t>
  </si>
  <si>
    <t>TRADING DASHBOARD 2026 – PERFORMANCE-ÜBERSICHT</t>
  </si>
  <si>
    <t>Alle KPIs werden automatisch aus dem Tradelog berechnet · Keine manuelle Eingabe erforderlich</t>
  </si>
  <si>
    <t>① KERNDATEN – GESAMT (alle Trades im Tradelog)</t>
  </si>
  <si>
    <t>Anzahl Trades</t>
  </si>
  <si>
    <t>Anzahl Gewinner</t>
  </si>
  <si>
    <t>Anzahl Verlierer</t>
  </si>
  <si>
    <t>Trefferquote (%)</t>
  </si>
  <si>
    <t>&gt; 50% wird angestrebt | Kombination mit Payoff-Ratio entscheidend</t>
  </si>
  <si>
    <t>Gesamt-P&amp;L (€)</t>
  </si>
  <si>
    <t>Ø Gewinner (€)</t>
  </si>
  <si>
    <t>Ø Verlierer (€)</t>
  </si>
  <si>
    <t>Payoff-Ratio (Ø G / Ø V)</t>
  </si>
  <si>
    <t>&gt; 1.5x gut | &gt; 2.0x sehr gut | erlaubt niedrige Trefferquote</t>
  </si>
  <si>
    <t>Profit-Faktor</t>
  </si>
  <si>
    <t>&gt; 1.0 = profitabel | &gt; 1.5 = robust | &lt; 1.0 = Verlustzone</t>
  </si>
  <si>
    <t>Erwartungswert (€/Trade)</t>
  </si>
  <si>
    <t>Muss positiv sein für langfristigen Erfolg</t>
  </si>
  <si>
    <t>Ø R-Multiple</t>
  </si>
  <si>
    <t>&gt; 0.5R gut | &gt; 1.0R sehr gut | zeigt Qualität der Exits</t>
  </si>
  <si>
    <t>Regel eingehalten (%)</t>
  </si>
  <si>
    <t>&lt; 80% = Disziplinproblem | Ziel: &gt; 90%</t>
  </si>
  <si>
    <t>② RISIKO &amp; DRAWDOWN</t>
  </si>
  <si>
    <t>Aktueller Kontostand (€)</t>
  </si>
  <si>
    <t>Gesamtrendite (%)</t>
  </si>
  <si>
    <t>Bestes Trade-Ergebnis (€)</t>
  </si>
  <si>
    <t>Schlechtestes Ergebnis (€)</t>
  </si>
  <si>
    <t>Höchster Kontostand (€)</t>
  </si>
  <si>
    <t>Tiefster Kontostand (€)</t>
  </si>
  <si>
    <t>Max Drawdown abs. (€)</t>
  </si>
  <si>
    <t>Max Drawdown (%)</t>
  </si>
  <si>
    <t>Ø Risiko pro Trade (€)</t>
  </si>
  <si>
    <t>③ SETUP-ANALYSE – Trefferquote pro Setup</t>
  </si>
  <si>
    <t>Gewinner</t>
  </si>
  <si>
    <t>Trefferquote</t>
  </si>
  <si>
    <t>Ø P&amp;L (€)</t>
  </si>
  <si>
    <t>④ LONG vs. SHORT VERGLEICH</t>
  </si>
  <si>
    <t>Trades</t>
  </si>
  <si>
    <t>⑤ MONATLICHE PERFORMANCE 2026</t>
  </si>
  <si>
    <t>Monat</t>
  </si>
  <si>
    <t>P&amp;L (€)</t>
  </si>
  <si>
    <t>Kumuliert P&amp;L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</si>
  <si>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</si>
  <si>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</si>
  <si>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</si>
  <si>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</si>
  <si>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</si>
  <si>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</si>
  <si>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</si>
  <si>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</si>
  <si>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</si>
  <si>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</si>
  <si>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</si>
  <si>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</si>
  <si>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EQUITY-KURVE &amp; DRAWDOWN-ANALYSE 2026</t>
  </si>
  <si>
    <t>Kumulierter Kontostand und Drawdown je Trade (automatisch aus Tradelog)</t>
  </si>
  <si>
    <t>Kum. P&amp;L (€)</t>
  </si>
  <si>
    <t>Drawdown (€)</t>
  </si>
  <si>
    <t>Statistik</t>
  </si>
  <si>
    <t>Peak Equity (€)</t>
  </si>
  <si>
    <t>Max Drawdown (€)</t>
  </si>
  <si>
    <t>RISIKO-RECHNER &amp; POSITIONSGRÖSSENBERECHNUNG</t>
  </si>
  <si>
    <t>Berechne die optimale Positionsgröße vor jedem Trade</t>
  </si>
  <si>
    <t>EINGABEN</t>
  </si>
  <si>
    <t>Risikokapital (€)</t>
  </si>
  <si>
    <t>Einstiegskurs (€)</t>
  </si>
  <si>
    <t>Stop-Loss-Kurs (€)</t>
  </si>
  <si>
    <t>Abstand zum Stop (€)</t>
  </si>
  <si>
    <t>Abstand zum Stop (%)</t>
  </si>
  <si>
    <t>Empfohlene Positionsgröße</t>
  </si>
  <si>
    <t>Tatsächlicher Risikoeinsatz (€)</t>
  </si>
  <si>
    <t>Risiko in % vom Konto</t>
  </si>
  <si>
    <t>RISIKO-ERTRAGS-VERHÄLTNIS (CRV)</t>
  </si>
  <si>
    <t>Take-Profit-Kurs (€)</t>
  </si>
  <si>
    <t>Gewinnpotenzial pro Einheit (€)</t>
  </si>
  <si>
    <t>Möglicher Gewinn gesamt (€)</t>
  </si>
  <si>
    <t>CRV (Chance:Risiko)</t>
  </si>
  <si>
    <t>Mindest-CRV erreicht?</t>
  </si>
  <si>
    <t>WOCHENREVIEW – VORLAGE</t>
  </si>
  <si>
    <t>Wöchentliche Reflexion · Strategie · Lernziele · Einmal pro Woche ausfüllen</t>
  </si>
  <si>
    <t>WOCHENINFORMATIONEN</t>
  </si>
  <si>
    <t>Woche (KW / Datum)</t>
  </si>
  <si>
    <t>KW 04 | 19.01.–25.01.2026</t>
  </si>
  <si>
    <t>Anzahl Trades diese Woche</t>
  </si>
  <si>
    <t>P&amp;L diese Woche (€)</t>
  </si>
  <si>
    <t>Manuell eintragen oder berechnen: Summe der Trades im Zeitraum</t>
  </si>
  <si>
    <t>Trefferquote Woche (%)</t>
  </si>
  <si>
    <t>Anzahl Gewinner / Anzahl Trades</t>
  </si>
  <si>
    <t>MARKTBEDINGUNGEN</t>
  </si>
  <si>
    <t>Marktphase der Woche</t>
  </si>
  <si>
    <t>Aufwärtstrend / Abwärtstrend / Seitwärts / Hoch-Volatil</t>
  </si>
  <si>
    <t>Wichtige Ereignisse</t>
  </si>
  <si>
    <t>Zinsentscheid, Earnings, makroökon. Daten (eintragen)</t>
  </si>
  <si>
    <t>Beobachtungen zum Markt</t>
  </si>
  <si>
    <t>Wie war die allgemeine Stimmung? Gab es Besonderheiten?</t>
  </si>
  <si>
    <t>TRADE-ANALYSE</t>
  </si>
  <si>
    <t>Beste Entscheidung</t>
  </si>
  <si>
    <t>Welche Entscheidung war diese Woche besonders gut?</t>
  </si>
  <si>
    <t>Fehler / Regelbruch</t>
  </si>
  <si>
    <t>Welche Regel habe ich gebrochen? Was war der Auslöser?</t>
  </si>
  <si>
    <t>Lernpunkt #1</t>
  </si>
  <si>
    <t>Was habe ich aus Verlusten gelernt?</t>
  </si>
  <si>
    <t>Lernpunkt #2</t>
  </si>
  <si>
    <t>Was werde ich ab nächster Woche anders machen?</t>
  </si>
  <si>
    <t>PSYCHOLOGIE &amp; DISZIPLIN</t>
  </si>
  <si>
    <t>Emotionale Verfassung</t>
  </si>
  <si>
    <t>Neutral / Zuversichtlich / Nervös / Gierig / Ängstlich</t>
  </si>
  <si>
    <t>Disziplin-Selbstbew. 1–10</t>
  </si>
  <si>
    <t>8 – Regeln größtenteils eingehalten</t>
  </si>
  <si>
    <t>Abweichungen vom Plan</t>
  </si>
  <si>
    <t>z.B. Position zu früh geschlossen, Einstieg verpasst</t>
  </si>
  <si>
    <t>Maßnahmen zur Verbesserung</t>
  </si>
  <si>
    <t>Was konkret ändere ich bis nächste Woche?</t>
  </si>
  <si>
    <t>VORSCHAU NÄCHSTE WOCHE</t>
  </si>
  <si>
    <t>Geplante Setups</t>
  </si>
  <si>
    <t>Welche Setups suche ich aktiv?</t>
  </si>
  <si>
    <t>Märkte / Instrumente</t>
  </si>
  <si>
    <t>Welche Märkte beobachte ich?</t>
  </si>
  <si>
    <t>Risikomanagement-Vorsatz</t>
  </si>
  <si>
    <t>Maximalrisiko, max. Trades pro Tag, Regeln</t>
  </si>
  <si>
    <t>Wochenziel</t>
  </si>
  <si>
    <t>Realistisches P&amp;L-Ziel oder Lernziel für die Woche</t>
  </si>
  <si>
    <t>ANLEITUNG &amp; GLOSSAR – TRADING JOURNAL 2026</t>
  </si>
  <si>
    <t>SCHNELLSTART</t>
  </si>
  <si>
    <t>Schritt 1 – Kontoeinstellungen</t>
  </si>
  <si>
    <t>Gehe zu 'Tradelog' &gt; Trage Startkapital, Risiko % und Standardgebühr in den gelben Zellen oben ein.</t>
  </si>
  <si>
    <t>Schritt 2 – Trade eintragen</t>
  </si>
  <si>
    <t>Pro Trade eine Zeile ausfüllen. Pflichtfelder (gelb): Datum, Instrument, Richtung, Einstieg, Stop-Loss, Ausstieg, Positionsgröße.</t>
  </si>
  <si>
    <t>Schritt 3 – Dashboard prüfen</t>
  </si>
  <si>
    <t>Nach jedem Trade das Dashboard öffnen – alle KPIs aktualisieren sich automatisch.</t>
  </si>
  <si>
    <t>Schritt 4 – Wochenreview</t>
  </si>
  <si>
    <t>Am Freitag Nachmittag das Wochenreview-Blatt ausfüllen (15–30 Minuten).</t>
  </si>
  <si>
    <t>Schritt 5 – Risiko-Rechner</t>
  </si>
  <si>
    <t>Vor jedem Trade im Risiko-Rechner Einstieg und Stop eingeben → empfohlene Positionsgröße ablesen.</t>
  </si>
  <si>
    <t>FARBCODE-LEGENDE</t>
  </si>
  <si>
    <t>Blauer Text / Gelber Hintergrund</t>
  </si>
  <si>
    <t>Eingabefelder – hier eigene Werte eintragen.</t>
  </si>
  <si>
    <t>Schwarzer Text / Weißer/Blauer Hintergrund</t>
  </si>
  <si>
    <t>Automatisch berechnete Formeln – nicht ändern.</t>
  </si>
  <si>
    <t>Grüner Hintergrund</t>
  </si>
  <si>
    <t>Gewinn-Position oder positiver Wert.</t>
  </si>
  <si>
    <t>Roter Hintergrund</t>
  </si>
  <si>
    <t>Verlust-Position oder negativer Wert.</t>
  </si>
  <si>
    <t>KENNZAHLEN-GLOSSAR</t>
  </si>
  <si>
    <t>Trefferquote (Win Rate)</t>
  </si>
  <si>
    <t>Anteil gewinnbringender Trades an allen Trades. Allein nicht aussagekräftig.</t>
  </si>
  <si>
    <t>Ergebnis des Trades relativ zum eingegangenen Risiko. +2R = doppelter Einsatz gewonnen. -1R = Einsatz verloren.</t>
  </si>
  <si>
    <t>Profit-Faktor (PF)</t>
  </si>
  <si>
    <t>Summe aller Gewinne ÷ Summe aller Verluste. PF &gt; 1 = profitabel, PF &gt; 1.5 = robust.</t>
  </si>
  <si>
    <t>Erwartungswert (Expectancy)</t>
  </si>
  <si>
    <t>Durchschnittlicher Gewinn/Verlust pro Trade. Muss langfristig positiv sein.</t>
  </si>
  <si>
    <t>Max Drawdown</t>
  </si>
  <si>
    <t>Größter Rückgang vom Hochpunkt des Kontos. Maß für das Worst-Case-Risiko.</t>
  </si>
  <si>
    <t>CRV (Chance-Risiko-Verhältnis)</t>
  </si>
  <si>
    <t>Verhältnis von möglichem Gewinn zu risikiertem Verlust. Mindestens 1.5:1 empfohlen.</t>
  </si>
  <si>
    <t>Payoff-Ratio</t>
  </si>
  <si>
    <t>Ø Gewinner ÷ Ø Verlierer. Zeigt, ob Gewinne größer als Verluste sind.</t>
  </si>
  <si>
    <t>WICHTIGE HINWEISE</t>
  </si>
  <si>
    <t>Konsistenz</t>
  </si>
  <si>
    <t>Das Journal funktioniert nur bei konsequenter Nutzung. Jeden Trade eintragen – auch Verlierer.</t>
  </si>
  <si>
    <t>Datenintegrität</t>
  </si>
  <si>
    <t>Formeln in schwarz/automatisch berechneten Zellen nicht überschreiben.</t>
  </si>
  <si>
    <t>Neues Jahr</t>
  </si>
  <si>
    <t>Für 2027 eine Kopie dieser Datei erstellen und Startkapital aus Kontostand 31.12.2026 übernehmen.</t>
  </si>
  <si>
    <t>Keine Anlageberatung</t>
  </si>
  <si>
    <t>Dieses Journal dient ausschließlich der persönlichen Dokumentation. Keine Gewähr für Richtigkeit.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</si>
</sst>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€&quot;;\(#,##0.00&quot; €)&quot;;\-"/>
    <numFmt numFmtId="165" formatCode="0.0%"/>
    <numFmt numFmtId="166" formatCode="dd\.mm\.yyyy"/>
    <numFmt numFmtId="167" formatCode="\+0.00\R;\(0.00&quot;R)&quot;;\-"/>
    <numFmt numFmtId="168" formatCode="0.00\x;\(0.00&quot;x)&quot;;\-"/>
    <numFmt numFmtId="169" formatCode="0.00;\(0.00\);\-"/>
  </numFmts>
  <fonts count="21" x14ac:knownFonts="1"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FF"/>
      <name val="Arial"/>
      <charset val="1"/>
    </font>
    <font>
      <sz val="9"/>
      <color rgb="FF888888"/>
      <name val="Arial"/>
      <charset val="1"/>
    </font>
    <font>
      <sz val="10"/>
      <color rgb="FF0000FF"/>
      <name val="Arial"/>
      <charset val="1"/>
    </font>
    <font>
      <b/>
      <sz val="10"/>
      <color rgb="FF166534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FF"/>
      <name val="Arial"/>
      <charset val="1"/>
    </font>
    <font>
      <i/>
      <sz val="9"/>
      <color rgb="FF0000FF"/>
      <name val="Arial"/>
      <charset val="1"/>
    </font>
    <font>
      <b/>
      <sz val="10"/>
      <color rgb="FF991B1B"/>
      <name val="Arial"/>
      <charset val="1"/>
    </font>
    <font>
      <b/>
      <sz val="14"/>
      <color rgb="FFFFFFFF"/>
      <name val="Arial"/>
      <charset val="1"/>
    </font>
    <font>
      <b/>
      <sz val="9"/>
      <color rgb="FFBBDEFB"/>
      <name val="Arial"/>
      <charset val="1"/>
    </font>
    <font>
      <i/>
      <sz val="9"/>
      <color rgb="FF64748B"/>
      <name val="Arial"/>
      <charset val="1"/>
    </font>
    <font>
      <b/>
      <sz val="13"/>
      <color rgb="FFFFFFFF"/>
      <name val="Arial"/>
      <charset val="1"/>
    </font>
    <font>
      <sz val="9"/>
      <color rgb="FF000000"/>
      <name val="Arial"/>
      <charset val="1"/>
    </font>
    <font>
      <b/>
      <sz val="11"/>
      <color rgb="FF000000"/>
      <name val="Arial"/>
      <charset val="1"/>
    </font>
    <font>
      <b/>
      <sz val="9"/>
      <color rgb="FFEDE9FE"/>
      <name val="Arial"/>
      <charset val="1"/>
    </font>
    <font>
      <i/>
      <sz val="10"/>
      <color rgb="FF0000FF"/>
      <name val="Arial"/>
      <charset val="1"/>
    </font>
    <font>
      <b/>
      <sz val="22"/>
      <color rgb="FFFFFFF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1B3A6B"/>
        <bgColor rgb="FF1E3A5F"/>
      </patternFill>
    </fill>
    <fill>
      <patternFill patternType="solid">
        <fgColor rgb="FFFFF9C4"/>
        <bgColor rgb="FFF8FAFC"/>
      </patternFill>
    </fill>
    <fill>
      <patternFill patternType="solid">
        <fgColor rgb="FFEFF6FF"/>
        <bgColor rgb="FFF8FAFC"/>
      </patternFill>
    </fill>
    <fill>
      <patternFill patternType="solid">
        <fgColor rgb="FF1E3A5F"/>
        <bgColor rgb="FF1B3A6B"/>
      </patternFill>
    </fill>
    <fill>
      <patternFill patternType="solid">
        <fgColor rgb="FF1B5E3F"/>
        <bgColor rgb="FF166534"/>
      </patternFill>
    </fill>
    <fill>
      <patternFill patternType="solid">
        <fgColor rgb="FF7B1A1A"/>
        <bgColor rgb="FF991B1B"/>
      </patternFill>
    </fill>
    <fill>
      <patternFill patternType="solid">
        <fgColor rgb="FF374151"/>
        <bgColor rgb="FF1E3A5F"/>
      </patternFill>
    </fill>
    <fill>
      <patternFill patternType="solid">
        <fgColor rgb="FF164E63"/>
        <bgColor rgb="FF1B3A6B"/>
      </patternFill>
    </fill>
    <fill>
      <patternFill patternType="solid">
        <fgColor rgb="FF2D1B69"/>
        <bgColor rgb="FF4C1D95"/>
      </patternFill>
    </fill>
    <fill>
      <patternFill patternType="solid">
        <fgColor rgb="FF1B5525"/>
        <bgColor rgb="FF1B5E3F"/>
      </patternFill>
    </fill>
    <fill>
      <patternFill patternType="solid">
        <fgColor rgb="FF3B2003"/>
        <bgColor rgb="FF4C0519"/>
      </patternFill>
    </fill>
    <fill>
      <patternFill patternType="solid">
        <fgColor rgb="FF4C0519"/>
        <bgColor rgb="FF3B2003"/>
      </patternFill>
    </fill>
    <fill>
      <patternFill patternType="solid">
        <fgColor rgb="FFDCFCE7"/>
        <bgColor rgb="FFE6F4F1"/>
      </patternFill>
    </fill>
    <fill>
      <patternFill patternType="solid">
        <fgColor rgb="FFFFFFFF"/>
        <bgColor rgb="FFF8FAFC"/>
      </patternFill>
    </fill>
    <fill>
      <patternFill patternType="solid">
        <fgColor rgb="FFFEE2E2"/>
        <bgColor rgb="FFEDE9FE"/>
      </patternFill>
    </fill>
    <fill>
      <patternFill patternType="solid">
        <fgColor rgb="FFF8FAFC"/>
        <bgColor rgb="FFFFFFFF"/>
      </patternFill>
    </fill>
    <fill>
      <patternFill patternType="solid">
        <fgColor rgb="FF0F766E"/>
        <bgColor rgb="FF166534"/>
      </patternFill>
    </fill>
    <fill>
      <patternFill patternType="solid">
        <fgColor rgb="FF6D28D9"/>
        <bgColor rgb="FF4C1D95"/>
      </patternFill>
    </fill>
    <fill>
      <patternFill patternType="solid">
        <fgColor rgb="FF4C1D95"/>
        <bgColor rgb="FF2D1B69"/>
      </patternFill>
    </fill>
    <fill>
      <patternFill patternType="solid">
        <fgColor rgb="FFEDE9FE"/>
        <bgColor rgb="FFE2E8F0"/>
      </patternFill>
    </fill>
    <fill>
      <patternFill patternType="solid">
        <fgColor rgb="FFC2410C"/>
        <bgColor rgb="FF991B1B"/>
      </patternFill>
    </fill>
    <fill>
      <patternFill patternType="solid">
        <fgColor rgb="FFE6F4F1"/>
        <bgColor rgb="FFEFF6FF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E2E8F0"/>
      </left>
      <right/>
      <top style="thin">
        <color rgb="FFE2E8F0"/>
      </top>
      <bottom style="thin">
        <color rgb="FFE2E8F0"/>
      </bottom>
      <diagonal/>
    </border>
    <border>
      <left style="thin">
        <color rgb="FF2E5FA3"/>
      </left>
      <right/>
      <top/>
      <bottom/>
      <diagonal/>
    </border>
    <border>
      <left/>
      <right style="thin">
        <color rgb="FFBFBFBF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9" borderId="0" xfId="0" applyFont="1" applyFill="1" applyAlignment="1">
      <alignment horizontal="left" vertical="center"/>
    </xf>
    <xf numFmtId="0" fontId="18" fillId="20" borderId="0" xfId="0" applyFont="1" applyFill="1" applyAlignment="1">
      <alignment horizontal="center" vertical="center"/>
    </xf>
    <xf numFmtId="0" fontId="2" fillId="23" borderId="0" xfId="0" applyFont="1" applyFill="1" applyAlignment="1">
      <alignment horizontal="left" vertical="center"/>
    </xf>
    <xf numFmtId="0" fontId="1" fillId="2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20" borderId="0" xfId="0" applyFont="1" applyFill="1" applyAlignment="1">
      <alignment horizontal="left" vertical="center"/>
    </xf>
    <xf numFmtId="0" fontId="0" fillId="18" borderId="3" xfId="0" applyFill="1" applyBorder="1"/>
    <xf numFmtId="0" fontId="2" fillId="19" borderId="0" xfId="0" applyFont="1" applyFill="1" applyAlignment="1">
      <alignment horizontal="left" vertical="center"/>
    </xf>
    <xf numFmtId="0" fontId="14" fillId="18" borderId="3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0" fillId="5" borderId="2" xfId="0" applyFill="1" applyBorder="1"/>
    <xf numFmtId="165" fontId="3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67" fontId="8" fillId="5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3" fontId="4" fillId="16" borderId="2" xfId="0" applyNumberFormat="1" applyFont="1" applyFill="1" applyBorder="1" applyAlignment="1">
      <alignment horizontal="center" vertical="center"/>
    </xf>
    <xf numFmtId="164" fontId="7" fillId="16" borderId="1" xfId="0" applyNumberFormat="1" applyFont="1" applyFill="1" applyBorder="1" applyAlignment="1">
      <alignment horizontal="right" vertical="center"/>
    </xf>
    <xf numFmtId="164" fontId="8" fillId="16" borderId="1" xfId="0" applyNumberFormat="1" applyFont="1" applyFill="1" applyBorder="1" applyAlignment="1">
      <alignment horizontal="right" vertical="center"/>
    </xf>
    <xf numFmtId="167" fontId="8" fillId="16" borderId="1" xfId="0" applyNumberFormat="1" applyFont="1" applyFill="1" applyBorder="1" applyAlignment="1">
      <alignment horizontal="right" vertical="center"/>
    </xf>
    <xf numFmtId="0" fontId="11" fillId="17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 vertical="center"/>
    </xf>
    <xf numFmtId="0" fontId="8" fillId="16" borderId="1" xfId="0" applyFont="1" applyFill="1" applyBorder="1" applyAlignment="1">
      <alignment horizontal="left" vertical="center"/>
    </xf>
    <xf numFmtId="3" fontId="8" fillId="16" borderId="1" xfId="0" applyNumberFormat="1" applyFont="1" applyFill="1" applyBorder="1" applyAlignment="1">
      <alignment horizontal="right" vertical="center"/>
    </xf>
    <xf numFmtId="165" fontId="8" fillId="16" borderId="1" xfId="0" applyNumberFormat="1" applyFont="1" applyFill="1" applyBorder="1" applyAlignment="1">
      <alignment horizontal="right" vertical="center"/>
    </xf>
    <xf numFmtId="168" fontId="8" fillId="16" borderId="1" xfId="0" applyNumberFormat="1" applyFont="1" applyFill="1" applyBorder="1" applyAlignment="1">
      <alignment horizontal="right" vertical="center"/>
    </xf>
    <xf numFmtId="169" fontId="8" fillId="5" borderId="1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0" fontId="1" fillId="21" borderId="1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left" vertical="center"/>
    </xf>
    <xf numFmtId="3" fontId="7" fillId="22" borderId="1" xfId="0" applyNumberFormat="1" applyFont="1" applyFill="1" applyBorder="1" applyAlignment="1">
      <alignment horizontal="center" vertical="center"/>
    </xf>
    <xf numFmtId="165" fontId="8" fillId="22" borderId="1" xfId="0" applyNumberFormat="1" applyFont="1" applyFill="1" applyBorder="1" applyAlignment="1">
      <alignment horizontal="center" vertical="center"/>
    </xf>
    <xf numFmtId="164" fontId="7" fillId="22" borderId="1" xfId="0" applyNumberFormat="1" applyFont="1" applyFill="1" applyBorder="1" applyAlignment="1">
      <alignment horizontal="right" vertical="center"/>
    </xf>
    <xf numFmtId="167" fontId="7" fillId="22" borderId="1" xfId="0" applyNumberFormat="1" applyFont="1" applyFill="1" applyBorder="1" applyAlignment="1">
      <alignment horizontal="right" vertical="center"/>
    </xf>
    <xf numFmtId="3" fontId="7" fillId="16" borderId="1" xfId="0" applyNumberFormat="1" applyFont="1" applyFill="1" applyBorder="1" applyAlignment="1">
      <alignment horizontal="center" vertical="center"/>
    </xf>
    <xf numFmtId="165" fontId="8" fillId="16" borderId="1" xfId="0" applyNumberFormat="1" applyFont="1" applyFill="1" applyBorder="1" applyAlignment="1">
      <alignment horizontal="center" vertical="center"/>
    </xf>
    <xf numFmtId="167" fontId="7" fillId="16" borderId="1" xfId="0" applyNumberFormat="1" applyFont="1" applyFill="1" applyBorder="1" applyAlignment="1">
      <alignment horizontal="right" vertical="center"/>
    </xf>
    <xf numFmtId="0" fontId="1" fillId="19" borderId="1" xfId="0" applyFont="1" applyFill="1" applyBorder="1" applyAlignment="1">
      <alignment horizontal="center" vertical="center" wrapText="1"/>
    </xf>
    <xf numFmtId="3" fontId="7" fillId="15" borderId="1" xfId="0" applyNumberFormat="1" applyFont="1" applyFill="1" applyBorder="1" applyAlignment="1">
      <alignment horizontal="center" vertical="center"/>
    </xf>
    <xf numFmtId="165" fontId="8" fillId="15" borderId="1" xfId="0" applyNumberFormat="1" applyFont="1" applyFill="1" applyBorder="1" applyAlignment="1">
      <alignment horizontal="center" vertical="center"/>
    </xf>
    <xf numFmtId="164" fontId="8" fillId="15" borderId="1" xfId="0" applyNumberFormat="1" applyFont="1" applyFill="1" applyBorder="1" applyAlignment="1">
      <alignment horizontal="right" vertical="center"/>
    </xf>
    <xf numFmtId="167" fontId="7" fillId="15" borderId="1" xfId="0" applyNumberFormat="1" applyFont="1" applyFill="1" applyBorder="1" applyAlignment="1">
      <alignment horizontal="right" vertical="center"/>
    </xf>
    <xf numFmtId="3" fontId="7" fillId="17" borderId="1" xfId="0" applyNumberFormat="1" applyFont="1" applyFill="1" applyBorder="1" applyAlignment="1">
      <alignment horizontal="center" vertical="center"/>
    </xf>
    <xf numFmtId="165" fontId="8" fillId="17" borderId="1" xfId="0" applyNumberFormat="1" applyFont="1" applyFill="1" applyBorder="1" applyAlignment="1">
      <alignment horizontal="center" vertical="center"/>
    </xf>
    <xf numFmtId="164" fontId="8" fillId="17" borderId="1" xfId="0" applyNumberFormat="1" applyFont="1" applyFill="1" applyBorder="1" applyAlignment="1">
      <alignment horizontal="right" vertical="center"/>
    </xf>
    <xf numFmtId="167" fontId="7" fillId="17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right" vertical="center"/>
    </xf>
    <xf numFmtId="165" fontId="7" fillId="16" borderId="1" xfId="0" applyNumberFormat="1" applyFont="1" applyFill="1" applyBorder="1" applyAlignment="1">
      <alignment horizontal="center" vertical="center"/>
    </xf>
    <xf numFmtId="3" fontId="16" fillId="15" borderId="1" xfId="0" applyNumberFormat="1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164" fontId="7" fillId="15" borderId="1" xfId="0" applyNumberFormat="1" applyFont="1" applyFill="1" applyBorder="1" applyAlignment="1">
      <alignment horizontal="right" vertical="center"/>
    </xf>
    <xf numFmtId="3" fontId="16" fillId="16" borderId="1" xfId="0" applyNumberFormat="1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7" fillId="16" borderId="1" xfId="0" applyFont="1" applyFill="1" applyBorder="1"/>
    <xf numFmtId="0" fontId="8" fillId="17" borderId="1" xfId="0" applyFont="1" applyFill="1" applyBorder="1" applyAlignment="1">
      <alignment horizontal="left" vertical="center"/>
    </xf>
    <xf numFmtId="164" fontId="11" fillId="17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0" fontId="7" fillId="16" borderId="1" xfId="0" applyFont="1" applyFill="1" applyBorder="1" applyAlignment="1">
      <alignment horizontal="left" vertical="center"/>
    </xf>
    <xf numFmtId="165" fontId="7" fillId="16" borderId="1" xfId="0" applyNumberFormat="1" applyFont="1" applyFill="1" applyBorder="1" applyAlignment="1">
      <alignment horizontal="right" vertical="center"/>
    </xf>
    <xf numFmtId="0" fontId="0" fillId="16" borderId="2" xfId="0" applyFill="1" applyBorder="1"/>
    <xf numFmtId="165" fontId="7" fillId="5" borderId="1" xfId="0" applyNumberFormat="1" applyFont="1" applyFill="1" applyBorder="1" applyAlignment="1">
      <alignment horizontal="right" vertical="center"/>
    </xf>
    <xf numFmtId="3" fontId="6" fillId="16" borderId="1" xfId="0" applyNumberFormat="1" applyFont="1" applyFill="1" applyBorder="1" applyAlignment="1">
      <alignment horizontal="right" vertical="center"/>
    </xf>
    <xf numFmtId="0" fontId="8" fillId="24" borderId="1" xfId="0" applyFont="1" applyFill="1" applyBorder="1" applyAlignment="1">
      <alignment horizontal="left" vertical="center"/>
    </xf>
    <xf numFmtId="168" fontId="6" fillId="24" borderId="1" xfId="0" applyNumberFormat="1" applyFont="1" applyFill="1" applyBorder="1" applyAlignment="1">
      <alignment horizontal="right" vertical="center"/>
    </xf>
    <xf numFmtId="0" fontId="0" fillId="24" borderId="2" xfId="0" applyFill="1" applyBorder="1"/>
    <xf numFmtId="49" fontId="17" fillId="16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16" borderId="1" xfId="0" applyFont="1" applyFill="1" applyBorder="1" applyAlignment="1">
      <alignment horizontal="left" vertical="center" wrapText="1"/>
    </xf>
    <xf numFmtId="0" fontId="7" fillId="16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B1A1A"/>
      <rgbColor rgb="FF166534"/>
      <rgbColor rgb="FF2D1B69"/>
      <rgbColor rgb="FF808000"/>
      <rgbColor rgb="FF6D28D9"/>
      <rgbColor rgb="FF0F766E"/>
      <rgbColor rgb="FFBFBFBF"/>
      <rgbColor rgb="FF878787"/>
      <rgbColor rgb="FF9999FF"/>
      <rgbColor rgb="FFC2410C"/>
      <rgbColor rgb="FFFFF9C4"/>
      <rgbColor rgb="FFDCFCE7"/>
      <rgbColor rgb="FF4C0519"/>
      <rgbColor rgb="FFFF8080"/>
      <rgbColor rgb="FF2E5FA3"/>
      <rgbColor rgb="FFBBDEFB"/>
      <rgbColor rgb="FF1E3A5F"/>
      <rgbColor rgb="FFFF00FF"/>
      <rgbColor rgb="FFFFFF00"/>
      <rgbColor rgb="FF00FFFF"/>
      <rgbColor rgb="FF800080"/>
      <rgbColor rgb="FF800000"/>
      <rgbColor rgb="FF1B5E3F"/>
      <rgbColor rgb="FF0000FF"/>
      <rgbColor rgb="FF00CCFF"/>
      <rgbColor rgb="FFE6F4F1"/>
      <rgbColor rgb="FFE2E8F0"/>
      <rgbColor rgb="FFF8FAFC"/>
      <rgbColor rgb="FFD9D9D9"/>
      <rgbColor rgb="FFEFF6FF"/>
      <rgbColor rgb="FFEDE9FE"/>
      <rgbColor rgb="FFFEE2E2"/>
      <rgbColor rgb="FF164E63"/>
      <rgbColor rgb="FF33CCCC"/>
      <rgbColor rgb="FF99CC00"/>
      <rgbColor rgb="FFFFCC00"/>
      <rgbColor rgb="FFFF9900"/>
      <rgbColor rgb="FFFF6600"/>
      <rgbColor rgb="FF64748B"/>
      <rgbColor rgb="FF888888"/>
      <rgbColor rgb="FF1B3A6B"/>
      <rgbColor rgb="FF1B5525"/>
      <rgbColor rgb="FF0D1B2A"/>
      <rgbColor rgb="FF3B2003"/>
      <rgbColor rgb="FF991B1B"/>
      <rgbColor rgb="FF993366"/>
      <rgbColor rgb="FF4C1D95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Equity-Kurve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'Equity-Kurve'!$D$4</c:f>
              <c:strCache>
                <c:ptCount val="1"/>
                <c:pt idx="0">
                  <c:v>Kontostand (€)</c:v>
                </c:pt>
              </c:strCache>
            </c:strRef>
          </c:tx>
          <c:spPr>
            <a:ln w="20160">
              <a:solidFill>
                <a:srgbClr val="1B3A6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'Equity-Kurve'!$B$5:$B$24</c:f>
              <c:numCache>
                <c:formatCode>#,##0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'Equity-Kurve'!$D$5:$D$24</c:f>
              <c:numCache>
                <c:formatCode>#,##0.00" €";\(#,##0.00" €)";\-</c:formatCode>
                <c:ptCount val="20"/>
                <c:pt idx="0">
                  <c:v>10134.999999999996</c:v>
                </c:pt>
                <c:pt idx="1">
                  <c:v>10982.499999999996</c:v>
                </c:pt>
                <c:pt idx="2">
                  <c:v>10719.999999999995</c:v>
                </c:pt>
                <c:pt idx="3">
                  <c:v>11097.499999999995</c:v>
                </c:pt>
                <c:pt idx="4">
                  <c:v>50095.000000000335</c:v>
                </c:pt>
                <c:pt idx="5">
                  <c:v>50030.000000000327</c:v>
                </c:pt>
                <c:pt idx="6">
                  <c:v>51377.500000000327</c:v>
                </c:pt>
                <c:pt idx="7">
                  <c:v>53675.000000000327</c:v>
                </c:pt>
                <c:pt idx="8">
                  <c:v>53962.500000000327</c:v>
                </c:pt>
                <c:pt idx="9">
                  <c:v>55030.000000000327</c:v>
                </c:pt>
                <c:pt idx="10">
                  <c:v>55377.500000000327</c:v>
                </c:pt>
                <c:pt idx="11">
                  <c:v>56625.000000000327</c:v>
                </c:pt>
                <c:pt idx="12">
                  <c:v>56632.500000000327</c:v>
                </c:pt>
                <c:pt idx="13">
                  <c:v>56817.50000000032</c:v>
                </c:pt>
                <c:pt idx="14">
                  <c:v>56915.00000000032</c:v>
                </c:pt>
                <c:pt idx="15">
                  <c:v>58362.50000000032</c:v>
                </c:pt>
                <c:pt idx="16">
                  <c:v>58720.00000000032</c:v>
                </c:pt>
                <c:pt idx="17">
                  <c:v>59392.50000000032</c:v>
                </c:pt>
                <c:pt idx="18">
                  <c:v>58790.00000000032</c:v>
                </c:pt>
                <c:pt idx="19">
                  <c:v>58982.50000000032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BF-4345-AE81-E765B12EC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3127169"/>
        <c:axId val="86700742"/>
      </c:lineChart>
      <c:catAx>
        <c:axId val="631271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Trade #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6700742"/>
        <c:crosses val="autoZero"/>
        <c:auto val="1"/>
        <c:lblAlgn val="ctr"/>
        <c:lblOffset val="100"/>
        <c:noMultiLvlLbl val="0"/>
      </c:catAx>
      <c:valAx>
        <c:axId val="8670074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Kontostand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\(#,##0.00&quot; €)&quot;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312716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11</xdr:col>
      <xdr:colOff>186840</xdr:colOff>
      <xdr:row>50</xdr:row>
      <xdr:rowOff>128160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6B"/>
  </sheetPr>
  <dimension ref="B1:T199"/>
  <sheetViews>
    <sheetView showGridLines="0" tabSelected="1" zoomScale="85" zoomScaleNormal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V10" sqref="V10"/>
    </sheetView>
  </sheetViews>
  <sheetFormatPr baseColWidth="10" defaultColWidth="8.7109375" defaultRowHeight="15" x14ac:dyDescent="0.25"/>
  <cols>
    <col min="1" max="1" width="2" customWidth="1"/>
    <col min="2" max="2" width="3.140625" bestFit="1" customWidth="1"/>
    <col min="3" max="3" width="10.28515625" bestFit="1" customWidth="1"/>
    <col min="4" max="4" width="6.85546875" bestFit="1" customWidth="1"/>
    <col min="5" max="5" width="10.7109375" bestFit="1" customWidth="1"/>
    <col min="6" max="6" width="8.42578125" bestFit="1" customWidth="1"/>
    <col min="7" max="8" width="10.7109375" bestFit="1" customWidth="1"/>
    <col min="9" max="9" width="11.7109375" bestFit="1" customWidth="1"/>
    <col min="10" max="10" width="11.7109375" customWidth="1"/>
    <col min="11" max="11" width="10.42578125" bestFit="1" customWidth="1"/>
    <col min="12" max="12" width="8.85546875" bestFit="1" customWidth="1"/>
    <col min="13" max="13" width="10.7109375" bestFit="1" customWidth="1"/>
    <col min="14" max="14" width="9" customWidth="1"/>
    <col min="15" max="15" width="10.7109375" bestFit="1" customWidth="1"/>
    <col min="16" max="16" width="13.42578125" bestFit="1" customWidth="1"/>
    <col min="17" max="17" width="7.7109375" bestFit="1" customWidth="1"/>
    <col min="18" max="18" width="11.7109375" bestFit="1" customWidth="1"/>
    <col min="19" max="19" width="11.85546875" bestFit="1" customWidth="1"/>
    <col min="20" max="20" width="32.85546875" bestFit="1" customWidth="1"/>
    <col min="21" max="21" width="2" customWidth="1"/>
  </cols>
  <sheetData>
    <row r="1" spans="2:20" ht="36" customHeight="1" x14ac:dyDescent="0.2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2:20" ht="18" customHeight="1" x14ac:dyDescent="0.25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2:20" ht="15" customHeight="1" x14ac:dyDescent="0.25"/>
    <row r="4" spans="2:20" ht="15" customHeight="1" x14ac:dyDescent="0.25">
      <c r="B4" s="12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2:20" ht="15" customHeight="1" x14ac:dyDescent="0.25">
      <c r="B5" s="103" t="s">
        <v>3</v>
      </c>
      <c r="C5" s="104"/>
      <c r="D5" s="105"/>
      <c r="E5" s="14">
        <v>10000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2:20" ht="15" customHeight="1" x14ac:dyDescent="0.25">
      <c r="B6" s="103" t="s">
        <v>4</v>
      </c>
      <c r="C6" s="104"/>
      <c r="D6" s="105"/>
      <c r="E6" s="16">
        <v>0.01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2:20" ht="15" customHeight="1" x14ac:dyDescent="0.25">
      <c r="B7" s="103" t="s">
        <v>5</v>
      </c>
      <c r="C7" s="104"/>
      <c r="D7" s="105"/>
      <c r="E7" s="14">
        <v>2.5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0" ht="15" customHeight="1" x14ac:dyDescent="0.25">
      <c r="B8" s="103" t="s">
        <v>6</v>
      </c>
      <c r="C8" s="104"/>
      <c r="D8" s="105"/>
      <c r="E8" s="17" t="s">
        <v>7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2:20" ht="15" customHeight="1" x14ac:dyDescent="0.25"/>
    <row r="10" spans="2:20" ht="31.5" customHeight="1" x14ac:dyDescent="0.25">
      <c r="B10" s="18" t="s">
        <v>8</v>
      </c>
      <c r="C10" s="18" t="s">
        <v>9</v>
      </c>
      <c r="D10" s="18" t="s">
        <v>10</v>
      </c>
      <c r="E10" s="18" t="s">
        <v>11</v>
      </c>
      <c r="F10" s="19" t="s">
        <v>12</v>
      </c>
      <c r="G10" s="20" t="s">
        <v>13</v>
      </c>
      <c r="H10" s="21" t="s">
        <v>14</v>
      </c>
      <c r="I10" s="19" t="s">
        <v>15</v>
      </c>
      <c r="J10" s="20" t="s">
        <v>16</v>
      </c>
      <c r="K10" s="20" t="s">
        <v>17</v>
      </c>
      <c r="L10" s="22" t="s">
        <v>18</v>
      </c>
      <c r="M10" s="23" t="s">
        <v>19</v>
      </c>
      <c r="N10" s="23" t="s">
        <v>20</v>
      </c>
      <c r="O10" s="20" t="s">
        <v>21</v>
      </c>
      <c r="P10" s="24" t="s">
        <v>22</v>
      </c>
      <c r="Q10" s="25" t="s">
        <v>23</v>
      </c>
      <c r="R10" s="26" t="s">
        <v>24</v>
      </c>
      <c r="S10" s="27" t="s">
        <v>25</v>
      </c>
      <c r="T10" s="18" t="s">
        <v>26</v>
      </c>
    </row>
    <row r="11" spans="2:20" ht="15" customHeight="1" x14ac:dyDescent="0.25">
      <c r="B11" s="28">
        <v>1</v>
      </c>
      <c r="C11" s="29" t="s">
        <v>27</v>
      </c>
      <c r="D11" s="30" t="s">
        <v>28</v>
      </c>
      <c r="E11" s="31" t="s">
        <v>29</v>
      </c>
      <c r="F11" s="32" t="s">
        <v>30</v>
      </c>
      <c r="G11" s="33">
        <v>1.0920000000000001</v>
      </c>
      <c r="H11" s="33">
        <v>1.0880000000000001</v>
      </c>
      <c r="I11" s="33">
        <v>1.0980000000000001</v>
      </c>
      <c r="J11" s="33">
        <v>1.0974999999999999</v>
      </c>
      <c r="K11" s="34">
        <v>25000</v>
      </c>
      <c r="L11" s="35">
        <f>Tradelog!$E$7</f>
        <v>2.5</v>
      </c>
      <c r="M11" s="36">
        <f t="shared" ref="M11:M35" si="0">IFERROR(IF(F11="Long",(J11-G11)*K11,(G11-J11)*K11)-L11,0)</f>
        <v>134.99999999999596</v>
      </c>
      <c r="N11" s="37">
        <f t="shared" ref="N11:N35" si="1">IFERROR(M11/(ABS(G11-H11)*K11),0)</f>
        <v>1.3499999999999586</v>
      </c>
      <c r="O11" s="36">
        <f>Tradelog!$E$5+M11</f>
        <v>10134.999999999996</v>
      </c>
      <c r="P11" s="38" t="s">
        <v>31</v>
      </c>
      <c r="Q11" s="32" t="s">
        <v>32</v>
      </c>
      <c r="R11" s="38" t="s">
        <v>33</v>
      </c>
      <c r="S11" s="38" t="s">
        <v>34</v>
      </c>
      <c r="T11" s="39" t="s">
        <v>35</v>
      </c>
    </row>
    <row r="12" spans="2:20" ht="15" customHeight="1" x14ac:dyDescent="0.25">
      <c r="B12" s="40">
        <v>2</v>
      </c>
      <c r="C12" s="29" t="s">
        <v>36</v>
      </c>
      <c r="D12" s="30" t="s">
        <v>37</v>
      </c>
      <c r="E12" s="31" t="s">
        <v>38</v>
      </c>
      <c r="F12" s="32" t="s">
        <v>30</v>
      </c>
      <c r="G12" s="33">
        <v>19450</v>
      </c>
      <c r="H12" s="33">
        <v>19320</v>
      </c>
      <c r="I12" s="33">
        <v>19650</v>
      </c>
      <c r="J12" s="33">
        <v>19620</v>
      </c>
      <c r="K12" s="34">
        <v>5</v>
      </c>
      <c r="L12" s="41">
        <f>Tradelog!$E$7</f>
        <v>2.5</v>
      </c>
      <c r="M12" s="42">
        <f t="shared" si="0"/>
        <v>847.5</v>
      </c>
      <c r="N12" s="43">
        <f t="shared" si="1"/>
        <v>1.3038461538461539</v>
      </c>
      <c r="O12" s="42">
        <f t="shared" ref="O12:O35" si="2">O11+M12</f>
        <v>10982.499999999996</v>
      </c>
      <c r="P12" s="38" t="s">
        <v>39</v>
      </c>
      <c r="Q12" s="32" t="s">
        <v>32</v>
      </c>
      <c r="R12" s="38" t="s">
        <v>40</v>
      </c>
      <c r="S12" s="38" t="s">
        <v>41</v>
      </c>
      <c r="T12" s="39" t="s">
        <v>42</v>
      </c>
    </row>
    <row r="13" spans="2:20" ht="15" customHeight="1" x14ac:dyDescent="0.25">
      <c r="B13" s="28">
        <v>3</v>
      </c>
      <c r="C13" s="29" t="s">
        <v>43</v>
      </c>
      <c r="D13" s="30" t="s">
        <v>44</v>
      </c>
      <c r="E13" s="31" t="s">
        <v>45</v>
      </c>
      <c r="F13" s="44" t="s">
        <v>46</v>
      </c>
      <c r="G13" s="33">
        <v>188.2</v>
      </c>
      <c r="H13" s="33">
        <v>191.5</v>
      </c>
      <c r="I13" s="33">
        <v>182</v>
      </c>
      <c r="J13" s="33">
        <v>190.8</v>
      </c>
      <c r="K13" s="34">
        <v>100</v>
      </c>
      <c r="L13" s="35">
        <f>Tradelog!$E$7</f>
        <v>2.5</v>
      </c>
      <c r="M13" s="36">
        <f t="shared" si="0"/>
        <v>-262.50000000000227</v>
      </c>
      <c r="N13" s="37">
        <f t="shared" si="1"/>
        <v>-0.79545454545454963</v>
      </c>
      <c r="O13" s="36">
        <f t="shared" si="2"/>
        <v>10719.999999999995</v>
      </c>
      <c r="P13" s="38" t="s">
        <v>47</v>
      </c>
      <c r="Q13" s="44" t="s">
        <v>48</v>
      </c>
      <c r="R13" s="38" t="s">
        <v>49</v>
      </c>
      <c r="S13" s="38" t="s">
        <v>50</v>
      </c>
      <c r="T13" s="39" t="s">
        <v>51</v>
      </c>
    </row>
    <row r="14" spans="2:20" ht="15" customHeight="1" x14ac:dyDescent="0.25">
      <c r="B14" s="40">
        <v>4</v>
      </c>
      <c r="C14" s="29" t="s">
        <v>52</v>
      </c>
      <c r="D14" s="30" t="s">
        <v>53</v>
      </c>
      <c r="E14" s="31" t="s">
        <v>54</v>
      </c>
      <c r="F14" s="32" t="s">
        <v>30</v>
      </c>
      <c r="G14" s="33">
        <v>2630</v>
      </c>
      <c r="H14" s="33">
        <v>2610</v>
      </c>
      <c r="I14" s="33">
        <v>2670</v>
      </c>
      <c r="J14" s="33">
        <v>2668</v>
      </c>
      <c r="K14" s="34">
        <v>10</v>
      </c>
      <c r="L14" s="41">
        <f>Tradelog!$E$7</f>
        <v>2.5</v>
      </c>
      <c r="M14" s="42">
        <f t="shared" si="0"/>
        <v>377.5</v>
      </c>
      <c r="N14" s="43">
        <f t="shared" si="1"/>
        <v>1.8875</v>
      </c>
      <c r="O14" s="42">
        <f t="shared" si="2"/>
        <v>11097.499999999995</v>
      </c>
      <c r="P14" s="38" t="s">
        <v>55</v>
      </c>
      <c r="Q14" s="32" t="s">
        <v>32</v>
      </c>
      <c r="R14" s="38" t="s">
        <v>33</v>
      </c>
      <c r="S14" s="38" t="s">
        <v>34</v>
      </c>
      <c r="T14" s="39" t="s">
        <v>56</v>
      </c>
    </row>
    <row r="15" spans="2:20" ht="15" customHeight="1" x14ac:dyDescent="0.25">
      <c r="B15" s="28">
        <v>5</v>
      </c>
      <c r="C15" s="29" t="s">
        <v>57</v>
      </c>
      <c r="D15" s="30" t="s">
        <v>58</v>
      </c>
      <c r="E15" s="31" t="s">
        <v>59</v>
      </c>
      <c r="F15" s="44" t="s">
        <v>46</v>
      </c>
      <c r="G15" s="33">
        <v>158.4</v>
      </c>
      <c r="H15" s="33">
        <v>159.19999999999999</v>
      </c>
      <c r="I15" s="33">
        <v>156.80000000000001</v>
      </c>
      <c r="J15" s="33">
        <v>157.1</v>
      </c>
      <c r="K15" s="34">
        <v>30000</v>
      </c>
      <c r="L15" s="35">
        <f>Tradelog!$E$7</f>
        <v>2.5</v>
      </c>
      <c r="M15" s="36">
        <f t="shared" si="0"/>
        <v>38997.500000000342</v>
      </c>
      <c r="N15" s="37">
        <f t="shared" si="1"/>
        <v>1.6248958333333823</v>
      </c>
      <c r="O15" s="36">
        <f t="shared" si="2"/>
        <v>50095.000000000335</v>
      </c>
      <c r="P15" s="38" t="s">
        <v>47</v>
      </c>
      <c r="Q15" s="32" t="s">
        <v>32</v>
      </c>
      <c r="R15" s="38" t="s">
        <v>49</v>
      </c>
      <c r="S15" s="38" t="s">
        <v>60</v>
      </c>
      <c r="T15" s="39" t="s">
        <v>61</v>
      </c>
    </row>
    <row r="16" spans="2:20" ht="15" customHeight="1" x14ac:dyDescent="0.25">
      <c r="B16" s="40">
        <v>6</v>
      </c>
      <c r="C16" s="29" t="s">
        <v>62</v>
      </c>
      <c r="D16" s="30" t="s">
        <v>63</v>
      </c>
      <c r="E16" s="31" t="s">
        <v>29</v>
      </c>
      <c r="F16" s="32" t="s">
        <v>30</v>
      </c>
      <c r="G16" s="33">
        <v>1.0840000000000001</v>
      </c>
      <c r="H16" s="33">
        <v>1.08</v>
      </c>
      <c r="I16" s="33">
        <v>1.0920000000000001</v>
      </c>
      <c r="J16" s="33">
        <v>1.0814999999999999</v>
      </c>
      <c r="K16" s="34">
        <v>25000</v>
      </c>
      <c r="L16" s="41">
        <f>Tradelog!$E$7</f>
        <v>2.5</v>
      </c>
      <c r="M16" s="42">
        <f t="shared" si="0"/>
        <v>-65.000000000004221</v>
      </c>
      <c r="N16" s="43">
        <f t="shared" si="1"/>
        <v>-0.65000000000004166</v>
      </c>
      <c r="O16" s="42">
        <f t="shared" si="2"/>
        <v>50030.000000000327</v>
      </c>
      <c r="P16" s="38" t="s">
        <v>31</v>
      </c>
      <c r="Q16" s="32" t="s">
        <v>32</v>
      </c>
      <c r="R16" s="38" t="s">
        <v>40</v>
      </c>
      <c r="S16" s="38" t="s">
        <v>64</v>
      </c>
      <c r="T16" s="39" t="s">
        <v>65</v>
      </c>
    </row>
    <row r="17" spans="2:20" ht="15" customHeight="1" x14ac:dyDescent="0.25">
      <c r="B17" s="28">
        <v>7</v>
      </c>
      <c r="C17" s="29" t="s">
        <v>66</v>
      </c>
      <c r="D17" s="30" t="s">
        <v>67</v>
      </c>
      <c r="E17" s="31" t="s">
        <v>38</v>
      </c>
      <c r="F17" s="44" t="s">
        <v>46</v>
      </c>
      <c r="G17" s="33">
        <v>19280</v>
      </c>
      <c r="H17" s="33">
        <v>19400</v>
      </c>
      <c r="I17" s="33">
        <v>19000</v>
      </c>
      <c r="J17" s="33">
        <v>19010</v>
      </c>
      <c r="K17" s="34">
        <v>5</v>
      </c>
      <c r="L17" s="35">
        <f>Tradelog!$E$7</f>
        <v>2.5</v>
      </c>
      <c r="M17" s="36">
        <f t="shared" si="0"/>
        <v>1347.5</v>
      </c>
      <c r="N17" s="37">
        <f t="shared" si="1"/>
        <v>2.2458333333333331</v>
      </c>
      <c r="O17" s="36">
        <f t="shared" si="2"/>
        <v>51377.500000000327</v>
      </c>
      <c r="P17" s="38" t="s">
        <v>39</v>
      </c>
      <c r="Q17" s="32" t="s">
        <v>32</v>
      </c>
      <c r="R17" s="38" t="s">
        <v>49</v>
      </c>
      <c r="S17" s="38" t="s">
        <v>34</v>
      </c>
      <c r="T17" s="39" t="s">
        <v>68</v>
      </c>
    </row>
    <row r="18" spans="2:20" ht="15" customHeight="1" x14ac:dyDescent="0.25">
      <c r="B18" s="40">
        <v>8</v>
      </c>
      <c r="C18" s="29" t="s">
        <v>69</v>
      </c>
      <c r="D18" s="30" t="s">
        <v>70</v>
      </c>
      <c r="E18" s="31" t="s">
        <v>71</v>
      </c>
      <c r="F18" s="32" t="s">
        <v>30</v>
      </c>
      <c r="G18" s="33">
        <v>98200</v>
      </c>
      <c r="H18" s="33">
        <v>96000</v>
      </c>
      <c r="I18" s="33">
        <v>103000</v>
      </c>
      <c r="J18" s="33">
        <v>102800</v>
      </c>
      <c r="K18" s="34">
        <v>0.5</v>
      </c>
      <c r="L18" s="41">
        <f>Tradelog!$E$7</f>
        <v>2.5</v>
      </c>
      <c r="M18" s="42">
        <f t="shared" si="0"/>
        <v>2297.5</v>
      </c>
      <c r="N18" s="43">
        <f t="shared" si="1"/>
        <v>2.0886363636363638</v>
      </c>
      <c r="O18" s="42">
        <f t="shared" si="2"/>
        <v>53675.000000000327</v>
      </c>
      <c r="P18" s="38" t="s">
        <v>72</v>
      </c>
      <c r="Q18" s="32" t="s">
        <v>32</v>
      </c>
      <c r="R18" s="38" t="s">
        <v>33</v>
      </c>
      <c r="S18" s="38" t="s">
        <v>73</v>
      </c>
      <c r="T18" s="39" t="s">
        <v>74</v>
      </c>
    </row>
    <row r="19" spans="2:20" ht="15" customHeight="1" x14ac:dyDescent="0.25">
      <c r="B19" s="28">
        <v>9</v>
      </c>
      <c r="C19" s="29" t="s">
        <v>75</v>
      </c>
      <c r="D19" s="30" t="s">
        <v>76</v>
      </c>
      <c r="E19" s="31" t="s">
        <v>77</v>
      </c>
      <c r="F19" s="32" t="s">
        <v>30</v>
      </c>
      <c r="G19" s="33">
        <v>29.4</v>
      </c>
      <c r="H19" s="33">
        <v>28.8</v>
      </c>
      <c r="I19" s="33">
        <v>31</v>
      </c>
      <c r="J19" s="33">
        <v>30.85</v>
      </c>
      <c r="K19" s="34">
        <v>200</v>
      </c>
      <c r="L19" s="35">
        <f>Tradelog!$E$7</f>
        <v>2.5</v>
      </c>
      <c r="M19" s="36">
        <f t="shared" si="0"/>
        <v>287.50000000000057</v>
      </c>
      <c r="N19" s="37">
        <f t="shared" si="1"/>
        <v>2.3958333333333464</v>
      </c>
      <c r="O19" s="36">
        <f t="shared" si="2"/>
        <v>53962.500000000327</v>
      </c>
      <c r="P19" s="38" t="s">
        <v>39</v>
      </c>
      <c r="Q19" s="32" t="s">
        <v>32</v>
      </c>
      <c r="R19" s="38" t="s">
        <v>33</v>
      </c>
      <c r="S19" s="38" t="s">
        <v>41</v>
      </c>
      <c r="T19" s="39" t="s">
        <v>78</v>
      </c>
    </row>
    <row r="20" spans="2:20" ht="15" customHeight="1" x14ac:dyDescent="0.25">
      <c r="B20" s="40">
        <v>10</v>
      </c>
      <c r="C20" s="29" t="s">
        <v>79</v>
      </c>
      <c r="D20" s="30" t="s">
        <v>80</v>
      </c>
      <c r="E20" s="31" t="s">
        <v>81</v>
      </c>
      <c r="F20" s="32" t="s">
        <v>30</v>
      </c>
      <c r="G20" s="33">
        <v>875</v>
      </c>
      <c r="H20" s="33">
        <v>850</v>
      </c>
      <c r="I20" s="33">
        <v>930</v>
      </c>
      <c r="J20" s="33">
        <v>928.5</v>
      </c>
      <c r="K20" s="34">
        <v>20</v>
      </c>
      <c r="L20" s="41">
        <f>Tradelog!$E$7</f>
        <v>2.5</v>
      </c>
      <c r="M20" s="42">
        <f t="shared" si="0"/>
        <v>1067.5</v>
      </c>
      <c r="N20" s="43">
        <f t="shared" si="1"/>
        <v>2.1349999999999998</v>
      </c>
      <c r="O20" s="42">
        <f t="shared" si="2"/>
        <v>55030.000000000327</v>
      </c>
      <c r="P20" s="38" t="s">
        <v>72</v>
      </c>
      <c r="Q20" s="44" t="s">
        <v>48</v>
      </c>
      <c r="R20" s="38" t="s">
        <v>33</v>
      </c>
      <c r="S20" s="38" t="s">
        <v>82</v>
      </c>
      <c r="T20" s="39" t="s">
        <v>83</v>
      </c>
    </row>
    <row r="21" spans="2:20" ht="15" customHeight="1" x14ac:dyDescent="0.25">
      <c r="B21" s="28">
        <v>11</v>
      </c>
      <c r="C21" s="29" t="s">
        <v>84</v>
      </c>
      <c r="D21" s="30" t="s">
        <v>85</v>
      </c>
      <c r="E21" s="31" t="s">
        <v>86</v>
      </c>
      <c r="F21" s="44" t="s">
        <v>46</v>
      </c>
      <c r="G21" s="33">
        <v>0.83099999999999996</v>
      </c>
      <c r="H21" s="33">
        <v>0.83599999999999997</v>
      </c>
      <c r="I21" s="33">
        <v>0.82299999999999995</v>
      </c>
      <c r="J21" s="33">
        <v>0.82399999999999995</v>
      </c>
      <c r="K21" s="34">
        <v>50000</v>
      </c>
      <c r="L21" s="35">
        <f>Tradelog!$E$7</f>
        <v>2.5</v>
      </c>
      <c r="M21" s="36">
        <f t="shared" si="0"/>
        <v>347.50000000000028</v>
      </c>
      <c r="N21" s="37">
        <f t="shared" si="1"/>
        <v>1.39</v>
      </c>
      <c r="O21" s="36">
        <f t="shared" si="2"/>
        <v>55377.500000000327</v>
      </c>
      <c r="P21" s="38" t="s">
        <v>55</v>
      </c>
      <c r="Q21" s="32" t="s">
        <v>32</v>
      </c>
      <c r="R21" s="38" t="s">
        <v>49</v>
      </c>
      <c r="S21" s="38" t="s">
        <v>60</v>
      </c>
      <c r="T21" s="39" t="s">
        <v>87</v>
      </c>
    </row>
    <row r="22" spans="2:20" ht="15" customHeight="1" x14ac:dyDescent="0.25">
      <c r="B22" s="40">
        <v>12</v>
      </c>
      <c r="C22" s="29" t="s">
        <v>88</v>
      </c>
      <c r="D22" s="30" t="s">
        <v>89</v>
      </c>
      <c r="E22" s="31" t="s">
        <v>38</v>
      </c>
      <c r="F22" s="32" t="s">
        <v>30</v>
      </c>
      <c r="G22" s="33">
        <v>19520</v>
      </c>
      <c r="H22" s="33">
        <v>19380</v>
      </c>
      <c r="I22" s="33">
        <v>19780</v>
      </c>
      <c r="J22" s="33">
        <v>19770</v>
      </c>
      <c r="K22" s="34">
        <v>5</v>
      </c>
      <c r="L22" s="41">
        <f>Tradelog!$E$7</f>
        <v>2.5</v>
      </c>
      <c r="M22" s="42">
        <f t="shared" si="0"/>
        <v>1247.5</v>
      </c>
      <c r="N22" s="43">
        <f t="shared" si="1"/>
        <v>1.7821428571428573</v>
      </c>
      <c r="O22" s="42">
        <f t="shared" si="2"/>
        <v>56625.000000000327</v>
      </c>
      <c r="P22" s="38" t="s">
        <v>90</v>
      </c>
      <c r="Q22" s="32" t="s">
        <v>32</v>
      </c>
      <c r="R22" s="38" t="s">
        <v>33</v>
      </c>
      <c r="S22" s="38" t="s">
        <v>34</v>
      </c>
      <c r="T22" s="39" t="s">
        <v>91</v>
      </c>
    </row>
    <row r="23" spans="2:20" ht="15" customHeight="1" x14ac:dyDescent="0.25">
      <c r="B23" s="28">
        <v>13</v>
      </c>
      <c r="C23" s="29" t="s">
        <v>92</v>
      </c>
      <c r="D23" s="30" t="s">
        <v>93</v>
      </c>
      <c r="E23" s="31" t="s">
        <v>94</v>
      </c>
      <c r="F23" s="44" t="s">
        <v>46</v>
      </c>
      <c r="G23" s="33">
        <v>72.400000000000006</v>
      </c>
      <c r="H23" s="33">
        <v>74.2</v>
      </c>
      <c r="I23" s="33">
        <v>68</v>
      </c>
      <c r="J23" s="33">
        <v>72.3</v>
      </c>
      <c r="K23" s="34">
        <v>100</v>
      </c>
      <c r="L23" s="35">
        <f>Tradelog!$E$7</f>
        <v>2.5</v>
      </c>
      <c r="M23" s="36">
        <f t="shared" si="0"/>
        <v>7.5000000000008527</v>
      </c>
      <c r="N23" s="37">
        <f t="shared" si="1"/>
        <v>4.1666666666671466E-2</v>
      </c>
      <c r="O23" s="36">
        <f t="shared" si="2"/>
        <v>56632.500000000327</v>
      </c>
      <c r="P23" s="38" t="s">
        <v>47</v>
      </c>
      <c r="Q23" s="44" t="s">
        <v>48</v>
      </c>
      <c r="R23" s="38" t="s">
        <v>40</v>
      </c>
      <c r="S23" s="38" t="s">
        <v>95</v>
      </c>
      <c r="T23" s="39" t="s">
        <v>96</v>
      </c>
    </row>
    <row r="24" spans="2:20" ht="15" customHeight="1" x14ac:dyDescent="0.25">
      <c r="B24" s="40">
        <v>14</v>
      </c>
      <c r="C24" s="29" t="s">
        <v>97</v>
      </c>
      <c r="D24" s="30" t="s">
        <v>98</v>
      </c>
      <c r="E24" s="31" t="s">
        <v>29</v>
      </c>
      <c r="F24" s="32" t="s">
        <v>30</v>
      </c>
      <c r="G24" s="33">
        <v>1.0780000000000001</v>
      </c>
      <c r="H24" s="33">
        <v>1.0740000000000001</v>
      </c>
      <c r="I24" s="33">
        <v>1.0860000000000001</v>
      </c>
      <c r="J24" s="33">
        <v>1.0854999999999999</v>
      </c>
      <c r="K24" s="34">
        <v>25000</v>
      </c>
      <c r="L24" s="41">
        <f>Tradelog!$E$7</f>
        <v>2.5</v>
      </c>
      <c r="M24" s="42">
        <f t="shared" si="0"/>
        <v>184.99999999999599</v>
      </c>
      <c r="N24" s="43">
        <f t="shared" si="1"/>
        <v>1.8499999999999583</v>
      </c>
      <c r="O24" s="42">
        <f t="shared" si="2"/>
        <v>56817.50000000032</v>
      </c>
      <c r="P24" s="38" t="s">
        <v>31</v>
      </c>
      <c r="Q24" s="32" t="s">
        <v>32</v>
      </c>
      <c r="R24" s="38" t="s">
        <v>33</v>
      </c>
      <c r="S24" s="38" t="s">
        <v>34</v>
      </c>
      <c r="T24" s="39" t="s">
        <v>99</v>
      </c>
    </row>
    <row r="25" spans="2:20" ht="15" customHeight="1" x14ac:dyDescent="0.25">
      <c r="B25" s="28">
        <v>15</v>
      </c>
      <c r="C25" s="29" t="s">
        <v>100</v>
      </c>
      <c r="D25" s="30" t="s">
        <v>101</v>
      </c>
      <c r="E25" s="31" t="s">
        <v>54</v>
      </c>
      <c r="F25" s="44" t="s">
        <v>46</v>
      </c>
      <c r="G25" s="33">
        <v>2680</v>
      </c>
      <c r="H25" s="33">
        <v>2710</v>
      </c>
      <c r="I25" s="33">
        <v>2620</v>
      </c>
      <c r="J25" s="33">
        <v>2670</v>
      </c>
      <c r="K25" s="34">
        <v>10</v>
      </c>
      <c r="L25" s="35">
        <f>Tradelog!$E$7</f>
        <v>2.5</v>
      </c>
      <c r="M25" s="36">
        <f t="shared" si="0"/>
        <v>97.5</v>
      </c>
      <c r="N25" s="37">
        <f t="shared" si="1"/>
        <v>0.32500000000000001</v>
      </c>
      <c r="O25" s="36">
        <f t="shared" si="2"/>
        <v>56915.00000000032</v>
      </c>
      <c r="P25" s="38" t="s">
        <v>47</v>
      </c>
      <c r="Q25" s="32" t="s">
        <v>32</v>
      </c>
      <c r="R25" s="38" t="s">
        <v>40</v>
      </c>
      <c r="S25" s="38" t="s">
        <v>50</v>
      </c>
      <c r="T25" s="39" t="s">
        <v>102</v>
      </c>
    </row>
    <row r="26" spans="2:20" ht="15" customHeight="1" x14ac:dyDescent="0.25">
      <c r="B26" s="40">
        <v>16</v>
      </c>
      <c r="C26" s="29" t="s">
        <v>103</v>
      </c>
      <c r="D26" s="30" t="s">
        <v>104</v>
      </c>
      <c r="E26" s="31" t="s">
        <v>38</v>
      </c>
      <c r="F26" s="32" t="s">
        <v>30</v>
      </c>
      <c r="G26" s="33">
        <v>19750</v>
      </c>
      <c r="H26" s="33">
        <v>19600</v>
      </c>
      <c r="I26" s="33">
        <v>20050</v>
      </c>
      <c r="J26" s="33">
        <v>20040</v>
      </c>
      <c r="K26" s="34">
        <v>5</v>
      </c>
      <c r="L26" s="41">
        <f>Tradelog!$E$7</f>
        <v>2.5</v>
      </c>
      <c r="M26" s="42">
        <f t="shared" si="0"/>
        <v>1447.5</v>
      </c>
      <c r="N26" s="43">
        <f t="shared" si="1"/>
        <v>1.93</v>
      </c>
      <c r="O26" s="42">
        <f t="shared" si="2"/>
        <v>58362.50000000032</v>
      </c>
      <c r="P26" s="38" t="s">
        <v>72</v>
      </c>
      <c r="Q26" s="32" t="s">
        <v>32</v>
      </c>
      <c r="R26" s="38" t="s">
        <v>33</v>
      </c>
      <c r="S26" s="38" t="s">
        <v>41</v>
      </c>
      <c r="T26" s="39" t="s">
        <v>105</v>
      </c>
    </row>
    <row r="27" spans="2:20" ht="15" customHeight="1" x14ac:dyDescent="0.25">
      <c r="B27" s="28">
        <v>17</v>
      </c>
      <c r="C27" s="29" t="s">
        <v>106</v>
      </c>
      <c r="D27" s="30" t="s">
        <v>107</v>
      </c>
      <c r="E27" s="31" t="s">
        <v>108</v>
      </c>
      <c r="F27" s="44" t="s">
        <v>46</v>
      </c>
      <c r="G27" s="33">
        <v>0.90200000000000002</v>
      </c>
      <c r="H27" s="33">
        <v>0.90800000000000003</v>
      </c>
      <c r="I27" s="33">
        <v>0.89200000000000002</v>
      </c>
      <c r="J27" s="33">
        <v>0.89300000000000002</v>
      </c>
      <c r="K27" s="34">
        <v>40000</v>
      </c>
      <c r="L27" s="35">
        <f>Tradelog!$E$7</f>
        <v>2.5</v>
      </c>
      <c r="M27" s="36">
        <f t="shared" si="0"/>
        <v>357.50000000000034</v>
      </c>
      <c r="N27" s="37">
        <f t="shared" si="1"/>
        <v>1.4895833333333333</v>
      </c>
      <c r="O27" s="36">
        <f t="shared" si="2"/>
        <v>58720.00000000032</v>
      </c>
      <c r="P27" s="38" t="s">
        <v>55</v>
      </c>
      <c r="Q27" s="32" t="s">
        <v>32</v>
      </c>
      <c r="R27" s="38" t="s">
        <v>49</v>
      </c>
      <c r="S27" s="38" t="s">
        <v>60</v>
      </c>
      <c r="T27" s="39" t="s">
        <v>109</v>
      </c>
    </row>
    <row r="28" spans="2:20" ht="15" customHeight="1" x14ac:dyDescent="0.25">
      <c r="B28" s="40">
        <v>18</v>
      </c>
      <c r="C28" s="29" t="s">
        <v>110</v>
      </c>
      <c r="D28" s="30" t="s">
        <v>111</v>
      </c>
      <c r="E28" s="31" t="s">
        <v>112</v>
      </c>
      <c r="F28" s="32" t="s">
        <v>30</v>
      </c>
      <c r="G28" s="33">
        <v>412</v>
      </c>
      <c r="H28" s="33">
        <v>400</v>
      </c>
      <c r="I28" s="33">
        <v>435</v>
      </c>
      <c r="J28" s="33">
        <v>434.5</v>
      </c>
      <c r="K28" s="34">
        <v>30</v>
      </c>
      <c r="L28" s="41">
        <f>Tradelog!$E$7</f>
        <v>2.5</v>
      </c>
      <c r="M28" s="42">
        <f t="shared" si="0"/>
        <v>672.5</v>
      </c>
      <c r="N28" s="43">
        <f t="shared" si="1"/>
        <v>1.8680555555555556</v>
      </c>
      <c r="O28" s="42">
        <f t="shared" si="2"/>
        <v>59392.50000000032</v>
      </c>
      <c r="P28" s="38" t="s">
        <v>39</v>
      </c>
      <c r="Q28" s="32" t="s">
        <v>32</v>
      </c>
      <c r="R28" s="38" t="s">
        <v>33</v>
      </c>
      <c r="S28" s="38" t="s">
        <v>34</v>
      </c>
      <c r="T28" s="39" t="s">
        <v>113</v>
      </c>
    </row>
    <row r="29" spans="2:20" ht="15" customHeight="1" x14ac:dyDescent="0.25">
      <c r="B29" s="28">
        <v>19</v>
      </c>
      <c r="C29" s="29" t="s">
        <v>114</v>
      </c>
      <c r="D29" s="30" t="s">
        <v>115</v>
      </c>
      <c r="E29" s="31" t="s">
        <v>71</v>
      </c>
      <c r="F29" s="44" t="s">
        <v>46</v>
      </c>
      <c r="G29" s="33">
        <v>85000</v>
      </c>
      <c r="H29" s="33">
        <v>88000</v>
      </c>
      <c r="I29" s="33">
        <v>78000</v>
      </c>
      <c r="J29" s="33">
        <v>86200</v>
      </c>
      <c r="K29" s="34">
        <v>0.5</v>
      </c>
      <c r="L29" s="35">
        <f>Tradelog!$E$7</f>
        <v>2.5</v>
      </c>
      <c r="M29" s="36">
        <f t="shared" si="0"/>
        <v>-602.5</v>
      </c>
      <c r="N29" s="37">
        <f t="shared" si="1"/>
        <v>-0.40166666666666667</v>
      </c>
      <c r="O29" s="36">
        <f t="shared" si="2"/>
        <v>58790.00000000032</v>
      </c>
      <c r="P29" s="38" t="s">
        <v>47</v>
      </c>
      <c r="Q29" s="32" t="s">
        <v>32</v>
      </c>
      <c r="R29" s="38" t="s">
        <v>49</v>
      </c>
      <c r="S29" s="38" t="s">
        <v>116</v>
      </c>
      <c r="T29" s="39" t="s">
        <v>117</v>
      </c>
    </row>
    <row r="30" spans="2:20" ht="15" customHeight="1" x14ac:dyDescent="0.25">
      <c r="B30" s="40">
        <v>20</v>
      </c>
      <c r="C30" s="29" t="s">
        <v>118</v>
      </c>
      <c r="D30" s="30" t="s">
        <v>119</v>
      </c>
      <c r="E30" s="31" t="s">
        <v>29</v>
      </c>
      <c r="F30" s="32" t="s">
        <v>30</v>
      </c>
      <c r="G30" s="33">
        <v>1.0900000000000001</v>
      </c>
      <c r="H30" s="33">
        <v>1.0860000000000001</v>
      </c>
      <c r="I30" s="33">
        <v>1.0980000000000001</v>
      </c>
      <c r="J30" s="33">
        <v>1.0978000000000001</v>
      </c>
      <c r="K30" s="34">
        <v>25000</v>
      </c>
      <c r="L30" s="41">
        <f>Tradelog!$E$7</f>
        <v>2.5</v>
      </c>
      <c r="M30" s="42">
        <f t="shared" si="0"/>
        <v>192.50000000000074</v>
      </c>
      <c r="N30" s="43">
        <f t="shared" si="1"/>
        <v>1.9250000000000058</v>
      </c>
      <c r="O30" s="42">
        <f t="shared" si="2"/>
        <v>58982.50000000032</v>
      </c>
      <c r="P30" s="38" t="s">
        <v>31</v>
      </c>
      <c r="Q30" s="32" t="s">
        <v>32</v>
      </c>
      <c r="R30" s="38" t="s">
        <v>33</v>
      </c>
      <c r="S30" s="38" t="s">
        <v>34</v>
      </c>
      <c r="T30" s="39" t="s">
        <v>120</v>
      </c>
    </row>
    <row r="31" spans="2:20" ht="15" customHeight="1" x14ac:dyDescent="0.25">
      <c r="B31" s="28">
        <v>21</v>
      </c>
      <c r="C31" s="45"/>
      <c r="D31" s="45"/>
      <c r="E31" s="45"/>
      <c r="F31" s="45"/>
      <c r="G31" s="45"/>
      <c r="H31" s="45"/>
      <c r="I31" s="45"/>
      <c r="J31" s="45"/>
      <c r="K31" s="45"/>
      <c r="L31" s="35">
        <f>Tradelog!$E$7</f>
        <v>2.5</v>
      </c>
      <c r="M31" s="36">
        <f t="shared" si="0"/>
        <v>-2.5</v>
      </c>
      <c r="N31" s="37">
        <f t="shared" si="1"/>
        <v>0</v>
      </c>
      <c r="O31" s="36">
        <f t="shared" si="2"/>
        <v>58980.00000000032</v>
      </c>
      <c r="P31" s="38"/>
      <c r="Q31" s="38"/>
      <c r="R31" s="38"/>
      <c r="S31" s="38"/>
      <c r="T31" s="39"/>
    </row>
    <row r="32" spans="2:20" ht="15" customHeight="1" x14ac:dyDescent="0.25">
      <c r="B32" s="40">
        <v>22</v>
      </c>
      <c r="C32" s="45"/>
      <c r="D32" s="45"/>
      <c r="E32" s="45"/>
      <c r="F32" s="45"/>
      <c r="G32" s="45"/>
      <c r="H32" s="45"/>
      <c r="I32" s="45"/>
      <c r="J32" s="45"/>
      <c r="K32" s="45"/>
      <c r="L32" s="41">
        <f>Tradelog!$E$7</f>
        <v>2.5</v>
      </c>
      <c r="M32" s="42">
        <f t="shared" si="0"/>
        <v>-2.5</v>
      </c>
      <c r="N32" s="43">
        <f t="shared" si="1"/>
        <v>0</v>
      </c>
      <c r="O32" s="42">
        <f t="shared" si="2"/>
        <v>58977.50000000032</v>
      </c>
      <c r="P32" s="38"/>
      <c r="Q32" s="38"/>
      <c r="R32" s="38"/>
      <c r="S32" s="38"/>
      <c r="T32" s="39"/>
    </row>
    <row r="33" spans="2:20" ht="15" customHeight="1" x14ac:dyDescent="0.25">
      <c r="B33" s="28">
        <v>23</v>
      </c>
      <c r="C33" s="45"/>
      <c r="D33" s="45"/>
      <c r="E33" s="45"/>
      <c r="F33" s="45"/>
      <c r="G33" s="45"/>
      <c r="H33" s="45"/>
      <c r="I33" s="45"/>
      <c r="J33" s="45"/>
      <c r="K33" s="45"/>
      <c r="L33" s="35">
        <f>Tradelog!$E$7</f>
        <v>2.5</v>
      </c>
      <c r="M33" s="36">
        <f t="shared" si="0"/>
        <v>-2.5</v>
      </c>
      <c r="N33" s="37">
        <f t="shared" si="1"/>
        <v>0</v>
      </c>
      <c r="O33" s="36">
        <f t="shared" si="2"/>
        <v>58975.00000000032</v>
      </c>
      <c r="P33" s="38"/>
      <c r="Q33" s="38"/>
      <c r="R33" s="38"/>
      <c r="S33" s="38"/>
      <c r="T33" s="39"/>
    </row>
    <row r="34" spans="2:20" ht="15" customHeight="1" x14ac:dyDescent="0.25">
      <c r="B34" s="40">
        <v>24</v>
      </c>
      <c r="C34" s="45"/>
      <c r="D34" s="45"/>
      <c r="E34" s="45"/>
      <c r="F34" s="45"/>
      <c r="G34" s="45"/>
      <c r="H34" s="45"/>
      <c r="I34" s="45"/>
      <c r="J34" s="45"/>
      <c r="K34" s="45"/>
      <c r="L34" s="41">
        <f>Tradelog!$E$7</f>
        <v>2.5</v>
      </c>
      <c r="M34" s="42">
        <f t="shared" si="0"/>
        <v>-2.5</v>
      </c>
      <c r="N34" s="43">
        <f t="shared" si="1"/>
        <v>0</v>
      </c>
      <c r="O34" s="42">
        <f t="shared" si="2"/>
        <v>58972.50000000032</v>
      </c>
      <c r="P34" s="38"/>
      <c r="Q34" s="38"/>
      <c r="R34" s="38"/>
      <c r="S34" s="38"/>
      <c r="T34" s="39"/>
    </row>
    <row r="35" spans="2:20" ht="15" customHeight="1" x14ac:dyDescent="0.25">
      <c r="B35" s="28">
        <v>25</v>
      </c>
      <c r="C35" s="45"/>
      <c r="D35" s="45"/>
      <c r="E35" s="45"/>
      <c r="F35" s="45"/>
      <c r="G35" s="45"/>
      <c r="H35" s="45"/>
      <c r="I35" s="45"/>
      <c r="J35" s="45"/>
      <c r="K35" s="45"/>
      <c r="L35" s="35">
        <f>Tradelog!$E$7</f>
        <v>2.5</v>
      </c>
      <c r="M35" s="36">
        <f t="shared" si="0"/>
        <v>-2.5</v>
      </c>
      <c r="N35" s="37">
        <f t="shared" si="1"/>
        <v>0</v>
      </c>
      <c r="O35" s="36">
        <f t="shared" si="2"/>
        <v>58970.00000000032</v>
      </c>
      <c r="P35" s="38"/>
      <c r="Q35" s="38"/>
      <c r="R35" s="38"/>
      <c r="S35" s="38"/>
      <c r="T35" s="39"/>
    </row>
    <row r="36" spans="2:20" ht="15" customHeight="1" x14ac:dyDescent="0.25"/>
    <row r="37" spans="2:20" ht="15" customHeight="1" x14ac:dyDescent="0.25"/>
    <row r="38" spans="2:20" ht="15" customHeight="1" x14ac:dyDescent="0.25"/>
    <row r="39" spans="2:20" ht="15" customHeight="1" x14ac:dyDescent="0.25"/>
    <row r="40" spans="2:20" ht="15" customHeight="1" x14ac:dyDescent="0.25"/>
    <row r="41" spans="2:20" ht="15" customHeight="1" x14ac:dyDescent="0.25"/>
    <row r="42" spans="2:20" ht="15" customHeight="1" x14ac:dyDescent="0.25"/>
    <row r="43" spans="2:20" ht="15" customHeight="1" x14ac:dyDescent="0.25"/>
    <row r="44" spans="2:20" ht="15" customHeight="1" x14ac:dyDescent="0.25"/>
    <row r="45" spans="2:20" ht="15" customHeight="1" x14ac:dyDescent="0.25"/>
    <row r="46" spans="2:20" ht="15" customHeight="1" x14ac:dyDescent="0.25"/>
    <row r="47" spans="2:20" ht="15" customHeight="1" x14ac:dyDescent="0.25"/>
    <row r="48" spans="2:2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</sheetData>
  <mergeCells count="8">
    <mergeCell ref="B5:D5"/>
    <mergeCell ref="B6:D6"/>
    <mergeCell ref="B7:D7"/>
    <mergeCell ref="B8:D8"/>
    <mergeCell ref="B1:T1"/>
    <mergeCell ref="B2:T2"/>
    <mergeCell ref="B4:H4"/>
    <mergeCell ref="I4:T4"/>
  </mergeCells>
  <dataValidations count="4">
    <dataValidation type="list" allowBlank="1" sqref="F11:F35" xr:uid="{00000000-0002-0000-0000-000000000000}">
      <formula1>"Long,Short"</formula1>
      <formula2>0</formula2>
    </dataValidation>
    <dataValidation type="list" allowBlank="1" sqref="Q11:Q35" xr:uid="{00000000-0002-0000-0000-000001000000}">
      <formula1>"Ja,Nein"</formula1>
      <formula2>0</formula2>
    </dataValidation>
    <dataValidation type="list" allowBlank="1" sqref="P11:P35" xr:uid="{00000000-0002-0000-0000-000002000000}">
      <formula1>"Pullback-Long,Breakout,Reversal,Trend-Follow,Momentum,Kalender-Effect,Range,Sonstiges"</formula1>
      <formula2>0</formula2>
    </dataValidation>
    <dataValidation type="list" allowBlank="1" sqref="R11:R35" xr:uid="{00000000-0002-0000-0000-000003000000}">
      <formula1>"Aufwärtstrend,Abwärtstrend,Seitwärts,Hoch-Volatil"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766E"/>
  </sheetPr>
  <dimension ref="B1:G119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7" width="16" customWidth="1"/>
    <col min="8" max="8" width="2" customWidth="1"/>
  </cols>
  <sheetData>
    <row r="1" spans="2:7" ht="33.75" customHeight="1" x14ac:dyDescent="0.25">
      <c r="B1" s="11" t="s">
        <v>121</v>
      </c>
      <c r="C1" s="11"/>
      <c r="D1" s="11"/>
      <c r="E1" s="11"/>
      <c r="F1" s="11"/>
      <c r="G1" s="11"/>
    </row>
    <row r="2" spans="2:7" ht="15.75" customHeight="1" x14ac:dyDescent="0.25">
      <c r="B2" s="10" t="s">
        <v>122</v>
      </c>
      <c r="C2" s="10"/>
      <c r="D2" s="10"/>
      <c r="E2" s="10"/>
      <c r="F2" s="10"/>
      <c r="G2" s="10"/>
    </row>
    <row r="3" spans="2:7" ht="15.75" customHeight="1" x14ac:dyDescent="0.25"/>
    <row r="4" spans="2:7" ht="15.75" customHeight="1" x14ac:dyDescent="0.25">
      <c r="B4" s="12" t="s">
        <v>123</v>
      </c>
      <c r="C4" s="12"/>
      <c r="D4" s="12"/>
      <c r="E4" s="12"/>
      <c r="F4" s="12"/>
      <c r="G4" s="12"/>
    </row>
    <row r="5" spans="2:7" ht="15.75" customHeight="1" x14ac:dyDescent="0.25">
      <c r="B5" s="46" t="s">
        <v>124</v>
      </c>
      <c r="C5" s="47">
        <f>COUNTA(Tradelog!C11:C35)</f>
        <v>20</v>
      </c>
      <c r="D5" s="9"/>
      <c r="E5" s="9"/>
      <c r="F5" s="9"/>
      <c r="G5" s="9"/>
    </row>
    <row r="6" spans="2:7" ht="15.75" customHeight="1" x14ac:dyDescent="0.25">
      <c r="B6" s="48" t="s">
        <v>125</v>
      </c>
      <c r="C6" s="49">
        <f>COUNTIF(Tradelog!M11:M35,"&gt;0")</f>
        <v>17</v>
      </c>
      <c r="D6" s="9"/>
      <c r="E6" s="9"/>
      <c r="F6" s="9"/>
      <c r="G6" s="9"/>
    </row>
    <row r="7" spans="2:7" ht="15.75" customHeight="1" x14ac:dyDescent="0.25">
      <c r="B7" s="46" t="s">
        <v>126</v>
      </c>
      <c r="C7" s="47">
        <f>COUNTIF(Tradelog!M11:M35,"&lt;0")</f>
        <v>8</v>
      </c>
      <c r="D7" s="9"/>
      <c r="E7" s="9"/>
      <c r="F7" s="9"/>
      <c r="G7" s="9"/>
    </row>
    <row r="8" spans="2:7" ht="15.75" customHeight="1" x14ac:dyDescent="0.25">
      <c r="B8" s="48" t="s">
        <v>127</v>
      </c>
      <c r="C8" s="50">
        <f>IFERROR(COUNTIF(Tradelog!M11:M35,"&gt;0")/COUNTA(Tradelog!C11:C35),0)</f>
        <v>0.85</v>
      </c>
      <c r="D8" s="9" t="s">
        <v>128</v>
      </c>
      <c r="E8" s="9"/>
      <c r="F8" s="9"/>
      <c r="G8" s="9"/>
    </row>
    <row r="9" spans="2:7" ht="15.75" customHeight="1" x14ac:dyDescent="0.25">
      <c r="B9" s="46" t="s">
        <v>129</v>
      </c>
      <c r="C9" s="36">
        <f>IFERROR(SUM(Tradelog!M11:M35),0)</f>
        <v>48970.00000000032</v>
      </c>
      <c r="D9" s="9"/>
      <c r="E9" s="9"/>
      <c r="F9" s="9"/>
      <c r="G9" s="9"/>
    </row>
    <row r="10" spans="2:7" ht="15.75" customHeight="1" x14ac:dyDescent="0.25">
      <c r="B10" s="48" t="s">
        <v>130</v>
      </c>
      <c r="C10" s="42">
        <f>IFERROR(AVERAGEIF(Tradelog!M11:M35,"&gt;0"),0)</f>
        <v>2936.029411764725</v>
      </c>
      <c r="D10" s="9"/>
      <c r="E10" s="9"/>
      <c r="F10" s="9"/>
      <c r="G10" s="9"/>
    </row>
    <row r="11" spans="2:7" ht="15.75" customHeight="1" x14ac:dyDescent="0.25">
      <c r="B11" s="46" t="s">
        <v>131</v>
      </c>
      <c r="C11" s="36">
        <f>IFERROR(AVERAGEIF(Tradelog!M11:M35,"&lt;0"),0)</f>
        <v>-117.81250000000081</v>
      </c>
      <c r="D11" s="9"/>
      <c r="E11" s="9"/>
      <c r="F11" s="9"/>
      <c r="G11" s="9"/>
    </row>
    <row r="12" spans="2:7" ht="15.75" customHeight="1" x14ac:dyDescent="0.25">
      <c r="B12" s="48" t="s">
        <v>132</v>
      </c>
      <c r="C12" s="51">
        <f>IFERROR(ABS(AVERAGEIF(Tradelog!M11:M35,"&gt;0")/AVERAGEIF(Tradelog!M11:M35,"&lt;0")),0)</f>
        <v>24.921204556092984</v>
      </c>
      <c r="D12" s="9" t="s">
        <v>133</v>
      </c>
      <c r="E12" s="9"/>
      <c r="F12" s="9"/>
      <c r="G12" s="9"/>
    </row>
    <row r="13" spans="2:7" ht="15.75" customHeight="1" x14ac:dyDescent="0.25">
      <c r="B13" s="46" t="s">
        <v>134</v>
      </c>
      <c r="C13" s="52">
        <f>IFERROR(SUMIF(Tradelog!M11:M35,"&gt;0")/ABS(SUMIF(Tradelog!M11:M35,"&lt;0")),0)</f>
        <v>52.957559681697596</v>
      </c>
      <c r="D13" s="9" t="s">
        <v>135</v>
      </c>
      <c r="E13" s="9"/>
      <c r="F13" s="9"/>
      <c r="G13" s="9"/>
    </row>
    <row r="14" spans="2:7" ht="15.75" customHeight="1" x14ac:dyDescent="0.25">
      <c r="B14" s="48" t="s">
        <v>136</v>
      </c>
      <c r="C14" s="42">
        <f>IFERROR(AVERAGE(Tradelog!M11:M35),0)</f>
        <v>1958.8000000000129</v>
      </c>
      <c r="D14" s="9" t="s">
        <v>137</v>
      </c>
      <c r="E14" s="9"/>
      <c r="F14" s="9"/>
      <c r="G14" s="9"/>
    </row>
    <row r="15" spans="2:7" ht="15.75" customHeight="1" x14ac:dyDescent="0.25">
      <c r="B15" s="46" t="s">
        <v>138</v>
      </c>
      <c r="C15" s="37">
        <f>IFERROR(AVERAGE(Tradelog!N11:N35),0)</f>
        <v>1.0314348887223863</v>
      </c>
      <c r="D15" s="9" t="s">
        <v>139</v>
      </c>
      <c r="E15" s="9"/>
      <c r="F15" s="9"/>
      <c r="G15" s="9"/>
    </row>
    <row r="16" spans="2:7" ht="15.75" customHeight="1" x14ac:dyDescent="0.25">
      <c r="B16" s="48" t="s">
        <v>140</v>
      </c>
      <c r="C16" s="50">
        <f>IFERROR(COUNTIF(Tradelog!Q11:Q35,"Ja")/COUNTA(Tradelog!C11:C35),0)</f>
        <v>0.85</v>
      </c>
      <c r="D16" s="9" t="s">
        <v>141</v>
      </c>
      <c r="E16" s="9"/>
      <c r="F16" s="9"/>
      <c r="G16" s="9"/>
    </row>
    <row r="17" spans="2:7" ht="15.75" customHeight="1" x14ac:dyDescent="0.25"/>
    <row r="18" spans="2:7" ht="15.75" customHeight="1" x14ac:dyDescent="0.25">
      <c r="B18" s="8" t="s">
        <v>142</v>
      </c>
      <c r="C18" s="8"/>
      <c r="D18" s="8"/>
      <c r="E18" s="8"/>
      <c r="F18" s="8"/>
      <c r="G18" s="8"/>
    </row>
    <row r="19" spans="2:7" ht="15.75" customHeight="1" x14ac:dyDescent="0.25">
      <c r="B19" s="46" t="s">
        <v>143</v>
      </c>
      <c r="C19" s="36">
        <f>Tradelog!O30</f>
        <v>58982.50000000032</v>
      </c>
      <c r="D19" s="7"/>
      <c r="E19" s="7"/>
      <c r="F19" s="7"/>
      <c r="G19" s="7"/>
    </row>
    <row r="20" spans="2:7" ht="15.75" customHeight="1" x14ac:dyDescent="0.25">
      <c r="B20" s="48" t="s">
        <v>3</v>
      </c>
      <c r="C20" s="42">
        <f>Tradelog!E5</f>
        <v>10000</v>
      </c>
      <c r="D20" s="7"/>
      <c r="E20" s="7"/>
      <c r="F20" s="7"/>
      <c r="G20" s="7"/>
    </row>
    <row r="21" spans="2:7" ht="15.75" customHeight="1" x14ac:dyDescent="0.25">
      <c r="B21" s="46" t="s">
        <v>144</v>
      </c>
      <c r="C21" s="53">
        <f>IFERROR((C19-C20)/C20,0)</f>
        <v>4.898250000000032</v>
      </c>
      <c r="D21" s="7"/>
      <c r="E21" s="7"/>
      <c r="F21" s="7"/>
      <c r="G21" s="7"/>
    </row>
    <row r="22" spans="2:7" ht="15.75" customHeight="1" x14ac:dyDescent="0.25">
      <c r="B22" s="48" t="s">
        <v>145</v>
      </c>
      <c r="C22" s="42">
        <f>IFERROR(MAX(Tradelog!M11:M35),0)</f>
        <v>38997.500000000342</v>
      </c>
      <c r="D22" s="7"/>
      <c r="E22" s="7"/>
      <c r="F22" s="7"/>
      <c r="G22" s="7"/>
    </row>
    <row r="23" spans="2:7" ht="15.75" customHeight="1" x14ac:dyDescent="0.25">
      <c r="B23" s="46" t="s">
        <v>146</v>
      </c>
      <c r="C23" s="36">
        <f>IFERROR(MIN(Tradelog!M11:M35),0)</f>
        <v>-602.5</v>
      </c>
      <c r="D23" s="7"/>
      <c r="E23" s="7"/>
      <c r="F23" s="7"/>
      <c r="G23" s="7"/>
    </row>
    <row r="24" spans="2:7" ht="15.75" customHeight="1" x14ac:dyDescent="0.25">
      <c r="B24" s="48" t="s">
        <v>147</v>
      </c>
      <c r="C24" s="42">
        <f>IFERROR(MAX(Tradelog!O11:O35,Tradelog!E5),0)</f>
        <v>59392.50000000032</v>
      </c>
      <c r="D24" s="7"/>
      <c r="E24" s="7"/>
      <c r="F24" s="7"/>
      <c r="G24" s="7"/>
    </row>
    <row r="25" spans="2:7" ht="15.75" customHeight="1" x14ac:dyDescent="0.25">
      <c r="B25" s="46" t="s">
        <v>148</v>
      </c>
      <c r="C25" s="36">
        <f>IFERROR(MIN(Tradelog!O11:O35),0)</f>
        <v>10134.999999999996</v>
      </c>
      <c r="D25" s="7"/>
      <c r="E25" s="7"/>
      <c r="F25" s="7"/>
      <c r="G25" s="7"/>
    </row>
    <row r="26" spans="2:7" ht="15.75" customHeight="1" x14ac:dyDescent="0.25">
      <c r="B26" s="48" t="s">
        <v>149</v>
      </c>
      <c r="C26" s="42">
        <f>IFERROR(C24-C25,0)</f>
        <v>49257.50000000032</v>
      </c>
      <c r="D26" s="7"/>
      <c r="E26" s="7"/>
      <c r="F26" s="7"/>
      <c r="G26" s="7"/>
    </row>
    <row r="27" spans="2:7" ht="15.75" customHeight="1" x14ac:dyDescent="0.25">
      <c r="B27" s="46" t="s">
        <v>150</v>
      </c>
      <c r="C27" s="53">
        <f>IFERROR(C26/C24,0)</f>
        <v>0.8293555583617469</v>
      </c>
      <c r="D27" s="7"/>
      <c r="E27" s="7"/>
      <c r="F27" s="7"/>
      <c r="G27" s="7"/>
    </row>
    <row r="28" spans="2:7" ht="15.75" customHeight="1" x14ac:dyDescent="0.25">
      <c r="B28" s="48" t="s">
        <v>151</v>
      </c>
      <c r="C28" s="42">
        <f>Tradelog!E5*Tradelog!E6</f>
        <v>100</v>
      </c>
      <c r="D28" s="7"/>
      <c r="E28" s="7"/>
      <c r="F28" s="7"/>
      <c r="G28" s="7"/>
    </row>
    <row r="29" spans="2:7" ht="15.75" customHeight="1" x14ac:dyDescent="0.25"/>
    <row r="30" spans="2:7" ht="15.75" customHeight="1" x14ac:dyDescent="0.25">
      <c r="B30" s="6" t="s">
        <v>152</v>
      </c>
      <c r="C30" s="6"/>
      <c r="D30" s="6"/>
      <c r="E30" s="6"/>
      <c r="F30" s="6"/>
      <c r="G30" s="6"/>
    </row>
    <row r="31" spans="2:7" ht="15.75" customHeight="1" x14ac:dyDescent="0.25">
      <c r="B31" s="54" t="s">
        <v>22</v>
      </c>
      <c r="C31" s="54" t="s">
        <v>124</v>
      </c>
      <c r="D31" s="54" t="s">
        <v>153</v>
      </c>
      <c r="E31" s="54" t="s">
        <v>154</v>
      </c>
      <c r="F31" s="54" t="s">
        <v>155</v>
      </c>
      <c r="G31" s="54" t="s">
        <v>138</v>
      </c>
    </row>
    <row r="32" spans="2:7" ht="15.75" customHeight="1" x14ac:dyDescent="0.25">
      <c r="B32" s="55" t="s">
        <v>31</v>
      </c>
      <c r="C32" s="56">
        <f>COUNTIF(Tradelog!P11:P35,"Pullback-Long")</f>
        <v>4</v>
      </c>
      <c r="D32" s="56">
        <f>SUMPRODUCT((Tradelog!P11:P35="Pullback-Long")*(Tradelog!M11:M35&gt;0))</f>
        <v>3</v>
      </c>
      <c r="E32" s="57">
        <f t="shared" ref="E32:E37" si="0">IFERROR(D32/C32,0)</f>
        <v>0.75</v>
      </c>
      <c r="F32" s="58">
        <f>IFERROR(AVERAGEIF(Tradelog!P11:P35,"Pullback-Long",Tradelog!M11:M35),0)</f>
        <v>111.87499999999712</v>
      </c>
      <c r="G32" s="59">
        <f>IFERROR(AVERAGEIF(Tradelog!P11:P35,"Pullback-Long",Tradelog!N11:N35),0)</f>
        <v>1.1187499999999704</v>
      </c>
    </row>
    <row r="33" spans="2:7" ht="15.75" customHeight="1" x14ac:dyDescent="0.25">
      <c r="B33" s="48" t="s">
        <v>39</v>
      </c>
      <c r="C33" s="60">
        <f>COUNTIF(Tradelog!P11:P35,"Breakout")</f>
        <v>4</v>
      </c>
      <c r="D33" s="60">
        <f>SUMPRODUCT((Tradelog!P11:P35="Breakout")*(Tradelog!M11:M35&gt;0))</f>
        <v>4</v>
      </c>
      <c r="E33" s="61">
        <f t="shared" si="0"/>
        <v>1</v>
      </c>
      <c r="F33" s="41">
        <f>IFERROR(AVERAGEIF(Tradelog!P11:P35,"Breakout",Tradelog!M11:M35),0)</f>
        <v>788.75000000000011</v>
      </c>
      <c r="G33" s="62">
        <f>IFERROR(AVERAGEIF(Tradelog!P11:P35,"Breakout",Tradelog!N11:N35),0)</f>
        <v>1.9533920940170972</v>
      </c>
    </row>
    <row r="34" spans="2:7" ht="15.75" customHeight="1" x14ac:dyDescent="0.25">
      <c r="B34" s="55" t="s">
        <v>47</v>
      </c>
      <c r="C34" s="56">
        <f>COUNTIF(Tradelog!P11:P35,"Reversal")</f>
        <v>5</v>
      </c>
      <c r="D34" s="56">
        <f>SUMPRODUCT((Tradelog!P11:P35="Reversal")*(Tradelog!M11:M35&gt;0))</f>
        <v>3</v>
      </c>
      <c r="E34" s="57">
        <f t="shared" si="0"/>
        <v>0.6</v>
      </c>
      <c r="F34" s="58">
        <f>IFERROR(AVERAGEIF(Tradelog!P11:P35,"Reversal",Tradelog!M11:M35),0)</f>
        <v>7647.5000000000682</v>
      </c>
      <c r="G34" s="59">
        <f>IFERROR(AVERAGEIF(Tradelog!P11:P35,"Reversal",Tradelog!N11:N35),0)</f>
        <v>0.15888825757576752</v>
      </c>
    </row>
    <row r="35" spans="2:7" ht="15.75" customHeight="1" x14ac:dyDescent="0.25">
      <c r="B35" s="48" t="s">
        <v>55</v>
      </c>
      <c r="C35" s="60">
        <f>COUNTIF(Tradelog!P11:P35,"Trend-Follow")</f>
        <v>3</v>
      </c>
      <c r="D35" s="60">
        <f>SUMPRODUCT((Tradelog!P11:P35="Trend-Follow")*(Tradelog!M11:M35&gt;0))</f>
        <v>3</v>
      </c>
      <c r="E35" s="61">
        <f t="shared" si="0"/>
        <v>1</v>
      </c>
      <c r="F35" s="41">
        <f>IFERROR(AVERAGEIF(Tradelog!P11:P35,"Trend-Follow",Tradelog!M11:M35),0)</f>
        <v>360.83333333333348</v>
      </c>
      <c r="G35" s="62">
        <f>IFERROR(AVERAGEIF(Tradelog!P11:P35,"Trend-Follow",Tradelog!N11:N35),0)</f>
        <v>1.5890277777777777</v>
      </c>
    </row>
    <row r="36" spans="2:7" ht="15.75" customHeight="1" x14ac:dyDescent="0.25">
      <c r="B36" s="55" t="s">
        <v>72</v>
      </c>
      <c r="C36" s="56">
        <f>COUNTIF(Tradelog!P11:P35,"Momentum")</f>
        <v>3</v>
      </c>
      <c r="D36" s="56">
        <f>SUMPRODUCT((Tradelog!P11:P35="Momentum")*(Tradelog!M11:M35&gt;0))</f>
        <v>3</v>
      </c>
      <c r="E36" s="57">
        <f t="shared" si="0"/>
        <v>1</v>
      </c>
      <c r="F36" s="58">
        <f>IFERROR(AVERAGEIF(Tradelog!P11:P35,"Momentum",Tradelog!M11:M35),0)</f>
        <v>1604.1666666666667</v>
      </c>
      <c r="G36" s="59">
        <f>IFERROR(AVERAGEIF(Tradelog!P11:P35,"Momentum",Tradelog!N11:N35),0)</f>
        <v>2.0512121212121213</v>
      </c>
    </row>
    <row r="37" spans="2:7" ht="15.75" customHeight="1" x14ac:dyDescent="0.25">
      <c r="B37" s="48" t="s">
        <v>90</v>
      </c>
      <c r="C37" s="60">
        <f>COUNTIF(Tradelog!P11:P35,"Kalender-Effect")</f>
        <v>1</v>
      </c>
      <c r="D37" s="60">
        <f>SUMPRODUCT((Tradelog!P11:P35="Kalender-Effect")*(Tradelog!M11:M35&gt;0))</f>
        <v>1</v>
      </c>
      <c r="E37" s="61">
        <f t="shared" si="0"/>
        <v>1</v>
      </c>
      <c r="F37" s="41">
        <f>IFERROR(AVERAGEIF(Tradelog!P11:P35,"Kalender-Effect",Tradelog!M11:M35),0)</f>
        <v>1247.5</v>
      </c>
      <c r="G37" s="62">
        <f>IFERROR(AVERAGEIF(Tradelog!P11:P35,"Kalender-Effect",Tradelog!N11:N35),0)</f>
        <v>1.7821428571428573</v>
      </c>
    </row>
    <row r="38" spans="2:7" ht="15.75" customHeight="1" x14ac:dyDescent="0.25"/>
    <row r="39" spans="2:7" ht="15.75" customHeight="1" x14ac:dyDescent="0.25">
      <c r="B39" s="8" t="s">
        <v>156</v>
      </c>
      <c r="C39" s="8"/>
      <c r="D39" s="8"/>
      <c r="E39" s="8"/>
      <c r="F39" s="8"/>
      <c r="G39" s="8"/>
    </row>
    <row r="40" spans="2:7" ht="15.75" customHeight="1" x14ac:dyDescent="0.25">
      <c r="B40" s="63" t="s">
        <v>12</v>
      </c>
      <c r="C40" s="63" t="s">
        <v>157</v>
      </c>
      <c r="D40" s="63" t="s">
        <v>153</v>
      </c>
      <c r="E40" s="63" t="s">
        <v>154</v>
      </c>
      <c r="F40" s="63" t="s">
        <v>129</v>
      </c>
      <c r="G40" s="63" t="s">
        <v>138</v>
      </c>
    </row>
    <row r="41" spans="2:7" ht="15.75" customHeight="1" x14ac:dyDescent="0.25">
      <c r="B41" s="32" t="s">
        <v>30</v>
      </c>
      <c r="C41" s="64">
        <f>COUNTIF(Tradelog!F11:F35,"Long")</f>
        <v>12</v>
      </c>
      <c r="D41" s="64">
        <f>SUMPRODUCT((Tradelog!F11:F35="Long")*(Tradelog!M11:M35&gt;0))</f>
        <v>11</v>
      </c>
      <c r="E41" s="65">
        <f>IFERROR(D41/C41,0)</f>
        <v>0.91666666666666663</v>
      </c>
      <c r="F41" s="66">
        <f>IFERROR(SUMIF(Tradelog!F11:F35,"Long",Tradelog!M11:M35),0)</f>
        <v>8692.4999999999891</v>
      </c>
      <c r="G41" s="67">
        <f>IFERROR(AVERAGEIF(Tradelog!F11:F35,"Long",Tradelog!N11:N35),0)</f>
        <v>1.6555011886261799</v>
      </c>
    </row>
    <row r="42" spans="2:7" ht="15.75" customHeight="1" x14ac:dyDescent="0.25">
      <c r="B42" s="44" t="s">
        <v>46</v>
      </c>
      <c r="C42" s="68">
        <f>COUNTIF(Tradelog!F11:F35,"Short")</f>
        <v>8</v>
      </c>
      <c r="D42" s="68">
        <f>SUMPRODUCT((Tradelog!F11:F35="Short")*(Tradelog!M11:M35&gt;0))</f>
        <v>6</v>
      </c>
      <c r="E42" s="69">
        <f>IFERROR(D42/C42,0)</f>
        <v>0.75</v>
      </c>
      <c r="F42" s="70">
        <f>IFERROR(SUMIF(Tradelog!F11:F35,"Short",Tradelog!M11:M35),0)</f>
        <v>40290.000000000342</v>
      </c>
      <c r="G42" s="71">
        <f>IFERROR(AVERAGEIF(Tradelog!F11:F35,"Short",Tradelog!N11:N35),0)</f>
        <v>0.73998224431818793</v>
      </c>
    </row>
    <row r="43" spans="2:7" ht="15.75" customHeight="1" x14ac:dyDescent="0.25"/>
    <row r="44" spans="2:7" ht="15.75" customHeight="1" x14ac:dyDescent="0.25">
      <c r="B44" s="12" t="s">
        <v>158</v>
      </c>
      <c r="C44" s="12"/>
      <c r="D44" s="12"/>
      <c r="E44" s="12"/>
      <c r="F44" s="12"/>
      <c r="G44" s="12"/>
    </row>
    <row r="45" spans="2:7" ht="15.75" customHeight="1" x14ac:dyDescent="0.25">
      <c r="B45" s="20" t="s">
        <v>159</v>
      </c>
      <c r="C45" s="20" t="s">
        <v>157</v>
      </c>
      <c r="D45" s="20" t="s">
        <v>160</v>
      </c>
      <c r="E45" s="20" t="s">
        <v>154</v>
      </c>
      <c r="F45" s="20" t="s">
        <v>138</v>
      </c>
      <c r="G45" s="20" t="s">
        <v>161</v>
      </c>
    </row>
    <row r="46" spans="2:7" ht="15.75" customHeight="1" x14ac:dyDescent="0.25">
      <c r="B46" s="46" t="s">
        <v>162</v>
      </c>
      <c r="C46" s="72">
        <f>SUMPRODUCT((MID(Tradelog!C11:C30,4,2)="01")*(Tradelog!C11:C30&lt;&gt;""))</f>
        <v>8</v>
      </c>
      <c r="D46" s="36">
        <f>SUMPRODUCT((MID(Tradelog!C11:C30,4,2)="01")*(Tradelog!C11:C30&lt;&gt;"")*Tradelog!M11:M30)</f>
        <v>43675.000000000327</v>
      </c>
      <c r="E46" s="73">
        <f>IFERROR((SUMPRODUCT((MID(Tradelog!C11:C30,4,2)="01")*(Tradelog!C11:C30&lt;&gt;"")*(Tradelog!M11:M30&gt;0)))/C46,0)</f>
        <v>0.75</v>
      </c>
      <c r="F46" s="74">
        <f>IFERROR(SUMPRODUCT((MID(Tradelog!C11:C30,4,2)="01")*(Tradelog!C11:C30&lt;&gt;"")*Tradelog!N11:N30)/C46,0)</f>
        <v>1.131907142336825</v>
      </c>
      <c r="G46" s="36">
        <f>D46</f>
        <v>43675.000000000327</v>
      </c>
    </row>
    <row r="47" spans="2:7" ht="15.75" customHeight="1" x14ac:dyDescent="0.25">
      <c r="B47" s="48" t="s">
        <v>163</v>
      </c>
      <c r="C47" s="60">
        <f>SUMPRODUCT((MID(Tradelog!C11:C30,4,2)="02")*(Tradelog!C11:C30&lt;&gt;""))</f>
        <v>7</v>
      </c>
      <c r="D47" s="42">
        <f>SUMPRODUCT((MID(Tradelog!C11:C30,4,2)="02")*(Tradelog!C11:C30&lt;&gt;"")*Tradelog!M11:M30)</f>
        <v>3239.9999999999977</v>
      </c>
      <c r="E47" s="75">
        <f>IFERROR((SUMPRODUCT((MID(Tradelog!C11:C30,4,2)="02")*(Tradelog!C11:C30&lt;&gt;"")*(Tradelog!M11:M30&gt;0)))/C47,0)</f>
        <v>1</v>
      </c>
      <c r="F47" s="62">
        <f>IFERROR(SUMPRODUCT((MID(Tradelog!C11:C30,4,2)="02")*(Tradelog!C11:C30&lt;&gt;"")*Tradelog!N11:N30)/C47,0)</f>
        <v>1.4170918367346903</v>
      </c>
      <c r="G47" s="42">
        <f t="shared" ref="G47:G57" si="1">G46+D47</f>
        <v>46915.000000000327</v>
      </c>
    </row>
    <row r="48" spans="2:7" ht="15.75" customHeight="1" x14ac:dyDescent="0.25">
      <c r="B48" s="46" t="s">
        <v>164</v>
      </c>
      <c r="C48" s="72">
        <f>SUMPRODUCT((MID(Tradelog!C11:C30,4,2)="03")*(Tradelog!C11:C30&lt;&gt;""))</f>
        <v>5</v>
      </c>
      <c r="D48" s="36">
        <f>SUMPRODUCT((MID(Tradelog!C11:C30,4,2)="03")*(Tradelog!C11:C30&lt;&gt;"")*Tradelog!M11:M30)</f>
        <v>2067.5000000000014</v>
      </c>
      <c r="E48" s="73">
        <f>IFERROR((SUMPRODUCT((MID(Tradelog!C11:C30,4,2)="03")*(Tradelog!C11:C30&lt;&gt;"")*(Tradelog!M11:M30&gt;0)))/C48,0)</f>
        <v>0.8</v>
      </c>
      <c r="F48" s="74">
        <f>IFERROR(SUMPRODUCT((MID(Tradelog!C11:C30,4,2)="03")*(Tradelog!C11:C30&lt;&gt;"")*Tradelog!N11:N30)/C48,0)</f>
        <v>1.3621944444444458</v>
      </c>
      <c r="G48" s="36">
        <f t="shared" si="1"/>
        <v>48982.500000000327</v>
      </c>
    </row>
    <row r="49" spans="2:7" ht="15.75" customHeight="1" x14ac:dyDescent="0.25">
      <c r="B49" s="48" t="s">
        <v>165</v>
      </c>
      <c r="C49" s="60">
        <f>SUMPRODUCT((MID(Tradelog!C11:C30,4,2)="04")*(Tradelog!C11:C30&lt;&gt;""))</f>
        <v>0</v>
      </c>
      <c r="D49" s="42">
        <f>SUMPRODUCT((MID(Tradelog!C11:C30,4,2)="04")*(Tradelog!C11:C30&lt;&gt;"")*Tradelog!M11:M30)</f>
        <v>0</v>
      </c>
      <c r="E49" s="75">
        <f>IFERROR((SUMPRODUCT((MID(Tradelog!C11:C30,4,2)="04")*(Tradelog!C11:C30&lt;&gt;"")*(Tradelog!M11:M30&gt;0)))/C49,0)</f>
        <v>0</v>
      </c>
      <c r="F49" s="62">
        <f>IFERROR(SUMPRODUCT((MID(Tradelog!C11:C30,4,2)="04")*(Tradelog!C11:C30&lt;&gt;"")*Tradelog!N11:N30)/C49,0)</f>
        <v>0</v>
      </c>
      <c r="G49" s="42">
        <f t="shared" si="1"/>
        <v>48982.500000000327</v>
      </c>
    </row>
    <row r="50" spans="2:7" ht="15.75" customHeight="1" x14ac:dyDescent="0.25">
      <c r="B50" s="46" t="s">
        <v>166</v>
      </c>
      <c r="C50" s="72">
        <f>SUMPRODUCT((MID(Tradelog!C11:C30,4,2)="05")*(Tradelog!C11:C30&lt;&gt;""))</f>
        <v>0</v>
      </c>
      <c r="D50" s="36">
        <f>SUMPRODUCT((MID(Tradelog!C11:C30,4,2)="05")*(Tradelog!C11:C30&lt;&gt;"")*Tradelog!M11:M30)</f>
        <v>0</v>
      </c>
      <c r="E50" s="73">
        <f>IFERROR((SUMPRODUCT((MID(Tradelog!C11:C30,4,2)="05")*(Tradelog!C11:C30&lt;&gt;"")*(Tradelog!M11:M30&gt;0)))/C50,0)</f>
        <v>0</v>
      </c>
      <c r="F50" s="74">
        <f>IFERROR(SUMPRODUCT((MID(Tradelog!C11:C30,4,2)="05")*(Tradelog!C11:C30&lt;&gt;"")*Tradelog!N11:N30)/C50,0)</f>
        <v>0</v>
      </c>
      <c r="G50" s="36">
        <f t="shared" si="1"/>
        <v>48982.500000000327</v>
      </c>
    </row>
    <row r="51" spans="2:7" ht="15.75" customHeight="1" x14ac:dyDescent="0.25">
      <c r="B51" s="48" t="s">
        <v>167</v>
      </c>
      <c r="C51" s="60">
        <f>SUMPRODUCT((MID(Tradelog!C11:C30,4,2)="06")*(Tradelog!C11:C30&lt;&gt;""))</f>
        <v>0</v>
      </c>
      <c r="D51" s="42">
        <f>SUMPRODUCT((MID(Tradelog!C11:C30,4,2)="06")*(Tradelog!C11:C30&lt;&gt;"")*Tradelog!M11:M30)</f>
        <v>0</v>
      </c>
      <c r="E51" s="75">
        <f>IFERROR((SUMPRODUCT((MID(Tradelog!C11:C30,4,2)="06")*(Tradelog!C11:C30&lt;&gt;"")*(Tradelog!M11:M30&gt;0)))/C51,0)</f>
        <v>0</v>
      </c>
      <c r="F51" s="62">
        <f>IFERROR(SUMPRODUCT((MID(Tradelog!C11:C30,4,2)="06")*(Tradelog!C11:C30&lt;&gt;"")*Tradelog!N11:N30)/C51,0)</f>
        <v>0</v>
      </c>
      <c r="G51" s="42">
        <f t="shared" si="1"/>
        <v>48982.500000000327</v>
      </c>
    </row>
    <row r="52" spans="2:7" ht="15.75" customHeight="1" x14ac:dyDescent="0.25">
      <c r="B52" s="46" t="s">
        <v>168</v>
      </c>
      <c r="C52" s="72">
        <f>SUMPRODUCT((MID(Tradelog!C11:C30,4,2)="07")*(Tradelog!C11:C30&lt;&gt;""))</f>
        <v>0</v>
      </c>
      <c r="D52" s="36">
        <f>SUMPRODUCT((MID(Tradelog!C11:C30,4,2)="07")*(Tradelog!C11:C30&lt;&gt;"")*Tradelog!M11:M30)</f>
        <v>0</v>
      </c>
      <c r="E52" s="73">
        <f>IFERROR((SUMPRODUCT((MID(Tradelog!C11:C30,4,2)="07")*(Tradelog!C11:C30&lt;&gt;"")*(Tradelog!M11:M30&gt;0)))/C52,0)</f>
        <v>0</v>
      </c>
      <c r="F52" s="74">
        <f>IFERROR(SUMPRODUCT((MID(Tradelog!C11:C30,4,2)="07")*(Tradelog!C11:C30&lt;&gt;"")*Tradelog!N11:N30)/C52,0)</f>
        <v>0</v>
      </c>
      <c r="G52" s="36">
        <f t="shared" si="1"/>
        <v>48982.500000000327</v>
      </c>
    </row>
    <row r="53" spans="2:7" ht="15.75" customHeight="1" x14ac:dyDescent="0.25">
      <c r="B53" s="48" t="s">
        <v>169</v>
      </c>
      <c r="C53" s="60">
        <f>SUMPRODUCT((MID(Tradelog!C11:C30,4,2)="08")*(Tradelog!C11:C30&lt;&gt;""))</f>
        <v>0</v>
      </c>
      <c r="D53" s="42">
        <f>SUMPRODUCT((MID(Tradelog!C11:C30,4,2)="08")*(Tradelog!C11:C30&lt;&gt;"")*Tradelog!M11:M30)</f>
        <v>0</v>
      </c>
      <c r="E53" s="75">
        <f>IFERROR((SUMPRODUCT((MID(Tradelog!C11:C30,4,2)="08")*(Tradelog!C11:C30&lt;&gt;"")*(Tradelog!M11:M30&gt;0)))/C53,0)</f>
        <v>0</v>
      </c>
      <c r="F53" s="62">
        <f>IFERROR(SUMPRODUCT((MID(Tradelog!C11:C30,4,2)="08")*(Tradelog!C11:C30&lt;&gt;"")*Tradelog!N11:N30)/C53,0)</f>
        <v>0</v>
      </c>
      <c r="G53" s="42">
        <f t="shared" si="1"/>
        <v>48982.500000000327</v>
      </c>
    </row>
    <row r="54" spans="2:7" ht="15.75" customHeight="1" x14ac:dyDescent="0.25">
      <c r="B54" s="46" t="s">
        <v>170</v>
      </c>
      <c r="C54" s="72">
        <f>SUMPRODUCT((MID(Tradelog!C11:C30,4,2)="09")*(Tradelog!C11:C30&lt;&gt;""))</f>
        <v>0</v>
      </c>
      <c r="D54" s="36">
        <f>SUMPRODUCT((MID(Tradelog!C11:C30,4,2)="09")*(Tradelog!C11:C30&lt;&gt;"")*Tradelog!M11:M30)</f>
        <v>0</v>
      </c>
      <c r="E54" s="73">
        <f>IFERROR((SUMPRODUCT((MID(Tradelog!C11:C30,4,2)="09")*(Tradelog!C11:C30&lt;&gt;"")*(Tradelog!M11:M30&gt;0)))/C54,0)</f>
        <v>0</v>
      </c>
      <c r="F54" s="74">
        <f>IFERROR(SUMPRODUCT((MID(Tradelog!C11:C30,4,2)="09")*(Tradelog!C11:C30&lt;&gt;"")*Tradelog!N11:N30)/C54,0)</f>
        <v>0</v>
      </c>
      <c r="G54" s="36">
        <f t="shared" si="1"/>
        <v>48982.500000000327</v>
      </c>
    </row>
    <row r="55" spans="2:7" ht="15.75" customHeight="1" x14ac:dyDescent="0.25">
      <c r="B55" s="48" t="s">
        <v>171</v>
      </c>
      <c r="C55" s="60">
        <f>SUMPRODUCT((MID(Tradelog!C11:C30,4,2)="10")*(Tradelog!C11:C30&lt;&gt;""))</f>
        <v>0</v>
      </c>
      <c r="D55" s="42">
        <f>SUMPRODUCT((MID(Tradelog!C11:C30,4,2)="10")*(Tradelog!C11:C30&lt;&gt;"")*Tradelog!M11:M30)</f>
        <v>0</v>
      </c>
      <c r="E55" s="75">
        <f>IFERROR((SUMPRODUCT((MID(Tradelog!C11:C30,4,2)="10")*(Tradelog!C11:C30&lt;&gt;"")*(Tradelog!M11:M30&gt;0)))/C55,0)</f>
        <v>0</v>
      </c>
      <c r="F55" s="62">
        <f>IFERROR(SUMPRODUCT((MID(Tradelog!C11:C30,4,2)="10")*(Tradelog!C11:C30&lt;&gt;"")*Tradelog!N11:N30)/C55,0)</f>
        <v>0</v>
      </c>
      <c r="G55" s="42">
        <f t="shared" si="1"/>
        <v>48982.500000000327</v>
      </c>
    </row>
    <row r="56" spans="2:7" ht="15.75" customHeight="1" x14ac:dyDescent="0.25">
      <c r="B56" s="46" t="s">
        <v>172</v>
      </c>
      <c r="C56" s="72">
        <f>SUMPRODUCT((MID(Tradelog!C11:C30,4,2)="11")*(Tradelog!C11:C30&lt;&gt;""))</f>
        <v>0</v>
      </c>
      <c r="D56" s="36">
        <f>SUMPRODUCT((MID(Tradelog!C11:C30,4,2)="11")*(Tradelog!C11:C30&lt;&gt;"")*Tradelog!M11:M30)</f>
        <v>0</v>
      </c>
      <c r="E56" s="73">
        <f>IFERROR((SUMPRODUCT((MID(Tradelog!C11:C30,4,2)="11")*(Tradelog!C11:C30&lt;&gt;"")*(Tradelog!M11:M30&gt;0)))/C56,0)</f>
        <v>0</v>
      </c>
      <c r="F56" s="74">
        <f>IFERROR(SUMPRODUCT((MID(Tradelog!C11:C30,4,2)="11")*(Tradelog!C11:C30&lt;&gt;"")*Tradelog!N11:N30)/C56,0)</f>
        <v>0</v>
      </c>
      <c r="G56" s="36">
        <f t="shared" si="1"/>
        <v>48982.500000000327</v>
      </c>
    </row>
    <row r="57" spans="2:7" ht="15.75" customHeight="1" x14ac:dyDescent="0.25">
      <c r="B57" s="48" t="s">
        <v>173</v>
      </c>
      <c r="C57" s="60">
        <f>SUMPRODUCT((MID(Tradelog!C11:C30,4,2)="12")*(Tradelog!C11:C30&lt;&gt;""))</f>
        <v>0</v>
      </c>
      <c r="D57" s="42">
        <f>SUMPRODUCT((MID(Tradelog!C11:C30,4,2)="12")*(Tradelog!C11:C30&lt;&gt;"")*Tradelog!M11:M30)</f>
        <v>0</v>
      </c>
      <c r="E57" s="75">
        <f>IFERROR((SUMPRODUCT((MID(Tradelog!C11:C30,4,2)="12")*(Tradelog!C11:C30&lt;&gt;"")*(Tradelog!M11:M30&gt;0)))/C57,0)</f>
        <v>0</v>
      </c>
      <c r="F57" s="62">
        <f>IFERROR(SUMPRODUCT((MID(Tradelog!C11:C30,4,2)="12")*(Tradelog!C11:C30&lt;&gt;"")*Tradelog!N11:N30)/C57,0)</f>
        <v>0</v>
      </c>
      <c r="G57" s="42">
        <f t="shared" si="1"/>
        <v>48982.500000000327</v>
      </c>
    </row>
    <row r="58" spans="2:7" ht="15.75" customHeight="1" x14ac:dyDescent="0.25"/>
    <row r="59" spans="2:7" ht="15.75" customHeight="1" x14ac:dyDescent="0.25"/>
    <row r="60" spans="2:7" ht="15.75" customHeight="1" x14ac:dyDescent="0.25"/>
    <row r="61" spans="2:7" ht="15.75" customHeight="1" x14ac:dyDescent="0.25"/>
    <row r="62" spans="2:7" ht="15.75" customHeight="1" x14ac:dyDescent="0.25"/>
    <row r="63" spans="2:7" ht="15.75" customHeight="1" x14ac:dyDescent="0.25"/>
    <row r="64" spans="2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</sheetData>
  <mergeCells count="29">
    <mergeCell ref="D28:G28"/>
    <mergeCell ref="B30:G30"/>
    <mergeCell ref="B39:G39"/>
    <mergeCell ref="B44:G44"/>
    <mergeCell ref="D23:G23"/>
    <mergeCell ref="D24:G24"/>
    <mergeCell ref="D25:G25"/>
    <mergeCell ref="D26:G26"/>
    <mergeCell ref="D27:G27"/>
    <mergeCell ref="B18:G18"/>
    <mergeCell ref="D19:G19"/>
    <mergeCell ref="D20:G20"/>
    <mergeCell ref="D21:G21"/>
    <mergeCell ref="D22:G22"/>
    <mergeCell ref="D12:G12"/>
    <mergeCell ref="D13:G13"/>
    <mergeCell ref="D14:G14"/>
    <mergeCell ref="D15:G15"/>
    <mergeCell ref="D16:G16"/>
    <mergeCell ref="D7:G7"/>
    <mergeCell ref="D8:G8"/>
    <mergeCell ref="D9:G9"/>
    <mergeCell ref="D10:G10"/>
    <mergeCell ref="D11:G11"/>
    <mergeCell ref="B1:G1"/>
    <mergeCell ref="B2:G2"/>
    <mergeCell ref="B4:G4"/>
    <mergeCell ref="D5:G5"/>
    <mergeCell ref="D6:G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66534"/>
  </sheetPr>
  <dimension ref="B1:F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5" customWidth="1"/>
    <col min="3" max="3" width="14" customWidth="1"/>
    <col min="4" max="6" width="18" customWidth="1"/>
    <col min="7" max="7" width="2" customWidth="1"/>
  </cols>
  <sheetData>
    <row r="1" spans="2:6" ht="31.5" customHeight="1" x14ac:dyDescent="0.25">
      <c r="B1" s="5" t="s">
        <v>174</v>
      </c>
      <c r="C1" s="5"/>
      <c r="D1" s="5"/>
      <c r="E1" s="5"/>
      <c r="F1" s="5"/>
    </row>
    <row r="2" spans="2:6" ht="15" customHeight="1" x14ac:dyDescent="0.25">
      <c r="B2" s="10" t="s">
        <v>175</v>
      </c>
      <c r="C2" s="10"/>
      <c r="D2" s="10"/>
      <c r="E2" s="10"/>
      <c r="F2" s="10"/>
    </row>
    <row r="4" spans="2:6" ht="15" customHeight="1" x14ac:dyDescent="0.25">
      <c r="B4" s="20" t="s">
        <v>8</v>
      </c>
      <c r="C4" s="20" t="s">
        <v>9</v>
      </c>
      <c r="D4" s="20" t="s">
        <v>21</v>
      </c>
      <c r="E4" s="20" t="s">
        <v>176</v>
      </c>
      <c r="F4" s="20" t="s">
        <v>177</v>
      </c>
    </row>
    <row r="5" spans="2:6" ht="15" customHeight="1" x14ac:dyDescent="0.25">
      <c r="B5" s="76">
        <v>1</v>
      </c>
      <c r="C5" s="77" t="str">
        <f>Tradelog!C11</f>
        <v>03.01.2026</v>
      </c>
      <c r="D5" s="66">
        <f>Tradelog!O11</f>
        <v>10134.999999999996</v>
      </c>
      <c r="E5" s="78">
        <f>D5-Tradelog!E5</f>
        <v>134.99999999999636</v>
      </c>
      <c r="F5" s="78">
        <f>MIN(0,D5-D5)</f>
        <v>0</v>
      </c>
    </row>
    <row r="6" spans="2:6" ht="15" customHeight="1" x14ac:dyDescent="0.25">
      <c r="B6" s="79">
        <v>2</v>
      </c>
      <c r="C6" s="80" t="str">
        <f>Tradelog!C12</f>
        <v>07.01.2026</v>
      </c>
      <c r="D6" s="42">
        <f>Tradelog!O12</f>
        <v>10982.499999999996</v>
      </c>
      <c r="E6" s="41">
        <f>D6-Tradelog!E5</f>
        <v>982.49999999999636</v>
      </c>
      <c r="F6" s="41">
        <f>D6-MAX(D5:D6)</f>
        <v>0</v>
      </c>
    </row>
    <row r="7" spans="2:6" ht="15" customHeight="1" x14ac:dyDescent="0.25">
      <c r="B7" s="76">
        <v>3</v>
      </c>
      <c r="C7" s="77" t="str">
        <f>Tradelog!C13</f>
        <v>09.01.2026</v>
      </c>
      <c r="D7" s="66">
        <f>Tradelog!O13</f>
        <v>10719.999999999995</v>
      </c>
      <c r="E7" s="78">
        <f>D7-Tradelog!E5</f>
        <v>719.99999999999454</v>
      </c>
      <c r="F7" s="78">
        <f>D7-MAX(D5:D7)</f>
        <v>-262.50000000000182</v>
      </c>
    </row>
    <row r="8" spans="2:6" ht="15" customHeight="1" x14ac:dyDescent="0.25">
      <c r="B8" s="79">
        <v>4</v>
      </c>
      <c r="C8" s="80" t="str">
        <f>Tradelog!C14</f>
        <v>14.01.2026</v>
      </c>
      <c r="D8" s="42">
        <f>Tradelog!O14</f>
        <v>11097.499999999995</v>
      </c>
      <c r="E8" s="41">
        <f>D8-Tradelog!E5</f>
        <v>1097.4999999999945</v>
      </c>
      <c r="F8" s="41">
        <f>D8-MAX(D5:D8)</f>
        <v>0</v>
      </c>
    </row>
    <row r="9" spans="2:6" ht="15" customHeight="1" x14ac:dyDescent="0.25">
      <c r="B9" s="76">
        <v>5</v>
      </c>
      <c r="C9" s="77" t="str">
        <f>Tradelog!C15</f>
        <v>16.01.2026</v>
      </c>
      <c r="D9" s="66">
        <f>Tradelog!O15</f>
        <v>50095.000000000335</v>
      </c>
      <c r="E9" s="78">
        <f>D9-Tradelog!E5</f>
        <v>40095.000000000335</v>
      </c>
      <c r="F9" s="78">
        <f>D9-MAX(D5:D9)</f>
        <v>0</v>
      </c>
    </row>
    <row r="10" spans="2:6" ht="15" customHeight="1" x14ac:dyDescent="0.25">
      <c r="B10" s="79">
        <v>6</v>
      </c>
      <c r="C10" s="80" t="str">
        <f>Tradelog!C16</f>
        <v>21.01.2026</v>
      </c>
      <c r="D10" s="42">
        <f>Tradelog!O16</f>
        <v>50030.000000000327</v>
      </c>
      <c r="E10" s="41">
        <f>D10-Tradelog!E5</f>
        <v>40030.000000000327</v>
      </c>
      <c r="F10" s="41">
        <f>D10-MAX(D5:D10)</f>
        <v>-65.000000000007276</v>
      </c>
    </row>
    <row r="11" spans="2:6" ht="15" customHeight="1" x14ac:dyDescent="0.25">
      <c r="B11" s="76">
        <v>7</v>
      </c>
      <c r="C11" s="77" t="str">
        <f>Tradelog!C17</f>
        <v>23.01.2026</v>
      </c>
      <c r="D11" s="66">
        <f>Tradelog!O17</f>
        <v>51377.500000000327</v>
      </c>
      <c r="E11" s="78">
        <f>D11-Tradelog!E5</f>
        <v>41377.500000000327</v>
      </c>
      <c r="F11" s="78">
        <f>D11-MAX(D5:D11)</f>
        <v>0</v>
      </c>
    </row>
    <row r="12" spans="2:6" ht="15" customHeight="1" x14ac:dyDescent="0.25">
      <c r="B12" s="79">
        <v>8</v>
      </c>
      <c r="C12" s="80" t="str">
        <f>Tradelog!C18</f>
        <v>28.01.2026</v>
      </c>
      <c r="D12" s="42">
        <f>Tradelog!O18</f>
        <v>53675.000000000327</v>
      </c>
      <c r="E12" s="41">
        <f>D12-Tradelog!E5</f>
        <v>43675.000000000327</v>
      </c>
      <c r="F12" s="41">
        <f>D12-MAX(D5:D12)</f>
        <v>0</v>
      </c>
    </row>
    <row r="13" spans="2:6" ht="15" customHeight="1" x14ac:dyDescent="0.25">
      <c r="B13" s="76">
        <v>9</v>
      </c>
      <c r="C13" s="77" t="str">
        <f>Tradelog!C19</f>
        <v>04.02.2026</v>
      </c>
      <c r="D13" s="66">
        <f>Tradelog!O19</f>
        <v>53962.500000000327</v>
      </c>
      <c r="E13" s="78">
        <f>D13-Tradelog!E5</f>
        <v>43962.500000000327</v>
      </c>
      <c r="F13" s="78">
        <f>D13-MAX(D5:D13)</f>
        <v>0</v>
      </c>
    </row>
    <row r="14" spans="2:6" ht="15" customHeight="1" x14ac:dyDescent="0.25">
      <c r="B14" s="79">
        <v>10</v>
      </c>
      <c r="C14" s="80" t="str">
        <f>Tradelog!C20</f>
        <v>06.02.2026</v>
      </c>
      <c r="D14" s="42">
        <f>Tradelog!O20</f>
        <v>55030.000000000327</v>
      </c>
      <c r="E14" s="41">
        <f>D14-Tradelog!E5</f>
        <v>45030.000000000327</v>
      </c>
      <c r="F14" s="41">
        <f>D14-MAX(D5:D14)</f>
        <v>0</v>
      </c>
    </row>
    <row r="15" spans="2:6" ht="15" customHeight="1" x14ac:dyDescent="0.25">
      <c r="B15" s="76">
        <v>11</v>
      </c>
      <c r="C15" s="77" t="str">
        <f>Tradelog!C21</f>
        <v>11.02.2026</v>
      </c>
      <c r="D15" s="66">
        <f>Tradelog!O21</f>
        <v>55377.500000000327</v>
      </c>
      <c r="E15" s="78">
        <f>D15-Tradelog!E5</f>
        <v>45377.500000000327</v>
      </c>
      <c r="F15" s="78">
        <f>D15-MAX(D5:D15)</f>
        <v>0</v>
      </c>
    </row>
    <row r="16" spans="2:6" ht="15" customHeight="1" x14ac:dyDescent="0.25">
      <c r="B16" s="79">
        <v>12</v>
      </c>
      <c r="C16" s="80" t="str">
        <f>Tradelog!C22</f>
        <v>13.02.2026</v>
      </c>
      <c r="D16" s="42">
        <f>Tradelog!O22</f>
        <v>56625.000000000327</v>
      </c>
      <c r="E16" s="41">
        <f>D16-Tradelog!E5</f>
        <v>46625.000000000327</v>
      </c>
      <c r="F16" s="41">
        <f>D16-MAX(D5:D16)</f>
        <v>0</v>
      </c>
    </row>
    <row r="17" spans="2:6" ht="15" customHeight="1" x14ac:dyDescent="0.25">
      <c r="B17" s="76">
        <v>13</v>
      </c>
      <c r="C17" s="77" t="str">
        <f>Tradelog!C23</f>
        <v>18.02.2026</v>
      </c>
      <c r="D17" s="66">
        <f>Tradelog!O23</f>
        <v>56632.500000000327</v>
      </c>
      <c r="E17" s="78">
        <f>D17-Tradelog!E5</f>
        <v>46632.500000000327</v>
      </c>
      <c r="F17" s="78">
        <f>D17-MAX(D5:D17)</f>
        <v>0</v>
      </c>
    </row>
    <row r="18" spans="2:6" ht="15" customHeight="1" x14ac:dyDescent="0.25">
      <c r="B18" s="79">
        <v>14</v>
      </c>
      <c r="C18" s="80" t="str">
        <f>Tradelog!C24</f>
        <v>20.02.2026</v>
      </c>
      <c r="D18" s="42">
        <f>Tradelog!O24</f>
        <v>56817.50000000032</v>
      </c>
      <c r="E18" s="41">
        <f>D18-Tradelog!E5</f>
        <v>46817.50000000032</v>
      </c>
      <c r="F18" s="41">
        <f>D18-MAX(D5:D18)</f>
        <v>0</v>
      </c>
    </row>
    <row r="19" spans="2:6" ht="15" customHeight="1" x14ac:dyDescent="0.25">
      <c r="B19" s="76">
        <v>15</v>
      </c>
      <c r="C19" s="77" t="str">
        <f>Tradelog!C25</f>
        <v>25.02.2026</v>
      </c>
      <c r="D19" s="66">
        <f>Tradelog!O25</f>
        <v>56915.00000000032</v>
      </c>
      <c r="E19" s="78">
        <f>D19-Tradelog!E5</f>
        <v>46915.00000000032</v>
      </c>
      <c r="F19" s="78">
        <f>D19-MAX(D5:D19)</f>
        <v>0</v>
      </c>
    </row>
    <row r="20" spans="2:6" ht="15" customHeight="1" x14ac:dyDescent="0.25">
      <c r="B20" s="79">
        <v>16</v>
      </c>
      <c r="C20" s="80" t="str">
        <f>Tradelog!C26</f>
        <v>03.03.2026</v>
      </c>
      <c r="D20" s="42">
        <f>Tradelog!O26</f>
        <v>58362.50000000032</v>
      </c>
      <c r="E20" s="41">
        <f>D20-Tradelog!E5</f>
        <v>48362.50000000032</v>
      </c>
      <c r="F20" s="41">
        <f>D20-MAX(D5:D20)</f>
        <v>0</v>
      </c>
    </row>
    <row r="21" spans="2:6" ht="15" customHeight="1" x14ac:dyDescent="0.25">
      <c r="B21" s="76">
        <v>17</v>
      </c>
      <c r="C21" s="77" t="str">
        <f>Tradelog!C27</f>
        <v>05.03.2026</v>
      </c>
      <c r="D21" s="66">
        <f>Tradelog!O27</f>
        <v>58720.00000000032</v>
      </c>
      <c r="E21" s="78">
        <f>D21-Tradelog!E5</f>
        <v>48720.00000000032</v>
      </c>
      <c r="F21" s="78">
        <f>D21-MAX(D5:D21)</f>
        <v>0</v>
      </c>
    </row>
    <row r="22" spans="2:6" ht="15" customHeight="1" x14ac:dyDescent="0.25">
      <c r="B22" s="79">
        <v>18</v>
      </c>
      <c r="C22" s="80" t="str">
        <f>Tradelog!C28</f>
        <v>10.03.2026</v>
      </c>
      <c r="D22" s="42">
        <f>Tradelog!O28</f>
        <v>59392.50000000032</v>
      </c>
      <c r="E22" s="41">
        <f>D22-Tradelog!E5</f>
        <v>49392.50000000032</v>
      </c>
      <c r="F22" s="41">
        <f>D22-MAX(D5:D22)</f>
        <v>0</v>
      </c>
    </row>
    <row r="23" spans="2:6" ht="15" customHeight="1" x14ac:dyDescent="0.25">
      <c r="B23" s="76">
        <v>19</v>
      </c>
      <c r="C23" s="77" t="str">
        <f>Tradelog!C29</f>
        <v>12.03.2026</v>
      </c>
      <c r="D23" s="66">
        <f>Tradelog!O29</f>
        <v>58790.00000000032</v>
      </c>
      <c r="E23" s="78">
        <f>D23-Tradelog!E5</f>
        <v>48790.00000000032</v>
      </c>
      <c r="F23" s="78">
        <f>D23-MAX(D5:D23)</f>
        <v>-602.5</v>
      </c>
    </row>
    <row r="24" spans="2:6" ht="15" customHeight="1" x14ac:dyDescent="0.25">
      <c r="B24" s="79">
        <v>20</v>
      </c>
      <c r="C24" s="80" t="str">
        <f>Tradelog!C30</f>
        <v>17.03.2026</v>
      </c>
      <c r="D24" s="42">
        <f>Tradelog!O30</f>
        <v>58982.50000000032</v>
      </c>
      <c r="E24" s="41">
        <f>D24-Tradelog!E5</f>
        <v>48982.50000000032</v>
      </c>
      <c r="F24" s="41">
        <f>D24-MAX(D5:D24)</f>
        <v>-410</v>
      </c>
    </row>
    <row r="26" spans="2:6" ht="15" customHeight="1" x14ac:dyDescent="0.25">
      <c r="B26" s="81" t="s">
        <v>178</v>
      </c>
      <c r="C26" s="46" t="s">
        <v>179</v>
      </c>
      <c r="D26" s="82">
        <f>MAX(D5:D24)</f>
        <v>59392.50000000032</v>
      </c>
    </row>
    <row r="27" spans="2:6" ht="15" customHeight="1" x14ac:dyDescent="0.25">
      <c r="B27" s="83"/>
      <c r="C27" s="84" t="s">
        <v>180</v>
      </c>
      <c r="D27" s="85">
        <f>MIN(F5:F24)</f>
        <v>-602.5</v>
      </c>
    </row>
  </sheetData>
  <mergeCells count="2">
    <mergeCell ref="B1:F1"/>
    <mergeCell ref="B2:F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410C"/>
  </sheetPr>
  <dimension ref="B1:D21"/>
  <sheetViews>
    <sheetView showGridLines="0" zoomScale="90" zoomScaleNormal="90" workbookViewId="0"/>
  </sheetViews>
  <sheetFormatPr baseColWidth="10" defaultColWidth="8.7109375" defaultRowHeight="15" x14ac:dyDescent="0.25"/>
  <cols>
    <col min="1" max="1" width="2" customWidth="1"/>
    <col min="2" max="2" width="32" customWidth="1"/>
    <col min="3" max="4" width="18" customWidth="1"/>
    <col min="5" max="5" width="3" customWidth="1"/>
  </cols>
  <sheetData>
    <row r="1" spans="2:4" ht="31.5" customHeight="1" x14ac:dyDescent="0.25">
      <c r="B1" s="5" t="s">
        <v>181</v>
      </c>
      <c r="C1" s="5"/>
      <c r="D1" s="5"/>
    </row>
    <row r="2" spans="2:4" ht="15" customHeight="1" x14ac:dyDescent="0.25">
      <c r="B2" s="4" t="s">
        <v>182</v>
      </c>
      <c r="C2" s="4"/>
      <c r="D2" s="4"/>
    </row>
    <row r="4" spans="2:4" ht="15" customHeight="1" x14ac:dyDescent="0.25">
      <c r="B4" s="3" t="s">
        <v>183</v>
      </c>
      <c r="C4" s="3"/>
      <c r="D4" s="3"/>
    </row>
    <row r="5" spans="2:4" ht="15" customHeight="1" x14ac:dyDescent="0.25">
      <c r="B5" s="86" t="s">
        <v>143</v>
      </c>
      <c r="C5" s="35">
        <f>Dashboard!C19</f>
        <v>58982.50000000032</v>
      </c>
      <c r="D5" s="15"/>
    </row>
    <row r="6" spans="2:4" ht="15" customHeight="1" x14ac:dyDescent="0.25">
      <c r="B6" s="87" t="s">
        <v>4</v>
      </c>
      <c r="C6" s="88">
        <f>Tradelog!E6</f>
        <v>0.01</v>
      </c>
      <c r="D6" s="89"/>
    </row>
    <row r="7" spans="2:4" ht="15" customHeight="1" x14ac:dyDescent="0.25">
      <c r="B7" s="46" t="s">
        <v>184</v>
      </c>
      <c r="C7" s="36">
        <f>C5*C6</f>
        <v>589.82500000000323</v>
      </c>
      <c r="D7" s="15"/>
    </row>
    <row r="8" spans="2:4" ht="15" customHeight="1" x14ac:dyDescent="0.25">
      <c r="B8" s="87" t="s">
        <v>185</v>
      </c>
      <c r="C8" s="14">
        <v>150</v>
      </c>
      <c r="D8" s="89"/>
    </row>
    <row r="9" spans="2:4" ht="15" customHeight="1" x14ac:dyDescent="0.25">
      <c r="B9" s="86" t="s">
        <v>186</v>
      </c>
      <c r="C9" s="14">
        <v>145</v>
      </c>
      <c r="D9" s="15"/>
    </row>
    <row r="10" spans="2:4" ht="15" customHeight="1" x14ac:dyDescent="0.25">
      <c r="B10" s="87" t="s">
        <v>187</v>
      </c>
      <c r="C10" s="41">
        <f>ABS(C8-C9)</f>
        <v>5</v>
      </c>
      <c r="D10" s="89"/>
    </row>
    <row r="11" spans="2:4" ht="15" customHeight="1" x14ac:dyDescent="0.25">
      <c r="B11" s="86" t="s">
        <v>188</v>
      </c>
      <c r="C11" s="90">
        <f>IFERROR(C10/C8,0)</f>
        <v>3.3333333333333333E-2</v>
      </c>
      <c r="D11" s="15"/>
    </row>
    <row r="12" spans="2:4" ht="15" customHeight="1" x14ac:dyDescent="0.25">
      <c r="B12" s="48" t="s">
        <v>189</v>
      </c>
      <c r="C12" s="91">
        <f>IFERROR(FLOOR(C7/C10,1),0)</f>
        <v>117</v>
      </c>
      <c r="D12" s="89"/>
    </row>
    <row r="13" spans="2:4" ht="15" customHeight="1" x14ac:dyDescent="0.25">
      <c r="B13" s="46" t="s">
        <v>190</v>
      </c>
      <c r="C13" s="36">
        <f>C12*C10</f>
        <v>585</v>
      </c>
      <c r="D13" s="15"/>
    </row>
    <row r="14" spans="2:4" ht="15" customHeight="1" x14ac:dyDescent="0.25">
      <c r="B14" s="48" t="s">
        <v>191</v>
      </c>
      <c r="C14" s="50">
        <f>IFERROR(C13/C5,0)</f>
        <v>9.9181960751069699E-3</v>
      </c>
      <c r="D14" s="89"/>
    </row>
    <row r="16" spans="2:4" ht="15" customHeight="1" x14ac:dyDescent="0.25">
      <c r="B16" s="8" t="s">
        <v>192</v>
      </c>
      <c r="C16" s="8"/>
      <c r="D16" s="8"/>
    </row>
    <row r="17" spans="2:4" ht="15" customHeight="1" x14ac:dyDescent="0.25">
      <c r="B17" s="86" t="s">
        <v>193</v>
      </c>
      <c r="C17" s="14">
        <v>162</v>
      </c>
      <c r="D17" s="15"/>
    </row>
    <row r="18" spans="2:4" ht="15" customHeight="1" x14ac:dyDescent="0.25">
      <c r="B18" s="87" t="s">
        <v>194</v>
      </c>
      <c r="C18" s="42">
        <f>ABS(C17-C8)</f>
        <v>12</v>
      </c>
      <c r="D18" s="89"/>
    </row>
    <row r="19" spans="2:4" ht="15" customHeight="1" x14ac:dyDescent="0.25">
      <c r="B19" s="86" t="s">
        <v>195</v>
      </c>
      <c r="C19" s="36">
        <f>C18*C12</f>
        <v>1404</v>
      </c>
      <c r="D19" s="15"/>
    </row>
    <row r="20" spans="2:4" ht="15" customHeight="1" x14ac:dyDescent="0.25">
      <c r="B20" s="92" t="s">
        <v>196</v>
      </c>
      <c r="C20" s="93">
        <f>IFERROR(C18/C10,0)</f>
        <v>2.4</v>
      </c>
      <c r="D20" s="94"/>
    </row>
    <row r="21" spans="2:4" ht="15" customHeight="1" x14ac:dyDescent="0.25">
      <c r="B21" s="48" t="s">
        <v>197</v>
      </c>
      <c r="C21" s="95" t="str">
        <f>IF(C20&gt;=1.5,"✓ JA – Trade ok","✗ NEIN – CRV zu niedrig")</f>
        <v>✓ JA – Trade ok</v>
      </c>
      <c r="D21" s="89"/>
    </row>
  </sheetData>
  <mergeCells count="4">
    <mergeCell ref="B1:D1"/>
    <mergeCell ref="B2:D2"/>
    <mergeCell ref="B4:D4"/>
    <mergeCell ref="B16:D1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28D9"/>
  </sheetPr>
  <dimension ref="B1:C31"/>
  <sheetViews>
    <sheetView showGridLines="0" zoomScale="90" zoomScaleNormal="90" workbookViewId="0"/>
  </sheetViews>
  <sheetFormatPr baseColWidth="10" defaultColWidth="8.7109375" defaultRowHeight="15" x14ac:dyDescent="0.25"/>
  <cols>
    <col min="1" max="1" width="2" customWidth="1"/>
    <col min="2" max="2" width="34" customWidth="1"/>
    <col min="3" max="3" width="26" customWidth="1"/>
    <col min="4" max="4" width="2" customWidth="1"/>
  </cols>
  <sheetData>
    <row r="1" spans="2:3" ht="31.5" customHeight="1" x14ac:dyDescent="0.25">
      <c r="B1" s="5" t="s">
        <v>198</v>
      </c>
      <c r="C1" s="5"/>
    </row>
    <row r="2" spans="2:3" ht="15" customHeight="1" x14ac:dyDescent="0.25">
      <c r="B2" s="2" t="s">
        <v>199</v>
      </c>
      <c r="C2" s="2"/>
    </row>
    <row r="4" spans="2:3" ht="15" customHeight="1" x14ac:dyDescent="0.25">
      <c r="B4" s="6" t="s">
        <v>200</v>
      </c>
      <c r="C4" s="6"/>
    </row>
    <row r="5" spans="2:3" ht="21.75" customHeight="1" x14ac:dyDescent="0.25">
      <c r="B5" s="46" t="s">
        <v>201</v>
      </c>
      <c r="C5" s="96" t="s">
        <v>202</v>
      </c>
    </row>
    <row r="6" spans="2:3" ht="21.75" customHeight="1" x14ac:dyDescent="0.25">
      <c r="B6" s="48" t="s">
        <v>203</v>
      </c>
      <c r="C6" s="97">
        <f>SUMPRODUCT((Tradelog!C11:C30&gt;="19.01.2026")*(Tradelog!C11:C30&lt;="25.01.2026"))</f>
        <v>3</v>
      </c>
    </row>
    <row r="7" spans="2:3" ht="21.75" customHeight="1" x14ac:dyDescent="0.25">
      <c r="B7" s="46" t="s">
        <v>204</v>
      </c>
      <c r="C7" s="97" t="s">
        <v>205</v>
      </c>
    </row>
    <row r="8" spans="2:3" ht="21.75" customHeight="1" x14ac:dyDescent="0.25">
      <c r="B8" s="48" t="s">
        <v>206</v>
      </c>
      <c r="C8" s="97" t="s">
        <v>207</v>
      </c>
    </row>
    <row r="10" spans="2:3" ht="15" customHeight="1" x14ac:dyDescent="0.25">
      <c r="B10" s="6" t="s">
        <v>208</v>
      </c>
      <c r="C10" s="6"/>
    </row>
    <row r="11" spans="2:3" ht="21.75" customHeight="1" x14ac:dyDescent="0.25">
      <c r="B11" s="46" t="s">
        <v>209</v>
      </c>
      <c r="C11" s="96" t="s">
        <v>210</v>
      </c>
    </row>
    <row r="12" spans="2:3" ht="21.75" customHeight="1" x14ac:dyDescent="0.25">
      <c r="B12" s="48" t="s">
        <v>211</v>
      </c>
      <c r="C12" s="97" t="s">
        <v>212</v>
      </c>
    </row>
    <row r="13" spans="2:3" ht="21.75" customHeight="1" x14ac:dyDescent="0.25">
      <c r="B13" s="46" t="s">
        <v>213</v>
      </c>
      <c r="C13" s="97" t="s">
        <v>214</v>
      </c>
    </row>
    <row r="15" spans="2:3" ht="15" customHeight="1" x14ac:dyDescent="0.25">
      <c r="B15" s="6" t="s">
        <v>215</v>
      </c>
      <c r="C15" s="6"/>
    </row>
    <row r="16" spans="2:3" ht="21.75" customHeight="1" x14ac:dyDescent="0.25">
      <c r="B16" s="46" t="s">
        <v>216</v>
      </c>
      <c r="C16" s="96" t="s">
        <v>217</v>
      </c>
    </row>
    <row r="17" spans="2:3" ht="21.75" customHeight="1" x14ac:dyDescent="0.25">
      <c r="B17" s="48" t="s">
        <v>218</v>
      </c>
      <c r="C17" s="97" t="s">
        <v>219</v>
      </c>
    </row>
    <row r="18" spans="2:3" ht="21.75" customHeight="1" x14ac:dyDescent="0.25">
      <c r="B18" s="46" t="s">
        <v>220</v>
      </c>
      <c r="C18" s="97" t="s">
        <v>221</v>
      </c>
    </row>
    <row r="19" spans="2:3" ht="21.75" customHeight="1" x14ac:dyDescent="0.25">
      <c r="B19" s="48" t="s">
        <v>222</v>
      </c>
      <c r="C19" s="97" t="s">
        <v>223</v>
      </c>
    </row>
    <row r="21" spans="2:3" ht="15" customHeight="1" x14ac:dyDescent="0.25">
      <c r="B21" s="8" t="s">
        <v>224</v>
      </c>
      <c r="C21" s="8"/>
    </row>
    <row r="22" spans="2:3" ht="21.75" customHeight="1" x14ac:dyDescent="0.25">
      <c r="B22" s="46" t="s">
        <v>225</v>
      </c>
      <c r="C22" s="96" t="s">
        <v>226</v>
      </c>
    </row>
    <row r="23" spans="2:3" ht="21.75" customHeight="1" x14ac:dyDescent="0.25">
      <c r="B23" s="48" t="s">
        <v>227</v>
      </c>
      <c r="C23" s="97" t="s">
        <v>228</v>
      </c>
    </row>
    <row r="24" spans="2:3" ht="21.75" customHeight="1" x14ac:dyDescent="0.25">
      <c r="B24" s="46" t="s">
        <v>229</v>
      </c>
      <c r="C24" s="97" t="s">
        <v>230</v>
      </c>
    </row>
    <row r="25" spans="2:3" ht="21.75" customHeight="1" x14ac:dyDescent="0.25">
      <c r="B25" s="48" t="s">
        <v>231</v>
      </c>
      <c r="C25" s="97" t="s">
        <v>232</v>
      </c>
    </row>
    <row r="27" spans="2:3" ht="15" customHeight="1" x14ac:dyDescent="0.25">
      <c r="B27" s="6" t="s">
        <v>233</v>
      </c>
      <c r="C27" s="6"/>
    </row>
    <row r="28" spans="2:3" ht="21.75" customHeight="1" x14ac:dyDescent="0.25">
      <c r="B28" s="46" t="s">
        <v>234</v>
      </c>
      <c r="C28" s="96" t="s">
        <v>235</v>
      </c>
    </row>
    <row r="29" spans="2:3" ht="21.75" customHeight="1" x14ac:dyDescent="0.25">
      <c r="B29" s="48" t="s">
        <v>236</v>
      </c>
      <c r="C29" s="97" t="s">
        <v>237</v>
      </c>
    </row>
    <row r="30" spans="2:3" ht="21.75" customHeight="1" x14ac:dyDescent="0.25">
      <c r="B30" s="46" t="s">
        <v>238</v>
      </c>
      <c r="C30" s="97" t="s">
        <v>239</v>
      </c>
    </row>
    <row r="31" spans="2:3" ht="21.75" customHeight="1" x14ac:dyDescent="0.25">
      <c r="B31" s="48" t="s">
        <v>240</v>
      </c>
      <c r="C31" s="97" t="s">
        <v>241</v>
      </c>
    </row>
  </sheetData>
  <mergeCells count="7">
    <mergeCell ref="B21:C21"/>
    <mergeCell ref="B27:C27"/>
    <mergeCell ref="B1:C1"/>
    <mergeCell ref="B2:C2"/>
    <mergeCell ref="B4:C4"/>
    <mergeCell ref="B10:C10"/>
    <mergeCell ref="B15:C15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4748B"/>
  </sheetPr>
  <dimension ref="B1:C30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4" customWidth="1"/>
    <col min="3" max="3" width="48" customWidth="1"/>
    <col min="4" max="4" width="2" customWidth="1"/>
  </cols>
  <sheetData>
    <row r="1" spans="2:3" ht="31.5" customHeight="1" x14ac:dyDescent="0.25">
      <c r="B1" s="5" t="s">
        <v>242</v>
      </c>
      <c r="C1" s="5"/>
    </row>
    <row r="4" spans="2:3" ht="15" customHeight="1" x14ac:dyDescent="0.25">
      <c r="B4" s="1" t="s">
        <v>243</v>
      </c>
      <c r="C4" s="1"/>
    </row>
    <row r="5" spans="2:3" ht="24" customHeight="1" x14ac:dyDescent="0.25">
      <c r="B5" s="98" t="s">
        <v>244</v>
      </c>
      <c r="C5" s="99" t="s">
        <v>245</v>
      </c>
    </row>
    <row r="6" spans="2:3" ht="24" customHeight="1" x14ac:dyDescent="0.25">
      <c r="B6" s="100" t="s">
        <v>246</v>
      </c>
      <c r="C6" s="101" t="s">
        <v>247</v>
      </c>
    </row>
    <row r="7" spans="2:3" ht="24" customHeight="1" x14ac:dyDescent="0.25">
      <c r="B7" s="98" t="s">
        <v>248</v>
      </c>
      <c r="C7" s="99" t="s">
        <v>249</v>
      </c>
    </row>
    <row r="8" spans="2:3" ht="24" customHeight="1" x14ac:dyDescent="0.25">
      <c r="B8" s="100" t="s">
        <v>250</v>
      </c>
      <c r="C8" s="101" t="s">
        <v>251</v>
      </c>
    </row>
    <row r="9" spans="2:3" ht="24" customHeight="1" x14ac:dyDescent="0.25">
      <c r="B9" s="98" t="s">
        <v>252</v>
      </c>
      <c r="C9" s="99" t="s">
        <v>253</v>
      </c>
    </row>
    <row r="11" spans="2:3" ht="15" customHeight="1" x14ac:dyDescent="0.25">
      <c r="B11" s="1" t="s">
        <v>254</v>
      </c>
      <c r="C11" s="1"/>
    </row>
    <row r="12" spans="2:3" ht="24" customHeight="1" x14ac:dyDescent="0.25">
      <c r="B12" s="98" t="s">
        <v>255</v>
      </c>
      <c r="C12" s="99" t="s">
        <v>256</v>
      </c>
    </row>
    <row r="13" spans="2:3" ht="24" customHeight="1" x14ac:dyDescent="0.25">
      <c r="B13" s="100" t="s">
        <v>257</v>
      </c>
      <c r="C13" s="101" t="s">
        <v>258</v>
      </c>
    </row>
    <row r="14" spans="2:3" ht="24" customHeight="1" x14ac:dyDescent="0.25">
      <c r="B14" s="98" t="s">
        <v>259</v>
      </c>
      <c r="C14" s="99" t="s">
        <v>260</v>
      </c>
    </row>
    <row r="15" spans="2:3" ht="24" customHeight="1" x14ac:dyDescent="0.25">
      <c r="B15" s="100" t="s">
        <v>261</v>
      </c>
      <c r="C15" s="101" t="s">
        <v>262</v>
      </c>
    </row>
    <row r="17" spans="2:3" ht="15" customHeight="1" x14ac:dyDescent="0.25">
      <c r="B17" s="1" t="s">
        <v>263</v>
      </c>
      <c r="C17" s="1"/>
    </row>
    <row r="18" spans="2:3" ht="24" customHeight="1" x14ac:dyDescent="0.25">
      <c r="B18" s="98" t="s">
        <v>264</v>
      </c>
      <c r="C18" s="99" t="s">
        <v>265</v>
      </c>
    </row>
    <row r="19" spans="2:3" ht="24" customHeight="1" x14ac:dyDescent="0.25">
      <c r="B19" s="100" t="s">
        <v>20</v>
      </c>
      <c r="C19" s="101" t="s">
        <v>266</v>
      </c>
    </row>
    <row r="20" spans="2:3" ht="24" customHeight="1" x14ac:dyDescent="0.25">
      <c r="B20" s="98" t="s">
        <v>267</v>
      </c>
      <c r="C20" s="99" t="s">
        <v>268</v>
      </c>
    </row>
    <row r="21" spans="2:3" ht="24" customHeight="1" x14ac:dyDescent="0.25">
      <c r="B21" s="100" t="s">
        <v>269</v>
      </c>
      <c r="C21" s="101" t="s">
        <v>270</v>
      </c>
    </row>
    <row r="22" spans="2:3" ht="24" customHeight="1" x14ac:dyDescent="0.25">
      <c r="B22" s="98" t="s">
        <v>271</v>
      </c>
      <c r="C22" s="99" t="s">
        <v>272</v>
      </c>
    </row>
    <row r="23" spans="2:3" ht="24" customHeight="1" x14ac:dyDescent="0.25">
      <c r="B23" s="100" t="s">
        <v>273</v>
      </c>
      <c r="C23" s="101" t="s">
        <v>274</v>
      </c>
    </row>
    <row r="24" spans="2:3" ht="24" customHeight="1" x14ac:dyDescent="0.25">
      <c r="B24" s="98" t="s">
        <v>275</v>
      </c>
      <c r="C24" s="99" t="s">
        <v>276</v>
      </c>
    </row>
    <row r="26" spans="2:3" ht="15" customHeight="1" x14ac:dyDescent="0.25">
      <c r="B26" s="1" t="s">
        <v>277</v>
      </c>
      <c r="C26" s="1"/>
    </row>
    <row r="27" spans="2:3" ht="24" customHeight="1" x14ac:dyDescent="0.25">
      <c r="B27" s="98" t="s">
        <v>278</v>
      </c>
      <c r="C27" s="99" t="s">
        <v>279</v>
      </c>
    </row>
    <row r="28" spans="2:3" ht="24" customHeight="1" x14ac:dyDescent="0.25">
      <c r="B28" s="100" t="s">
        <v>280</v>
      </c>
      <c r="C28" s="101" t="s">
        <v>281</v>
      </c>
    </row>
    <row r="29" spans="2:3" ht="24" customHeight="1" x14ac:dyDescent="0.25">
      <c r="B29" s="98" t="s">
        <v>282</v>
      </c>
      <c r="C29" s="99" t="s">
        <v>283</v>
      </c>
    </row>
    <row r="30" spans="2:3" ht="24" customHeight="1" x14ac:dyDescent="0.25">
      <c r="B30" s="100" t="s">
        <v>284</v>
      </c>
      <c r="C30" s="101" t="s">
        <v>285</v>
      </c>
    </row>
  </sheetData>
  <mergeCells count="5">
    <mergeCell ref="B1:C1"/>
    <mergeCell ref="B4:C4"/>
    <mergeCell ref="B11:C11"/>
    <mergeCell ref="B17:C17"/>
    <mergeCell ref="B26:C2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Tradelog</vt:lpstr>
      <vt:lpstr>Dashboard</vt:lpstr>
      <vt:lpstr>Equity-Kurve</vt:lpstr>
      <vt:lpstr>Risiko-Rechner</vt:lpstr>
      <vt:lpstr>Wochenreview</vt:lpstr>
      <vt:lpstr>Anleitung &amp; Glossar</vt:lpstr>
      <vt:lpstr>'Anleitung &amp; Glossar'!Drucktitel</vt:lpstr>
      <vt:lpstr>Dashboard!Drucktitel</vt:lpstr>
      <vt:lpstr>'Equity-Kurve'!Drucktitel</vt:lpstr>
      <vt:lpstr>'Risiko-Rechner'!Drucktitel</vt:lpstr>
      <vt:lpstr>Tradelog!Drucktitel</vt:lpstr>
      <vt:lpstr>Wochenreview!Drucktitel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3</cp:revision>
  <dcterms:created xsi:type="dcterms:W3CDTF">2026-06-10T10:33:36Z</dcterms:created>
  <dcterms:modified xsi:type="dcterms:W3CDTF">2026-06-10T10:52:00Z</dcterms:modified>
  <dc:language>en-US</dc:language>
</cp:coreProperties>
</file>