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4FBF86E-6270-4896-8824-A783B4913657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Tracking-Liste" sheetId="2" r:id="rId1"/>
    <sheet name="Übersicht" sheetId="1" r:id="rId2"/>
    <sheet name="Listen" sheetId="3" r:id="rId3"/>
  </sheets>
  <definedNames>
    <definedName name="_xlnm._FilterDatabase" localSheetId="0" hidden="1">'Tracking-Liste'!$A$4:$K$16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2" l="1"/>
  <c r="J23" i="2"/>
  <c r="J22" i="2"/>
  <c r="J21" i="2"/>
  <c r="J20" i="2"/>
  <c r="J19" i="2"/>
  <c r="J18" i="2"/>
  <c r="J17" i="2"/>
  <c r="G16" i="2"/>
  <c r="J16" i="2" s="1"/>
  <c r="F16" i="2"/>
  <c r="G15" i="2"/>
  <c r="J15" i="2" s="1"/>
  <c r="F15" i="2"/>
  <c r="G14" i="2"/>
  <c r="J14" i="2" s="1"/>
  <c r="F14" i="2"/>
  <c r="G13" i="2"/>
  <c r="J13" i="2" s="1"/>
  <c r="F13" i="2"/>
  <c r="G12" i="2"/>
  <c r="J12" i="2" s="1"/>
  <c r="F12" i="2"/>
  <c r="G11" i="2"/>
  <c r="J11" i="2" s="1"/>
  <c r="F11" i="2"/>
  <c r="G10" i="2"/>
  <c r="J10" i="2" s="1"/>
  <c r="F10" i="2"/>
  <c r="G9" i="2"/>
  <c r="J9" i="2" s="1"/>
  <c r="F9" i="2"/>
  <c r="G8" i="2"/>
  <c r="J8" i="2" s="1"/>
  <c r="F8" i="2"/>
  <c r="G7" i="2"/>
  <c r="J7" i="2" s="1"/>
  <c r="F7" i="2"/>
  <c r="G6" i="2"/>
  <c r="J6" i="2" s="1"/>
  <c r="F6" i="2"/>
  <c r="G5" i="2"/>
  <c r="J5" i="2" s="1"/>
  <c r="F5" i="2"/>
  <c r="D22" i="1"/>
  <c r="D21" i="1"/>
  <c r="D20" i="1"/>
  <c r="H19" i="1"/>
  <c r="F19" i="1"/>
  <c r="G19" i="1" s="1"/>
  <c r="D19" i="1"/>
  <c r="H18" i="1"/>
  <c r="G18" i="1"/>
  <c r="F18" i="1"/>
  <c r="F17" i="1"/>
  <c r="H17" i="1" s="1"/>
  <c r="H16" i="1"/>
  <c r="G16" i="1"/>
  <c r="F16" i="1"/>
  <c r="F15" i="1"/>
  <c r="H15" i="1" s="1"/>
  <c r="C15" i="1"/>
  <c r="H14" i="1"/>
  <c r="F14" i="1"/>
  <c r="G14" i="1" s="1"/>
  <c r="C14" i="1"/>
  <c r="H13" i="1"/>
  <c r="F13" i="1"/>
  <c r="G13" i="1" s="1"/>
  <c r="C13" i="1"/>
  <c r="D13" i="1" s="1"/>
  <c r="H12" i="1"/>
  <c r="G12" i="1"/>
  <c r="F12" i="1"/>
  <c r="C12" i="1"/>
  <c r="F11" i="1"/>
  <c r="H11" i="1" s="1"/>
  <c r="C11" i="1"/>
  <c r="C16" i="1" s="1"/>
  <c r="F5" i="1"/>
  <c r="D5" i="1"/>
  <c r="B5" i="1"/>
  <c r="H5" i="1" l="1"/>
  <c r="D14" i="1"/>
  <c r="D15" i="1"/>
  <c r="D12" i="1"/>
  <c r="G17" i="1"/>
  <c r="D11" i="1"/>
  <c r="D16" i="1" s="1"/>
  <c r="G11" i="1"/>
  <c r="G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I4" authorId="0" shapeId="0" xr:uid="{00000000-0006-0000-0100-000001000000}">
      <text>
        <r>
          <rPr>
            <sz val="10"/>
            <rFont val="Arial"/>
            <family val="2"/>
          </rPr>
          <t>Fortschritt 0–100 %. Bei »Erledigt« bitte 100 % setzen.</t>
        </r>
      </text>
    </comment>
    <comment ref="J4" authorId="0" shapeId="0" xr:uid="{00000000-0006-0000-0100-000002000000}">
      <text>
        <r>
          <rPr>
            <sz val="10"/>
            <rFont val="Arial"/>
            <family val="2"/>
          </rPr>
          <t>Automatisch: Tage bis zur Fälligkeit. Negativ = überfällig.</t>
        </r>
      </text>
    </comment>
  </commentList>
</comments>
</file>

<file path=xl/sharedStrings.xml><?xml version="1.0" encoding="utf-8"?>
<sst xmlns="http://schemas.openxmlformats.org/spreadsheetml/2006/main" count="151" uniqueCount="89">
  <si>
    <t>Automatische Auswertung der Tracking-Liste</t>
  </si>
  <si>
    <t>Vorgänge gesamt</t>
  </si>
  <si>
    <t>Erledigt</t>
  </si>
  <si>
    <t>In Bearbeitung</t>
  </si>
  <si>
    <t>Überfällig</t>
  </si>
  <si>
    <t>Status-Verteilung</t>
  </si>
  <si>
    <t>Vorgänge nach Kategorie</t>
  </si>
  <si>
    <t>Status</t>
  </si>
  <si>
    <t>Anzahl</t>
  </si>
  <si>
    <t>Anteil</t>
  </si>
  <si>
    <t>Kategorie</t>
  </si>
  <si>
    <t>Offen/Aktiv</t>
  </si>
  <si>
    <t>Gesamt</t>
  </si>
  <si>
    <t>Offen</t>
  </si>
  <si>
    <t>Wartet</t>
  </si>
  <si>
    <t>Abgebrochen</t>
  </si>
  <si>
    <t>Kennzahlen</t>
  </si>
  <si>
    <t>Ø Fortschritt (alle)</t>
  </si>
  <si>
    <t>Offene Vorgänge</t>
  </si>
  <si>
    <t>Hohe Priorität (aktiv)</t>
  </si>
  <si>
    <t>Erledigungsquote</t>
  </si>
  <si>
    <t>Zentrale Nachverfolgung von Vorgängen, Aufgaben und Maßnahmen · Status, Termine und Fortschritt auf einen Blick</t>
  </si>
  <si>
    <t>ID</t>
  </si>
  <si>
    <t>Vorgang / Beschreibung</t>
  </si>
  <si>
    <t>Verantwortlich</t>
  </si>
  <si>
    <t>Priorität</t>
  </si>
  <si>
    <t>Startdatum</t>
  </si>
  <si>
    <t>Fälligkeit</t>
  </si>
  <si>
    <t>Fortschritt</t>
  </si>
  <si>
    <t>Resttage</t>
  </si>
  <si>
    <t>Bemerkung</t>
  </si>
  <si>
    <t>V-001</t>
  </si>
  <si>
    <t>Angebot für Rahmenvertrag erstellen</t>
  </si>
  <si>
    <t>Vertrieb</t>
  </si>
  <si>
    <t>A. Berger</t>
  </si>
  <si>
    <t>Hoch</t>
  </si>
  <si>
    <t>An Kunden versendet</t>
  </si>
  <si>
    <t>V-002</t>
  </si>
  <si>
    <t>Website-Relaunch Startseite</t>
  </si>
  <si>
    <t>Marketing</t>
  </si>
  <si>
    <t>L. Hoffmann</t>
  </si>
  <si>
    <t>Mittel</t>
  </si>
  <si>
    <t>Entwurf in Abstimmung</t>
  </si>
  <si>
    <t>V-003</t>
  </si>
  <si>
    <t>Server-Update einspielen</t>
  </si>
  <si>
    <t>IT &amp; Technik</t>
  </si>
  <si>
    <t>M. Schuster</t>
  </si>
  <si>
    <t>Wartungsfenster geplant</t>
  </si>
  <si>
    <t>V-004</t>
  </si>
  <si>
    <t>Lieferantenbewertung Q1</t>
  </si>
  <si>
    <t>Einkauf</t>
  </si>
  <si>
    <t>K. Wagner</t>
  </si>
  <si>
    <t>Niedrig</t>
  </si>
  <si>
    <t>Kriterien festlegen</t>
  </si>
  <si>
    <t>V-005</t>
  </si>
  <si>
    <t>Onboarding neue Mitarbeitende</t>
  </si>
  <si>
    <t>Personal</t>
  </si>
  <si>
    <t>S. Albrecht</t>
  </si>
  <si>
    <t>Unterlagen vorbereitet</t>
  </si>
  <si>
    <t>V-006</t>
  </si>
  <si>
    <t>Monatsabschluss</t>
  </si>
  <si>
    <t>Finanzen</t>
  </si>
  <si>
    <t>T. Voss</t>
  </si>
  <si>
    <t>Wartet auf Belege</t>
  </si>
  <si>
    <t>V-007</t>
  </si>
  <si>
    <t>Ablage digitalisieren</t>
  </si>
  <si>
    <t>Organisation</t>
  </si>
  <si>
    <t>Scan-Workflow testen</t>
  </si>
  <si>
    <t>V-008</t>
  </si>
  <si>
    <t>Reklamation Vorgang #4821</t>
  </si>
  <si>
    <t>Kundenservice</t>
  </si>
  <si>
    <t>Gutschrift erstellt</t>
  </si>
  <si>
    <t>V-009</t>
  </si>
  <si>
    <t>Produktionsplan kommender Monat</t>
  </si>
  <si>
    <t>Produktion</t>
  </si>
  <si>
    <t>Kapazitäten prüfen</t>
  </si>
  <si>
    <t>V-010</t>
  </si>
  <si>
    <t>Social-Media-Kampagne Frühjahr</t>
  </si>
  <si>
    <t>Konzept in Arbeit</t>
  </si>
  <si>
    <t>V-011</t>
  </si>
  <si>
    <t>DSGVO-Schulung Team</t>
  </si>
  <si>
    <t>Auf später verschoben</t>
  </si>
  <si>
    <t>V-012</t>
  </si>
  <si>
    <t>Jahresvertrag Telefonie verhandeln</t>
  </si>
  <si>
    <t>Angebote vergleichen</t>
  </si>
  <si>
    <t>Tracking-Liste · Listen &amp; Einstellungen</t>
  </si>
  <si>
    <t>Diese Werte speisen die Dropdown-Felder. Einträge können ergänzt oder geändert werden.</t>
  </si>
  <si>
    <t>TRACKING LIST-ÜBERSICHT 2026</t>
  </si>
  <si>
    <t>TRACKING-LISTE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</si>
</sst>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sz val="10"/>
      <color rgb="FFE3EDEE"/>
      <name val="Calibri"/>
      <charset val="1"/>
    </font>
    <font>
      <b/>
      <sz val="24"/>
      <color rgb="FF13414B"/>
      <name val="Calibri"/>
      <charset val="1"/>
    </font>
    <font>
      <b/>
      <sz val="10"/>
      <color rgb="FF667273"/>
      <name val="Calibri"/>
      <charset val="1"/>
    </font>
    <font>
      <b/>
      <sz val="12"/>
      <color rgb="FF13414B"/>
      <name val="Calibri"/>
      <charset val="1"/>
    </font>
    <font>
      <b/>
      <sz val="10.5"/>
      <color rgb="FFFFFFFF"/>
      <name val="Calibri"/>
      <charset val="1"/>
    </font>
    <font>
      <sz val="10.5"/>
      <color rgb="FF21302F"/>
      <name val="Calibri"/>
      <charset val="1"/>
    </font>
    <font>
      <b/>
      <sz val="11"/>
      <color rgb="FF13414B"/>
      <name val="Calibri"/>
      <charset val="1"/>
    </font>
    <font>
      <b/>
      <sz val="10.5"/>
      <color rgb="FF13414B"/>
      <name val="Calibri"/>
      <charset val="1"/>
    </font>
    <font>
      <b/>
      <sz val="17"/>
      <color rgb="FFFFFFFF"/>
      <name val="Calibri"/>
      <charset val="1"/>
    </font>
    <font>
      <b/>
      <sz val="10"/>
      <color rgb="FF13414B"/>
      <name val="Calibri"/>
      <charset val="1"/>
    </font>
    <font>
      <sz val="10"/>
      <color rgb="FF21302F"/>
      <name val="Calibri"/>
      <charset val="1"/>
    </font>
    <font>
      <sz val="10"/>
      <name val="Arial"/>
      <family val="2"/>
    </font>
    <font>
      <b/>
      <sz val="16"/>
      <color rgb="FF13414B"/>
      <name val="Calibri"/>
      <charset val="1"/>
    </font>
    <font>
      <i/>
      <sz val="10"/>
      <color rgb="FF667273"/>
      <name val="Calibri"/>
      <charset val="1"/>
    </font>
    <font>
      <b/>
      <sz val="11"/>
      <color rgb="FFFFFFFF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13414B"/>
        <bgColor rgb="FF21302F"/>
      </patternFill>
    </fill>
    <fill>
      <patternFill patternType="solid">
        <fgColor rgb="FFE3EDEE"/>
        <bgColor rgb="FFE7EDF1"/>
      </patternFill>
    </fill>
    <fill>
      <patternFill patternType="solid">
        <fgColor rgb="FF215C66"/>
        <bgColor rgb="FF1F5B97"/>
      </patternFill>
    </fill>
    <fill>
      <patternFill patternType="solid">
        <fgColor rgb="FFFFFFFF"/>
        <bgColor rgb="FFF5F8F8"/>
      </patternFill>
    </fill>
    <fill>
      <patternFill patternType="solid">
        <fgColor rgb="FFF5F8F8"/>
        <bgColor rgb="FFFFFFFF"/>
      </patternFill>
    </fill>
    <fill>
      <patternFill patternType="solid">
        <fgColor rgb="FFDCEAEC"/>
        <bgColor rgb="FFDCE9F5"/>
      </patternFill>
    </fill>
  </fills>
  <borders count="5">
    <border>
      <left/>
      <right/>
      <top/>
      <bottom/>
      <diagonal/>
    </border>
    <border>
      <left/>
      <right/>
      <top style="thick">
        <color rgb="FFC57A1E"/>
      </top>
      <bottom/>
      <diagonal/>
    </border>
    <border>
      <left/>
      <right/>
      <top/>
      <bottom style="thin">
        <color rgb="FFCFDADC"/>
      </bottom>
      <diagonal/>
    </border>
    <border>
      <left style="thin">
        <color rgb="FFCFDADC"/>
      </left>
      <right style="thin">
        <color rgb="FFCFDADC"/>
      </right>
      <top style="thin">
        <color rgb="FFCFDADC"/>
      </top>
      <bottom style="thin">
        <color rgb="FFCFDADC"/>
      </bottom>
      <diagonal/>
    </border>
    <border>
      <left style="thin">
        <color rgb="FFCFDADC"/>
      </left>
      <right/>
      <top style="thin">
        <color rgb="FFCFDADC"/>
      </top>
      <bottom style="thin">
        <color rgb="FFCFDADC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5" fillId="0" borderId="0" xfId="0" applyFont="1"/>
    <xf numFmtId="0" fontId="14" fillId="0" borderId="0" xfId="0" applyFont="1"/>
    <xf numFmtId="0" fontId="10" fillId="2" borderId="0" xfId="0" applyFont="1" applyFill="1" applyAlignment="1">
      <alignment horizontal="left" vertical="center" indent="1"/>
    </xf>
    <xf numFmtId="0" fontId="7" fillId="6" borderId="4" xfId="0" applyFont="1" applyFill="1" applyBorder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0" fontId="5" fillId="0" borderId="0" xfId="0" applyFont="1"/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1" fontId="3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/>
    </xf>
    <xf numFmtId="9" fontId="7" fillId="5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9" fontId="7" fillId="6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center" vertical="center"/>
    </xf>
    <xf numFmtId="9" fontId="8" fillId="7" borderId="3" xfId="0" applyNumberFormat="1" applyFont="1" applyFill="1" applyBorder="1" applyAlignment="1">
      <alignment horizontal="center" vertical="center"/>
    </xf>
    <xf numFmtId="9" fontId="9" fillId="5" borderId="3" xfId="0" applyNumberFormat="1" applyFont="1" applyFill="1" applyBorder="1" applyAlignment="1">
      <alignment horizontal="center" vertical="center"/>
    </xf>
    <xf numFmtId="1" fontId="9" fillId="6" borderId="3" xfId="0" applyNumberFormat="1" applyFont="1" applyFill="1" applyBorder="1" applyAlignment="1">
      <alignment horizontal="center" vertical="center"/>
    </xf>
    <xf numFmtId="1" fontId="9" fillId="5" borderId="3" xfId="0" applyNumberFormat="1" applyFont="1" applyFill="1" applyBorder="1" applyAlignment="1">
      <alignment horizontal="center" vertical="center"/>
    </xf>
    <xf numFmtId="9" fontId="9" fillId="6" borderId="3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/>
    </xf>
    <xf numFmtId="9" fontId="12" fillId="5" borderId="3" xfId="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/>
    </xf>
    <xf numFmtId="164" fontId="12" fillId="6" borderId="3" xfId="0" applyNumberFormat="1" applyFont="1" applyFill="1" applyBorder="1" applyAlignment="1">
      <alignment horizontal="center" vertical="center"/>
    </xf>
    <xf numFmtId="9" fontId="12" fillId="6" borderId="3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10">
    <dxf>
      <font>
        <b/>
        <sz val="10"/>
        <color rgb="FF8A6516"/>
        <name val="Calibri"/>
        <charset val="1"/>
      </font>
      <fill>
        <patternFill>
          <bgColor rgb="FFFBF1DC"/>
        </patternFill>
      </fill>
    </dxf>
    <dxf>
      <font>
        <b/>
        <sz val="10"/>
        <color rgb="FF9B2C24"/>
        <name val="Calibri"/>
        <charset val="1"/>
      </font>
      <fill>
        <patternFill>
          <bgColor rgb="FFF6E2E0"/>
        </patternFill>
      </fill>
    </dxf>
    <dxf>
      <font>
        <b/>
        <sz val="10"/>
        <color rgb="FF6E6E6E"/>
        <name val="Calibri"/>
        <charset val="1"/>
      </font>
      <fill>
        <patternFill>
          <bgColor rgb="FFEFEAEA"/>
        </patternFill>
      </fill>
    </dxf>
    <dxf>
      <font>
        <b/>
        <sz val="10"/>
        <color rgb="FF2E6B33"/>
        <name val="Calibri"/>
        <charset val="1"/>
      </font>
      <fill>
        <patternFill>
          <bgColor rgb="FFE2F0E2"/>
        </patternFill>
      </fill>
    </dxf>
    <dxf>
      <font>
        <b/>
        <sz val="10"/>
        <color rgb="FF8A6516"/>
        <name val="Calibri"/>
        <charset val="1"/>
      </font>
      <fill>
        <patternFill>
          <bgColor rgb="FFFBF1DC"/>
        </patternFill>
      </fill>
    </dxf>
    <dxf>
      <font>
        <b/>
        <sz val="10"/>
        <color rgb="FF1F5B97"/>
        <name val="Calibri"/>
        <charset val="1"/>
      </font>
      <fill>
        <patternFill>
          <bgColor rgb="FFDCE9F5"/>
        </patternFill>
      </fill>
    </dxf>
    <dxf>
      <font>
        <b/>
        <sz val="10"/>
        <color rgb="FF3A4D63"/>
        <name val="Calibri"/>
        <charset val="1"/>
      </font>
      <fill>
        <patternFill>
          <bgColor rgb="FFE7EDF1"/>
        </patternFill>
      </fill>
    </dxf>
    <dxf>
      <font>
        <b/>
        <sz val="10"/>
        <color rgb="FF3C6B45"/>
        <name val="Calibri"/>
        <charset val="1"/>
      </font>
      <fill>
        <patternFill>
          <bgColor rgb="FFE7F0EA"/>
        </patternFill>
      </fill>
    </dxf>
    <dxf>
      <font>
        <b/>
        <sz val="10"/>
        <color rgb="FF8A6516"/>
        <name val="Calibri"/>
        <charset val="1"/>
      </font>
      <fill>
        <patternFill>
          <bgColor rgb="FFFBF1DC"/>
        </patternFill>
      </fill>
    </dxf>
    <dxf>
      <font>
        <b/>
        <sz val="10"/>
        <color rgb="FF9B2C24"/>
        <name val="Calibri"/>
        <charset val="1"/>
      </font>
      <fill>
        <patternFill>
          <bgColor rgb="FFF6E2E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5F8F8"/>
      <rgbColor rgb="FFFF00FF"/>
      <rgbColor rgb="FF00FFFF"/>
      <rgbColor rgb="FF800000"/>
      <rgbColor rgb="FF2E6B33"/>
      <rgbColor rgb="FF000080"/>
      <rgbColor rgb="FF8A6516"/>
      <rgbColor rgb="FF800080"/>
      <rgbColor rgb="FF215C66"/>
      <rgbColor rgb="FFD9D9D9"/>
      <rgbColor rgb="FF878787"/>
      <rgbColor rgb="FF9999FF"/>
      <rgbColor rgb="FF993366"/>
      <rgbColor rgb="FFFBF1DC"/>
      <rgbColor rgb="FFDCE9F5"/>
      <rgbColor rgb="FF660066"/>
      <rgbColor rgb="FFFF8080"/>
      <rgbColor rgb="FF1F5B97"/>
      <rgbColor rgb="FFCFDA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AEC"/>
      <rgbColor rgb="FFE2F0E2"/>
      <rgbColor rgb="FFE7F0EA"/>
      <rgbColor rgb="FFE3EDEE"/>
      <rgbColor rgb="FFEFEAEA"/>
      <rgbColor rgb="FFE7EDF1"/>
      <rgbColor rgb="FFF6E2E0"/>
      <rgbColor rgb="FF3366FF"/>
      <rgbColor rgb="FF33CCCC"/>
      <rgbColor rgb="FF99CC00"/>
      <rgbColor rgb="FFFFCC00"/>
      <rgbColor rgb="FFFF9900"/>
      <rgbColor rgb="FFC57A1E"/>
      <rgbColor rgb="FF667273"/>
      <rgbColor rgb="FF6E6E6E"/>
      <rgbColor rgb="FF13414B"/>
      <rgbColor rgb="FF3C6B45"/>
      <rgbColor rgb="FF003300"/>
      <rgbColor rgb="FF333300"/>
      <rgbColor rgb="FF9B2C24"/>
      <rgbColor rgb="FF993366"/>
      <rgbColor rgb="FF3A4D63"/>
      <rgbColor rgb="FF2130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Vorgänge nach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15C6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Übersicht!$B$11:$B$15</c:f>
              <c:strCache>
                <c:ptCount val="5"/>
                <c:pt idx="0">
                  <c:v>Offen</c:v>
                </c:pt>
                <c:pt idx="1">
                  <c:v>In Bearbeitung</c:v>
                </c:pt>
                <c:pt idx="2">
                  <c:v>Wartet</c:v>
                </c:pt>
                <c:pt idx="3">
                  <c:v>Erledigt</c:v>
                </c:pt>
                <c:pt idx="4">
                  <c:v>Abgebrochen</c:v>
                </c:pt>
              </c:strCache>
            </c:strRef>
          </c:cat>
          <c:val>
            <c:numRef>
              <c:f>Übersicht!$C$11:$C$15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6-4E25-8351-8E83B19E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67517"/>
        <c:axId val="99677779"/>
      </c:barChart>
      <c:catAx>
        <c:axId val="5146751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9677779"/>
        <c:crosses val="autoZero"/>
        <c:auto val="1"/>
        <c:lblAlgn val="ctr"/>
        <c:lblOffset val="100"/>
        <c:noMultiLvlLbl val="0"/>
      </c:catAx>
      <c:valAx>
        <c:axId val="996777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146751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11</xdr:col>
      <xdr:colOff>463680</xdr:colOff>
      <xdr:row>31</xdr:row>
      <xdr:rowOff>32400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showGridLines="0" tabSelected="1" zoomScaleNormal="100" workbookViewId="0">
      <pane ySplit="4" topLeftCell="A5" activePane="bottomLeft" state="frozen"/>
      <selection pane="bottomLeft" activeCell="N28" sqref="N28"/>
    </sheetView>
  </sheetViews>
  <sheetFormatPr baseColWidth="10" defaultColWidth="8.7109375" defaultRowHeight="15" x14ac:dyDescent="0.25"/>
  <cols>
    <col min="1" max="1" width="8" customWidth="1"/>
    <col min="2" max="2" width="34" customWidth="1"/>
    <col min="3" max="4" width="15" customWidth="1"/>
    <col min="5" max="5" width="11" customWidth="1"/>
    <col min="6" max="7" width="13" customWidth="1"/>
    <col min="8" max="8" width="16" customWidth="1"/>
    <col min="9" max="9" width="12" customWidth="1"/>
    <col min="10" max="10" width="10" customWidth="1"/>
    <col min="11" max="11" width="30" customWidth="1"/>
  </cols>
  <sheetData>
    <row r="1" spans="1:11" ht="30" customHeight="1" x14ac:dyDescent="0.25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" customHeight="1" x14ac:dyDescent="0.25">
      <c r="A2" s="7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4" spans="1:11" ht="30" customHeight="1" x14ac:dyDescent="0.25">
      <c r="A4" s="12" t="s">
        <v>22</v>
      </c>
      <c r="B4" s="12" t="s">
        <v>23</v>
      </c>
      <c r="C4" s="12" t="s">
        <v>10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7</v>
      </c>
      <c r="I4" s="12" t="s">
        <v>28</v>
      </c>
      <c r="J4" s="12" t="s">
        <v>29</v>
      </c>
      <c r="K4" s="12" t="s">
        <v>30</v>
      </c>
    </row>
    <row r="5" spans="1:11" x14ac:dyDescent="0.25">
      <c r="A5" s="26" t="s">
        <v>31</v>
      </c>
      <c r="B5" s="27" t="s">
        <v>32</v>
      </c>
      <c r="C5" s="28" t="s">
        <v>33</v>
      </c>
      <c r="D5" s="28" t="s">
        <v>34</v>
      </c>
      <c r="E5" s="28" t="s">
        <v>35</v>
      </c>
      <c r="F5" s="29">
        <f ca="1">TODAY()+-30</f>
        <v>46165</v>
      </c>
      <c r="G5" s="29">
        <f ca="1">TODAY()+-12</f>
        <v>46183</v>
      </c>
      <c r="H5" s="28" t="s">
        <v>2</v>
      </c>
      <c r="I5" s="30">
        <v>1</v>
      </c>
      <c r="J5" s="28" t="str">
        <f t="shared" ref="J5:J16" ca="1" si="0">IF(OR($H5="Erledigt",$H5="Abgebrochen",$G5=""),"",$G5-TODAY())</f>
        <v/>
      </c>
      <c r="K5" s="27" t="s">
        <v>36</v>
      </c>
    </row>
    <row r="6" spans="1:11" x14ac:dyDescent="0.25">
      <c r="A6" s="31" t="s">
        <v>37</v>
      </c>
      <c r="B6" s="32" t="s">
        <v>38</v>
      </c>
      <c r="C6" s="33" t="s">
        <v>39</v>
      </c>
      <c r="D6" s="33" t="s">
        <v>40</v>
      </c>
      <c r="E6" s="33" t="s">
        <v>41</v>
      </c>
      <c r="F6" s="34">
        <f ca="1">TODAY()+-10</f>
        <v>46185</v>
      </c>
      <c r="G6" s="34">
        <f ca="1">TODAY()+18</f>
        <v>46213</v>
      </c>
      <c r="H6" s="33" t="s">
        <v>3</v>
      </c>
      <c r="I6" s="35">
        <v>0.55000000000000004</v>
      </c>
      <c r="J6" s="33">
        <f t="shared" ca="1" si="0"/>
        <v>18</v>
      </c>
      <c r="K6" s="32" t="s">
        <v>42</v>
      </c>
    </row>
    <row r="7" spans="1:11" x14ac:dyDescent="0.25">
      <c r="A7" s="26" t="s">
        <v>43</v>
      </c>
      <c r="B7" s="27" t="s">
        <v>44</v>
      </c>
      <c r="C7" s="28" t="s">
        <v>45</v>
      </c>
      <c r="D7" s="28" t="s">
        <v>46</v>
      </c>
      <c r="E7" s="28" t="s">
        <v>35</v>
      </c>
      <c r="F7" s="29">
        <f ca="1">TODAY()+-8</f>
        <v>46187</v>
      </c>
      <c r="G7" s="29">
        <f ca="1">TODAY()+2</f>
        <v>46197</v>
      </c>
      <c r="H7" s="28" t="s">
        <v>3</v>
      </c>
      <c r="I7" s="30">
        <v>0.3</v>
      </c>
      <c r="J7" s="28">
        <f t="shared" ca="1" si="0"/>
        <v>2</v>
      </c>
      <c r="K7" s="27" t="s">
        <v>47</v>
      </c>
    </row>
    <row r="8" spans="1:11" x14ac:dyDescent="0.25">
      <c r="A8" s="31" t="s">
        <v>48</v>
      </c>
      <c r="B8" s="32" t="s">
        <v>49</v>
      </c>
      <c r="C8" s="33" t="s">
        <v>50</v>
      </c>
      <c r="D8" s="33" t="s">
        <v>51</v>
      </c>
      <c r="E8" s="33" t="s">
        <v>52</v>
      </c>
      <c r="F8" s="34">
        <f ca="1">TODAY()+5</f>
        <v>46200</v>
      </c>
      <c r="G8" s="34">
        <f ca="1">TODAY()+45</f>
        <v>46240</v>
      </c>
      <c r="H8" s="33" t="s">
        <v>13</v>
      </c>
      <c r="I8" s="35">
        <v>0</v>
      </c>
      <c r="J8" s="33">
        <f t="shared" ca="1" si="0"/>
        <v>45</v>
      </c>
      <c r="K8" s="32" t="s">
        <v>53</v>
      </c>
    </row>
    <row r="9" spans="1:11" x14ac:dyDescent="0.25">
      <c r="A9" s="26" t="s">
        <v>54</v>
      </c>
      <c r="B9" s="27" t="s">
        <v>55</v>
      </c>
      <c r="C9" s="28" t="s">
        <v>56</v>
      </c>
      <c r="D9" s="28" t="s">
        <v>57</v>
      </c>
      <c r="E9" s="28" t="s">
        <v>41</v>
      </c>
      <c r="F9" s="29">
        <f ca="1">TODAY()+-6</f>
        <v>46189</v>
      </c>
      <c r="G9" s="29">
        <f ca="1">TODAY()+9</f>
        <v>46204</v>
      </c>
      <c r="H9" s="28" t="s">
        <v>3</v>
      </c>
      <c r="I9" s="30">
        <v>0.4</v>
      </c>
      <c r="J9" s="28">
        <f t="shared" ca="1" si="0"/>
        <v>9</v>
      </c>
      <c r="K9" s="27" t="s">
        <v>58</v>
      </c>
    </row>
    <row r="10" spans="1:11" x14ac:dyDescent="0.25">
      <c r="A10" s="31" t="s">
        <v>59</v>
      </c>
      <c r="B10" s="32" t="s">
        <v>60</v>
      </c>
      <c r="C10" s="33" t="s">
        <v>61</v>
      </c>
      <c r="D10" s="33" t="s">
        <v>62</v>
      </c>
      <c r="E10" s="33" t="s">
        <v>35</v>
      </c>
      <c r="F10" s="34">
        <f ca="1">TODAY()+-2</f>
        <v>46193</v>
      </c>
      <c r="G10" s="34">
        <f ca="1">TODAY()+-1</f>
        <v>46194</v>
      </c>
      <c r="H10" s="33" t="s">
        <v>14</v>
      </c>
      <c r="I10" s="35"/>
      <c r="J10" s="33">
        <f t="shared" ca="1" si="0"/>
        <v>-1</v>
      </c>
      <c r="K10" s="32" t="s">
        <v>63</v>
      </c>
    </row>
    <row r="11" spans="1:11" x14ac:dyDescent="0.25">
      <c r="A11" s="26" t="s">
        <v>64</v>
      </c>
      <c r="B11" s="27" t="s">
        <v>65</v>
      </c>
      <c r="C11" s="28" t="s">
        <v>66</v>
      </c>
      <c r="D11" s="28" t="s">
        <v>40</v>
      </c>
      <c r="E11" s="28" t="s">
        <v>52</v>
      </c>
      <c r="F11" s="29">
        <f ca="1">TODAY()+-20</f>
        <v>46175</v>
      </c>
      <c r="G11" s="29">
        <f ca="1">TODAY()+70</f>
        <v>46265</v>
      </c>
      <c r="H11" s="28" t="s">
        <v>3</v>
      </c>
      <c r="I11" s="30">
        <v>0.2</v>
      </c>
      <c r="J11" s="28">
        <f t="shared" ca="1" si="0"/>
        <v>70</v>
      </c>
      <c r="K11" s="27" t="s">
        <v>67</v>
      </c>
    </row>
    <row r="12" spans="1:11" x14ac:dyDescent="0.25">
      <c r="A12" s="31" t="s">
        <v>68</v>
      </c>
      <c r="B12" s="32" t="s">
        <v>69</v>
      </c>
      <c r="C12" s="33" t="s">
        <v>70</v>
      </c>
      <c r="D12" s="33" t="s">
        <v>34</v>
      </c>
      <c r="E12" s="33" t="s">
        <v>35</v>
      </c>
      <c r="F12" s="34">
        <f ca="1">TODAY()+-14</f>
        <v>46181</v>
      </c>
      <c r="G12" s="34">
        <f ca="1">TODAY()+-3</f>
        <v>46192</v>
      </c>
      <c r="H12" s="33" t="s">
        <v>2</v>
      </c>
      <c r="I12" s="35">
        <v>1</v>
      </c>
      <c r="J12" s="33" t="str">
        <f t="shared" ca="1" si="0"/>
        <v/>
      </c>
      <c r="K12" s="32" t="s">
        <v>71</v>
      </c>
    </row>
    <row r="13" spans="1:11" x14ac:dyDescent="0.25">
      <c r="A13" s="26" t="s">
        <v>72</v>
      </c>
      <c r="B13" s="27" t="s">
        <v>73</v>
      </c>
      <c r="C13" s="28" t="s">
        <v>74</v>
      </c>
      <c r="D13" s="28" t="s">
        <v>46</v>
      </c>
      <c r="E13" s="28" t="s">
        <v>41</v>
      </c>
      <c r="F13" s="29">
        <f ca="1">TODAY()+1</f>
        <v>46196</v>
      </c>
      <c r="G13" s="29">
        <f ca="1">TODAY()+6</f>
        <v>46201</v>
      </c>
      <c r="H13" s="28" t="s">
        <v>13</v>
      </c>
      <c r="I13" s="30">
        <v>0</v>
      </c>
      <c r="J13" s="28">
        <f t="shared" ca="1" si="0"/>
        <v>6</v>
      </c>
      <c r="K13" s="27" t="s">
        <v>75</v>
      </c>
    </row>
    <row r="14" spans="1:11" x14ac:dyDescent="0.25">
      <c r="A14" s="31" t="s">
        <v>76</v>
      </c>
      <c r="B14" s="32" t="s">
        <v>77</v>
      </c>
      <c r="C14" s="33" t="s">
        <v>39</v>
      </c>
      <c r="D14" s="33" t="s">
        <v>40</v>
      </c>
      <c r="E14" s="33" t="s">
        <v>41</v>
      </c>
      <c r="F14" s="34">
        <f ca="1">TODAY()+8</f>
        <v>46203</v>
      </c>
      <c r="G14" s="34">
        <f ca="1">TODAY()+30</f>
        <v>46225</v>
      </c>
      <c r="H14" s="33" t="s">
        <v>13</v>
      </c>
      <c r="I14" s="35">
        <v>0</v>
      </c>
      <c r="J14" s="33">
        <f t="shared" ca="1" si="0"/>
        <v>30</v>
      </c>
      <c r="K14" s="32" t="s">
        <v>78</v>
      </c>
    </row>
    <row r="15" spans="1:11" x14ac:dyDescent="0.25">
      <c r="A15" s="26" t="s">
        <v>79</v>
      </c>
      <c r="B15" s="27" t="s">
        <v>80</v>
      </c>
      <c r="C15" s="28" t="s">
        <v>56</v>
      </c>
      <c r="D15" s="28" t="s">
        <v>57</v>
      </c>
      <c r="E15" s="28" t="s">
        <v>52</v>
      </c>
      <c r="F15" s="29">
        <f ca="1">TODAY()+-40</f>
        <v>46155</v>
      </c>
      <c r="G15" s="29">
        <f ca="1">TODAY()+-20</f>
        <v>46175</v>
      </c>
      <c r="H15" s="28" t="s">
        <v>15</v>
      </c>
      <c r="I15" s="30">
        <v>0</v>
      </c>
      <c r="J15" s="28" t="str">
        <f t="shared" ca="1" si="0"/>
        <v/>
      </c>
      <c r="K15" s="27" t="s">
        <v>81</v>
      </c>
    </row>
    <row r="16" spans="1:11" x14ac:dyDescent="0.25">
      <c r="A16" s="31" t="s">
        <v>82</v>
      </c>
      <c r="B16" s="32" t="s">
        <v>83</v>
      </c>
      <c r="C16" s="33" t="s">
        <v>50</v>
      </c>
      <c r="D16" s="33" t="s">
        <v>51</v>
      </c>
      <c r="E16" s="33" t="s">
        <v>41</v>
      </c>
      <c r="F16" s="34">
        <f ca="1">TODAY()+-9</f>
        <v>46186</v>
      </c>
      <c r="G16" s="34">
        <f ca="1">TODAY()+3</f>
        <v>46198</v>
      </c>
      <c r="H16" s="33" t="s">
        <v>3</v>
      </c>
      <c r="I16" s="35">
        <v>0.65</v>
      </c>
      <c r="J16" s="33">
        <f t="shared" ca="1" si="0"/>
        <v>3</v>
      </c>
      <c r="K16" s="32" t="s">
        <v>84</v>
      </c>
    </row>
    <row r="17" spans="1:11" x14ac:dyDescent="0.25">
      <c r="A17" s="28"/>
      <c r="B17" s="27"/>
      <c r="C17" s="28"/>
      <c r="D17" s="28"/>
      <c r="E17" s="28"/>
      <c r="F17" s="29"/>
      <c r="G17" s="29"/>
      <c r="H17" s="28"/>
      <c r="I17" s="30"/>
      <c r="J17" s="28" t="str">
        <f t="shared" ref="J17:J24" ca="1" si="1">IF(OR($A17="",$H17="Erledigt",$H17="Abgebrochen",$G17=""),"",$G17-TODAY())</f>
        <v/>
      </c>
      <c r="K17" s="27"/>
    </row>
    <row r="18" spans="1:11" x14ac:dyDescent="0.25">
      <c r="A18" s="33"/>
      <c r="B18" s="32"/>
      <c r="C18" s="33"/>
      <c r="D18" s="33"/>
      <c r="E18" s="33"/>
      <c r="F18" s="34"/>
      <c r="G18" s="34"/>
      <c r="H18" s="33"/>
      <c r="I18" s="35"/>
      <c r="J18" s="33" t="str">
        <f t="shared" ca="1" si="1"/>
        <v/>
      </c>
      <c r="K18" s="32"/>
    </row>
    <row r="19" spans="1:11" x14ac:dyDescent="0.25">
      <c r="A19" s="28"/>
      <c r="B19" s="27"/>
      <c r="C19" s="28"/>
      <c r="D19" s="28"/>
      <c r="E19" s="28"/>
      <c r="F19" s="29"/>
      <c r="G19" s="29"/>
      <c r="H19" s="28"/>
      <c r="I19" s="30"/>
      <c r="J19" s="28" t="str">
        <f t="shared" ca="1" si="1"/>
        <v/>
      </c>
      <c r="K19" s="27"/>
    </row>
    <row r="20" spans="1:11" x14ac:dyDescent="0.25">
      <c r="A20" s="33"/>
      <c r="B20" s="32"/>
      <c r="C20" s="33"/>
      <c r="D20" s="33"/>
      <c r="E20" s="33"/>
      <c r="F20" s="34"/>
      <c r="G20" s="34"/>
      <c r="H20" s="33"/>
      <c r="I20" s="35"/>
      <c r="J20" s="33" t="str">
        <f t="shared" ca="1" si="1"/>
        <v/>
      </c>
      <c r="K20" s="32"/>
    </row>
    <row r="21" spans="1:11" x14ac:dyDescent="0.25">
      <c r="A21" s="28"/>
      <c r="B21" s="27"/>
      <c r="C21" s="28"/>
      <c r="D21" s="28"/>
      <c r="E21" s="28"/>
      <c r="F21" s="29"/>
      <c r="G21" s="29"/>
      <c r="H21" s="28"/>
      <c r="I21" s="30"/>
      <c r="J21" s="28" t="str">
        <f t="shared" ca="1" si="1"/>
        <v/>
      </c>
      <c r="K21" s="27"/>
    </row>
    <row r="22" spans="1:11" x14ac:dyDescent="0.25">
      <c r="A22" s="33"/>
      <c r="B22" s="32"/>
      <c r="C22" s="33"/>
      <c r="D22" s="33"/>
      <c r="E22" s="33"/>
      <c r="F22" s="34"/>
      <c r="G22" s="34"/>
      <c r="H22" s="33"/>
      <c r="I22" s="35"/>
      <c r="J22" s="33" t="str">
        <f t="shared" ca="1" si="1"/>
        <v/>
      </c>
      <c r="K22" s="32"/>
    </row>
    <row r="23" spans="1:11" x14ac:dyDescent="0.25">
      <c r="A23" s="28"/>
      <c r="B23" s="27"/>
      <c r="C23" s="28"/>
      <c r="D23" s="28"/>
      <c r="E23" s="28"/>
      <c r="F23" s="29"/>
      <c r="G23" s="29"/>
      <c r="H23" s="28"/>
      <c r="I23" s="30"/>
      <c r="J23" s="28" t="str">
        <f t="shared" ca="1" si="1"/>
        <v/>
      </c>
      <c r="K23" s="27"/>
    </row>
    <row r="24" spans="1:11" x14ac:dyDescent="0.25">
      <c r="A24" s="33"/>
      <c r="B24" s="32"/>
      <c r="C24" s="33"/>
      <c r="D24" s="33"/>
      <c r="E24" s="33"/>
      <c r="F24" s="34"/>
      <c r="G24" s="34"/>
      <c r="H24" s="33"/>
      <c r="I24" s="35"/>
      <c r="J24" s="33" t="str">
        <f t="shared" ca="1" si="1"/>
        <v/>
      </c>
      <c r="K24" s="32"/>
    </row>
  </sheetData>
  <autoFilter ref="A4:K16" xr:uid="{00000000-0009-0000-0000-000001000000}"/>
  <mergeCells count="2">
    <mergeCell ref="A1:K1"/>
    <mergeCell ref="A2:K2"/>
  </mergeCells>
  <conditionalFormatting sqref="E5:E25">
    <cfRule type="cellIs" dxfId="9" priority="7" operator="equal">
      <formula>"Hoch"</formula>
    </cfRule>
    <cfRule type="cellIs" dxfId="8" priority="8" operator="equal">
      <formula>"Mittel"</formula>
    </cfRule>
    <cfRule type="cellIs" dxfId="7" priority="9" operator="equal">
      <formula>"Niedrig"</formula>
    </cfRule>
  </conditionalFormatting>
  <conditionalFormatting sqref="H5:H25">
    <cfRule type="cellIs" dxfId="6" priority="2" operator="equal">
      <formula>"Offen"</formula>
    </cfRule>
    <cfRule type="cellIs" dxfId="5" priority="3" operator="equal">
      <formula>"In Bearbeitung"</formula>
    </cfRule>
    <cfRule type="cellIs" dxfId="4" priority="4" operator="equal">
      <formula>"Wartet"</formula>
    </cfRule>
    <cfRule type="cellIs" dxfId="3" priority="5" operator="equal">
      <formula>"Erledigt"</formula>
    </cfRule>
    <cfRule type="cellIs" dxfId="2" priority="6" operator="equal">
      <formula>"Abgebrochen"</formula>
    </cfRule>
  </conditionalFormatting>
  <conditionalFormatting sqref="I5:I25">
    <cfRule type="dataBar" priority="10">
      <dataBar>
        <cfvo type="num" val="0"/>
        <cfvo type="num" val="1"/>
        <color rgb="FF215C66"/>
      </dataBar>
      <extLst>
        <ext xmlns:x14="http://schemas.microsoft.com/office/spreadsheetml/2009/9/main" uri="{B025F937-C7B1-47D3-B67F-A62EFF666E3E}">
          <x14:id>{E0D3E8AA-528A-4391-A3DD-F3A5A374F0AC}</x14:id>
        </ext>
      </extLst>
    </cfRule>
  </conditionalFormatting>
  <conditionalFormatting sqref="J5:J25">
    <cfRule type="cellIs" dxfId="1" priority="11" operator="lessThan">
      <formula>0</formula>
    </cfRule>
    <cfRule type="cellIs" dxfId="0" priority="12" operator="between">
      <formula>0</formula>
      <formula>3</formula>
    </cfRule>
  </conditionalFormatting>
  <dataValidations count="1">
    <dataValidation type="decimal" allowBlank="1" showErrorMessage="1" errorTitle="Fortschritt" error="Wert zwischen 0% und 100% eingeben." sqref="I5:I25" xr:uid="{00000000-0002-0000-0100-000004000000}">
      <formula1>0</formula1>
      <formula2>1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3E8AA-528A-4391-A3DD-F3A5A374F0AC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215C66"/>
            </x14:dataBar>
          </x14:cfRule>
          <xm:sqref>I5:I25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100-000000000000}">
          <x14:formula1>
            <xm:f>Listen!$B$6:$B$14</xm:f>
          </x14:formula1>
          <x14:formula2>
            <xm:f>0</xm:f>
          </x14:formula2>
          <xm:sqref>C5:C25</xm:sqref>
        </x14:dataValidation>
        <x14:dataValidation type="list" allowBlank="1" xr:uid="{00000000-0002-0000-0100-000001000000}">
          <x14:formula1>
            <xm:f>Listen!$E$6:$E$11</xm:f>
          </x14:formula1>
          <x14:formula2>
            <xm:f>0</xm:f>
          </x14:formula2>
          <xm:sqref>D5:D25</xm:sqref>
        </x14:dataValidation>
        <x14:dataValidation type="list" allowBlank="1" xr:uid="{00000000-0002-0000-0100-000002000000}">
          <x14:formula1>
            <xm:f>Listen!$D$6:$D$8</xm:f>
          </x14:formula1>
          <x14:formula2>
            <xm:f>0</xm:f>
          </x14:formula2>
          <xm:sqref>E5:E25</xm:sqref>
        </x14:dataValidation>
        <x14:dataValidation type="list" allowBlank="1" xr:uid="{00000000-0002-0000-0100-000003000000}">
          <x14:formula1>
            <xm:f>Listen!$C$6:$C$10</xm:f>
          </x14:formula1>
          <x14:formula2>
            <xm:f>0</xm:f>
          </x14:formula2>
          <xm:sqref>H5:H25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2"/>
  <sheetViews>
    <sheetView showGridLines="0" zoomScaleNormal="100" workbookViewId="0">
      <selection activeCell="N8" sqref="N8"/>
    </sheetView>
  </sheetViews>
  <sheetFormatPr baseColWidth="10" defaultColWidth="8.7109375" defaultRowHeight="15" x14ac:dyDescent="0.25"/>
  <cols>
    <col min="1" max="1" width="2.42578125" customWidth="1"/>
    <col min="2" max="2" width="22" customWidth="1"/>
    <col min="3" max="4" width="12" customWidth="1"/>
    <col min="5" max="5" width="2" customWidth="1"/>
    <col min="6" max="6" width="20" customWidth="1"/>
    <col min="7" max="7" width="13" customWidth="1"/>
    <col min="8" max="8" width="11" customWidth="1"/>
  </cols>
  <sheetData>
    <row r="2" spans="2:8" ht="30" customHeight="1" x14ac:dyDescent="0.25">
      <c r="B2" s="8" t="s">
        <v>87</v>
      </c>
      <c r="C2" s="8"/>
      <c r="D2" s="8"/>
      <c r="E2" s="8"/>
      <c r="F2" s="8"/>
      <c r="G2" s="8"/>
      <c r="H2" s="8"/>
    </row>
    <row r="3" spans="2:8" ht="15.75" customHeight="1" x14ac:dyDescent="0.25">
      <c r="B3" s="7" t="s">
        <v>0</v>
      </c>
      <c r="C3" s="7"/>
      <c r="D3" s="7"/>
      <c r="E3" s="7"/>
      <c r="F3" s="7"/>
      <c r="G3" s="7"/>
      <c r="H3" s="7"/>
    </row>
    <row r="5" spans="2:8" ht="37.5" customHeight="1" x14ac:dyDescent="0.25">
      <c r="B5" s="9">
        <f>COUNTA('Tracking-Liste'!$A$5:$A$25)</f>
        <v>12</v>
      </c>
      <c r="D5" s="9">
        <f>COUNTIF('Tracking-Liste'!$H$5:$H$25,"Erledigt")</f>
        <v>2</v>
      </c>
      <c r="F5" s="9">
        <f>COUNTIF('Tracking-Liste'!$H$5:$H$25,"In Bearbeitung")</f>
        <v>5</v>
      </c>
      <c r="H5" s="9">
        <f ca="1">COUNTIF('Tracking-Liste'!$J$5:$J$25,"&lt;0")</f>
        <v>1</v>
      </c>
    </row>
    <row r="6" spans="2:8" x14ac:dyDescent="0.25">
      <c r="B6" s="10" t="s">
        <v>1</v>
      </c>
      <c r="D6" s="10" t="s">
        <v>2</v>
      </c>
      <c r="F6" s="10" t="s">
        <v>3</v>
      </c>
      <c r="H6" s="10" t="s">
        <v>4</v>
      </c>
    </row>
    <row r="9" spans="2:8" ht="15.75" x14ac:dyDescent="0.25">
      <c r="B9" s="6" t="s">
        <v>5</v>
      </c>
      <c r="C9" s="6"/>
      <c r="D9" s="6"/>
      <c r="F9" s="6" t="s">
        <v>6</v>
      </c>
      <c r="G9" s="6"/>
      <c r="H9" s="6"/>
    </row>
    <row r="10" spans="2:8" x14ac:dyDescent="0.25">
      <c r="B10" s="11" t="s">
        <v>7</v>
      </c>
      <c r="C10" s="11" t="s">
        <v>8</v>
      </c>
      <c r="D10" s="11" t="s">
        <v>9</v>
      </c>
      <c r="F10" s="12" t="s">
        <v>10</v>
      </c>
      <c r="G10" s="12" t="s">
        <v>11</v>
      </c>
      <c r="H10" s="12" t="s">
        <v>12</v>
      </c>
    </row>
    <row r="11" spans="2:8" x14ac:dyDescent="0.25">
      <c r="B11" s="13" t="s">
        <v>13</v>
      </c>
      <c r="C11" s="14">
        <f>COUNTIF('Tracking-Liste'!$H$5:$H$25,$B11)</f>
        <v>3</v>
      </c>
      <c r="D11" s="15">
        <f>IFERROR($C11/$C$16,0)</f>
        <v>0.25</v>
      </c>
      <c r="F11" s="13" t="str">
        <f>Listen!$B$6</f>
        <v>Vertrieb</v>
      </c>
      <c r="G11" s="14">
        <f>COUNTIFS('Tracking-Liste'!$C$5:$C$25,$F11,'Tracking-Liste'!$H$5:$H$25,"In Bearbeitung")+COUNTIFS('Tracking-Liste'!$C$5:$C$25,$F11,'Tracking-Liste'!$H$5:$H$25,"Offen")+COUNTIFS('Tracking-Liste'!$C$5:$C$25,$F11,'Tracking-Liste'!$H$5:$H$25,"Wartet")</f>
        <v>0</v>
      </c>
      <c r="H11" s="14">
        <f>COUNTIF('Tracking-Liste'!$C$5:$C$25,$F11)</f>
        <v>1</v>
      </c>
    </row>
    <row r="12" spans="2:8" x14ac:dyDescent="0.25">
      <c r="B12" s="16" t="s">
        <v>3</v>
      </c>
      <c r="C12" s="17">
        <f>COUNTIF('Tracking-Liste'!$H$5:$H$25,$B12)</f>
        <v>5</v>
      </c>
      <c r="D12" s="18">
        <f>IFERROR($C12/$C$16,0)</f>
        <v>0.41666666666666669</v>
      </c>
      <c r="F12" s="16" t="str">
        <f>Listen!$B$7</f>
        <v>Marketing</v>
      </c>
      <c r="G12" s="17">
        <f>COUNTIFS('Tracking-Liste'!$C$5:$C$25,$F12,'Tracking-Liste'!$H$5:$H$25,"In Bearbeitung")+COUNTIFS('Tracking-Liste'!$C$5:$C$25,$F12,'Tracking-Liste'!$H$5:$H$25,"Offen")+COUNTIFS('Tracking-Liste'!$C$5:$C$25,$F12,'Tracking-Liste'!$H$5:$H$25,"Wartet")</f>
        <v>2</v>
      </c>
      <c r="H12" s="17">
        <f>COUNTIF('Tracking-Liste'!$C$5:$C$25,$F12)</f>
        <v>2</v>
      </c>
    </row>
    <row r="13" spans="2:8" x14ac:dyDescent="0.25">
      <c r="B13" s="13" t="s">
        <v>14</v>
      </c>
      <c r="C13" s="14">
        <f>COUNTIF('Tracking-Liste'!$H$5:$H$25,$B13)</f>
        <v>1</v>
      </c>
      <c r="D13" s="15">
        <f>IFERROR($C13/$C$16,0)</f>
        <v>8.3333333333333329E-2</v>
      </c>
      <c r="F13" s="13" t="str">
        <f>Listen!$B$8</f>
        <v>IT &amp; Technik</v>
      </c>
      <c r="G13" s="14">
        <f>COUNTIFS('Tracking-Liste'!$C$5:$C$25,$F13,'Tracking-Liste'!$H$5:$H$25,"In Bearbeitung")+COUNTIFS('Tracking-Liste'!$C$5:$C$25,$F13,'Tracking-Liste'!$H$5:$H$25,"Offen")+COUNTIFS('Tracking-Liste'!$C$5:$C$25,$F13,'Tracking-Liste'!$H$5:$H$25,"Wartet")</f>
        <v>1</v>
      </c>
      <c r="H13" s="14">
        <f>COUNTIF('Tracking-Liste'!$C$5:$C$25,$F13)</f>
        <v>1</v>
      </c>
    </row>
    <row r="14" spans="2:8" x14ac:dyDescent="0.25">
      <c r="B14" s="16" t="s">
        <v>2</v>
      </c>
      <c r="C14" s="17">
        <f>COUNTIF('Tracking-Liste'!$H$5:$H$25,$B14)</f>
        <v>2</v>
      </c>
      <c r="D14" s="18">
        <f>IFERROR($C14/$C$16,0)</f>
        <v>0.16666666666666666</v>
      </c>
      <c r="F14" s="16" t="str">
        <f>Listen!$B$9</f>
        <v>Einkauf</v>
      </c>
      <c r="G14" s="17">
        <f>COUNTIFS('Tracking-Liste'!$C$5:$C$25,$F14,'Tracking-Liste'!$H$5:$H$25,"In Bearbeitung")+COUNTIFS('Tracking-Liste'!$C$5:$C$25,$F14,'Tracking-Liste'!$H$5:$H$25,"Offen")+COUNTIFS('Tracking-Liste'!$C$5:$C$25,$F14,'Tracking-Liste'!$H$5:$H$25,"Wartet")</f>
        <v>2</v>
      </c>
      <c r="H14" s="17">
        <f>COUNTIF('Tracking-Liste'!$C$5:$C$25,$F14)</f>
        <v>2</v>
      </c>
    </row>
    <row r="15" spans="2:8" x14ac:dyDescent="0.25">
      <c r="B15" s="13" t="s">
        <v>15</v>
      </c>
      <c r="C15" s="14">
        <f>COUNTIF('Tracking-Liste'!$H$5:$H$25,$B15)</f>
        <v>1</v>
      </c>
      <c r="D15" s="15">
        <f>IFERROR($C15/$C$16,0)</f>
        <v>8.3333333333333329E-2</v>
      </c>
      <c r="F15" s="13" t="str">
        <f>Listen!$B$10</f>
        <v>Personal</v>
      </c>
      <c r="G15" s="14">
        <f>COUNTIFS('Tracking-Liste'!$C$5:$C$25,$F15,'Tracking-Liste'!$H$5:$H$25,"In Bearbeitung")+COUNTIFS('Tracking-Liste'!$C$5:$C$25,$F15,'Tracking-Liste'!$H$5:$H$25,"Offen")+COUNTIFS('Tracking-Liste'!$C$5:$C$25,$F15,'Tracking-Liste'!$H$5:$H$25,"Wartet")</f>
        <v>1</v>
      </c>
      <c r="H15" s="14">
        <f>COUNTIF('Tracking-Liste'!$C$5:$C$25,$F15)</f>
        <v>2</v>
      </c>
    </row>
    <row r="16" spans="2:8" x14ac:dyDescent="0.25">
      <c r="B16" s="19" t="s">
        <v>12</v>
      </c>
      <c r="C16" s="20">
        <f>SUM(C11:C15)</f>
        <v>12</v>
      </c>
      <c r="D16" s="21">
        <f>SUM(D11:D15)</f>
        <v>1</v>
      </c>
      <c r="F16" s="16" t="str">
        <f>Listen!$B$11</f>
        <v>Finanzen</v>
      </c>
      <c r="G16" s="17">
        <f>COUNTIFS('Tracking-Liste'!$C$5:$C$25,$F16,'Tracking-Liste'!$H$5:$H$25,"In Bearbeitung")+COUNTIFS('Tracking-Liste'!$C$5:$C$25,$F16,'Tracking-Liste'!$H$5:$H$25,"Offen")+COUNTIFS('Tracking-Liste'!$C$5:$C$25,$F16,'Tracking-Liste'!$H$5:$H$25,"Wartet")</f>
        <v>1</v>
      </c>
      <c r="H16" s="17">
        <f>COUNTIF('Tracking-Liste'!$C$5:$C$25,$F16)</f>
        <v>1</v>
      </c>
    </row>
    <row r="17" spans="2:8" x14ac:dyDescent="0.25">
      <c r="F17" s="13" t="str">
        <f>Listen!$B$12</f>
        <v>Organisation</v>
      </c>
      <c r="G17" s="14">
        <f>COUNTIFS('Tracking-Liste'!$C$5:$C$25,$F17,'Tracking-Liste'!$H$5:$H$25,"In Bearbeitung")+COUNTIFS('Tracking-Liste'!$C$5:$C$25,$F17,'Tracking-Liste'!$H$5:$H$25,"Offen")+COUNTIFS('Tracking-Liste'!$C$5:$C$25,$F17,'Tracking-Liste'!$H$5:$H$25,"Wartet")</f>
        <v>1</v>
      </c>
      <c r="H17" s="14">
        <f>COUNTIF('Tracking-Liste'!$C$5:$C$25,$F17)</f>
        <v>1</v>
      </c>
    </row>
    <row r="18" spans="2:8" ht="15.75" x14ac:dyDescent="0.25">
      <c r="B18" s="6" t="s">
        <v>16</v>
      </c>
      <c r="C18" s="6"/>
      <c r="D18" s="6"/>
      <c r="F18" s="16" t="str">
        <f>Listen!$B$13</f>
        <v>Kundenservice</v>
      </c>
      <c r="G18" s="17">
        <f>COUNTIFS('Tracking-Liste'!$C$5:$C$25,$F18,'Tracking-Liste'!$H$5:$H$25,"In Bearbeitung")+COUNTIFS('Tracking-Liste'!$C$5:$C$25,$F18,'Tracking-Liste'!$H$5:$H$25,"Offen")+COUNTIFS('Tracking-Liste'!$C$5:$C$25,$F18,'Tracking-Liste'!$H$5:$H$25,"Wartet")</f>
        <v>0</v>
      </c>
      <c r="H18" s="17">
        <f>COUNTIF('Tracking-Liste'!$C$5:$C$25,$F18)</f>
        <v>1</v>
      </c>
    </row>
    <row r="19" spans="2:8" x14ac:dyDescent="0.25">
      <c r="B19" s="5" t="s">
        <v>17</v>
      </c>
      <c r="C19" s="5"/>
      <c r="D19" s="22">
        <f>IFERROR(AVERAGE('Tracking-Liste'!$I$5:$I$25),0)</f>
        <v>0.3727272727272728</v>
      </c>
      <c r="F19" s="13" t="str">
        <f>Listen!$B$14</f>
        <v>Produktion</v>
      </c>
      <c r="G19" s="14">
        <f>COUNTIFS('Tracking-Liste'!$C$5:$C$25,$F19,'Tracking-Liste'!$H$5:$H$25,"In Bearbeitung")+COUNTIFS('Tracking-Liste'!$C$5:$C$25,$F19,'Tracking-Liste'!$H$5:$H$25,"Offen")+COUNTIFS('Tracking-Liste'!$C$5:$C$25,$F19,'Tracking-Liste'!$H$5:$H$25,"Wartet")</f>
        <v>1</v>
      </c>
      <c r="H19" s="14">
        <f>COUNTIF('Tracking-Liste'!$C$5:$C$25,$F19)</f>
        <v>1</v>
      </c>
    </row>
    <row r="20" spans="2:8" x14ac:dyDescent="0.25">
      <c r="B20" s="4" t="s">
        <v>18</v>
      </c>
      <c r="C20" s="4"/>
      <c r="D20" s="23">
        <f>COUNTIF('Tracking-Liste'!$H$5:$H$25,"Offen")+COUNTIF('Tracking-Liste'!$H$5:$H$25,"In Bearbeitung")+COUNTIF('Tracking-Liste'!$H$5:$H$25,"Wartet")</f>
        <v>9</v>
      </c>
    </row>
    <row r="21" spans="2:8" x14ac:dyDescent="0.25">
      <c r="B21" s="5" t="s">
        <v>19</v>
      </c>
      <c r="C21" s="5"/>
      <c r="D21" s="24">
        <f>COUNTIFS('Tracking-Liste'!$E$5:$E$25,"Hoch",'Tracking-Liste'!$H$5:$H$25,"&lt;&gt;Erledigt",'Tracking-Liste'!$H$5:$H$25,"&lt;&gt;Abgebrochen")</f>
        <v>2</v>
      </c>
    </row>
    <row r="22" spans="2:8" x14ac:dyDescent="0.25">
      <c r="B22" s="4" t="s">
        <v>20</v>
      </c>
      <c r="C22" s="4"/>
      <c r="D22" s="25">
        <f>IFERROR(COUNTIF('Tracking-Liste'!$H$5:$H$25,"Erledigt")/COUNTA('Tracking-Liste'!$A$5:$A$25),0)</f>
        <v>0.16666666666666666</v>
      </c>
    </row>
  </sheetData>
  <mergeCells count="9">
    <mergeCell ref="B19:C19"/>
    <mergeCell ref="B20:C20"/>
    <mergeCell ref="B21:C21"/>
    <mergeCell ref="B22:C22"/>
    <mergeCell ref="B2:H2"/>
    <mergeCell ref="B3:H3"/>
    <mergeCell ref="B9:D9"/>
    <mergeCell ref="F9:H9"/>
    <mergeCell ref="B18:D1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4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3" width="18" customWidth="1"/>
    <col min="4" max="4" width="14" customWidth="1"/>
    <col min="5" max="5" width="18" customWidth="1"/>
  </cols>
  <sheetData>
    <row r="2" spans="2:5" ht="21" x14ac:dyDescent="0.35">
      <c r="B2" s="2" t="s">
        <v>85</v>
      </c>
      <c r="C2" s="2"/>
      <c r="D2" s="2"/>
      <c r="E2" s="2"/>
    </row>
    <row r="3" spans="2:5" x14ac:dyDescent="0.25">
      <c r="B3" s="1" t="s">
        <v>86</v>
      </c>
      <c r="C3" s="1"/>
      <c r="D3" s="1"/>
      <c r="E3" s="1"/>
    </row>
    <row r="5" spans="2:5" x14ac:dyDescent="0.25">
      <c r="B5" s="36" t="s">
        <v>10</v>
      </c>
      <c r="C5" s="36" t="s">
        <v>7</v>
      </c>
      <c r="D5" s="36" t="s">
        <v>25</v>
      </c>
      <c r="E5" s="36" t="s">
        <v>24</v>
      </c>
    </row>
    <row r="6" spans="2:5" x14ac:dyDescent="0.25">
      <c r="B6" s="13" t="s">
        <v>33</v>
      </c>
      <c r="C6" s="13" t="s">
        <v>13</v>
      </c>
      <c r="D6" s="13" t="s">
        <v>35</v>
      </c>
      <c r="E6" s="13" t="s">
        <v>34</v>
      </c>
    </row>
    <row r="7" spans="2:5" x14ac:dyDescent="0.25">
      <c r="B7" s="16" t="s">
        <v>39</v>
      </c>
      <c r="C7" s="16" t="s">
        <v>3</v>
      </c>
      <c r="D7" s="16" t="s">
        <v>41</v>
      </c>
      <c r="E7" s="16" t="s">
        <v>46</v>
      </c>
    </row>
    <row r="8" spans="2:5" x14ac:dyDescent="0.25">
      <c r="B8" s="13" t="s">
        <v>45</v>
      </c>
      <c r="C8" s="13" t="s">
        <v>14</v>
      </c>
      <c r="D8" s="13" t="s">
        <v>52</v>
      </c>
      <c r="E8" s="13" t="s">
        <v>40</v>
      </c>
    </row>
    <row r="9" spans="2:5" x14ac:dyDescent="0.25">
      <c r="B9" s="16" t="s">
        <v>50</v>
      </c>
      <c r="C9" s="16" t="s">
        <v>2</v>
      </c>
      <c r="E9" s="16" t="s">
        <v>51</v>
      </c>
    </row>
    <row r="10" spans="2:5" x14ac:dyDescent="0.25">
      <c r="B10" s="13" t="s">
        <v>56</v>
      </c>
      <c r="C10" s="13" t="s">
        <v>15</v>
      </c>
      <c r="E10" s="13" t="s">
        <v>57</v>
      </c>
    </row>
    <row r="11" spans="2:5" x14ac:dyDescent="0.25">
      <c r="B11" s="16" t="s">
        <v>61</v>
      </c>
      <c r="E11" s="16" t="s">
        <v>62</v>
      </c>
    </row>
    <row r="12" spans="2:5" x14ac:dyDescent="0.25">
      <c r="B12" s="13" t="s">
        <v>66</v>
      </c>
    </row>
    <row r="13" spans="2:5" x14ac:dyDescent="0.25">
      <c r="B13" s="16" t="s">
        <v>70</v>
      </c>
    </row>
    <row r="14" spans="2:5" x14ac:dyDescent="0.25">
      <c r="B14" s="13" t="s">
        <v>74</v>
      </c>
    </row>
  </sheetData>
  <mergeCells count="2">
    <mergeCell ref="B2:E2"/>
    <mergeCell ref="B3:E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Tracking-Liste</vt:lpstr>
      <vt:lpstr>Übersicht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2026-06-22T07:04:24Z</dcterms:created>
  <dcterms:modified xsi:type="dcterms:W3CDTF">2026-06-22T11:27:04Z</dcterms:modified>
  <dc:language>en-US</dc:language>
</cp:coreProperties>
</file>