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658F5AB-468A-4715-8E5C-4F3DBD2B5658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Tagesbericht" sheetId="1" r:id="rId1"/>
    <sheet name="Belege" sheetId="2" r:id="rId2"/>
    <sheet name="Zählprotokoll" sheetId="3" r:id="rId3"/>
    <sheet name="Monatsübersicht" sheetId="4" r:id="rId4"/>
    <sheet name="Anleitung" sheetId="5" r:id="rId5"/>
  </sheets>
  <definedNames>
    <definedName name="_xlnm.Print_Area" localSheetId="4">Anleitung!$A$1:$D$26</definedName>
    <definedName name="_xlnm.Print_Area" localSheetId="3">Monatsübersicht!$A$1:$K$34</definedName>
    <definedName name="_xlnm.Print_Area" localSheetId="0">Tagesbericht!$A$1:$H$37</definedName>
    <definedName name="_xlnm.Print_Area" localSheetId="2">Zählprotokoll!$A$1:$H$32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4" i="4" l="1"/>
  <c r="E34" i="4"/>
  <c r="K33" i="4"/>
  <c r="C33" i="4"/>
  <c r="K32" i="4"/>
  <c r="C32" i="4"/>
  <c r="K31" i="4"/>
  <c r="C31" i="4"/>
  <c r="K30" i="4"/>
  <c r="C30" i="4"/>
  <c r="K29" i="4"/>
  <c r="C29" i="4"/>
  <c r="K28" i="4"/>
  <c r="C28" i="4"/>
  <c r="K27" i="4"/>
  <c r="C27" i="4"/>
  <c r="K26" i="4"/>
  <c r="C26" i="4"/>
  <c r="K25" i="4"/>
  <c r="C25" i="4"/>
  <c r="K24" i="4"/>
  <c r="C24" i="4"/>
  <c r="K23" i="4"/>
  <c r="C23" i="4"/>
  <c r="K22" i="4"/>
  <c r="C22" i="4"/>
  <c r="K21" i="4"/>
  <c r="C21" i="4"/>
  <c r="K20" i="4"/>
  <c r="C20" i="4"/>
  <c r="K19" i="4"/>
  <c r="C19" i="4"/>
  <c r="F18" i="4"/>
  <c r="F34" i="4" s="1"/>
  <c r="E18" i="4"/>
  <c r="D18" i="4"/>
  <c r="C18" i="4"/>
  <c r="K17" i="4"/>
  <c r="C17" i="4"/>
  <c r="K16" i="4"/>
  <c r="C16" i="4"/>
  <c r="K15" i="4"/>
  <c r="C15" i="4"/>
  <c r="K14" i="4"/>
  <c r="C14" i="4"/>
  <c r="K13" i="4"/>
  <c r="C13" i="4"/>
  <c r="K12" i="4"/>
  <c r="C12" i="4"/>
  <c r="K11" i="4"/>
  <c r="C11" i="4"/>
  <c r="K10" i="4"/>
  <c r="C10" i="4"/>
  <c r="K9" i="4"/>
  <c r="C9" i="4"/>
  <c r="K8" i="4"/>
  <c r="C8" i="4"/>
  <c r="C16" i="3"/>
  <c r="H15" i="3"/>
  <c r="G19" i="3" s="1"/>
  <c r="G15" i="3"/>
  <c r="D15" i="3"/>
  <c r="H14" i="3"/>
  <c r="D14" i="3"/>
  <c r="H13" i="3"/>
  <c r="D13" i="3"/>
  <c r="H12" i="3"/>
  <c r="D12" i="3"/>
  <c r="D16" i="3" s="1"/>
  <c r="C19" i="3" s="1"/>
  <c r="H11" i="3"/>
  <c r="D11" i="3"/>
  <c r="H10" i="3"/>
  <c r="D10" i="3"/>
  <c r="H9" i="3"/>
  <c r="D9" i="3"/>
  <c r="H8" i="3"/>
  <c r="D8" i="3"/>
  <c r="G4" i="3"/>
  <c r="C4" i="3"/>
  <c r="H32" i="2"/>
  <c r="F32" i="2"/>
  <c r="I31" i="2"/>
  <c r="H31" i="2"/>
  <c r="I30" i="2"/>
  <c r="H30" i="2"/>
  <c r="I29" i="2"/>
  <c r="H29" i="2"/>
  <c r="I28" i="2"/>
  <c r="H28" i="2"/>
  <c r="H27" i="2"/>
  <c r="I27" i="2" s="1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H17" i="2"/>
  <c r="I17" i="2" s="1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H7" i="2"/>
  <c r="I7" i="2" s="1"/>
  <c r="D16" i="1" s="1"/>
  <c r="I6" i="2"/>
  <c r="H6" i="2"/>
  <c r="I5" i="2"/>
  <c r="D17" i="1" s="1"/>
  <c r="H5" i="2"/>
  <c r="G29" i="1"/>
  <c r="G28" i="1"/>
  <c r="G27" i="1"/>
  <c r="C27" i="1"/>
  <c r="G26" i="1"/>
  <c r="C26" i="1"/>
  <c r="G25" i="1"/>
  <c r="C25" i="1"/>
  <c r="G24" i="1"/>
  <c r="C24" i="1"/>
  <c r="G23" i="1"/>
  <c r="C23" i="1"/>
  <c r="C28" i="1" s="1"/>
  <c r="G22" i="1"/>
  <c r="G18" i="1"/>
  <c r="H16" i="1" s="1"/>
  <c r="C18" i="1"/>
  <c r="H17" i="1"/>
  <c r="G17" i="1"/>
  <c r="C17" i="1"/>
  <c r="G16" i="1"/>
  <c r="C16" i="1"/>
  <c r="C19" i="1" s="1"/>
  <c r="H12" i="1"/>
  <c r="G12" i="1"/>
  <c r="F12" i="1"/>
  <c r="D12" i="1"/>
  <c r="H18" i="4" s="1"/>
  <c r="H34" i="4" s="1"/>
  <c r="C12" i="1"/>
  <c r="G18" i="4" s="1"/>
  <c r="B12" i="1"/>
  <c r="G6" i="1"/>
  <c r="G34" i="4" l="1"/>
  <c r="J5" i="4" s="1"/>
  <c r="D22" i="3"/>
  <c r="D19" i="1"/>
  <c r="I32" i="2"/>
  <c r="H18" i="1"/>
  <c r="H19" i="1" s="1"/>
  <c r="B5" i="4"/>
  <c r="D5" i="4"/>
  <c r="G19" i="1"/>
  <c r="H22" i="3" l="1"/>
  <c r="D32" i="3"/>
  <c r="C29" i="1" s="1"/>
  <c r="C30" i="1" l="1"/>
  <c r="I18" i="4"/>
  <c r="E19" i="4" s="1"/>
  <c r="G30" i="1" l="1"/>
  <c r="J18" i="4"/>
  <c r="J34" i="4" l="1"/>
  <c r="H5" i="4"/>
  <c r="F5" i="4"/>
  <c r="K18" i="4"/>
</calcChain>
</file>

<file path=xl/sharedStrings.xml><?xml version="1.0" encoding="utf-8"?>
<sst xmlns="http://schemas.openxmlformats.org/spreadsheetml/2006/main" count="360" uniqueCount="277">
  <si>
    <t>Tagesbericht Kasse</t>
  </si>
  <si>
    <t>Tageskassenabschluss nach §§ 146, 147 AO · Aufbewahrungsfrist 10 Jahre</t>
  </si>
  <si>
    <t>▌ STAMMDATEN</t>
  </si>
  <si>
    <t>Firma</t>
  </si>
  <si>
    <t>Sonnenhof Handelsbetrieb GmbH</t>
  </si>
  <si>
    <t>Datum</t>
  </si>
  <si>
    <t>Anschrift</t>
  </si>
  <si>
    <t>Marktstraße 17, 28195 Bremen</t>
  </si>
  <si>
    <t>Wochentag</t>
  </si>
  <si>
    <t>Steuernummer</t>
  </si>
  <si>
    <t>60/123/45678</t>
  </si>
  <si>
    <t>Z-Bon-Nummer</t>
  </si>
  <si>
    <t>Z-2026-072</t>
  </si>
  <si>
    <t>Kasse-ID</t>
  </si>
  <si>
    <t>K-01</t>
  </si>
  <si>
    <t>Lfd. Bericht-Nr.</t>
  </si>
  <si>
    <t>TB-2026-072</t>
  </si>
  <si>
    <t>Kassierer/in</t>
  </si>
  <si>
    <t>M. Albrecht</t>
  </si>
  <si>
    <t>Öffnungszeit</t>
  </si>
  <si>
    <t>08:00 – 19:00</t>
  </si>
  <si>
    <t>Bruttoumsatz Tag</t>
  </si>
  <si>
    <t>Bareinnahmen</t>
  </si>
  <si>
    <t>Kartenumsatz</t>
  </si>
  <si>
    <t>Anzahl Belege</t>
  </si>
  <si>
    <t>Stornoquote</t>
  </si>
  <si>
    <t>Ø Bonwert</t>
  </si>
  <si>
    <t>▌ UMSATZAUFTEILUNG NACH MWST-SATZ</t>
  </si>
  <si>
    <t>▌ AUFTEILUNG NACH ZAHLUNGSART</t>
  </si>
  <si>
    <t>MwSt-Satz</t>
  </si>
  <si>
    <t>Netto</t>
  </si>
  <si>
    <t>USt</t>
  </si>
  <si>
    <t>Zahlungsart</t>
  </si>
  <si>
    <t>Betrag</t>
  </si>
  <si>
    <t>Anteil</t>
  </si>
  <si>
    <t>Regelsatz 19 %</t>
  </si>
  <si>
    <t>Bar</t>
  </si>
  <si>
    <t>Ermäßigt 7 %</t>
  </si>
  <si>
    <t>EC-Karte</t>
  </si>
  <si>
    <t>Steuerfrei 0 %</t>
  </si>
  <si>
    <t>Kreditkarte</t>
  </si>
  <si>
    <t>Σ Umsatz Netto / USt</t>
  </si>
  <si>
    <t>Σ Einnahmen</t>
  </si>
  <si>
    <t>▌ KASSENBESTAND BAR (SOLL)</t>
  </si>
  <si>
    <t>▌ BEWEGUNGSANALYSE</t>
  </si>
  <si>
    <t>Anfangsbestand</t>
  </si>
  <si>
    <t>Anzahl Einnahmen</t>
  </si>
  <si>
    <t>+ Bareinnahmen</t>
  </si>
  <si>
    <t>Anzahl Stornos</t>
  </si>
  <si>
    <t>+ Stornos (bar)</t>
  </si>
  <si>
    <t>Anzahl Ausgaben</t>
  </si>
  <si>
    <t>– Barausgaben</t>
  </si>
  <si>
    <t>Σ Ausgaben (bar)</t>
  </si>
  <si>
    <t>+ Einlagen</t>
  </si>
  <si>
    <t>Σ Einlagen</t>
  </si>
  <si>
    <t>– Entnahmen (privat)</t>
  </si>
  <si>
    <t>Σ Privatentnahmen</t>
  </si>
  <si>
    <t>Endbestand SOLL</t>
  </si>
  <si>
    <t>Ø Bonwert (Einnahmen)</t>
  </si>
  <si>
    <t>Endbestand IST (gezählt)</t>
  </si>
  <si>
    <t>Höchster Bon</t>
  </si>
  <si>
    <t>Differenz (Ist − Soll)</t>
  </si>
  <si>
    <t>Status Kasse</t>
  </si>
  <si>
    <t>▌ UNTERSCHRIFTEN UND ANMERKUNGEN</t>
  </si>
  <si>
    <t>Anmerkungen</t>
  </si>
  <si>
    <t>_________________________</t>
  </si>
  <si>
    <t>Kassierer/in (Datum, Unterschrift)</t>
  </si>
  <si>
    <t>Verantwortliche/r (Datum, Unterschrift)</t>
  </si>
  <si>
    <t>Belege – Geschäftsvorfälle des Tages</t>
  </si>
  <si>
    <t>Lückenlose Erfassung aller Bargeld- und Kartenbewegungen · Eingabezellen gelb</t>
  </si>
  <si>
    <t>Lfd.</t>
  </si>
  <si>
    <t>Uhrzeit</t>
  </si>
  <si>
    <t>Belegnummer</t>
  </si>
  <si>
    <t>Art</t>
  </si>
  <si>
    <t>Beschreibung</t>
  </si>
  <si>
    <t>Bruttobetrag</t>
  </si>
  <si>
    <t>MwSt-%</t>
  </si>
  <si>
    <t>Notiz</t>
  </si>
  <si>
    <t>08:15</t>
  </si>
  <si>
    <t>BEL-2026-0312-001</t>
  </si>
  <si>
    <t>Einlage</t>
  </si>
  <si>
    <t>Wechselgeld-Einlage aus Tresor</t>
  </si>
  <si>
    <t>Kassenstart</t>
  </si>
  <si>
    <t>09:02</t>
  </si>
  <si>
    <t>BEL-2026-0312-002</t>
  </si>
  <si>
    <t>Einnahme</t>
  </si>
  <si>
    <t>Verkauf Warengruppe A</t>
  </si>
  <si>
    <t>09:18</t>
  </si>
  <si>
    <t>BEL-2026-0312-003</t>
  </si>
  <si>
    <t>Verkauf Warengruppe B</t>
  </si>
  <si>
    <t>09:45</t>
  </si>
  <si>
    <t>BEL-2026-0312-004</t>
  </si>
  <si>
    <t>10:12</t>
  </si>
  <si>
    <t>BEL-2026-0312-005</t>
  </si>
  <si>
    <t>Dienstleistung Beratung</t>
  </si>
  <si>
    <t>Termin Vormittag</t>
  </si>
  <si>
    <t>10:38</t>
  </si>
  <si>
    <t>BEL-2026-0312-006</t>
  </si>
  <si>
    <t>11:05</t>
  </si>
  <si>
    <t>BEL-2026-0312-007</t>
  </si>
  <si>
    <t>11:22</t>
  </si>
  <si>
    <t>BEL-2026-0312-008</t>
  </si>
  <si>
    <t>11:50</t>
  </si>
  <si>
    <t>BEL-2026-0312-009</t>
  </si>
  <si>
    <t>Verkauf Warengruppe C (steuerfrei)</t>
  </si>
  <si>
    <t>Gutschein-Einlösung</t>
  </si>
  <si>
    <t>12:14</t>
  </si>
  <si>
    <t>BEL-2026-0312-010</t>
  </si>
  <si>
    <t>12:35</t>
  </si>
  <si>
    <t>BEL-2026-0312-011</t>
  </si>
  <si>
    <t>Ausgabe</t>
  </si>
  <si>
    <t>Wareneinkauf Lieferant XY (Quittung 4471)</t>
  </si>
  <si>
    <t>Beleg vorhanden</t>
  </si>
  <si>
    <t>13:02</t>
  </si>
  <si>
    <t>BEL-2026-0312-012</t>
  </si>
  <si>
    <t>13:28</t>
  </si>
  <si>
    <t>BEL-2026-0312-013</t>
  </si>
  <si>
    <t>13:55</t>
  </si>
  <si>
    <t>BEL-2026-0312-014</t>
  </si>
  <si>
    <t>14:20</t>
  </si>
  <si>
    <t>BEL-2026-0312-015</t>
  </si>
  <si>
    <t>Storno</t>
  </si>
  <si>
    <t>Storno BEL-2026-0312-008 (Falschbuchung)</t>
  </si>
  <si>
    <t>Kunde Rückgabe</t>
  </si>
  <si>
    <t>14:21</t>
  </si>
  <si>
    <t>BEL-2026-0312-016</t>
  </si>
  <si>
    <t>Neubuchung nach Storno</t>
  </si>
  <si>
    <t>Ersatz BEL-008</t>
  </si>
  <si>
    <t>14:48</t>
  </si>
  <si>
    <t>BEL-2026-0312-017</t>
  </si>
  <si>
    <t>15:10</t>
  </si>
  <si>
    <t>BEL-2026-0312-018</t>
  </si>
  <si>
    <t>Bürobedarf Kleinkauf</t>
  </si>
  <si>
    <t>Quittung Drogeriemarkt</t>
  </si>
  <si>
    <t>15:32</t>
  </si>
  <si>
    <t>BEL-2026-0312-019</t>
  </si>
  <si>
    <t>15:55</t>
  </si>
  <si>
    <t>BEL-2026-0312-020</t>
  </si>
  <si>
    <t>Termin Nachmittag</t>
  </si>
  <si>
    <t>16:18</t>
  </si>
  <si>
    <t>BEL-2026-0312-021</t>
  </si>
  <si>
    <t>16:42</t>
  </si>
  <si>
    <t>BEL-2026-0312-022</t>
  </si>
  <si>
    <t>17:05</t>
  </si>
  <si>
    <t>BEL-2026-0312-023</t>
  </si>
  <si>
    <t>Entnahme</t>
  </si>
  <si>
    <t>Privatentnahme Inhaber</t>
  </si>
  <si>
    <t>Eigenbeleg ausgestellt</t>
  </si>
  <si>
    <t>17:28</t>
  </si>
  <si>
    <t>BEL-2026-0312-024</t>
  </si>
  <si>
    <t>17:50</t>
  </si>
  <si>
    <t>BEL-2026-0312-025</t>
  </si>
  <si>
    <t>18:15</t>
  </si>
  <si>
    <t>BEL-2026-0312-026</t>
  </si>
  <si>
    <t>18:40</t>
  </si>
  <si>
    <t>BEL-2026-0312-027</t>
  </si>
  <si>
    <t>Reinigungsdienst Wochenpauschale</t>
  </si>
  <si>
    <t>Rechnung Nr. 119</t>
  </si>
  <si>
    <t>SUMME</t>
  </si>
  <si>
    <t>Zählprotokoll Kassenbestand</t>
  </si>
  <si>
    <t>Manuelle Zählung des physischen Kassenbestands zum Tagesabschluss</t>
  </si>
  <si>
    <t>Bezug Tagesbericht</t>
  </si>
  <si>
    <t>▌ MÜNZEN</t>
  </si>
  <si>
    <t>▌ SCHEINE</t>
  </si>
  <si>
    <t>Stückelung</t>
  </si>
  <si>
    <t>Anzahl</t>
  </si>
  <si>
    <t>Summe</t>
  </si>
  <si>
    <t>1 Cent</t>
  </si>
  <si>
    <t>5 Euro</t>
  </si>
  <si>
    <t>2 Cent</t>
  </si>
  <si>
    <t>10 Euro</t>
  </si>
  <si>
    <t>5 Cent</t>
  </si>
  <si>
    <t>20 Euro</t>
  </si>
  <si>
    <t>10 Cent</t>
  </si>
  <si>
    <t>50 Euro</t>
  </si>
  <si>
    <t>20 Cent</t>
  </si>
  <si>
    <t>100 Euro</t>
  </si>
  <si>
    <t>50 Cent</t>
  </si>
  <si>
    <t>200 Euro</t>
  </si>
  <si>
    <t>1 Euro</t>
  </si>
  <si>
    <t>500 Euro</t>
  </si>
  <si>
    <t>2 Euro</t>
  </si>
  <si>
    <t>Σ Scheine</t>
  </si>
  <si>
    <t>Σ Münzen</t>
  </si>
  <si>
    <t>▌ ZÄHLERGEBNIS</t>
  </si>
  <si>
    <t>▌ GESAMTBESTAND BAR (IST)</t>
  </si>
  <si>
    <t>GEZÄHLTER BARBESTAND</t>
  </si>
  <si>
    <t>DIFFERENZ ZUM SOLL</t>
  </si>
  <si>
    <t>Hinweis: Der gezählte Barbestand muss dem rechnerischen Soll-Endbestand entsprechen. Bei Abweichung Ursache prüfen und in den Anmerkungen vermerken.</t>
  </si>
  <si>
    <t>▌ ANMERKUNGEN ZUR ZÄHLUNG</t>
  </si>
  <si>
    <t>(Referenzfeld für Tagesbericht)</t>
  </si>
  <si>
    <t>Monatsübersicht Kasse · März 2026</t>
  </si>
  <si>
    <t>Aggregation aller Tagesberichte des Monats · Auf einen Blick: Umsatz, Bestand, Differenzen</t>
  </si>
  <si>
    <t>Umsatz Monat</t>
  </si>
  <si>
    <t>Ø Tagesumsatz</t>
  </si>
  <si>
    <t>Σ Differenz</t>
  </si>
  <si>
    <t>Tage mit Diff.</t>
  </si>
  <si>
    <t>Bar-Anteil Ø</t>
  </si>
  <si>
    <t>Tag</t>
  </si>
  <si>
    <t>Z-Bon-Nr.</t>
  </si>
  <si>
    <t>Anfangsb.</t>
  </si>
  <si>
    <t>Bruttoumsatz</t>
  </si>
  <si>
    <t>EC/Karte</t>
  </si>
  <si>
    <t>Endbestand</t>
  </si>
  <si>
    <t>Differenz</t>
  </si>
  <si>
    <t>Status</t>
  </si>
  <si>
    <t>Z-2026-071</t>
  </si>
  <si>
    <t>Z-2026-073</t>
  </si>
  <si>
    <t>Z-2026-074</t>
  </si>
  <si>
    <t>Z-2026-075</t>
  </si>
  <si>
    <t>Z-2026-076</t>
  </si>
  <si>
    <t>Z-2026-077</t>
  </si>
  <si>
    <t>Z-2026-078</t>
  </si>
  <si>
    <t>Z-2026-079</t>
  </si>
  <si>
    <t>Z-2026-080</t>
  </si>
  <si>
    <t>Z-2026-082</t>
  </si>
  <si>
    <t>Z-2026-083</t>
  </si>
  <si>
    <t>Z-2026-084</t>
  </si>
  <si>
    <t>Z-2026-085</t>
  </si>
  <si>
    <t>Z-2026-086</t>
  </si>
  <si>
    <t>Z-2026-087</t>
  </si>
  <si>
    <t>Z-2026-088</t>
  </si>
  <si>
    <t>Z-2026-089</t>
  </si>
  <si>
    <t>Z-2026-090</t>
  </si>
  <si>
    <t>Z-2026-091</t>
  </si>
  <si>
    <t>Z-2026-092</t>
  </si>
  <si>
    <t>Z-2026-093</t>
  </si>
  <si>
    <t>Z-2026-094</t>
  </si>
  <si>
    <t>Z-2026-095</t>
  </si>
  <si>
    <t>Z-2026-096</t>
  </si>
  <si>
    <t>SUMME MÄRZ 2026</t>
  </si>
  <si>
    <t>Anleitung · Tagesbericht Kasse</t>
  </si>
  <si>
    <t>So führen Sie die Kasse ordnungsgemäß und nachvollziehbar</t>
  </si>
  <si>
    <t>▌ ARBEITSABLAUF · TAGESKASSE</t>
  </si>
  <si>
    <t>1</t>
  </si>
  <si>
    <t>Kassenstart vorbereiten</t>
  </si>
  <si>
    <t>Anfangsbestand im Tagesbericht eintragen (Zelle Anfangsbestand). Wechselgeld als Einlage im Belege-Blatt erfassen, sofern dies aus dem Tresor kommt.</t>
  </si>
  <si>
    <t>2</t>
  </si>
  <si>
    <t>Geschäftsvorfälle laufend erfassen</t>
  </si>
  <si>
    <t>Jeden einzelnen Vorgang im Belege-Blatt erfassen: Uhrzeit, Belegnummer (fortlaufend!), Art (Einnahme/Ausgabe/Storno/Einlage/Entnahme), Beschreibung, Bruttobetrag, MwSt-Satz und Zahlungsart. Netto und USt werden automatisch berechnet.</t>
  </si>
  <si>
    <t>3</t>
  </si>
  <si>
    <t>Stornos und Korrekturen dokumentieren</t>
  </si>
  <si>
    <t>Falschbuchungen NICHT löschen, sondern als "Storno" mit negativem Bruttobetrag eintragen und Bezug zur ursprünglichen Belegnummer in der Beschreibung vermerken. Anschließend ggf. die korrekte Buchung neu erfassen.</t>
  </si>
  <si>
    <t>4</t>
  </si>
  <si>
    <t>Bargeld zählen</t>
  </si>
  <si>
    <t>Am Tagesende im Zählprotokoll-Blatt alle Münz- und Scheinstückelungen zählen und eingeben. Der gezählte Gesamtbestand wird automatisch in den Tagesbericht übernommen.</t>
  </si>
  <si>
    <t>5</t>
  </si>
  <si>
    <t>Differenz prüfen und unterschreiben</t>
  </si>
  <si>
    <t>Der Tagesbericht vergleicht Soll- und Ist-Bestand automatisch. Bei Differenzen &gt; 2 € die Ursache prüfen und in den Anmerkungen dokumentieren. Anschließend Tagesbericht und Zählprotokoll ausdrucken, unterschreiben und 10 Jahre aufbewahren.</t>
  </si>
  <si>
    <t>6</t>
  </si>
  <si>
    <t>Monatsübersicht pflegen</t>
  </si>
  <si>
    <t>Die wichtigsten Kennzahlen jedes Tages in die Monatsübersicht übertragen (Anfangsbestand, Bruttoumsatz, Bar, EC/Karte, Endbestand, Differenz). So entsteht ein lückenloser Überblick für den gesamten Monat.</t>
  </si>
  <si>
    <t>▌ HINWEISE ZUR KASSENFÜHRUNG</t>
  </si>
  <si>
    <t>▸</t>
  </si>
  <si>
    <t>Bar- und Kartenzahlungen trennen</t>
  </si>
  <si>
    <t>EC- und Kreditkartenumsätze gehören nicht auf das Konto "Kasse", sondern auf Zwischenkonten. Die saubere Trennung im Beleg-Blatt ermöglicht die korrekte Verbuchung.</t>
  </si>
  <si>
    <t>Belege lückenlos nummerieren</t>
  </si>
  <si>
    <t>Die Belegnummern müssen fortlaufend und ohne Lücken vergeben werden. Bei Fehlnummern: keine Bons entfernen, sondern als "Fehlbeleg" markieren und dokumentieren.</t>
  </si>
  <si>
    <t>Aufbewahrungsfrist</t>
  </si>
  <si>
    <t>Tagesberichte, Zählprotokolle und Z-Bons sind 10 Jahre aufzubewahren (§ 147 AO). Empfehlung: täglich ausdrucken und unterschreiben.</t>
  </si>
  <si>
    <t>Eigenbeleg bei fehlender Quittung</t>
  </si>
  <si>
    <t>Geht ein Beleg verloren oder ist nicht vorhanden, einen Eigenbeleg ausstellen (Datum, Betrag, Zweck, Empfänger, Unterschrift). Im Notiz-Feld der Belegtabelle vermerken.</t>
  </si>
  <si>
    <t>Privatentnahmen kennzeichnen</t>
  </si>
  <si>
    <t>Privatentnahmen aus der Geschäftskasse immer als "Entnahme" mit negativem Betrag erfassen. Eigenbeleg ausstellen und in der Buchhaltung verbuchen.</t>
  </si>
  <si>
    <t>▌ FARB- UND SYMBOLKONVENTIONEN</t>
  </si>
  <si>
    <t>Eingabezelle</t>
  </si>
  <si>
    <t>Hier manuelle Eingabe vornehmen</t>
  </si>
  <si>
    <t>Berechnete Zelle</t>
  </si>
  <si>
    <t>Wird automatisch aus Formeln gefüllt — nicht überschreiben</t>
  </si>
  <si>
    <t>Summenzeile</t>
  </si>
  <si>
    <t>Aggregierte Werte mit Rahmen</t>
  </si>
  <si>
    <t>🟢 OK</t>
  </si>
  <si>
    <t>Differenz &lt; 0,01 €  ·  Einlage</t>
  </si>
  <si>
    <t>🟡 Hinweis</t>
  </si>
  <si>
    <t>Differenz ≤ 2,00 €  ·  Privatentnahme</t>
  </si>
  <si>
    <t>🔴 Achtung</t>
  </si>
  <si>
    <t>Fehlbestand &gt; 2 €  ·  Storno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</si>
</sst>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&quot; €&quot;;[Red]\-#,##0.00&quot; €&quot;;&quot;–  €&quot;"/>
    <numFmt numFmtId="166" formatCode="#,##0;[Red]\-#,##0;\–"/>
    <numFmt numFmtId="167" formatCode="0.0%"/>
  </numFmts>
  <fonts count="18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9"/>
      <color rgb="FFFFFFFF"/>
      <name val="Calibri"/>
      <charset val="1"/>
    </font>
    <font>
      <b/>
      <sz val="14"/>
      <color rgb="FF1F3A5F"/>
      <name val="Calibri"/>
      <charset val="1"/>
    </font>
    <font>
      <b/>
      <sz val="10"/>
      <color rgb="FFFFFFFF"/>
      <name val="Calibri"/>
      <charset val="1"/>
    </font>
    <font>
      <sz val="10"/>
      <color rgb="FF595959"/>
      <name val="Calibri"/>
      <charset val="1"/>
    </font>
    <font>
      <i/>
      <sz val="9"/>
      <color rgb="FF595959"/>
      <name val="Calibri"/>
      <charset val="1"/>
    </font>
    <font>
      <b/>
      <sz val="20"/>
      <color rgb="FF1F3A5F"/>
      <name val="Calibri"/>
      <charset val="1"/>
    </font>
    <font>
      <i/>
      <sz val="8"/>
      <color rgb="FF595959"/>
      <name val="Calibri"/>
      <charset val="1"/>
    </font>
    <font>
      <b/>
      <sz val="18"/>
      <color rgb="FF1F3A5F"/>
      <name val="Calibri"/>
      <charset val="1"/>
    </font>
    <font>
      <b/>
      <sz val="11"/>
      <color rgb="FF1F3A5F"/>
      <name val="Calibri"/>
      <charset val="1"/>
    </font>
    <font>
      <b/>
      <sz val="14"/>
      <color rgb="FFC9A961"/>
      <name val="Calibri"/>
      <charset val="1"/>
    </font>
    <font>
      <b/>
      <sz val="10"/>
      <color rgb="FF1F3A5F"/>
      <name val="Calibri"/>
      <charset val="1"/>
    </font>
    <font>
      <b/>
      <sz val="22"/>
      <color rgb="FFFFFFFF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F3A5F"/>
        <bgColor rgb="FF333399"/>
      </patternFill>
    </fill>
    <fill>
      <patternFill patternType="solid">
        <fgColor rgb="FF3E5C82"/>
        <bgColor rgb="FF595959"/>
      </patternFill>
    </fill>
    <fill>
      <patternFill patternType="solid">
        <fgColor rgb="FFF5F2EC"/>
        <bgColor rgb="FFFAFAF7"/>
      </patternFill>
    </fill>
    <fill>
      <patternFill patternType="solid">
        <fgColor rgb="FFFFFBEA"/>
        <bgColor rgb="FFFAFAF7"/>
      </patternFill>
    </fill>
    <fill>
      <patternFill patternType="solid">
        <fgColor rgb="FFFAFAF7"/>
        <bgColor rgb="FFFFFBEA"/>
      </patternFill>
    </fill>
    <fill>
      <patternFill patternType="solid">
        <fgColor rgb="FFE8E3D8"/>
        <bgColor rgb="FFF8D7DA"/>
      </patternFill>
    </fill>
    <fill>
      <patternFill patternType="solid">
        <fgColor rgb="FFFFFFFF"/>
        <bgColor rgb="FFFAFAF7"/>
      </patternFill>
    </fill>
    <fill>
      <patternFill patternType="solid">
        <fgColor rgb="FFD4EDDA"/>
        <bgColor rgb="FFE8E3D8"/>
      </patternFill>
    </fill>
    <fill>
      <patternFill patternType="solid">
        <fgColor rgb="FFFFF3CD"/>
        <bgColor rgb="FFFFE5C9"/>
      </patternFill>
    </fill>
    <fill>
      <patternFill patternType="solid">
        <fgColor rgb="FFF8D7DA"/>
        <bgColor rgb="FFFFE5C9"/>
      </patternFill>
    </fill>
  </fills>
  <borders count="7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7F7F7F"/>
      </top>
      <bottom style="medium">
        <color rgb="FF7F7F7F"/>
      </bottom>
      <diagonal/>
    </border>
    <border>
      <left style="thin">
        <color rgb="FFBFBFBF"/>
      </left>
      <right/>
      <top style="medium">
        <color rgb="FF7F7F7F"/>
      </top>
      <bottom style="medium">
        <color rgb="FF7F7F7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4" borderId="1" xfId="0" applyFont="1" applyFill="1" applyBorder="1" applyAlignment="1">
      <alignment horizontal="left" vertical="center" indent="1"/>
    </xf>
    <xf numFmtId="0" fontId="4" fillId="7" borderId="4" xfId="0" applyFont="1" applyFill="1" applyBorder="1" applyAlignment="1">
      <alignment horizontal="center" vertical="center" indent="1"/>
    </xf>
    <xf numFmtId="165" fontId="4" fillId="4" borderId="1" xfId="0" applyNumberFormat="1" applyFont="1" applyFill="1" applyBorder="1" applyAlignment="1">
      <alignment horizontal="right" vertical="center" indent="1"/>
    </xf>
    <xf numFmtId="165" fontId="4" fillId="7" borderId="4" xfId="0" applyNumberFormat="1" applyFont="1" applyFill="1" applyBorder="1" applyAlignment="1">
      <alignment horizontal="right" vertical="center" indent="1"/>
    </xf>
    <xf numFmtId="165" fontId="5" fillId="6" borderId="1" xfId="0" applyNumberFormat="1" applyFont="1" applyFill="1" applyBorder="1" applyAlignment="1">
      <alignment horizontal="right" vertical="center" indent="1"/>
    </xf>
    <xf numFmtId="166" fontId="5" fillId="6" borderId="1" xfId="0" applyNumberFormat="1" applyFont="1" applyFill="1" applyBorder="1" applyAlignment="1">
      <alignment horizontal="center" vertical="center" indent="1"/>
    </xf>
    <xf numFmtId="165" fontId="5" fillId="5" borderId="1" xfId="0" applyNumberFormat="1" applyFont="1" applyFill="1" applyBorder="1" applyAlignment="1">
      <alignment horizontal="right" vertical="center" indent="1"/>
    </xf>
    <xf numFmtId="0" fontId="5" fillId="6" borderId="1" xfId="0" applyFont="1" applyFill="1" applyBorder="1" applyAlignment="1">
      <alignment horizontal="center" vertical="center" indent="1"/>
    </xf>
    <xf numFmtId="0" fontId="5" fillId="5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167" fontId="7" fillId="4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horizontal="right" vertical="center" indent="1"/>
    </xf>
    <xf numFmtId="167" fontId="5" fillId="6" borderId="2" xfId="0" applyNumberFormat="1" applyFont="1" applyFill="1" applyBorder="1" applyAlignment="1">
      <alignment horizontal="center" vertical="center" indent="1"/>
    </xf>
    <xf numFmtId="0" fontId="4" fillId="7" borderId="3" xfId="0" applyFont="1" applyFill="1" applyBorder="1" applyAlignment="1">
      <alignment horizontal="left" vertical="center" indent="1"/>
    </xf>
    <xf numFmtId="165" fontId="4" fillId="7" borderId="3" xfId="0" applyNumberFormat="1" applyFont="1" applyFill="1" applyBorder="1" applyAlignment="1">
      <alignment horizontal="right" vertical="center" indent="1"/>
    </xf>
    <xf numFmtId="167" fontId="4" fillId="7" borderId="3" xfId="0" applyNumberFormat="1" applyFont="1" applyFill="1" applyBorder="1" applyAlignment="1">
      <alignment horizontal="center" vertical="center" indent="1"/>
    </xf>
    <xf numFmtId="166" fontId="4" fillId="6" borderId="2" xfId="0" applyNumberFormat="1" applyFont="1" applyFill="1" applyBorder="1" applyAlignment="1">
      <alignment horizontal="center" vertical="center" indent="1"/>
    </xf>
    <xf numFmtId="0" fontId="5" fillId="5" borderId="2" xfId="0" applyFont="1" applyFill="1" applyBorder="1" applyAlignment="1">
      <alignment horizontal="center" vertical="center" indent="1"/>
    </xf>
    <xf numFmtId="0" fontId="5" fillId="5" borderId="2" xfId="0" applyFont="1" applyFill="1" applyBorder="1" applyAlignment="1">
      <alignment horizontal="left" vertical="center" indent="1"/>
    </xf>
    <xf numFmtId="165" fontId="5" fillId="5" borderId="2" xfId="0" applyNumberFormat="1" applyFont="1" applyFill="1" applyBorder="1" applyAlignment="1">
      <alignment horizontal="right" vertical="center" indent="1"/>
    </xf>
    <xf numFmtId="167" fontId="5" fillId="5" borderId="2" xfId="0" applyNumberFormat="1" applyFont="1" applyFill="1" applyBorder="1" applyAlignment="1">
      <alignment horizontal="center" vertical="center" indent="1"/>
    </xf>
    <xf numFmtId="0" fontId="4" fillId="7" borderId="3" xfId="0" applyFont="1" applyFill="1" applyBorder="1" applyAlignment="1">
      <alignment horizontal="right" vertical="center" indent="1"/>
    </xf>
    <xf numFmtId="0" fontId="5" fillId="4" borderId="2" xfId="0" applyFont="1" applyFill="1" applyBorder="1" applyAlignment="1">
      <alignment horizontal="left" vertical="center" indent="1"/>
    </xf>
    <xf numFmtId="166" fontId="5" fillId="5" borderId="2" xfId="0" applyNumberFormat="1" applyFont="1" applyFill="1" applyBorder="1" applyAlignment="1">
      <alignment horizontal="center" vertical="center" indent="1"/>
    </xf>
    <xf numFmtId="166" fontId="4" fillId="7" borderId="3" xfId="0" applyNumberFormat="1" applyFont="1" applyFill="1" applyBorder="1" applyAlignment="1">
      <alignment horizontal="center" vertical="center" indent="1"/>
    </xf>
    <xf numFmtId="0" fontId="12" fillId="0" borderId="0" xfId="0" applyFont="1" applyAlignment="1">
      <alignment horizontal="left" vertical="center" indent="1"/>
    </xf>
    <xf numFmtId="165" fontId="9" fillId="0" borderId="0" xfId="0" applyNumberFormat="1" applyFont="1"/>
    <xf numFmtId="164" fontId="5" fillId="6" borderId="2" xfId="0" applyNumberFormat="1" applyFont="1" applyFill="1" applyBorder="1" applyAlignment="1">
      <alignment horizontal="center" vertical="center" indent="1"/>
    </xf>
    <xf numFmtId="0" fontId="5" fillId="6" borderId="2" xfId="0" applyFont="1" applyFill="1" applyBorder="1" applyAlignment="1">
      <alignment horizontal="center" vertical="center" indent="1"/>
    </xf>
    <xf numFmtId="165" fontId="4" fillId="5" borderId="2" xfId="0" applyNumberFormat="1" applyFont="1" applyFill="1" applyBorder="1" applyAlignment="1">
      <alignment horizontal="right" vertical="center" indent="1"/>
    </xf>
    <xf numFmtId="0" fontId="4" fillId="6" borderId="2" xfId="0" applyFont="1" applyFill="1" applyBorder="1" applyAlignment="1">
      <alignment horizontal="center" vertical="center" indent="1"/>
    </xf>
    <xf numFmtId="165" fontId="5" fillId="4" borderId="2" xfId="0" applyNumberFormat="1" applyFont="1" applyFill="1" applyBorder="1" applyAlignment="1">
      <alignment horizontal="right" vertical="center" indent="1"/>
    </xf>
    <xf numFmtId="165" fontId="4" fillId="4" borderId="2" xfId="0" applyNumberFormat="1" applyFont="1" applyFill="1" applyBorder="1" applyAlignment="1">
      <alignment horizontal="right" vertical="center" inden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indent="1"/>
    </xf>
    <xf numFmtId="0" fontId="5" fillId="8" borderId="2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0" fillId="5" borderId="2" xfId="0" applyFill="1" applyBorder="1"/>
    <xf numFmtId="0" fontId="4" fillId="0" borderId="0" xfId="0" applyFont="1" applyAlignment="1">
      <alignment horizontal="left" vertical="center" indent="1"/>
    </xf>
    <xf numFmtId="0" fontId="0" fillId="6" borderId="2" xfId="0" applyFill="1" applyBorder="1"/>
    <xf numFmtId="0" fontId="0" fillId="7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7" borderId="3" xfId="0" applyFont="1" applyFill="1" applyBorder="1" applyAlignment="1">
      <alignment horizontal="left" vertical="center" indent="1"/>
    </xf>
    <xf numFmtId="165" fontId="4" fillId="6" borderId="1" xfId="0" applyNumberFormat="1" applyFont="1" applyFill="1" applyBorder="1" applyAlignment="1">
      <alignment horizontal="right" vertical="center" indent="1"/>
    </xf>
    <xf numFmtId="0" fontId="8" fillId="3" borderId="5" xfId="0" applyFont="1" applyFill="1" applyBorder="1" applyAlignment="1">
      <alignment horizontal="center" vertical="center" wrapText="1"/>
    </xf>
    <xf numFmtId="165" fontId="11" fillId="4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 indent="1"/>
    </xf>
    <xf numFmtId="0" fontId="5" fillId="5" borderId="5" xfId="0" applyFont="1" applyFill="1" applyBorder="1" applyAlignment="1">
      <alignment horizontal="left" vertical="top" wrapText="1" indent="1"/>
    </xf>
    <xf numFmtId="165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11">
    <dxf>
      <fill>
        <patternFill>
          <bgColor rgb="FFFFE5C9"/>
        </patternFill>
      </fill>
    </dxf>
    <dxf>
      <font>
        <b/>
        <sz val="10"/>
        <color rgb="FF721C24"/>
        <name val="Calibri"/>
        <charset val="1"/>
      </font>
      <fill>
        <patternFill>
          <bgColor rgb="FFF8D7DA"/>
        </patternFill>
      </fill>
    </dxf>
    <dxf>
      <fill>
        <patternFill>
          <bgColor rgb="FFFFFFFF"/>
        </patternFill>
      </fill>
    </dxf>
    <dxf>
      <font>
        <b/>
        <sz val="10"/>
        <color rgb="FF8B2C2C"/>
        <name val="Calibri"/>
        <charset val="1"/>
      </font>
      <fill>
        <patternFill>
          <bgColor rgb="FFFFEAEA"/>
        </patternFill>
      </fill>
    </dxf>
    <dxf>
      <font>
        <b/>
        <sz val="10"/>
        <color rgb="FF856404"/>
        <name val="Calibri"/>
        <charset val="1"/>
      </font>
      <fill>
        <patternFill>
          <bgColor rgb="FFFFF3CD"/>
        </patternFill>
      </fill>
    </dxf>
    <dxf>
      <font>
        <b/>
        <sz val="10"/>
        <color rgb="FF155724"/>
        <name val="Calibri"/>
        <charset val="1"/>
      </font>
      <fill>
        <patternFill>
          <bgColor rgb="FFD4EDDA"/>
        </patternFill>
      </fill>
    </dxf>
    <dxf>
      <font>
        <b/>
        <sz val="10"/>
        <color rgb="FF721C24"/>
        <name val="Calibri"/>
        <charset val="1"/>
      </font>
      <fill>
        <patternFill>
          <bgColor rgb="FFF8D7DA"/>
        </patternFill>
      </fill>
    </dxf>
    <dxf>
      <font>
        <b/>
        <sz val="10"/>
        <color rgb="FF8B4513"/>
        <name val="Calibri"/>
        <charset val="1"/>
      </font>
      <fill>
        <patternFill>
          <bgColor rgb="FFFFE5C9"/>
        </patternFill>
      </fill>
    </dxf>
    <dxf>
      <font>
        <b/>
        <sz val="10"/>
        <color rgb="FF721C24"/>
        <name val="Calibri"/>
        <charset val="1"/>
      </font>
      <fill>
        <patternFill>
          <bgColor rgb="FFF8D7DA"/>
        </patternFill>
      </fill>
    </dxf>
    <dxf>
      <font>
        <b/>
        <sz val="10"/>
        <color rgb="FF856404"/>
        <name val="Calibri"/>
        <charset val="1"/>
      </font>
      <fill>
        <patternFill>
          <bgColor rgb="FFFFF3CD"/>
        </patternFill>
      </fill>
    </dxf>
    <dxf>
      <font>
        <b/>
        <sz val="10"/>
        <color rgb="FF155724"/>
        <name val="Calibri"/>
        <charset val="1"/>
      </font>
      <fill>
        <patternFill>
          <bgColor rgb="FFD4ED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21C24"/>
      <rgbColor rgb="FF008000"/>
      <rgbColor rgb="FF000080"/>
      <rgbColor rgb="FF856404"/>
      <rgbColor rgb="FF800080"/>
      <rgbColor rgb="FF008080"/>
      <rgbColor rgb="FFBFBFBF"/>
      <rgbColor rgb="FF7F7F7F"/>
      <rgbColor rgb="FF9999FF"/>
      <rgbColor rgb="FF8B2C2C"/>
      <rgbColor rgb="FFFFF3CD"/>
      <rgbColor rgb="FFF5F2EC"/>
      <rgbColor rgb="FF660066"/>
      <rgbColor rgb="FFFF8080"/>
      <rgbColor rgb="FF0066CC"/>
      <rgbColor rgb="FFE8E3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D4EDDA"/>
      <rgbColor rgb="FFFFE5C9"/>
      <rgbColor rgb="FFFFEAEA"/>
      <rgbColor rgb="FFFFFBEA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3E5C82"/>
      <rgbColor rgb="FFC9A961"/>
      <rgbColor rgb="FF1F3A5F"/>
      <rgbColor rgb="FF339966"/>
      <rgbColor rgb="FF155724"/>
      <rgbColor rgb="FF333300"/>
      <rgbColor rgb="FF8B4513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workbookViewId="0">
      <selection activeCell="N15" sqref="N15"/>
    </sheetView>
  </sheetViews>
  <sheetFormatPr baseColWidth="10" defaultColWidth="8.7109375" defaultRowHeight="15" x14ac:dyDescent="0.25"/>
  <cols>
    <col min="1" max="1" width="3" customWidth="1"/>
    <col min="2" max="2" width="22" customWidth="1"/>
    <col min="3" max="3" width="16" customWidth="1"/>
    <col min="4" max="4" width="12.7109375" customWidth="1"/>
    <col min="5" max="5" width="4" customWidth="1"/>
    <col min="6" max="6" width="22" customWidth="1"/>
    <col min="7" max="7" width="12.85546875" customWidth="1"/>
    <col min="8" max="8" width="11" customWidth="1"/>
  </cols>
  <sheetData>
    <row r="1" spans="1:8" ht="36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</row>
    <row r="2" spans="1:8" ht="18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4" spans="1:8" ht="21.75" customHeight="1" x14ac:dyDescent="0.25">
      <c r="A4" s="10" t="s">
        <v>2</v>
      </c>
      <c r="B4" s="10"/>
      <c r="C4" s="10"/>
      <c r="D4" s="10"/>
      <c r="E4" s="10"/>
      <c r="F4" s="10"/>
      <c r="G4" s="10"/>
      <c r="H4" s="10"/>
    </row>
    <row r="5" spans="1:8" x14ac:dyDescent="0.25">
      <c r="B5" s="13" t="s">
        <v>3</v>
      </c>
      <c r="C5" s="9" t="s">
        <v>4</v>
      </c>
      <c r="D5" s="9"/>
      <c r="F5" s="13" t="s">
        <v>5</v>
      </c>
      <c r="G5" s="65">
        <v>46094</v>
      </c>
      <c r="H5" s="65"/>
    </row>
    <row r="6" spans="1:8" x14ac:dyDescent="0.25">
      <c r="B6" s="13" t="s">
        <v>6</v>
      </c>
      <c r="C6" s="9" t="s">
        <v>7</v>
      </c>
      <c r="D6" s="9"/>
      <c r="F6" s="13" t="s">
        <v>8</v>
      </c>
      <c r="G6" s="66" t="str">
        <f>CHOOSE(WEEKDAY(G5,2),"Montag","Dienstag","Mittwoch","Donnerstag","Freitag","Samstag","Sonntag")</f>
        <v>Freitag</v>
      </c>
      <c r="H6" s="66"/>
    </row>
    <row r="7" spans="1:8" x14ac:dyDescent="0.25">
      <c r="B7" s="13" t="s">
        <v>9</v>
      </c>
      <c r="C7" s="9" t="s">
        <v>10</v>
      </c>
      <c r="D7" s="9"/>
      <c r="F7" s="13" t="s">
        <v>11</v>
      </c>
      <c r="G7" s="9" t="s">
        <v>12</v>
      </c>
      <c r="H7" s="9"/>
    </row>
    <row r="8" spans="1:8" x14ac:dyDescent="0.25">
      <c r="B8" s="13" t="s">
        <v>13</v>
      </c>
      <c r="C8" s="9" t="s">
        <v>14</v>
      </c>
      <c r="D8" s="9"/>
      <c r="F8" s="13" t="s">
        <v>15</v>
      </c>
      <c r="G8" s="9" t="s">
        <v>16</v>
      </c>
      <c r="H8" s="9"/>
    </row>
    <row r="9" spans="1:8" x14ac:dyDescent="0.25">
      <c r="B9" s="13" t="s">
        <v>17</v>
      </c>
      <c r="C9" s="9" t="s">
        <v>18</v>
      </c>
      <c r="D9" s="9"/>
      <c r="F9" s="13" t="s">
        <v>19</v>
      </c>
      <c r="G9" s="9" t="s">
        <v>20</v>
      </c>
      <c r="H9" s="9"/>
    </row>
    <row r="11" spans="1:8" ht="18" customHeight="1" x14ac:dyDescent="0.25">
      <c r="B11" s="14" t="s">
        <v>21</v>
      </c>
      <c r="C11" s="14" t="s">
        <v>22</v>
      </c>
      <c r="D11" s="14" t="s">
        <v>23</v>
      </c>
      <c r="F11" s="14" t="s">
        <v>24</v>
      </c>
      <c r="G11" s="14" t="s">
        <v>25</v>
      </c>
      <c r="H11" s="14" t="s">
        <v>26</v>
      </c>
    </row>
    <row r="12" spans="1:8" ht="30" customHeight="1" x14ac:dyDescent="0.25">
      <c r="B12" s="15">
        <f>SUMIFS(Belege!F:F,Belege!D:D,"Einnahme")+SUMIFS(Belege!F:F,Belege!D:D,"Storno")</f>
        <v>731.39</v>
      </c>
      <c r="C12" s="15">
        <f>SUMIFS(Belege!F:F,Belege!D:D,"Einnahme",Belege!J:J,"Bar")+SUMIFS(Belege!F:F,Belege!D:D,"Storno",Belege!J:J,"Bar")</f>
        <v>236.05</v>
      </c>
      <c r="D12" s="15">
        <f>SUMIFS(Belege!F:F,Belege!D:D,"Einnahme",Belege!J:J,"EC-Karte")+SUMIFS(Belege!F:F,Belege!D:D,"Einnahme",Belege!J:J,"Kreditkarte")</f>
        <v>495.34000000000003</v>
      </c>
      <c r="F12" s="16">
        <f>COUNTA(Belege!C5:C31)</f>
        <v>27</v>
      </c>
      <c r="G12" s="17">
        <f>IFERROR(COUNTIF(Belege!D:D,"Storno")/COUNTIF(Belege!D:D,"Einnahme"),0)</f>
        <v>4.7619047619047616E-2</v>
      </c>
      <c r="H12" s="15">
        <f>IFERROR(SUMIFS(Belege!F:F,Belege!D:D,"Einnahme")/COUNTIF(Belege!D:D,"Einnahme"),0)</f>
        <v>36.575714285714284</v>
      </c>
    </row>
    <row r="14" spans="1:8" ht="21.75" customHeight="1" x14ac:dyDescent="0.25">
      <c r="A14" s="10" t="s">
        <v>27</v>
      </c>
      <c r="B14" s="10"/>
      <c r="C14" s="10"/>
      <c r="D14" s="10"/>
      <c r="F14" s="10" t="s">
        <v>28</v>
      </c>
      <c r="G14" s="10"/>
      <c r="H14" s="10"/>
    </row>
    <row r="15" spans="1:8" ht="27.75" customHeight="1" x14ac:dyDescent="0.25">
      <c r="B15" s="18" t="s">
        <v>29</v>
      </c>
      <c r="C15" s="18" t="s">
        <v>30</v>
      </c>
      <c r="D15" s="18" t="s">
        <v>31</v>
      </c>
      <c r="F15" s="18" t="s">
        <v>32</v>
      </c>
      <c r="G15" s="18" t="s">
        <v>33</v>
      </c>
      <c r="H15" s="18" t="s">
        <v>34</v>
      </c>
    </row>
    <row r="16" spans="1:8" x14ac:dyDescent="0.25">
      <c r="B16" s="13" t="s">
        <v>35</v>
      </c>
      <c r="C16" s="19">
        <f>SUMPRODUCT((Belege!G$5:G$31=0.19)*(Belege!D$5:D$31="Einnahme")*Belege!H$5:H$31)+SUMPRODUCT((Belege!G$5:G$31=0.19)*(Belege!D$5:D$31="Storno")*Belege!H$5:H$31)</f>
        <v>538.56302521008411</v>
      </c>
      <c r="D16" s="19">
        <f>SUMPRODUCT((Belege!G$5:G$31=0.19)*(Belege!D$5:D$31="Einnahme")*Belege!I$5:I$31)+SUMPRODUCT((Belege!G$5:G$31=0.19)*(Belege!D$5:D$31="Storno")*Belege!I$5:I$31)</f>
        <v>102.32697478991594</v>
      </c>
      <c r="F16" s="13" t="s">
        <v>36</v>
      </c>
      <c r="G16" s="19">
        <f>SUMIFS(Belege!F:F,Belege!D:D,"Einnahme",Belege!J:J,"Bar")+SUMIFS(Belege!F:F,Belege!D:D,"Storno",Belege!J:J,"Bar")</f>
        <v>236.05</v>
      </c>
      <c r="H16" s="20">
        <f>IFERROR(G16/SUM($G$16:$G$18),0)</f>
        <v>0.32274162895308928</v>
      </c>
    </row>
    <row r="17" spans="1:8" x14ac:dyDescent="0.25">
      <c r="B17" s="13" t="s">
        <v>37</v>
      </c>
      <c r="C17" s="19">
        <f>SUMPRODUCT((Belege!G$5:G$31=0.07)*(Belege!D$5:D$31="Einnahme")*Belege!H$5:H$31)+SUMPRODUCT((Belege!G$5:G$31=0.07)*(Belege!D$5:D$31="Storno")*Belege!H$5:H$31)</f>
        <v>67.757009345794387</v>
      </c>
      <c r="D17" s="19">
        <f>SUMPRODUCT((Belege!G$5:G$31=0.07)*(Belege!D$5:D$31="Einnahme")*Belege!I$5:I$31)+SUMPRODUCT((Belege!G$5:G$31=0.07)*(Belege!D$5:D$31="Storno")*Belege!I$5:I$31)</f>
        <v>4.7429906542056086</v>
      </c>
      <c r="F17" s="13" t="s">
        <v>38</v>
      </c>
      <c r="G17" s="19">
        <f>SUMIFS(Belege!F:F,Belege!D:D,"Einnahme",Belege!J:J,"EC-Karte")</f>
        <v>334.8</v>
      </c>
      <c r="H17" s="20">
        <f>IFERROR(G17/SUM($G$16:$G$18),0)</f>
        <v>0.45775851460916878</v>
      </c>
    </row>
    <row r="18" spans="1:8" x14ac:dyDescent="0.25">
      <c r="B18" s="13" t="s">
        <v>39</v>
      </c>
      <c r="C18" s="19">
        <f>SUMPRODUCT((Belege!G$5:G$31=0)*(Belege!D$5:D$31="Einnahme")*Belege!H$5:H$31)</f>
        <v>18</v>
      </c>
      <c r="D18" s="19">
        <v>0</v>
      </c>
      <c r="F18" s="13" t="s">
        <v>40</v>
      </c>
      <c r="G18" s="19">
        <f>SUMIFS(Belege!F:F,Belege!D:D,"Einnahme",Belege!J:J,"Kreditkarte")</f>
        <v>160.54000000000002</v>
      </c>
      <c r="H18" s="20">
        <f>IFERROR(G18/SUM($G$16:$G$18),0)</f>
        <v>0.21949985643774184</v>
      </c>
    </row>
    <row r="19" spans="1:8" ht="21.75" customHeight="1" x14ac:dyDescent="0.25">
      <c r="B19" s="21" t="s">
        <v>41</v>
      </c>
      <c r="C19" s="22">
        <f>SUM(C16:C18)</f>
        <v>624.32003455587846</v>
      </c>
      <c r="D19" s="22">
        <f>SUM(D16:D18)</f>
        <v>107.06996544412155</v>
      </c>
      <c r="F19" s="21" t="s">
        <v>42</v>
      </c>
      <c r="G19" s="22">
        <f>SUM(G16:G18)</f>
        <v>731.3900000000001</v>
      </c>
      <c r="H19" s="23">
        <f>SUM(H16:H18)</f>
        <v>0.99999999999999989</v>
      </c>
    </row>
    <row r="21" spans="1:8" ht="21.75" customHeight="1" x14ac:dyDescent="0.25">
      <c r="A21" s="10" t="s">
        <v>43</v>
      </c>
      <c r="B21" s="10"/>
      <c r="C21" s="10"/>
      <c r="D21" s="10"/>
      <c r="F21" s="10" t="s">
        <v>44</v>
      </c>
      <c r="G21" s="10"/>
      <c r="H21" s="10"/>
    </row>
    <row r="22" spans="1:8" x14ac:dyDescent="0.25">
      <c r="B22" s="13" t="s">
        <v>45</v>
      </c>
      <c r="C22" s="7">
        <v>250</v>
      </c>
      <c r="D22" s="7"/>
      <c r="F22" s="13" t="s">
        <v>46</v>
      </c>
      <c r="G22" s="6">
        <f>COUNTIF(Belege!D:D,"Einnahme")</f>
        <v>21</v>
      </c>
      <c r="H22" s="6"/>
    </row>
    <row r="23" spans="1:8" x14ac:dyDescent="0.25">
      <c r="B23" s="13" t="s">
        <v>47</v>
      </c>
      <c r="C23" s="5">
        <f>SUMIFS(Belege!F:F,Belege!D:D,"Einnahme",Belege!J:J,"Bar")</f>
        <v>272.75</v>
      </c>
      <c r="D23" s="5"/>
      <c r="F23" s="13" t="s">
        <v>48</v>
      </c>
      <c r="G23" s="6">
        <f>COUNTIF(Belege!D:D,"Storno")</f>
        <v>1</v>
      </c>
      <c r="H23" s="6"/>
    </row>
    <row r="24" spans="1:8" x14ac:dyDescent="0.25">
      <c r="B24" s="13" t="s">
        <v>49</v>
      </c>
      <c r="C24" s="5">
        <f>SUMIFS(Belege!F:F,Belege!D:D,"Storno",Belege!J:J,"Bar")</f>
        <v>-36.700000000000003</v>
      </c>
      <c r="D24" s="5"/>
      <c r="F24" s="13" t="s">
        <v>50</v>
      </c>
      <c r="G24" s="6">
        <f>COUNTIF(Belege!D:D,"Ausgabe")</f>
        <v>3</v>
      </c>
      <c r="H24" s="6"/>
    </row>
    <row r="25" spans="1:8" x14ac:dyDescent="0.25">
      <c r="B25" s="13" t="s">
        <v>51</v>
      </c>
      <c r="C25" s="5">
        <f>-SUMIFS(Belege!F:F,Belege!D:D,"Ausgabe",Belege!J:J,"Bar")</f>
        <v>-143.65</v>
      </c>
      <c r="D25" s="5"/>
      <c r="F25" s="13" t="s">
        <v>52</v>
      </c>
      <c r="G25" s="5">
        <f>SUMIFS(Belege!F:F,Belege!D:D,"Ausgabe",Belege!J:J,"Bar")</f>
        <v>143.65</v>
      </c>
      <c r="H25" s="5"/>
    </row>
    <row r="26" spans="1:8" x14ac:dyDescent="0.25">
      <c r="B26" s="13" t="s">
        <v>53</v>
      </c>
      <c r="C26" s="5">
        <f>SUMIFS(Belege!F:F,Belege!D:D,"Einlage",Belege!J:J,"Bar")</f>
        <v>150</v>
      </c>
      <c r="D26" s="5"/>
      <c r="F26" s="13" t="s">
        <v>54</v>
      </c>
      <c r="G26" s="5">
        <f>SUMIFS(Belege!F:F,Belege!D:D,"Einlage",Belege!J:J,"Bar")</f>
        <v>150</v>
      </c>
      <c r="H26" s="5"/>
    </row>
    <row r="27" spans="1:8" x14ac:dyDescent="0.25">
      <c r="B27" s="13" t="s">
        <v>55</v>
      </c>
      <c r="C27" s="5">
        <f>SUMIFS(Belege!F:F,Belege!D:D,"Entnahme",Belege!J:J,"Bar")</f>
        <v>-50</v>
      </c>
      <c r="D27" s="5"/>
      <c r="F27" s="13" t="s">
        <v>56</v>
      </c>
      <c r="G27" s="5">
        <f>-SUMIFS(Belege!F:F,Belege!D:D,"Entnahme",Belege!J:J,"Bar")</f>
        <v>50</v>
      </c>
      <c r="H27" s="5"/>
    </row>
    <row r="28" spans="1:8" ht="24" customHeight="1" x14ac:dyDescent="0.25">
      <c r="B28" s="21" t="s">
        <v>57</v>
      </c>
      <c r="C28" s="4">
        <f>SUM(C22:C27)</f>
        <v>442.4</v>
      </c>
      <c r="D28" s="4"/>
      <c r="F28" s="13" t="s">
        <v>58</v>
      </c>
      <c r="G28" s="5">
        <f>IFERROR(SUMIFS(Belege!F:F,Belege!D:D,"Einnahme")/COUNTIF(Belege!D:D,"Einnahme"),0)</f>
        <v>36.575714285714284</v>
      </c>
      <c r="H28" s="5"/>
    </row>
    <row r="29" spans="1:8" x14ac:dyDescent="0.25">
      <c r="B29" s="13" t="s">
        <v>59</v>
      </c>
      <c r="C29" s="3">
        <f>Zählprotokoll!D32</f>
        <v>442.4</v>
      </c>
      <c r="D29" s="3"/>
      <c r="F29" s="13" t="s">
        <v>60</v>
      </c>
      <c r="G29" s="5">
        <f>SUMPRODUCT(MAX((Belege!D5:D31="Einnahme")*Belege!F5:F31))</f>
        <v>120</v>
      </c>
      <c r="H29" s="5"/>
    </row>
    <row r="30" spans="1:8" ht="24" customHeight="1" x14ac:dyDescent="0.25">
      <c r="B30" s="21" t="s">
        <v>61</v>
      </c>
      <c r="C30" s="4">
        <f>C29-C28</f>
        <v>0</v>
      </c>
      <c r="D30" s="4"/>
      <c r="F30" s="21" t="s">
        <v>62</v>
      </c>
      <c r="G30" s="2" t="str">
        <f>IF(ABS(C30)&lt;0.01,"🟢 OK – stimmt überein",IF(ABS(C30)&lt;=2,"🟡 minimale Differenz",IF(C30&lt;0,"🔴 Fehlbestand","🟠 Überschuss")))</f>
        <v>🟢 OK – stimmt überein</v>
      </c>
      <c r="H30" s="2"/>
    </row>
    <row r="32" spans="1:8" ht="21.75" customHeight="1" x14ac:dyDescent="0.25">
      <c r="A32" s="10" t="s">
        <v>63</v>
      </c>
      <c r="B32" s="10"/>
      <c r="C32" s="10"/>
      <c r="D32" s="10"/>
      <c r="E32" s="10"/>
      <c r="F32" s="10"/>
      <c r="G32" s="10"/>
      <c r="H32" s="10"/>
    </row>
    <row r="33" spans="2:8" x14ac:dyDescent="0.25">
      <c r="B33" s="1" t="s">
        <v>64</v>
      </c>
      <c r="C33" s="1"/>
      <c r="D33" s="1"/>
      <c r="E33" s="1"/>
      <c r="F33" s="1"/>
      <c r="G33" s="1"/>
      <c r="H33" s="1"/>
    </row>
    <row r="34" spans="2:8" ht="48" customHeight="1" x14ac:dyDescent="0.25">
      <c r="B34" s="9"/>
      <c r="C34" s="9"/>
      <c r="D34" s="9"/>
      <c r="E34" s="9"/>
      <c r="F34" s="9"/>
      <c r="G34" s="9"/>
      <c r="H34" s="9"/>
    </row>
    <row r="36" spans="2:8" x14ac:dyDescent="0.25">
      <c r="B36" s="54" t="s">
        <v>65</v>
      </c>
      <c r="C36" s="54"/>
      <c r="D36" s="54"/>
      <c r="F36" s="54" t="s">
        <v>65</v>
      </c>
      <c r="G36" s="54"/>
      <c r="H36" s="54"/>
    </row>
    <row r="37" spans="2:8" x14ac:dyDescent="0.25">
      <c r="B37" s="55" t="s">
        <v>66</v>
      </c>
      <c r="C37" s="55"/>
      <c r="D37" s="55"/>
      <c r="F37" s="55" t="s">
        <v>67</v>
      </c>
      <c r="G37" s="55"/>
      <c r="H37" s="55"/>
    </row>
  </sheetData>
  <mergeCells count="42">
    <mergeCell ref="B37:D37"/>
    <mergeCell ref="F37:H37"/>
    <mergeCell ref="A32:H32"/>
    <mergeCell ref="B33:H33"/>
    <mergeCell ref="B34:H34"/>
    <mergeCell ref="B36:D36"/>
    <mergeCell ref="F36:H36"/>
    <mergeCell ref="C28:D28"/>
    <mergeCell ref="G28:H28"/>
    <mergeCell ref="C29:D29"/>
    <mergeCell ref="G29:H29"/>
    <mergeCell ref="C30:D30"/>
    <mergeCell ref="G30:H30"/>
    <mergeCell ref="C25:D25"/>
    <mergeCell ref="G25:H25"/>
    <mergeCell ref="C26:D26"/>
    <mergeCell ref="G26:H26"/>
    <mergeCell ref="C27:D27"/>
    <mergeCell ref="G27:H27"/>
    <mergeCell ref="C22:D22"/>
    <mergeCell ref="G22:H22"/>
    <mergeCell ref="C23:D23"/>
    <mergeCell ref="G23:H23"/>
    <mergeCell ref="C24:D24"/>
    <mergeCell ref="G24:H24"/>
    <mergeCell ref="C9:D9"/>
    <mergeCell ref="G9:H9"/>
    <mergeCell ref="A14:D14"/>
    <mergeCell ref="F14:H14"/>
    <mergeCell ref="A21:D21"/>
    <mergeCell ref="F21:H21"/>
    <mergeCell ref="C6:D6"/>
    <mergeCell ref="G6:H6"/>
    <mergeCell ref="C7:D7"/>
    <mergeCell ref="G7:H7"/>
    <mergeCell ref="C8:D8"/>
    <mergeCell ref="G8:H8"/>
    <mergeCell ref="A1:H1"/>
    <mergeCell ref="A2:H2"/>
    <mergeCell ref="A4:H4"/>
    <mergeCell ref="C5:D5"/>
    <mergeCell ref="G5:H5"/>
  </mergeCells>
  <conditionalFormatting sqref="C30">
    <cfRule type="cellIs" dxfId="10" priority="2" operator="between">
      <formula>-0.01</formula>
      <formula>0.01</formula>
    </cfRule>
    <cfRule type="cellIs" dxfId="9" priority="3" operator="between">
      <formula>-2</formula>
      <formula>2</formula>
    </cfRule>
    <cfRule type="cellIs" dxfId="8" priority="4" operator="lessThan">
      <formula>-2</formula>
    </cfRule>
    <cfRule type="cellIs" dxfId="7" priority="5" operator="greaterThan">
      <formula>2</formula>
    </cfRule>
  </conditionalFormatting>
  <printOptions horizontalCentered="1"/>
  <pageMargins left="0.6" right="0.6" top="0.6" bottom="0.6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6" customWidth="1"/>
    <col min="2" max="2" width="9" customWidth="1"/>
    <col min="3" max="4" width="14" customWidth="1"/>
    <col min="5" max="5" width="36" customWidth="1"/>
    <col min="6" max="6" width="13" customWidth="1"/>
    <col min="7" max="7" width="9" customWidth="1"/>
    <col min="8" max="9" width="12" customWidth="1"/>
    <col min="10" max="10" width="14" customWidth="1"/>
    <col min="11" max="11" width="22" customWidth="1"/>
  </cols>
  <sheetData>
    <row r="1" spans="1:11" ht="31.5" customHeight="1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customHeight="1" x14ac:dyDescent="0.25">
      <c r="A2" s="11" t="s">
        <v>69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ht="31.5" customHeight="1" x14ac:dyDescent="0.25">
      <c r="A4" s="18" t="s">
        <v>70</v>
      </c>
      <c r="B4" s="18" t="s">
        <v>71</v>
      </c>
      <c r="C4" s="18" t="s">
        <v>72</v>
      </c>
      <c r="D4" s="18" t="s">
        <v>73</v>
      </c>
      <c r="E4" s="18" t="s">
        <v>74</v>
      </c>
      <c r="F4" s="18" t="s">
        <v>75</v>
      </c>
      <c r="G4" s="18" t="s">
        <v>76</v>
      </c>
      <c r="H4" s="18" t="s">
        <v>30</v>
      </c>
      <c r="I4" s="18" t="s">
        <v>31</v>
      </c>
      <c r="J4" s="18" t="s">
        <v>32</v>
      </c>
      <c r="K4" s="18" t="s">
        <v>77</v>
      </c>
    </row>
    <row r="5" spans="1:11" ht="18" customHeight="1" x14ac:dyDescent="0.25">
      <c r="A5" s="24">
        <v>1</v>
      </c>
      <c r="B5" s="25" t="s">
        <v>78</v>
      </c>
      <c r="C5" s="25" t="s">
        <v>79</v>
      </c>
      <c r="D5" s="25" t="s">
        <v>80</v>
      </c>
      <c r="E5" s="26" t="s">
        <v>81</v>
      </c>
      <c r="F5" s="27">
        <v>150</v>
      </c>
      <c r="G5" s="28">
        <v>0</v>
      </c>
      <c r="H5" s="19">
        <f t="shared" ref="H5:H31" si="0">IFERROR(F5/(1+G5),0)</f>
        <v>150</v>
      </c>
      <c r="I5" s="19">
        <f t="shared" ref="I5:I31" si="1">F5-H5</f>
        <v>0</v>
      </c>
      <c r="J5" s="25" t="s">
        <v>36</v>
      </c>
      <c r="K5" s="26" t="s">
        <v>82</v>
      </c>
    </row>
    <row r="6" spans="1:11" ht="18" customHeight="1" x14ac:dyDescent="0.25">
      <c r="A6" s="24">
        <v>2</v>
      </c>
      <c r="B6" s="25" t="s">
        <v>83</v>
      </c>
      <c r="C6" s="25" t="s">
        <v>84</v>
      </c>
      <c r="D6" s="25" t="s">
        <v>85</v>
      </c>
      <c r="E6" s="26" t="s">
        <v>86</v>
      </c>
      <c r="F6" s="27">
        <v>24.9</v>
      </c>
      <c r="G6" s="28">
        <v>0.19</v>
      </c>
      <c r="H6" s="19">
        <f t="shared" si="0"/>
        <v>20.92436974789916</v>
      </c>
      <c r="I6" s="19">
        <f t="shared" si="1"/>
        <v>3.9756302521008386</v>
      </c>
      <c r="J6" s="25" t="s">
        <v>36</v>
      </c>
      <c r="K6" s="26"/>
    </row>
    <row r="7" spans="1:11" ht="18" customHeight="1" x14ac:dyDescent="0.25">
      <c r="A7" s="24">
        <v>3</v>
      </c>
      <c r="B7" s="25" t="s">
        <v>87</v>
      </c>
      <c r="C7" s="25" t="s">
        <v>88</v>
      </c>
      <c r="D7" s="25" t="s">
        <v>85</v>
      </c>
      <c r="E7" s="26" t="s">
        <v>89</v>
      </c>
      <c r="F7" s="27">
        <v>12.4</v>
      </c>
      <c r="G7" s="28">
        <v>7.0000000000000007E-2</v>
      </c>
      <c r="H7" s="19">
        <f t="shared" si="0"/>
        <v>11.588785046728972</v>
      </c>
      <c r="I7" s="19">
        <f t="shared" si="1"/>
        <v>0.81121495327102799</v>
      </c>
      <c r="J7" s="25" t="s">
        <v>36</v>
      </c>
      <c r="K7" s="26"/>
    </row>
    <row r="8" spans="1:11" ht="18" customHeight="1" x14ac:dyDescent="0.25">
      <c r="A8" s="24">
        <v>4</v>
      </c>
      <c r="B8" s="25" t="s">
        <v>90</v>
      </c>
      <c r="C8" s="25" t="s">
        <v>91</v>
      </c>
      <c r="D8" s="25" t="s">
        <v>85</v>
      </c>
      <c r="E8" s="26" t="s">
        <v>86</v>
      </c>
      <c r="F8" s="27">
        <v>58.5</v>
      </c>
      <c r="G8" s="28">
        <v>0.19</v>
      </c>
      <c r="H8" s="19">
        <f t="shared" si="0"/>
        <v>49.159663865546221</v>
      </c>
      <c r="I8" s="19">
        <f t="shared" si="1"/>
        <v>9.3403361344537785</v>
      </c>
      <c r="J8" s="25" t="s">
        <v>38</v>
      </c>
      <c r="K8" s="26"/>
    </row>
    <row r="9" spans="1:11" ht="18" customHeight="1" x14ac:dyDescent="0.25">
      <c r="A9" s="24">
        <v>5</v>
      </c>
      <c r="B9" s="25" t="s">
        <v>92</v>
      </c>
      <c r="C9" s="25" t="s">
        <v>93</v>
      </c>
      <c r="D9" s="25" t="s">
        <v>85</v>
      </c>
      <c r="E9" s="26" t="s">
        <v>94</v>
      </c>
      <c r="F9" s="27">
        <v>120</v>
      </c>
      <c r="G9" s="28">
        <v>0.19</v>
      </c>
      <c r="H9" s="19">
        <f t="shared" si="0"/>
        <v>100.84033613445379</v>
      </c>
      <c r="I9" s="19">
        <f t="shared" si="1"/>
        <v>19.159663865546207</v>
      </c>
      <c r="J9" s="25" t="s">
        <v>38</v>
      </c>
      <c r="K9" s="26" t="s">
        <v>95</v>
      </c>
    </row>
    <row r="10" spans="1:11" ht="18" customHeight="1" x14ac:dyDescent="0.25">
      <c r="A10" s="24">
        <v>6</v>
      </c>
      <c r="B10" s="25" t="s">
        <v>96</v>
      </c>
      <c r="C10" s="25" t="s">
        <v>97</v>
      </c>
      <c r="D10" s="25" t="s">
        <v>85</v>
      </c>
      <c r="E10" s="26" t="s">
        <v>86</v>
      </c>
      <c r="F10" s="27">
        <v>14.95</v>
      </c>
      <c r="G10" s="28">
        <v>0.19</v>
      </c>
      <c r="H10" s="19">
        <f t="shared" si="0"/>
        <v>12.563025210084033</v>
      </c>
      <c r="I10" s="19">
        <f t="shared" si="1"/>
        <v>2.3869747899159659</v>
      </c>
      <c r="J10" s="25" t="s">
        <v>36</v>
      </c>
      <c r="K10" s="26"/>
    </row>
    <row r="11" spans="1:11" ht="18" customHeight="1" x14ac:dyDescent="0.25">
      <c r="A11" s="24">
        <v>7</v>
      </c>
      <c r="B11" s="25" t="s">
        <v>98</v>
      </c>
      <c r="C11" s="25" t="s">
        <v>99</v>
      </c>
      <c r="D11" s="25" t="s">
        <v>85</v>
      </c>
      <c r="E11" s="26" t="s">
        <v>89</v>
      </c>
      <c r="F11" s="27">
        <v>8.1999999999999993</v>
      </c>
      <c r="G11" s="28">
        <v>7.0000000000000007E-2</v>
      </c>
      <c r="H11" s="19">
        <f t="shared" si="0"/>
        <v>7.6635514018691575</v>
      </c>
      <c r="I11" s="19">
        <f t="shared" si="1"/>
        <v>0.53644859813084178</v>
      </c>
      <c r="J11" s="25" t="s">
        <v>36</v>
      </c>
      <c r="K11" s="26"/>
    </row>
    <row r="12" spans="1:11" ht="18" customHeight="1" x14ac:dyDescent="0.25">
      <c r="A12" s="24">
        <v>8</v>
      </c>
      <c r="B12" s="25" t="s">
        <v>100</v>
      </c>
      <c r="C12" s="25" t="s">
        <v>101</v>
      </c>
      <c r="D12" s="25" t="s">
        <v>85</v>
      </c>
      <c r="E12" s="26" t="s">
        <v>86</v>
      </c>
      <c r="F12" s="27">
        <v>36.700000000000003</v>
      </c>
      <c r="G12" s="28">
        <v>0.19</v>
      </c>
      <c r="H12" s="19">
        <f t="shared" si="0"/>
        <v>30.840336134453786</v>
      </c>
      <c r="I12" s="19">
        <f t="shared" si="1"/>
        <v>5.8596638655462172</v>
      </c>
      <c r="J12" s="25" t="s">
        <v>36</v>
      </c>
      <c r="K12" s="26"/>
    </row>
    <row r="13" spans="1:11" ht="18" customHeight="1" x14ac:dyDescent="0.25">
      <c r="A13" s="24">
        <v>9</v>
      </c>
      <c r="B13" s="25" t="s">
        <v>102</v>
      </c>
      <c r="C13" s="25" t="s">
        <v>103</v>
      </c>
      <c r="D13" s="25" t="s">
        <v>85</v>
      </c>
      <c r="E13" s="26" t="s">
        <v>104</v>
      </c>
      <c r="F13" s="27">
        <v>18</v>
      </c>
      <c r="G13" s="28">
        <v>0</v>
      </c>
      <c r="H13" s="19">
        <f t="shared" si="0"/>
        <v>18</v>
      </c>
      <c r="I13" s="19">
        <f t="shared" si="1"/>
        <v>0</v>
      </c>
      <c r="J13" s="25" t="s">
        <v>36</v>
      </c>
      <c r="K13" s="26" t="s">
        <v>105</v>
      </c>
    </row>
    <row r="14" spans="1:11" ht="18" customHeight="1" x14ac:dyDescent="0.25">
      <c r="A14" s="24">
        <v>10</v>
      </c>
      <c r="B14" s="25" t="s">
        <v>106</v>
      </c>
      <c r="C14" s="25" t="s">
        <v>107</v>
      </c>
      <c r="D14" s="25" t="s">
        <v>85</v>
      </c>
      <c r="E14" s="26" t="s">
        <v>86</v>
      </c>
      <c r="F14" s="27">
        <v>79.989999999999995</v>
      </c>
      <c r="G14" s="28">
        <v>0.19</v>
      </c>
      <c r="H14" s="19">
        <f t="shared" si="0"/>
        <v>67.218487394957975</v>
      </c>
      <c r="I14" s="19">
        <f t="shared" si="1"/>
        <v>12.77151260504202</v>
      </c>
      <c r="J14" s="25" t="s">
        <v>40</v>
      </c>
      <c r="K14" s="26"/>
    </row>
    <row r="15" spans="1:11" ht="18" customHeight="1" x14ac:dyDescent="0.25">
      <c r="A15" s="24">
        <v>11</v>
      </c>
      <c r="B15" s="25" t="s">
        <v>108</v>
      </c>
      <c r="C15" s="25" t="s">
        <v>109</v>
      </c>
      <c r="D15" s="25" t="s">
        <v>110</v>
      </c>
      <c r="E15" s="26" t="s">
        <v>111</v>
      </c>
      <c r="F15" s="27">
        <v>87.45</v>
      </c>
      <c r="G15" s="28">
        <v>0.19</v>
      </c>
      <c r="H15" s="19">
        <f t="shared" si="0"/>
        <v>73.487394957983199</v>
      </c>
      <c r="I15" s="19">
        <f t="shared" si="1"/>
        <v>13.962605042016804</v>
      </c>
      <c r="J15" s="25" t="s">
        <v>36</v>
      </c>
      <c r="K15" s="26" t="s">
        <v>112</v>
      </c>
    </row>
    <row r="16" spans="1:11" ht="18" customHeight="1" x14ac:dyDescent="0.25">
      <c r="A16" s="24">
        <v>12</v>
      </c>
      <c r="B16" s="25" t="s">
        <v>113</v>
      </c>
      <c r="C16" s="25" t="s">
        <v>114</v>
      </c>
      <c r="D16" s="25" t="s">
        <v>85</v>
      </c>
      <c r="E16" s="26" t="s">
        <v>86</v>
      </c>
      <c r="F16" s="27">
        <v>22.3</v>
      </c>
      <c r="G16" s="28">
        <v>0.19</v>
      </c>
      <c r="H16" s="19">
        <f t="shared" si="0"/>
        <v>18.739495798319329</v>
      </c>
      <c r="I16" s="19">
        <f t="shared" si="1"/>
        <v>3.5605042016806721</v>
      </c>
      <c r="J16" s="25" t="s">
        <v>36</v>
      </c>
      <c r="K16" s="26"/>
    </row>
    <row r="17" spans="1:11" ht="18" customHeight="1" x14ac:dyDescent="0.25">
      <c r="A17" s="24">
        <v>13</v>
      </c>
      <c r="B17" s="25" t="s">
        <v>115</v>
      </c>
      <c r="C17" s="25" t="s">
        <v>116</v>
      </c>
      <c r="D17" s="25" t="s">
        <v>85</v>
      </c>
      <c r="E17" s="26" t="s">
        <v>89</v>
      </c>
      <c r="F17" s="27">
        <v>16.8</v>
      </c>
      <c r="G17" s="28">
        <v>7.0000000000000007E-2</v>
      </c>
      <c r="H17" s="19">
        <f t="shared" si="0"/>
        <v>15.700934579439252</v>
      </c>
      <c r="I17" s="19">
        <f t="shared" si="1"/>
        <v>1.0990654205607484</v>
      </c>
      <c r="J17" s="25" t="s">
        <v>38</v>
      </c>
      <c r="K17" s="26"/>
    </row>
    <row r="18" spans="1:11" ht="18" customHeight="1" x14ac:dyDescent="0.25">
      <c r="A18" s="24">
        <v>14</v>
      </c>
      <c r="B18" s="25" t="s">
        <v>117</v>
      </c>
      <c r="C18" s="25" t="s">
        <v>118</v>
      </c>
      <c r="D18" s="25" t="s">
        <v>85</v>
      </c>
      <c r="E18" s="26" t="s">
        <v>86</v>
      </c>
      <c r="F18" s="27">
        <v>44.5</v>
      </c>
      <c r="G18" s="28">
        <v>0.19</v>
      </c>
      <c r="H18" s="19">
        <f t="shared" si="0"/>
        <v>37.394957983193279</v>
      </c>
      <c r="I18" s="19">
        <f t="shared" si="1"/>
        <v>7.1050420168067205</v>
      </c>
      <c r="J18" s="25" t="s">
        <v>38</v>
      </c>
      <c r="K18" s="26"/>
    </row>
    <row r="19" spans="1:11" ht="18" customHeight="1" x14ac:dyDescent="0.25">
      <c r="A19" s="24">
        <v>15</v>
      </c>
      <c r="B19" s="25" t="s">
        <v>119</v>
      </c>
      <c r="C19" s="25" t="s">
        <v>120</v>
      </c>
      <c r="D19" s="25" t="s">
        <v>121</v>
      </c>
      <c r="E19" s="26" t="s">
        <v>122</v>
      </c>
      <c r="F19" s="27">
        <v>-36.700000000000003</v>
      </c>
      <c r="G19" s="28">
        <v>0.19</v>
      </c>
      <c r="H19" s="19">
        <f t="shared" si="0"/>
        <v>-30.840336134453786</v>
      </c>
      <c r="I19" s="19">
        <f t="shared" si="1"/>
        <v>-5.8596638655462172</v>
      </c>
      <c r="J19" s="25" t="s">
        <v>36</v>
      </c>
      <c r="K19" s="26" t="s">
        <v>123</v>
      </c>
    </row>
    <row r="20" spans="1:11" ht="18" customHeight="1" x14ac:dyDescent="0.25">
      <c r="A20" s="24">
        <v>16</v>
      </c>
      <c r="B20" s="25" t="s">
        <v>124</v>
      </c>
      <c r="C20" s="25" t="s">
        <v>125</v>
      </c>
      <c r="D20" s="25" t="s">
        <v>85</v>
      </c>
      <c r="E20" s="26" t="s">
        <v>126</v>
      </c>
      <c r="F20" s="27">
        <v>29.9</v>
      </c>
      <c r="G20" s="28">
        <v>0.19</v>
      </c>
      <c r="H20" s="19">
        <f t="shared" si="0"/>
        <v>25.126050420168067</v>
      </c>
      <c r="I20" s="19">
        <f t="shared" si="1"/>
        <v>4.7739495798319318</v>
      </c>
      <c r="J20" s="25" t="s">
        <v>36</v>
      </c>
      <c r="K20" s="26" t="s">
        <v>127</v>
      </c>
    </row>
    <row r="21" spans="1:11" ht="18" customHeight="1" x14ac:dyDescent="0.25">
      <c r="A21" s="24">
        <v>17</v>
      </c>
      <c r="B21" s="25" t="s">
        <v>128</v>
      </c>
      <c r="C21" s="25" t="s">
        <v>129</v>
      </c>
      <c r="D21" s="25" t="s">
        <v>85</v>
      </c>
      <c r="E21" s="26" t="s">
        <v>86</v>
      </c>
      <c r="F21" s="27">
        <v>52.75</v>
      </c>
      <c r="G21" s="28">
        <v>0.19</v>
      </c>
      <c r="H21" s="19">
        <f t="shared" si="0"/>
        <v>44.327731092436977</v>
      </c>
      <c r="I21" s="19">
        <f t="shared" si="1"/>
        <v>8.4222689075630228</v>
      </c>
      <c r="J21" s="25" t="s">
        <v>40</v>
      </c>
      <c r="K21" s="26"/>
    </row>
    <row r="22" spans="1:11" ht="18" customHeight="1" x14ac:dyDescent="0.25">
      <c r="A22" s="24">
        <v>18</v>
      </c>
      <c r="B22" s="25" t="s">
        <v>130</v>
      </c>
      <c r="C22" s="25" t="s">
        <v>131</v>
      </c>
      <c r="D22" s="25" t="s">
        <v>110</v>
      </c>
      <c r="E22" s="26" t="s">
        <v>132</v>
      </c>
      <c r="F22" s="27">
        <v>14.2</v>
      </c>
      <c r="G22" s="28">
        <v>0.19</v>
      </c>
      <c r="H22" s="19">
        <f t="shared" si="0"/>
        <v>11.932773109243698</v>
      </c>
      <c r="I22" s="19">
        <f t="shared" si="1"/>
        <v>2.2672268907563016</v>
      </c>
      <c r="J22" s="25" t="s">
        <v>36</v>
      </c>
      <c r="K22" s="26" t="s">
        <v>133</v>
      </c>
    </row>
    <row r="23" spans="1:11" ht="18" customHeight="1" x14ac:dyDescent="0.25">
      <c r="A23" s="24">
        <v>19</v>
      </c>
      <c r="B23" s="25" t="s">
        <v>134</v>
      </c>
      <c r="C23" s="25" t="s">
        <v>135</v>
      </c>
      <c r="D23" s="25" t="s">
        <v>85</v>
      </c>
      <c r="E23" s="26" t="s">
        <v>89</v>
      </c>
      <c r="F23" s="27">
        <v>23.6</v>
      </c>
      <c r="G23" s="28">
        <v>7.0000000000000007E-2</v>
      </c>
      <c r="H23" s="19">
        <f t="shared" si="0"/>
        <v>22.056074766355142</v>
      </c>
      <c r="I23" s="19">
        <f t="shared" si="1"/>
        <v>1.5439252336448597</v>
      </c>
      <c r="J23" s="25" t="s">
        <v>36</v>
      </c>
      <c r="K23" s="26"/>
    </row>
    <row r="24" spans="1:11" ht="18" customHeight="1" x14ac:dyDescent="0.25">
      <c r="A24" s="24">
        <v>20</v>
      </c>
      <c r="B24" s="25" t="s">
        <v>136</v>
      </c>
      <c r="C24" s="25" t="s">
        <v>137</v>
      </c>
      <c r="D24" s="25" t="s">
        <v>85</v>
      </c>
      <c r="E24" s="26" t="s">
        <v>94</v>
      </c>
      <c r="F24" s="27">
        <v>95</v>
      </c>
      <c r="G24" s="28">
        <v>0.19</v>
      </c>
      <c r="H24" s="19">
        <f t="shared" si="0"/>
        <v>79.831932773109244</v>
      </c>
      <c r="I24" s="19">
        <f t="shared" si="1"/>
        <v>15.168067226890756</v>
      </c>
      <c r="J24" s="25" t="s">
        <v>38</v>
      </c>
      <c r="K24" s="26" t="s">
        <v>138</v>
      </c>
    </row>
    <row r="25" spans="1:11" ht="18" customHeight="1" x14ac:dyDescent="0.25">
      <c r="A25" s="24">
        <v>21</v>
      </c>
      <c r="B25" s="25" t="s">
        <v>139</v>
      </c>
      <c r="C25" s="25" t="s">
        <v>140</v>
      </c>
      <c r="D25" s="25" t="s">
        <v>85</v>
      </c>
      <c r="E25" s="26" t="s">
        <v>86</v>
      </c>
      <c r="F25" s="27">
        <v>18.399999999999999</v>
      </c>
      <c r="G25" s="28">
        <v>0.19</v>
      </c>
      <c r="H25" s="19">
        <f t="shared" si="0"/>
        <v>15.46218487394958</v>
      </c>
      <c r="I25" s="19">
        <f t="shared" si="1"/>
        <v>2.9378151260504186</v>
      </c>
      <c r="J25" s="25" t="s">
        <v>36</v>
      </c>
      <c r="K25" s="26"/>
    </row>
    <row r="26" spans="1:11" ht="18" customHeight="1" x14ac:dyDescent="0.25">
      <c r="A26" s="24">
        <v>22</v>
      </c>
      <c r="B26" s="25" t="s">
        <v>141</v>
      </c>
      <c r="C26" s="25" t="s">
        <v>142</v>
      </c>
      <c r="D26" s="25" t="s">
        <v>85</v>
      </c>
      <c r="E26" s="26" t="s">
        <v>86</v>
      </c>
      <c r="F26" s="27">
        <v>31.95</v>
      </c>
      <c r="G26" s="28">
        <v>0.19</v>
      </c>
      <c r="H26" s="19">
        <f t="shared" si="0"/>
        <v>26.84873949579832</v>
      </c>
      <c r="I26" s="19">
        <f t="shared" si="1"/>
        <v>5.1012605042016794</v>
      </c>
      <c r="J26" s="25" t="s">
        <v>36</v>
      </c>
      <c r="K26" s="26"/>
    </row>
    <row r="27" spans="1:11" ht="18" customHeight="1" x14ac:dyDescent="0.25">
      <c r="A27" s="24">
        <v>23</v>
      </c>
      <c r="B27" s="25" t="s">
        <v>143</v>
      </c>
      <c r="C27" s="25" t="s">
        <v>144</v>
      </c>
      <c r="D27" s="25" t="s">
        <v>145</v>
      </c>
      <c r="E27" s="26" t="s">
        <v>146</v>
      </c>
      <c r="F27" s="27">
        <v>-50</v>
      </c>
      <c r="G27" s="28">
        <v>0</v>
      </c>
      <c r="H27" s="19">
        <f t="shared" si="0"/>
        <v>-50</v>
      </c>
      <c r="I27" s="19">
        <f t="shared" si="1"/>
        <v>0</v>
      </c>
      <c r="J27" s="25" t="s">
        <v>36</v>
      </c>
      <c r="K27" s="26" t="s">
        <v>147</v>
      </c>
    </row>
    <row r="28" spans="1:11" ht="18" customHeight="1" x14ac:dyDescent="0.25">
      <c r="A28" s="24">
        <v>24</v>
      </c>
      <c r="B28" s="25" t="s">
        <v>148</v>
      </c>
      <c r="C28" s="25" t="s">
        <v>149</v>
      </c>
      <c r="D28" s="25" t="s">
        <v>85</v>
      </c>
      <c r="E28" s="26" t="s">
        <v>89</v>
      </c>
      <c r="F28" s="27">
        <v>11.5</v>
      </c>
      <c r="G28" s="28">
        <v>7.0000000000000007E-2</v>
      </c>
      <c r="H28" s="19">
        <f t="shared" si="0"/>
        <v>10.747663551401869</v>
      </c>
      <c r="I28" s="19">
        <f t="shared" si="1"/>
        <v>0.75233644859813076</v>
      </c>
      <c r="J28" s="25" t="s">
        <v>36</v>
      </c>
      <c r="K28" s="26"/>
    </row>
    <row r="29" spans="1:11" ht="18" customHeight="1" x14ac:dyDescent="0.25">
      <c r="A29" s="24">
        <v>25</v>
      </c>
      <c r="B29" s="25" t="s">
        <v>150</v>
      </c>
      <c r="C29" s="25" t="s">
        <v>151</v>
      </c>
      <c r="D29" s="25" t="s">
        <v>85</v>
      </c>
      <c r="E29" s="26" t="s">
        <v>86</v>
      </c>
      <c r="F29" s="27">
        <v>27.8</v>
      </c>
      <c r="G29" s="28">
        <v>0.19</v>
      </c>
      <c r="H29" s="19">
        <f t="shared" si="0"/>
        <v>23.361344537815128</v>
      </c>
      <c r="I29" s="19">
        <f t="shared" si="1"/>
        <v>4.4386554621848724</v>
      </c>
      <c r="J29" s="25" t="s">
        <v>40</v>
      </c>
      <c r="K29" s="26"/>
    </row>
    <row r="30" spans="1:11" ht="18" customHeight="1" x14ac:dyDescent="0.25">
      <c r="A30" s="24">
        <v>26</v>
      </c>
      <c r="B30" s="25" t="s">
        <v>152</v>
      </c>
      <c r="C30" s="25" t="s">
        <v>153</v>
      </c>
      <c r="D30" s="25" t="s">
        <v>85</v>
      </c>
      <c r="E30" s="26" t="s">
        <v>86</v>
      </c>
      <c r="F30" s="27">
        <v>19.95</v>
      </c>
      <c r="G30" s="28">
        <v>0.19</v>
      </c>
      <c r="H30" s="19">
        <f t="shared" si="0"/>
        <v>16.764705882352942</v>
      </c>
      <c r="I30" s="19">
        <f t="shared" si="1"/>
        <v>3.1852941176470573</v>
      </c>
      <c r="J30" s="25" t="s">
        <v>36</v>
      </c>
      <c r="K30" s="26"/>
    </row>
    <row r="31" spans="1:11" ht="18" customHeight="1" x14ac:dyDescent="0.25">
      <c r="A31" s="24">
        <v>27</v>
      </c>
      <c r="B31" s="25" t="s">
        <v>154</v>
      </c>
      <c r="C31" s="25" t="s">
        <v>155</v>
      </c>
      <c r="D31" s="25" t="s">
        <v>110</v>
      </c>
      <c r="E31" s="26" t="s">
        <v>156</v>
      </c>
      <c r="F31" s="27">
        <v>42</v>
      </c>
      <c r="G31" s="28">
        <v>0.19</v>
      </c>
      <c r="H31" s="19">
        <f t="shared" si="0"/>
        <v>35.294117647058826</v>
      </c>
      <c r="I31" s="19">
        <f t="shared" si="1"/>
        <v>6.705882352941174</v>
      </c>
      <c r="J31" s="25" t="s">
        <v>36</v>
      </c>
      <c r="K31" s="26" t="s">
        <v>157</v>
      </c>
    </row>
    <row r="32" spans="1:11" ht="21.75" customHeight="1" x14ac:dyDescent="0.25">
      <c r="A32" s="56" t="s">
        <v>158</v>
      </c>
      <c r="B32" s="56"/>
      <c r="C32" s="56"/>
      <c r="D32" s="56"/>
      <c r="E32" s="56"/>
      <c r="F32" s="22">
        <f>SUM(F5:F31)</f>
        <v>975.04</v>
      </c>
      <c r="G32" s="29"/>
      <c r="H32" s="22">
        <f>SUM(H5:H31)</f>
        <v>845.03432027016402</v>
      </c>
      <c r="I32" s="22">
        <f>SUM(I5:I31)</f>
        <v>130.00567972983583</v>
      </c>
      <c r="J32" s="29"/>
      <c r="K32" s="29"/>
    </row>
  </sheetData>
  <mergeCells count="3">
    <mergeCell ref="A1:K1"/>
    <mergeCell ref="A2:K2"/>
    <mergeCell ref="A32:E32"/>
  </mergeCells>
  <conditionalFormatting sqref="D5:D31">
    <cfRule type="expression" dxfId="6" priority="2">
      <formula>$D5="Storno"</formula>
    </cfRule>
    <cfRule type="expression" dxfId="5" priority="3">
      <formula>$D5="Einlage"</formula>
    </cfRule>
    <cfRule type="expression" dxfId="4" priority="4">
      <formula>$D5="Entnahme"</formula>
    </cfRule>
    <cfRule type="expression" dxfId="3" priority="5">
      <formula>$D5="Ausgabe"</formula>
    </cfRule>
  </conditionalFormatting>
  <dataValidations count="2">
    <dataValidation type="list" allowBlank="1" sqref="D5:D204" xr:uid="{00000000-0002-0000-0100-000000000000}">
      <formula1>"Einnahme,Ausgabe,Storno,Einlage,Entnahme"</formula1>
      <formula2>0</formula2>
    </dataValidation>
    <dataValidation type="list" allowBlank="1" sqref="J5:J204" xr:uid="{00000000-0002-0000-0100-000001000000}">
      <formula1>"Bar,EC-Karte,Kreditkarte,Gutschein"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3" width="14" customWidth="1"/>
    <col min="4" max="4" width="18" customWidth="1"/>
    <col min="5" max="5" width="4" customWidth="1"/>
    <col min="6" max="7" width="14" customWidth="1"/>
    <col min="8" max="8" width="18" customWidth="1"/>
  </cols>
  <sheetData>
    <row r="1" spans="1:8" ht="36" customHeight="1" x14ac:dyDescent="0.25">
      <c r="A1" s="12" t="s">
        <v>159</v>
      </c>
      <c r="B1" s="12"/>
      <c r="C1" s="12"/>
      <c r="D1" s="12"/>
      <c r="E1" s="12"/>
      <c r="F1" s="12"/>
      <c r="G1" s="12"/>
      <c r="H1" s="12"/>
    </row>
    <row r="2" spans="1:8" ht="18" customHeight="1" x14ac:dyDescent="0.25">
      <c r="A2" s="11" t="s">
        <v>160</v>
      </c>
      <c r="B2" s="11"/>
      <c r="C2" s="11"/>
      <c r="D2" s="11"/>
      <c r="E2" s="11"/>
      <c r="F2" s="11"/>
      <c r="G2" s="11"/>
      <c r="H2" s="11"/>
    </row>
    <row r="4" spans="1:8" x14ac:dyDescent="0.25">
      <c r="B4" s="13" t="s">
        <v>161</v>
      </c>
      <c r="C4" s="8" t="str">
        <f>TEXT(Tagesbericht!G5,"DD.MM.YYYY")&amp;" · "&amp;Tagesbericht!G7</f>
        <v>13.03.YYYY · Z-2026-072</v>
      </c>
      <c r="D4" s="8"/>
      <c r="F4" s="13" t="s">
        <v>17</v>
      </c>
      <c r="G4" s="8" t="str">
        <f>Tagesbericht!C9</f>
        <v>M. Albrecht</v>
      </c>
      <c r="H4" s="8"/>
    </row>
    <row r="6" spans="1:8" ht="21.75" customHeight="1" x14ac:dyDescent="0.25">
      <c r="A6" s="10" t="s">
        <v>162</v>
      </c>
      <c r="B6" s="10"/>
      <c r="C6" s="10"/>
      <c r="D6" s="10"/>
      <c r="F6" s="10" t="s">
        <v>163</v>
      </c>
      <c r="G6" s="10"/>
      <c r="H6" s="10"/>
    </row>
    <row r="7" spans="1:8" ht="27.75" customHeight="1" x14ac:dyDescent="0.25">
      <c r="B7" s="18" t="s">
        <v>164</v>
      </c>
      <c r="C7" s="18" t="s">
        <v>165</v>
      </c>
      <c r="D7" s="18" t="s">
        <v>166</v>
      </c>
      <c r="F7" s="18" t="s">
        <v>164</v>
      </c>
      <c r="G7" s="18" t="s">
        <v>165</v>
      </c>
      <c r="H7" s="18" t="s">
        <v>166</v>
      </c>
    </row>
    <row r="8" spans="1:8" ht="18" customHeight="1" x14ac:dyDescent="0.25">
      <c r="B8" s="30" t="s">
        <v>167</v>
      </c>
      <c r="C8" s="31">
        <v>0</v>
      </c>
      <c r="D8" s="19">
        <f>C8*0.01</f>
        <v>0</v>
      </c>
      <c r="F8" s="30" t="s">
        <v>168</v>
      </c>
      <c r="G8" s="31">
        <v>2</v>
      </c>
      <c r="H8" s="19">
        <f>G8*5</f>
        <v>10</v>
      </c>
    </row>
    <row r="9" spans="1:8" ht="18" customHeight="1" x14ac:dyDescent="0.25">
      <c r="B9" s="30" t="s">
        <v>169</v>
      </c>
      <c r="C9" s="31">
        <v>0</v>
      </c>
      <c r="D9" s="19">
        <f>C9*0.02</f>
        <v>0</v>
      </c>
      <c r="F9" s="30" t="s">
        <v>170</v>
      </c>
      <c r="G9" s="31">
        <v>1</v>
      </c>
      <c r="H9" s="19">
        <f>G9*10</f>
        <v>10</v>
      </c>
    </row>
    <row r="10" spans="1:8" ht="18" customHeight="1" x14ac:dyDescent="0.25">
      <c r="B10" s="30" t="s">
        <v>171</v>
      </c>
      <c r="C10" s="31">
        <v>0</v>
      </c>
      <c r="D10" s="19">
        <f>C10*0.05</f>
        <v>0</v>
      </c>
      <c r="F10" s="30" t="s">
        <v>172</v>
      </c>
      <c r="G10" s="31">
        <v>1</v>
      </c>
      <c r="H10" s="19">
        <f>G10*20</f>
        <v>20</v>
      </c>
    </row>
    <row r="11" spans="1:8" ht="18" customHeight="1" x14ac:dyDescent="0.25">
      <c r="B11" s="30" t="s">
        <v>173</v>
      </c>
      <c r="C11" s="31">
        <v>0</v>
      </c>
      <c r="D11" s="19">
        <f>C11*0.1</f>
        <v>0</v>
      </c>
      <c r="F11" s="30" t="s">
        <v>174</v>
      </c>
      <c r="G11" s="31">
        <v>4</v>
      </c>
      <c r="H11" s="19">
        <f>G11*50</f>
        <v>200</v>
      </c>
    </row>
    <row r="12" spans="1:8" ht="18" customHeight="1" x14ac:dyDescent="0.25">
      <c r="B12" s="30" t="s">
        <v>175</v>
      </c>
      <c r="C12" s="31">
        <v>2</v>
      </c>
      <c r="D12" s="19">
        <f>C12*0.2</f>
        <v>0.4</v>
      </c>
      <c r="F12" s="30" t="s">
        <v>176</v>
      </c>
      <c r="G12" s="31">
        <v>2</v>
      </c>
      <c r="H12" s="19">
        <f>G12*100</f>
        <v>200</v>
      </c>
    </row>
    <row r="13" spans="1:8" ht="18" customHeight="1" x14ac:dyDescent="0.25">
      <c r="B13" s="30" t="s">
        <v>177</v>
      </c>
      <c r="C13" s="31">
        <v>0</v>
      </c>
      <c r="D13" s="19">
        <f>C13*0.5</f>
        <v>0</v>
      </c>
      <c r="F13" s="30" t="s">
        <v>178</v>
      </c>
      <c r="G13" s="31">
        <v>0</v>
      </c>
      <c r="H13" s="19">
        <f>G13*200</f>
        <v>0</v>
      </c>
    </row>
    <row r="14" spans="1:8" ht="18" customHeight="1" x14ac:dyDescent="0.25">
      <c r="B14" s="30" t="s">
        <v>179</v>
      </c>
      <c r="C14" s="31">
        <v>0</v>
      </c>
      <c r="D14" s="19">
        <f>C14*1</f>
        <v>0</v>
      </c>
      <c r="F14" s="30" t="s">
        <v>180</v>
      </c>
      <c r="G14" s="31">
        <v>0</v>
      </c>
      <c r="H14" s="19">
        <f>G14*500</f>
        <v>0</v>
      </c>
    </row>
    <row r="15" spans="1:8" ht="18" customHeight="1" x14ac:dyDescent="0.25">
      <c r="B15" s="30" t="s">
        <v>181</v>
      </c>
      <c r="C15" s="31">
        <v>1</v>
      </c>
      <c r="D15" s="19">
        <f>C15*2</f>
        <v>2</v>
      </c>
      <c r="F15" s="21" t="s">
        <v>182</v>
      </c>
      <c r="G15" s="32">
        <f>SUM(G8:G14)</f>
        <v>10</v>
      </c>
      <c r="H15" s="22">
        <f>SUM(H8:H14)</f>
        <v>440</v>
      </c>
    </row>
    <row r="16" spans="1:8" ht="21.75" customHeight="1" x14ac:dyDescent="0.25">
      <c r="B16" s="21" t="s">
        <v>183</v>
      </c>
      <c r="C16" s="32">
        <f>SUM(C8:C15)</f>
        <v>3</v>
      </c>
      <c r="D16" s="22">
        <f>SUM(D8:D15)</f>
        <v>2.4</v>
      </c>
    </row>
    <row r="18" spans="1:8" ht="21.75" customHeight="1" x14ac:dyDescent="0.25">
      <c r="A18" s="10" t="s">
        <v>184</v>
      </c>
      <c r="B18" s="10"/>
      <c r="C18" s="10"/>
      <c r="D18" s="10"/>
      <c r="E18" s="10"/>
      <c r="F18" s="10"/>
      <c r="G18" s="10"/>
      <c r="H18" s="10"/>
    </row>
    <row r="19" spans="1:8" x14ac:dyDescent="0.25">
      <c r="B19" s="13" t="s">
        <v>183</v>
      </c>
      <c r="C19" s="57">
        <f>D16</f>
        <v>2.4</v>
      </c>
      <c r="D19" s="57"/>
      <c r="F19" s="13" t="s">
        <v>182</v>
      </c>
      <c r="G19" s="57">
        <f>H15</f>
        <v>440</v>
      </c>
      <c r="H19" s="57"/>
    </row>
    <row r="21" spans="1:8" x14ac:dyDescent="0.25">
      <c r="A21" s="10" t="s">
        <v>185</v>
      </c>
      <c r="B21" s="10"/>
      <c r="C21" s="10"/>
      <c r="D21" s="10"/>
      <c r="E21" s="10"/>
      <c r="F21" s="10"/>
      <c r="G21" s="10"/>
      <c r="H21" s="10"/>
    </row>
    <row r="22" spans="1:8" ht="30" customHeight="1" x14ac:dyDescent="0.25">
      <c r="B22" s="58" t="s">
        <v>186</v>
      </c>
      <c r="C22" s="58"/>
      <c r="D22" s="59">
        <f>C19+G19</f>
        <v>442.4</v>
      </c>
      <c r="F22" s="58" t="s">
        <v>187</v>
      </c>
      <c r="G22" s="58"/>
      <c r="H22" s="59">
        <f>D22-Tagesbericht!C28</f>
        <v>0</v>
      </c>
    </row>
    <row r="23" spans="1:8" ht="30" customHeight="1" x14ac:dyDescent="0.25">
      <c r="B23" s="58"/>
      <c r="C23" s="58"/>
      <c r="D23" s="59"/>
      <c r="F23" s="58"/>
      <c r="G23" s="58"/>
      <c r="H23" s="59"/>
    </row>
    <row r="25" spans="1:8" ht="27.75" customHeight="1" x14ac:dyDescent="0.25">
      <c r="A25" s="60" t="s">
        <v>188</v>
      </c>
      <c r="B25" s="60"/>
      <c r="C25" s="60"/>
      <c r="D25" s="60"/>
      <c r="E25" s="60"/>
      <c r="F25" s="60"/>
      <c r="G25" s="60"/>
      <c r="H25" s="60"/>
    </row>
    <row r="27" spans="1:8" ht="21.75" customHeight="1" x14ac:dyDescent="0.25">
      <c r="A27" s="10" t="s">
        <v>189</v>
      </c>
      <c r="B27" s="10"/>
      <c r="C27" s="10"/>
      <c r="D27" s="10"/>
      <c r="E27" s="10"/>
      <c r="F27" s="10"/>
      <c r="G27" s="10"/>
      <c r="H27" s="10"/>
    </row>
    <row r="28" spans="1:8" ht="27.75" customHeight="1" x14ac:dyDescent="0.25">
      <c r="B28" s="61"/>
      <c r="C28" s="61"/>
      <c r="D28" s="61"/>
      <c r="E28" s="61"/>
      <c r="F28" s="61"/>
      <c r="G28" s="61"/>
      <c r="H28" s="61"/>
    </row>
    <row r="29" spans="1:8" ht="27.75" customHeight="1" x14ac:dyDescent="0.25">
      <c r="B29" s="61"/>
      <c r="C29" s="61"/>
      <c r="D29" s="61"/>
      <c r="E29" s="61"/>
      <c r="F29" s="61"/>
      <c r="G29" s="61"/>
      <c r="H29" s="61"/>
    </row>
    <row r="32" spans="1:8" x14ac:dyDescent="0.25">
      <c r="B32" s="33" t="s">
        <v>190</v>
      </c>
      <c r="D32" s="34">
        <f>D22</f>
        <v>442.4</v>
      </c>
    </row>
  </sheetData>
  <mergeCells count="17">
    <mergeCell ref="A25:H25"/>
    <mergeCell ref="A27:H27"/>
    <mergeCell ref="B28:H29"/>
    <mergeCell ref="A18:H18"/>
    <mergeCell ref="C19:D19"/>
    <mergeCell ref="G19:H19"/>
    <mergeCell ref="A21:H21"/>
    <mergeCell ref="B22:C23"/>
    <mergeCell ref="D22:D23"/>
    <mergeCell ref="F22:G23"/>
    <mergeCell ref="H22:H23"/>
    <mergeCell ref="A1:H1"/>
    <mergeCell ref="A2:H2"/>
    <mergeCell ref="C4:D4"/>
    <mergeCell ref="G4:H4"/>
    <mergeCell ref="A6:D6"/>
    <mergeCell ref="F6:H6"/>
  </mergeCells>
  <printOptions horizontalCentered="1"/>
  <pageMargins left="0.6" right="0.6" top="0.6" bottom="0.6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4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ColWidth="8.7109375" defaultRowHeight="15" x14ac:dyDescent="0.25"/>
  <cols>
    <col min="1" max="1" width="4" customWidth="1"/>
    <col min="2" max="2" width="12" customWidth="1"/>
    <col min="3" max="10" width="14" customWidth="1"/>
    <col min="11" max="11" width="18" customWidth="1"/>
  </cols>
  <sheetData>
    <row r="1" spans="1:11" ht="36" customHeight="1" x14ac:dyDescent="0.25">
      <c r="A1" s="12" t="s">
        <v>191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customHeight="1" x14ac:dyDescent="0.25">
      <c r="A2" s="11" t="s">
        <v>192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ht="18" customHeight="1" x14ac:dyDescent="0.25">
      <c r="B4" s="14" t="s">
        <v>193</v>
      </c>
      <c r="D4" s="14" t="s">
        <v>194</v>
      </c>
      <c r="F4" s="14" t="s">
        <v>195</v>
      </c>
      <c r="H4" s="14" t="s">
        <v>196</v>
      </c>
      <c r="J4" s="14" t="s">
        <v>197</v>
      </c>
    </row>
    <row r="5" spans="1:11" ht="30" customHeight="1" x14ac:dyDescent="0.25">
      <c r="B5" s="62">
        <f>SUM(F8:F38)</f>
        <v>42298.180000000008</v>
      </c>
      <c r="C5" s="62"/>
      <c r="D5" s="62">
        <f>IFERROR(SUMIF(F8:F38,"&gt;0")/COUNTIF(F8:F38,"&gt;0"),0)</f>
        <v>1566.5992592592595</v>
      </c>
      <c r="E5" s="62"/>
      <c r="F5" s="62">
        <f>SUM(J8:J38)</f>
        <v>0.60000000000000009</v>
      </c>
      <c r="G5" s="62"/>
      <c r="H5" s="63">
        <f>COUNTIF(J8:J38,"&lt;&gt;0")-COUNTBLANK(J8:J38)</f>
        <v>10</v>
      </c>
      <c r="I5" s="63"/>
      <c r="J5" s="64">
        <f>IFERROR(SUM(G8:G38)/SUM(F8:F38),0)</f>
        <v>0.60739019976746023</v>
      </c>
      <c r="K5" s="64"/>
    </row>
    <row r="7" spans="1:11" ht="31.5" customHeight="1" x14ac:dyDescent="0.25">
      <c r="A7" s="18" t="s">
        <v>198</v>
      </c>
      <c r="B7" s="18" t="s">
        <v>5</v>
      </c>
      <c r="C7" s="18" t="s">
        <v>8</v>
      </c>
      <c r="D7" s="18" t="s">
        <v>199</v>
      </c>
      <c r="E7" s="18" t="s">
        <v>200</v>
      </c>
      <c r="F7" s="18" t="s">
        <v>201</v>
      </c>
      <c r="G7" s="18" t="s">
        <v>36</v>
      </c>
      <c r="H7" s="18" t="s">
        <v>202</v>
      </c>
      <c r="I7" s="18" t="s">
        <v>203</v>
      </c>
      <c r="J7" s="18" t="s">
        <v>204</v>
      </c>
      <c r="K7" s="18" t="s">
        <v>205</v>
      </c>
    </row>
    <row r="8" spans="1:11" ht="18" customHeight="1" x14ac:dyDescent="0.25">
      <c r="A8" s="24">
        <v>2</v>
      </c>
      <c r="B8" s="35">
        <v>46083</v>
      </c>
      <c r="C8" s="36" t="str">
        <f t="shared" ref="C8:C33" si="0">CHOOSE(WEEKDAY(B8,2),"Mo","Di","Mi","Do","Fr","Sa","So")</f>
        <v>Mo</v>
      </c>
      <c r="D8" s="25" t="s">
        <v>206</v>
      </c>
      <c r="E8" s="27">
        <v>250</v>
      </c>
      <c r="F8" s="27">
        <v>685.4</v>
      </c>
      <c r="G8" s="27">
        <v>412.5</v>
      </c>
      <c r="H8" s="27">
        <v>272.89999999999998</v>
      </c>
      <c r="I8" s="27">
        <v>268.3</v>
      </c>
      <c r="J8" s="37">
        <v>0</v>
      </c>
      <c r="K8" s="38" t="str">
        <f t="shared" ref="K8:K33" si="1">IF(ABS(J8)&lt;0.01,"🟢 OK",IF(ABS(J8)&lt;=2,"🟡 minimal",IF(J8&lt;0,"🔴 Fehl","🟠 Über")))</f>
        <v>🟢 OK</v>
      </c>
    </row>
    <row r="9" spans="1:11" ht="18" customHeight="1" x14ac:dyDescent="0.25">
      <c r="A9" s="24">
        <v>3</v>
      </c>
      <c r="B9" s="35">
        <v>46084</v>
      </c>
      <c r="C9" s="36" t="str">
        <f t="shared" si="0"/>
        <v>Di</v>
      </c>
      <c r="D9" s="25" t="s">
        <v>12</v>
      </c>
      <c r="E9" s="27">
        <v>268.3</v>
      </c>
      <c r="F9" s="27">
        <v>742.1</v>
      </c>
      <c r="G9" s="27">
        <v>458.2</v>
      </c>
      <c r="H9" s="27">
        <v>283.89999999999998</v>
      </c>
      <c r="I9" s="27">
        <v>295.39999999999998</v>
      </c>
      <c r="J9" s="37">
        <v>0</v>
      </c>
      <c r="K9" s="38" t="str">
        <f t="shared" si="1"/>
        <v>🟢 OK</v>
      </c>
    </row>
    <row r="10" spans="1:11" ht="18" customHeight="1" x14ac:dyDescent="0.25">
      <c r="A10" s="24">
        <v>4</v>
      </c>
      <c r="B10" s="35">
        <v>46085</v>
      </c>
      <c r="C10" s="36" t="str">
        <f t="shared" si="0"/>
        <v>Mi</v>
      </c>
      <c r="D10" s="25" t="s">
        <v>207</v>
      </c>
      <c r="E10" s="27">
        <v>295.39999999999998</v>
      </c>
      <c r="F10" s="27">
        <v>612.79999999999995</v>
      </c>
      <c r="G10" s="27">
        <v>378</v>
      </c>
      <c r="H10" s="27">
        <v>234.8</v>
      </c>
      <c r="I10" s="27">
        <v>311.5</v>
      </c>
      <c r="J10" s="37">
        <v>-0.5</v>
      </c>
      <c r="K10" s="38" t="str">
        <f t="shared" si="1"/>
        <v>🟡 minimal</v>
      </c>
    </row>
    <row r="11" spans="1:11" ht="18" customHeight="1" x14ac:dyDescent="0.25">
      <c r="A11" s="24">
        <v>5</v>
      </c>
      <c r="B11" s="35">
        <v>46086</v>
      </c>
      <c r="C11" s="36" t="str">
        <f t="shared" si="0"/>
        <v>Do</v>
      </c>
      <c r="D11" s="25" t="s">
        <v>208</v>
      </c>
      <c r="E11" s="27">
        <v>311.5</v>
      </c>
      <c r="F11" s="27">
        <v>798.3</v>
      </c>
      <c r="G11" s="27">
        <v>489.5</v>
      </c>
      <c r="H11" s="27">
        <v>308.8</v>
      </c>
      <c r="I11" s="27">
        <v>305.2</v>
      </c>
      <c r="J11" s="37">
        <v>0</v>
      </c>
      <c r="K11" s="38" t="str">
        <f t="shared" si="1"/>
        <v>🟢 OK</v>
      </c>
    </row>
    <row r="12" spans="1:11" ht="18" customHeight="1" x14ac:dyDescent="0.25">
      <c r="A12" s="24">
        <v>6</v>
      </c>
      <c r="B12" s="35">
        <v>46087</v>
      </c>
      <c r="C12" s="36" t="str">
        <f t="shared" si="0"/>
        <v>Fr</v>
      </c>
      <c r="D12" s="25" t="s">
        <v>209</v>
      </c>
      <c r="E12" s="27">
        <v>305.2</v>
      </c>
      <c r="F12" s="27">
        <v>921.5</v>
      </c>
      <c r="G12" s="27">
        <v>567.20000000000005</v>
      </c>
      <c r="H12" s="27">
        <v>354.3</v>
      </c>
      <c r="I12" s="27">
        <v>412.6</v>
      </c>
      <c r="J12" s="37">
        <v>1</v>
      </c>
      <c r="K12" s="38" t="str">
        <f t="shared" si="1"/>
        <v>🟡 minimal</v>
      </c>
    </row>
    <row r="13" spans="1:11" ht="18" customHeight="1" x14ac:dyDescent="0.25">
      <c r="A13" s="24">
        <v>7</v>
      </c>
      <c r="B13" s="35">
        <v>46088</v>
      </c>
      <c r="C13" s="36" t="str">
        <f t="shared" si="0"/>
        <v>Sa</v>
      </c>
      <c r="D13" s="25" t="s">
        <v>210</v>
      </c>
      <c r="E13" s="27">
        <v>412.6</v>
      </c>
      <c r="F13" s="27">
        <v>1142.8</v>
      </c>
      <c r="G13" s="27">
        <v>712.4</v>
      </c>
      <c r="H13" s="27">
        <v>430.4</v>
      </c>
      <c r="I13" s="27">
        <v>425.3</v>
      </c>
      <c r="J13" s="37">
        <v>-0.5</v>
      </c>
      <c r="K13" s="38" t="str">
        <f t="shared" si="1"/>
        <v>🟡 minimal</v>
      </c>
    </row>
    <row r="14" spans="1:11" ht="18" customHeight="1" x14ac:dyDescent="0.25">
      <c r="A14" s="24">
        <v>9</v>
      </c>
      <c r="B14" s="35">
        <v>46090</v>
      </c>
      <c r="C14" s="36" t="str">
        <f t="shared" si="0"/>
        <v>Mo</v>
      </c>
      <c r="D14" s="25" t="s">
        <v>211</v>
      </c>
      <c r="E14" s="27">
        <v>425.3</v>
      </c>
      <c r="F14" s="27">
        <v>678.4</v>
      </c>
      <c r="G14" s="27">
        <v>415.2</v>
      </c>
      <c r="H14" s="27">
        <v>263.2</v>
      </c>
      <c r="I14" s="27">
        <v>320.2</v>
      </c>
      <c r="J14" s="37">
        <v>0</v>
      </c>
      <c r="K14" s="38" t="str">
        <f t="shared" si="1"/>
        <v>🟢 OK</v>
      </c>
    </row>
    <row r="15" spans="1:11" ht="18" customHeight="1" x14ac:dyDescent="0.25">
      <c r="A15" s="24">
        <v>10</v>
      </c>
      <c r="B15" s="35">
        <v>46091</v>
      </c>
      <c r="C15" s="36" t="str">
        <f t="shared" si="0"/>
        <v>Di</v>
      </c>
      <c r="D15" s="25" t="s">
        <v>212</v>
      </c>
      <c r="E15" s="27">
        <v>320.2</v>
      </c>
      <c r="F15" s="27">
        <v>715.6</v>
      </c>
      <c r="G15" s="27">
        <v>442.1</v>
      </c>
      <c r="H15" s="27">
        <v>273.5</v>
      </c>
      <c r="I15" s="27">
        <v>318.8</v>
      </c>
      <c r="J15" s="37">
        <v>0</v>
      </c>
      <c r="K15" s="38" t="str">
        <f t="shared" si="1"/>
        <v>🟢 OK</v>
      </c>
    </row>
    <row r="16" spans="1:11" ht="18" customHeight="1" x14ac:dyDescent="0.25">
      <c r="A16" s="24">
        <v>11</v>
      </c>
      <c r="B16" s="35">
        <v>46092</v>
      </c>
      <c r="C16" s="36" t="str">
        <f t="shared" si="0"/>
        <v>Mi</v>
      </c>
      <c r="D16" s="25" t="s">
        <v>213</v>
      </c>
      <c r="E16" s="27">
        <v>318.8</v>
      </c>
      <c r="F16" s="27">
        <v>689.9</v>
      </c>
      <c r="G16" s="27">
        <v>425.3</v>
      </c>
      <c r="H16" s="27">
        <v>264.60000000000002</v>
      </c>
      <c r="I16" s="27">
        <v>295.10000000000002</v>
      </c>
      <c r="J16" s="37">
        <v>0.5</v>
      </c>
      <c r="K16" s="38" t="str">
        <f t="shared" si="1"/>
        <v>🟡 minimal</v>
      </c>
    </row>
    <row r="17" spans="1:11" ht="18" customHeight="1" x14ac:dyDescent="0.25">
      <c r="A17" s="24">
        <v>12</v>
      </c>
      <c r="B17" s="35">
        <v>46093</v>
      </c>
      <c r="C17" s="36" t="str">
        <f t="shared" si="0"/>
        <v>Do</v>
      </c>
      <c r="D17" s="25" t="s">
        <v>214</v>
      </c>
      <c r="E17" s="27">
        <v>295.10000000000002</v>
      </c>
      <c r="F17" s="27">
        <v>802.4</v>
      </c>
      <c r="G17" s="27">
        <v>498.1</v>
      </c>
      <c r="H17" s="27">
        <v>304.3</v>
      </c>
      <c r="I17" s="27">
        <v>312.5</v>
      </c>
      <c r="J17" s="37">
        <v>0</v>
      </c>
      <c r="K17" s="38" t="str">
        <f t="shared" si="1"/>
        <v>🟢 OK</v>
      </c>
    </row>
    <row r="18" spans="1:11" ht="18" customHeight="1" x14ac:dyDescent="0.25">
      <c r="A18" s="24">
        <v>13</v>
      </c>
      <c r="B18" s="35">
        <v>46094</v>
      </c>
      <c r="C18" s="36" t="str">
        <f t="shared" si="0"/>
        <v>Fr</v>
      </c>
      <c r="D18" s="25" t="str">
        <f>Tagesbericht!G7</f>
        <v>Z-2026-072</v>
      </c>
      <c r="E18" s="27">
        <f>Tagesbericht!C22</f>
        <v>250</v>
      </c>
      <c r="F18" s="39">
        <f>Tagesbericht!B12</f>
        <v>731.39</v>
      </c>
      <c r="G18" s="39">
        <f>Tagesbericht!C12</f>
        <v>236.05</v>
      </c>
      <c r="H18" s="39">
        <f>Tagesbericht!D12</f>
        <v>495.34000000000003</v>
      </c>
      <c r="I18" s="39">
        <f>Tagesbericht!C29</f>
        <v>442.4</v>
      </c>
      <c r="J18" s="40">
        <f>Tagesbericht!C30</f>
        <v>0</v>
      </c>
      <c r="K18" s="38" t="str">
        <f t="shared" si="1"/>
        <v>🟢 OK</v>
      </c>
    </row>
    <row r="19" spans="1:11" ht="18" customHeight="1" x14ac:dyDescent="0.25">
      <c r="A19" s="24">
        <v>14</v>
      </c>
      <c r="B19" s="35">
        <v>46095</v>
      </c>
      <c r="C19" s="36" t="str">
        <f t="shared" si="0"/>
        <v>Sa</v>
      </c>
      <c r="D19" s="25" t="s">
        <v>215</v>
      </c>
      <c r="E19" s="19">
        <f>I18</f>
        <v>442.4</v>
      </c>
      <c r="F19" s="27">
        <v>1018.5</v>
      </c>
      <c r="G19" s="27">
        <v>632.4</v>
      </c>
      <c r="H19" s="27">
        <v>386.1</v>
      </c>
      <c r="I19" s="27">
        <v>410.8</v>
      </c>
      <c r="J19" s="37">
        <v>0</v>
      </c>
      <c r="K19" s="38" t="str">
        <f t="shared" si="1"/>
        <v>🟢 OK</v>
      </c>
    </row>
    <row r="20" spans="1:11" ht="18" customHeight="1" x14ac:dyDescent="0.25">
      <c r="A20" s="24">
        <v>16</v>
      </c>
      <c r="B20" s="35">
        <v>46097</v>
      </c>
      <c r="C20" s="36" t="str">
        <f t="shared" si="0"/>
        <v>Mo</v>
      </c>
      <c r="D20" s="25" t="s">
        <v>216</v>
      </c>
      <c r="E20" s="27">
        <v>410.8</v>
      </c>
      <c r="F20" s="27">
        <v>691.2</v>
      </c>
      <c r="G20" s="27">
        <v>425.4</v>
      </c>
      <c r="H20" s="27">
        <v>265.8</v>
      </c>
      <c r="I20" s="27">
        <v>320.60000000000002</v>
      </c>
      <c r="J20" s="37">
        <v>0</v>
      </c>
      <c r="K20" s="38" t="str">
        <f t="shared" si="1"/>
        <v>🟢 OK</v>
      </c>
    </row>
    <row r="21" spans="1:11" ht="18" customHeight="1" x14ac:dyDescent="0.25">
      <c r="A21" s="24">
        <v>17</v>
      </c>
      <c r="B21" s="35">
        <v>46098</v>
      </c>
      <c r="C21" s="36" t="str">
        <f t="shared" si="0"/>
        <v>Di</v>
      </c>
      <c r="D21" s="25" t="s">
        <v>217</v>
      </c>
      <c r="E21" s="27">
        <v>320.60000000000002</v>
      </c>
      <c r="F21" s="27">
        <v>754.8</v>
      </c>
      <c r="G21" s="27">
        <v>467.3</v>
      </c>
      <c r="H21" s="27">
        <v>287.5</v>
      </c>
      <c r="I21" s="27">
        <v>322.39999999999998</v>
      </c>
      <c r="J21" s="37">
        <v>-1.5</v>
      </c>
      <c r="K21" s="38" t="str">
        <f t="shared" si="1"/>
        <v>🟡 minimal</v>
      </c>
    </row>
    <row r="22" spans="1:11" ht="18" customHeight="1" x14ac:dyDescent="0.25">
      <c r="A22" s="24">
        <v>18</v>
      </c>
      <c r="B22" s="35">
        <v>46099</v>
      </c>
      <c r="C22" s="36" t="str">
        <f t="shared" si="0"/>
        <v>Mi</v>
      </c>
      <c r="D22" s="25" t="s">
        <v>218</v>
      </c>
      <c r="E22" s="27">
        <v>322.39999999999998</v>
      </c>
      <c r="F22" s="27">
        <v>712.3</v>
      </c>
      <c r="G22" s="27">
        <v>441.2</v>
      </c>
      <c r="H22" s="27">
        <v>271.10000000000002</v>
      </c>
      <c r="I22" s="27">
        <v>305.8</v>
      </c>
      <c r="J22" s="37">
        <v>0</v>
      </c>
      <c r="K22" s="38" t="str">
        <f t="shared" si="1"/>
        <v>🟢 OK</v>
      </c>
    </row>
    <row r="23" spans="1:11" ht="18" customHeight="1" x14ac:dyDescent="0.25">
      <c r="A23" s="24">
        <v>19</v>
      </c>
      <c r="B23" s="35">
        <v>46100</v>
      </c>
      <c r="C23" s="36" t="str">
        <f t="shared" si="0"/>
        <v>Do</v>
      </c>
      <c r="D23" s="25" t="s">
        <v>219</v>
      </c>
      <c r="E23" s="27">
        <v>305.8</v>
      </c>
      <c r="F23" s="27">
        <v>798.5</v>
      </c>
      <c r="G23" s="27">
        <v>491.3</v>
      </c>
      <c r="H23" s="27">
        <v>307.2</v>
      </c>
      <c r="I23" s="27">
        <v>318.2</v>
      </c>
      <c r="J23" s="37">
        <v>0</v>
      </c>
      <c r="K23" s="38" t="str">
        <f t="shared" si="1"/>
        <v>🟢 OK</v>
      </c>
    </row>
    <row r="24" spans="1:11" ht="18" customHeight="1" x14ac:dyDescent="0.25">
      <c r="A24" s="24">
        <v>20</v>
      </c>
      <c r="B24" s="35">
        <v>46101</v>
      </c>
      <c r="C24" s="36" t="str">
        <f t="shared" si="0"/>
        <v>Fr</v>
      </c>
      <c r="D24" s="25" t="s">
        <v>220</v>
      </c>
      <c r="E24" s="27">
        <v>318.2</v>
      </c>
      <c r="F24" s="27">
        <v>945.6</v>
      </c>
      <c r="G24" s="27">
        <v>583.4</v>
      </c>
      <c r="H24" s="27">
        <v>362.2</v>
      </c>
      <c r="I24" s="27">
        <v>416.9</v>
      </c>
      <c r="J24" s="37">
        <v>0.5</v>
      </c>
      <c r="K24" s="38" t="str">
        <f t="shared" si="1"/>
        <v>🟡 minimal</v>
      </c>
    </row>
    <row r="25" spans="1:11" ht="18" customHeight="1" x14ac:dyDescent="0.25">
      <c r="A25" s="24">
        <v>21</v>
      </c>
      <c r="B25" s="35">
        <v>46102</v>
      </c>
      <c r="C25" s="36" t="str">
        <f t="shared" si="0"/>
        <v>Sa</v>
      </c>
      <c r="D25" s="25" t="s">
        <v>221</v>
      </c>
      <c r="E25" s="27">
        <v>416.9</v>
      </c>
      <c r="F25" s="27">
        <v>1168.3</v>
      </c>
      <c r="G25" s="27">
        <v>728.2</v>
      </c>
      <c r="H25" s="27">
        <v>440.1</v>
      </c>
      <c r="I25" s="27">
        <v>432.5</v>
      </c>
      <c r="J25" s="37">
        <v>-0.2</v>
      </c>
      <c r="K25" s="38" t="str">
        <f t="shared" si="1"/>
        <v>🟡 minimal</v>
      </c>
    </row>
    <row r="26" spans="1:11" ht="18" customHeight="1" x14ac:dyDescent="0.25">
      <c r="A26" s="24">
        <v>23</v>
      </c>
      <c r="B26" s="35">
        <v>46104</v>
      </c>
      <c r="C26" s="36" t="str">
        <f t="shared" si="0"/>
        <v>Mo</v>
      </c>
      <c r="D26" s="25" t="s">
        <v>222</v>
      </c>
      <c r="E26" s="27">
        <v>432.5</v>
      </c>
      <c r="F26" s="27">
        <v>695.4</v>
      </c>
      <c r="G26" s="27">
        <v>427.8</v>
      </c>
      <c r="H26" s="27">
        <v>267.60000000000002</v>
      </c>
      <c r="I26" s="27">
        <v>325.89999999999998</v>
      </c>
      <c r="J26" s="37">
        <v>0</v>
      </c>
      <c r="K26" s="38" t="str">
        <f t="shared" si="1"/>
        <v>🟢 OK</v>
      </c>
    </row>
    <row r="27" spans="1:11" ht="18" customHeight="1" x14ac:dyDescent="0.25">
      <c r="A27" s="24">
        <v>24</v>
      </c>
      <c r="B27" s="35">
        <v>46105</v>
      </c>
      <c r="C27" s="36" t="str">
        <f t="shared" si="0"/>
        <v>Di</v>
      </c>
      <c r="D27" s="25" t="s">
        <v>223</v>
      </c>
      <c r="E27" s="27">
        <v>325.89999999999998</v>
      </c>
      <c r="F27" s="27">
        <v>738.2</v>
      </c>
      <c r="G27" s="27">
        <v>456.4</v>
      </c>
      <c r="H27" s="27">
        <v>281.8</v>
      </c>
      <c r="I27" s="27">
        <v>318.5</v>
      </c>
      <c r="J27" s="37">
        <v>0</v>
      </c>
      <c r="K27" s="38" t="str">
        <f t="shared" si="1"/>
        <v>🟢 OK</v>
      </c>
    </row>
    <row r="28" spans="1:11" ht="18" customHeight="1" x14ac:dyDescent="0.25">
      <c r="A28" s="24">
        <v>25</v>
      </c>
      <c r="B28" s="35">
        <v>46106</v>
      </c>
      <c r="C28" s="36" t="str">
        <f t="shared" si="0"/>
        <v>Mi</v>
      </c>
      <c r="D28" s="25" t="s">
        <v>224</v>
      </c>
      <c r="E28" s="27">
        <v>318.5</v>
      </c>
      <c r="F28" s="27">
        <v>685.3</v>
      </c>
      <c r="G28" s="27">
        <v>422.4</v>
      </c>
      <c r="H28" s="27">
        <v>262.89999999999998</v>
      </c>
      <c r="I28" s="27">
        <v>306.10000000000002</v>
      </c>
      <c r="J28" s="37">
        <v>0</v>
      </c>
      <c r="K28" s="38" t="str">
        <f t="shared" si="1"/>
        <v>🟢 OK</v>
      </c>
    </row>
    <row r="29" spans="1:11" ht="18" customHeight="1" x14ac:dyDescent="0.25">
      <c r="A29" s="24">
        <v>26</v>
      </c>
      <c r="B29" s="35">
        <v>46107</v>
      </c>
      <c r="C29" s="36" t="str">
        <f t="shared" si="0"/>
        <v>Do</v>
      </c>
      <c r="D29" s="25" t="s">
        <v>225</v>
      </c>
      <c r="E29" s="27">
        <v>306.10000000000002</v>
      </c>
      <c r="F29" s="27">
        <v>812.4</v>
      </c>
      <c r="G29" s="27">
        <v>502.3</v>
      </c>
      <c r="H29" s="27">
        <v>310.10000000000002</v>
      </c>
      <c r="I29" s="27">
        <v>320.2</v>
      </c>
      <c r="J29" s="37">
        <v>0</v>
      </c>
      <c r="K29" s="38" t="str">
        <f t="shared" si="1"/>
        <v>🟢 OK</v>
      </c>
    </row>
    <row r="30" spans="1:11" ht="18" customHeight="1" x14ac:dyDescent="0.25">
      <c r="A30" s="24">
        <v>27</v>
      </c>
      <c r="B30" s="35">
        <v>46108</v>
      </c>
      <c r="C30" s="36" t="str">
        <f t="shared" si="0"/>
        <v>Fr</v>
      </c>
      <c r="D30" s="25" t="s">
        <v>226</v>
      </c>
      <c r="E30" s="27">
        <v>320.2</v>
      </c>
      <c r="F30" s="27">
        <v>928.7</v>
      </c>
      <c r="G30" s="27">
        <v>574.5</v>
      </c>
      <c r="H30" s="27">
        <v>354.2</v>
      </c>
      <c r="I30" s="27">
        <v>408.4</v>
      </c>
      <c r="J30" s="37">
        <v>1.5</v>
      </c>
      <c r="K30" s="38" t="str">
        <f t="shared" si="1"/>
        <v>🟡 minimal</v>
      </c>
    </row>
    <row r="31" spans="1:11" ht="18" customHeight="1" x14ac:dyDescent="0.25">
      <c r="A31" s="24">
        <v>28</v>
      </c>
      <c r="B31" s="35">
        <v>46109</v>
      </c>
      <c r="C31" s="36" t="str">
        <f t="shared" si="0"/>
        <v>Sa</v>
      </c>
      <c r="D31" s="25" t="s">
        <v>227</v>
      </c>
      <c r="E31" s="27">
        <v>408.4</v>
      </c>
      <c r="F31" s="27">
        <v>1198.4000000000001</v>
      </c>
      <c r="G31" s="27">
        <v>745.3</v>
      </c>
      <c r="H31" s="27">
        <v>453.1</v>
      </c>
      <c r="I31" s="27">
        <v>442.8</v>
      </c>
      <c r="J31" s="37">
        <v>-0.5</v>
      </c>
      <c r="K31" s="38" t="str">
        <f t="shared" si="1"/>
        <v>🟡 minimal</v>
      </c>
    </row>
    <row r="32" spans="1:11" ht="18" customHeight="1" x14ac:dyDescent="0.25">
      <c r="A32" s="24">
        <v>30</v>
      </c>
      <c r="B32" s="35">
        <v>46111</v>
      </c>
      <c r="C32" s="36" t="str">
        <f t="shared" si="0"/>
        <v>Mo</v>
      </c>
      <c r="D32" s="25" t="s">
        <v>228</v>
      </c>
      <c r="E32" s="27">
        <v>442.8</v>
      </c>
      <c r="F32" s="27">
        <v>712.5</v>
      </c>
      <c r="G32" s="27">
        <v>438.2</v>
      </c>
      <c r="H32" s="27">
        <v>274.3</v>
      </c>
      <c r="I32" s="27">
        <v>332.1</v>
      </c>
      <c r="J32" s="37">
        <v>0</v>
      </c>
      <c r="K32" s="38" t="str">
        <f t="shared" si="1"/>
        <v>🟢 OK</v>
      </c>
    </row>
    <row r="33" spans="1:11" ht="18" customHeight="1" x14ac:dyDescent="0.25">
      <c r="A33" s="24">
        <v>31</v>
      </c>
      <c r="B33" s="35">
        <v>46112</v>
      </c>
      <c r="C33" s="36" t="str">
        <f t="shared" si="0"/>
        <v>Di</v>
      </c>
      <c r="D33" s="25" t="s">
        <v>229</v>
      </c>
      <c r="E33" s="27">
        <v>332.1</v>
      </c>
      <c r="F33" s="27">
        <v>768.4</v>
      </c>
      <c r="G33" s="27">
        <v>475.1</v>
      </c>
      <c r="H33" s="27">
        <v>293.3</v>
      </c>
      <c r="I33" s="27">
        <v>325.60000000000002</v>
      </c>
      <c r="J33" s="37">
        <v>0</v>
      </c>
      <c r="K33" s="38" t="str">
        <f t="shared" si="1"/>
        <v>🟢 OK</v>
      </c>
    </row>
    <row r="34" spans="1:11" ht="24" customHeight="1" x14ac:dyDescent="0.25">
      <c r="A34" s="56" t="s">
        <v>230</v>
      </c>
      <c r="B34" s="56"/>
      <c r="C34" s="56"/>
      <c r="D34" s="56"/>
      <c r="E34" s="22">
        <f>E8</f>
        <v>250</v>
      </c>
      <c r="F34" s="22">
        <f>SUM(F8:F33)</f>
        <v>21149.090000000004</v>
      </c>
      <c r="G34" s="22">
        <f>SUM(G8:G33)</f>
        <v>12845.749999999998</v>
      </c>
      <c r="H34" s="22">
        <f>SUM(H8:H33)</f>
        <v>8303.34</v>
      </c>
      <c r="I34" s="22">
        <f>I33</f>
        <v>325.60000000000002</v>
      </c>
      <c r="J34" s="22">
        <f>SUM(J8:J33)</f>
        <v>0.30000000000000004</v>
      </c>
      <c r="K34" s="29"/>
    </row>
  </sheetData>
  <mergeCells count="8">
    <mergeCell ref="A34:D34"/>
    <mergeCell ref="A1:K1"/>
    <mergeCell ref="A2:K2"/>
    <mergeCell ref="B5:C5"/>
    <mergeCell ref="D5:E5"/>
    <mergeCell ref="F5:G5"/>
    <mergeCell ref="H5:I5"/>
    <mergeCell ref="J5:K5"/>
  </mergeCells>
  <conditionalFormatting sqref="F8:F33">
    <cfRule type="colorScale" priority="2">
      <colorScale>
        <cfvo type="min"/>
        <cfvo type="percentile" val="50"/>
        <cfvo type="max"/>
        <color rgb="FFFFFFFF"/>
        <color rgb="FFF5EFD9"/>
        <color rgb="FFE8D8A8"/>
      </colorScale>
    </cfRule>
  </conditionalFormatting>
  <conditionalFormatting sqref="J8:J33">
    <cfRule type="cellIs" dxfId="2" priority="3" operator="between">
      <formula>-0.01</formula>
      <formula>0.01</formula>
    </cfRule>
    <cfRule type="cellIs" dxfId="1" priority="4" operator="lessThan">
      <formula>-2</formula>
    </cfRule>
    <cfRule type="cellIs" dxfId="0" priority="5" operator="greaterThan">
      <formula>2</formula>
    </cfRule>
  </conditionalFormatting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5" customWidth="1"/>
    <col min="3" max="3" width="28" customWidth="1"/>
    <col min="4" max="4" width="60" customWidth="1"/>
  </cols>
  <sheetData>
    <row r="1" spans="1:4" ht="36" customHeight="1" x14ac:dyDescent="0.25">
      <c r="A1" s="12" t="s">
        <v>231</v>
      </c>
      <c r="B1" s="12"/>
      <c r="C1" s="12"/>
      <c r="D1" s="12"/>
    </row>
    <row r="2" spans="1:4" ht="18" customHeight="1" x14ac:dyDescent="0.25">
      <c r="A2" s="11" t="s">
        <v>232</v>
      </c>
      <c r="B2" s="11"/>
      <c r="C2" s="11"/>
      <c r="D2" s="11"/>
    </row>
    <row r="4" spans="1:4" ht="21.75" customHeight="1" x14ac:dyDescent="0.25">
      <c r="A4" s="10" t="s">
        <v>233</v>
      </c>
      <c r="B4" s="10"/>
      <c r="C4" s="10"/>
      <c r="D4" s="10"/>
    </row>
    <row r="6" spans="1:4" ht="55.5" customHeight="1" x14ac:dyDescent="0.25">
      <c r="B6" s="41" t="s">
        <v>234</v>
      </c>
      <c r="C6" s="42" t="s">
        <v>235</v>
      </c>
      <c r="D6" s="43" t="s">
        <v>236</v>
      </c>
    </row>
    <row r="7" spans="1:4" ht="55.5" customHeight="1" x14ac:dyDescent="0.25">
      <c r="B7" s="41" t="s">
        <v>237</v>
      </c>
      <c r="C7" s="42" t="s">
        <v>238</v>
      </c>
      <c r="D7" s="43" t="s">
        <v>239</v>
      </c>
    </row>
    <row r="8" spans="1:4" ht="55.5" customHeight="1" x14ac:dyDescent="0.25">
      <c r="B8" s="41" t="s">
        <v>240</v>
      </c>
      <c r="C8" s="42" t="s">
        <v>241</v>
      </c>
      <c r="D8" s="43" t="s">
        <v>242</v>
      </c>
    </row>
    <row r="9" spans="1:4" ht="55.5" customHeight="1" x14ac:dyDescent="0.25">
      <c r="B9" s="41" t="s">
        <v>243</v>
      </c>
      <c r="C9" s="42" t="s">
        <v>244</v>
      </c>
      <c r="D9" s="43" t="s">
        <v>245</v>
      </c>
    </row>
    <row r="10" spans="1:4" ht="55.5" customHeight="1" x14ac:dyDescent="0.25">
      <c r="B10" s="41" t="s">
        <v>246</v>
      </c>
      <c r="C10" s="42" t="s">
        <v>247</v>
      </c>
      <c r="D10" s="43" t="s">
        <v>248</v>
      </c>
    </row>
    <row r="11" spans="1:4" ht="55.5" customHeight="1" x14ac:dyDescent="0.25">
      <c r="B11" s="41" t="s">
        <v>249</v>
      </c>
      <c r="C11" s="42" t="s">
        <v>250</v>
      </c>
      <c r="D11" s="43" t="s">
        <v>251</v>
      </c>
    </row>
    <row r="13" spans="1:4" ht="21.75" customHeight="1" x14ac:dyDescent="0.25">
      <c r="A13" s="10" t="s">
        <v>252</v>
      </c>
      <c r="B13" s="10"/>
      <c r="C13" s="10"/>
      <c r="D13" s="10"/>
    </row>
    <row r="14" spans="1:4" ht="43.5" customHeight="1" x14ac:dyDescent="0.25">
      <c r="B14" s="44" t="s">
        <v>253</v>
      </c>
      <c r="C14" s="45" t="s">
        <v>254</v>
      </c>
      <c r="D14" s="46" t="s">
        <v>255</v>
      </c>
    </row>
    <row r="15" spans="1:4" ht="43.5" customHeight="1" x14ac:dyDescent="0.25">
      <c r="B15" s="44" t="s">
        <v>253</v>
      </c>
      <c r="C15" s="45" t="s">
        <v>256</v>
      </c>
      <c r="D15" s="46" t="s">
        <v>257</v>
      </c>
    </row>
    <row r="16" spans="1:4" ht="43.5" customHeight="1" x14ac:dyDescent="0.25">
      <c r="B16" s="44" t="s">
        <v>253</v>
      </c>
      <c r="C16" s="45" t="s">
        <v>258</v>
      </c>
      <c r="D16" s="46" t="s">
        <v>259</v>
      </c>
    </row>
    <row r="17" spans="1:4" ht="43.5" customHeight="1" x14ac:dyDescent="0.25">
      <c r="B17" s="44" t="s">
        <v>253</v>
      </c>
      <c r="C17" s="45" t="s">
        <v>260</v>
      </c>
      <c r="D17" s="46" t="s">
        <v>261</v>
      </c>
    </row>
    <row r="18" spans="1:4" ht="43.5" customHeight="1" x14ac:dyDescent="0.25">
      <c r="B18" s="44" t="s">
        <v>253</v>
      </c>
      <c r="C18" s="45" t="s">
        <v>262</v>
      </c>
      <c r="D18" s="46" t="s">
        <v>263</v>
      </c>
    </row>
    <row r="20" spans="1:4" ht="21.75" customHeight="1" x14ac:dyDescent="0.25">
      <c r="A20" s="10" t="s">
        <v>264</v>
      </c>
      <c r="B20" s="10"/>
      <c r="C20" s="10"/>
      <c r="D20" s="10"/>
    </row>
    <row r="21" spans="1:4" ht="21.75" customHeight="1" x14ac:dyDescent="0.25">
      <c r="B21" s="47"/>
      <c r="C21" s="48" t="s">
        <v>265</v>
      </c>
      <c r="D21" s="46" t="s">
        <v>266</v>
      </c>
    </row>
    <row r="22" spans="1:4" ht="21.75" customHeight="1" x14ac:dyDescent="0.25">
      <c r="B22" s="49"/>
      <c r="C22" s="48" t="s">
        <v>267</v>
      </c>
      <c r="D22" s="46" t="s">
        <v>268</v>
      </c>
    </row>
    <row r="23" spans="1:4" ht="21.75" customHeight="1" x14ac:dyDescent="0.25">
      <c r="B23" s="50"/>
      <c r="C23" s="48" t="s">
        <v>269</v>
      </c>
      <c r="D23" s="46" t="s">
        <v>270</v>
      </c>
    </row>
    <row r="24" spans="1:4" ht="21.75" customHeight="1" x14ac:dyDescent="0.25">
      <c r="B24" s="51"/>
      <c r="C24" s="48" t="s">
        <v>271</v>
      </c>
      <c r="D24" s="46" t="s">
        <v>272</v>
      </c>
    </row>
    <row r="25" spans="1:4" ht="21.75" customHeight="1" x14ac:dyDescent="0.25">
      <c r="B25" s="52"/>
      <c r="C25" s="48" t="s">
        <v>273</v>
      </c>
      <c r="D25" s="46" t="s">
        <v>274</v>
      </c>
    </row>
    <row r="26" spans="1:4" ht="21.75" customHeight="1" x14ac:dyDescent="0.25">
      <c r="B26" s="53"/>
      <c r="C26" s="48" t="s">
        <v>275</v>
      </c>
      <c r="D26" s="46" t="s">
        <v>276</v>
      </c>
    </row>
  </sheetData>
  <mergeCells count="5">
    <mergeCell ref="A1:D1"/>
    <mergeCell ref="A2:D2"/>
    <mergeCell ref="A4:D4"/>
    <mergeCell ref="A13:D13"/>
    <mergeCell ref="A20:D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Tagesbericht</vt:lpstr>
      <vt:lpstr>Belege</vt:lpstr>
      <vt:lpstr>Zählprotokoll</vt:lpstr>
      <vt:lpstr>Monatsübersicht</vt:lpstr>
      <vt:lpstr>Anleitung</vt:lpstr>
      <vt:lpstr>Anleitung!Druckbereich</vt:lpstr>
      <vt:lpstr>Monatsübersicht!Druckbereich</vt:lpstr>
      <vt:lpstr>Tagesbericht!Druckbereich</vt:lpstr>
      <vt:lpstr>Zählprotokoll!Druckbereich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2026-06-13T06:20:20Z</dcterms:created>
  <dcterms:modified xsi:type="dcterms:W3CDTF">2026-06-13T07:20:24Z</dcterms:modified>
  <dc:language>en-US</dc:language>
</cp:coreProperties>
</file>