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DF930D08-CAF6-41DD-9D74-33C0386CA6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shboard" sheetId="1" r:id="rId1"/>
    <sheet name="Pipeline" sheetId="2" r:id="rId2"/>
    <sheet name="Einstellung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4" i="2" l="1"/>
  <c r="T104" i="2"/>
  <c r="S104" i="2"/>
  <c r="R104" i="2"/>
  <c r="Q104" i="2"/>
  <c r="J104" i="2"/>
  <c r="I104" i="2"/>
  <c r="V103" i="2"/>
  <c r="T103" i="2"/>
  <c r="S103" i="2"/>
  <c r="R103" i="2"/>
  <c r="Q103" i="2"/>
  <c r="J103" i="2"/>
  <c r="I103" i="2"/>
  <c r="V102" i="2"/>
  <c r="T102" i="2"/>
  <c r="S102" i="2"/>
  <c r="R102" i="2"/>
  <c r="Q102" i="2"/>
  <c r="J102" i="2"/>
  <c r="I102" i="2"/>
  <c r="V101" i="2"/>
  <c r="T101" i="2"/>
  <c r="S101" i="2"/>
  <c r="R101" i="2"/>
  <c r="Q101" i="2"/>
  <c r="J101" i="2"/>
  <c r="I101" i="2"/>
  <c r="V100" i="2"/>
  <c r="T100" i="2"/>
  <c r="S100" i="2"/>
  <c r="R100" i="2"/>
  <c r="Q100" i="2"/>
  <c r="J100" i="2"/>
  <c r="I100" i="2"/>
  <c r="V99" i="2"/>
  <c r="T99" i="2"/>
  <c r="S99" i="2"/>
  <c r="R99" i="2"/>
  <c r="Q99" i="2"/>
  <c r="J99" i="2"/>
  <c r="I99" i="2"/>
  <c r="V98" i="2"/>
  <c r="T98" i="2"/>
  <c r="S98" i="2"/>
  <c r="R98" i="2"/>
  <c r="Q98" i="2"/>
  <c r="J98" i="2"/>
  <c r="I98" i="2"/>
  <c r="V97" i="2"/>
  <c r="T97" i="2"/>
  <c r="S97" i="2"/>
  <c r="R97" i="2"/>
  <c r="Q97" i="2"/>
  <c r="J97" i="2"/>
  <c r="I97" i="2"/>
  <c r="V96" i="2"/>
  <c r="T96" i="2"/>
  <c r="S96" i="2"/>
  <c r="R96" i="2"/>
  <c r="Q96" i="2"/>
  <c r="J96" i="2"/>
  <c r="I96" i="2"/>
  <c r="V95" i="2"/>
  <c r="T95" i="2"/>
  <c r="S95" i="2"/>
  <c r="R95" i="2"/>
  <c r="Q95" i="2"/>
  <c r="J95" i="2"/>
  <c r="I95" i="2"/>
  <c r="V94" i="2"/>
  <c r="T94" i="2"/>
  <c r="S94" i="2"/>
  <c r="R94" i="2"/>
  <c r="Q94" i="2"/>
  <c r="J94" i="2"/>
  <c r="I94" i="2"/>
  <c r="V93" i="2"/>
  <c r="T93" i="2"/>
  <c r="S93" i="2"/>
  <c r="R93" i="2"/>
  <c r="Q93" i="2"/>
  <c r="J93" i="2"/>
  <c r="I93" i="2"/>
  <c r="V92" i="2"/>
  <c r="T92" i="2"/>
  <c r="S92" i="2"/>
  <c r="R92" i="2"/>
  <c r="Q92" i="2"/>
  <c r="J92" i="2"/>
  <c r="I92" i="2"/>
  <c r="V91" i="2"/>
  <c r="T91" i="2"/>
  <c r="S91" i="2"/>
  <c r="R91" i="2"/>
  <c r="Q91" i="2"/>
  <c r="J91" i="2"/>
  <c r="I91" i="2"/>
  <c r="V90" i="2"/>
  <c r="T90" i="2"/>
  <c r="S90" i="2"/>
  <c r="R90" i="2"/>
  <c r="Q90" i="2"/>
  <c r="J90" i="2"/>
  <c r="I90" i="2"/>
  <c r="V89" i="2"/>
  <c r="T89" i="2"/>
  <c r="S89" i="2"/>
  <c r="R89" i="2"/>
  <c r="Q89" i="2"/>
  <c r="J89" i="2"/>
  <c r="I89" i="2"/>
  <c r="V88" i="2"/>
  <c r="T88" i="2"/>
  <c r="S88" i="2"/>
  <c r="R88" i="2"/>
  <c r="Q88" i="2"/>
  <c r="J88" i="2"/>
  <c r="I88" i="2"/>
  <c r="V87" i="2"/>
  <c r="T87" i="2"/>
  <c r="S87" i="2"/>
  <c r="R87" i="2"/>
  <c r="Q87" i="2"/>
  <c r="J87" i="2"/>
  <c r="I87" i="2"/>
  <c r="V86" i="2"/>
  <c r="T86" i="2"/>
  <c r="S86" i="2"/>
  <c r="R86" i="2"/>
  <c r="Q86" i="2"/>
  <c r="J86" i="2"/>
  <c r="I86" i="2"/>
  <c r="V85" i="2"/>
  <c r="T85" i="2"/>
  <c r="S85" i="2"/>
  <c r="R85" i="2"/>
  <c r="Q85" i="2"/>
  <c r="J85" i="2"/>
  <c r="I85" i="2"/>
  <c r="V84" i="2"/>
  <c r="T84" i="2"/>
  <c r="S84" i="2"/>
  <c r="R84" i="2"/>
  <c r="Q84" i="2"/>
  <c r="J84" i="2"/>
  <c r="I84" i="2"/>
  <c r="V83" i="2"/>
  <c r="T83" i="2"/>
  <c r="S83" i="2"/>
  <c r="R83" i="2"/>
  <c r="Q83" i="2"/>
  <c r="J83" i="2"/>
  <c r="I83" i="2"/>
  <c r="V82" i="2"/>
  <c r="T82" i="2"/>
  <c r="S82" i="2"/>
  <c r="R82" i="2"/>
  <c r="Q82" i="2"/>
  <c r="J82" i="2"/>
  <c r="I82" i="2"/>
  <c r="V81" i="2"/>
  <c r="T81" i="2"/>
  <c r="S81" i="2"/>
  <c r="R81" i="2"/>
  <c r="Q81" i="2"/>
  <c r="J81" i="2"/>
  <c r="I81" i="2"/>
  <c r="V80" i="2"/>
  <c r="T80" i="2"/>
  <c r="S80" i="2"/>
  <c r="R80" i="2"/>
  <c r="Q80" i="2"/>
  <c r="J80" i="2"/>
  <c r="I80" i="2"/>
  <c r="V79" i="2"/>
  <c r="T79" i="2"/>
  <c r="S79" i="2"/>
  <c r="R79" i="2"/>
  <c r="Q79" i="2"/>
  <c r="J79" i="2"/>
  <c r="I79" i="2"/>
  <c r="V78" i="2"/>
  <c r="T78" i="2"/>
  <c r="S78" i="2"/>
  <c r="R78" i="2"/>
  <c r="Q78" i="2"/>
  <c r="J78" i="2"/>
  <c r="I78" i="2"/>
  <c r="V77" i="2"/>
  <c r="T77" i="2"/>
  <c r="S77" i="2"/>
  <c r="R77" i="2"/>
  <c r="Q77" i="2"/>
  <c r="J77" i="2"/>
  <c r="I77" i="2"/>
  <c r="V76" i="2"/>
  <c r="T76" i="2"/>
  <c r="S76" i="2"/>
  <c r="R76" i="2"/>
  <c r="Q76" i="2"/>
  <c r="J76" i="2"/>
  <c r="I76" i="2"/>
  <c r="V75" i="2"/>
  <c r="T75" i="2"/>
  <c r="S75" i="2"/>
  <c r="R75" i="2"/>
  <c r="Q75" i="2"/>
  <c r="J75" i="2"/>
  <c r="I75" i="2"/>
  <c r="V74" i="2"/>
  <c r="T74" i="2"/>
  <c r="S74" i="2"/>
  <c r="R74" i="2"/>
  <c r="Q74" i="2"/>
  <c r="J74" i="2"/>
  <c r="I74" i="2"/>
  <c r="V73" i="2"/>
  <c r="T73" i="2"/>
  <c r="S73" i="2"/>
  <c r="R73" i="2"/>
  <c r="Q73" i="2"/>
  <c r="J73" i="2"/>
  <c r="I73" i="2"/>
  <c r="V72" i="2"/>
  <c r="T72" i="2"/>
  <c r="S72" i="2"/>
  <c r="R72" i="2"/>
  <c r="Q72" i="2"/>
  <c r="J72" i="2"/>
  <c r="I72" i="2"/>
  <c r="V71" i="2"/>
  <c r="T71" i="2"/>
  <c r="S71" i="2"/>
  <c r="R71" i="2"/>
  <c r="Q71" i="2"/>
  <c r="J71" i="2"/>
  <c r="I71" i="2"/>
  <c r="V70" i="2"/>
  <c r="T70" i="2"/>
  <c r="S70" i="2"/>
  <c r="R70" i="2"/>
  <c r="Q70" i="2"/>
  <c r="J70" i="2"/>
  <c r="I70" i="2"/>
  <c r="V69" i="2"/>
  <c r="T69" i="2"/>
  <c r="S69" i="2"/>
  <c r="R69" i="2"/>
  <c r="Q69" i="2"/>
  <c r="J69" i="2"/>
  <c r="I69" i="2"/>
  <c r="V68" i="2"/>
  <c r="T68" i="2"/>
  <c r="S68" i="2"/>
  <c r="R68" i="2"/>
  <c r="Q68" i="2"/>
  <c r="J68" i="2"/>
  <c r="I68" i="2"/>
  <c r="V67" i="2"/>
  <c r="T67" i="2"/>
  <c r="S67" i="2"/>
  <c r="R67" i="2"/>
  <c r="Q67" i="2"/>
  <c r="J67" i="2"/>
  <c r="I67" i="2"/>
  <c r="V66" i="2"/>
  <c r="T66" i="2"/>
  <c r="S66" i="2"/>
  <c r="R66" i="2"/>
  <c r="Q66" i="2"/>
  <c r="J66" i="2"/>
  <c r="I66" i="2"/>
  <c r="V65" i="2"/>
  <c r="T65" i="2"/>
  <c r="S65" i="2"/>
  <c r="R65" i="2"/>
  <c r="Q65" i="2"/>
  <c r="J65" i="2"/>
  <c r="I65" i="2"/>
  <c r="V64" i="2"/>
  <c r="T64" i="2"/>
  <c r="S64" i="2"/>
  <c r="R64" i="2"/>
  <c r="Q64" i="2"/>
  <c r="J64" i="2"/>
  <c r="I64" i="2"/>
  <c r="V63" i="2"/>
  <c r="T63" i="2"/>
  <c r="S63" i="2"/>
  <c r="R63" i="2"/>
  <c r="Q63" i="2"/>
  <c r="J63" i="2"/>
  <c r="I63" i="2"/>
  <c r="V62" i="2"/>
  <c r="T62" i="2"/>
  <c r="S62" i="2"/>
  <c r="R62" i="2"/>
  <c r="Q62" i="2"/>
  <c r="J62" i="2"/>
  <c r="I62" i="2"/>
  <c r="V61" i="2"/>
  <c r="T61" i="2"/>
  <c r="S61" i="2"/>
  <c r="R61" i="2"/>
  <c r="Q61" i="2"/>
  <c r="J61" i="2"/>
  <c r="I61" i="2"/>
  <c r="V60" i="2"/>
  <c r="T60" i="2"/>
  <c r="S60" i="2"/>
  <c r="R60" i="2"/>
  <c r="Q60" i="2"/>
  <c r="J60" i="2"/>
  <c r="I60" i="2"/>
  <c r="V59" i="2"/>
  <c r="T59" i="2"/>
  <c r="S59" i="2"/>
  <c r="R59" i="2"/>
  <c r="Q59" i="2"/>
  <c r="J59" i="2"/>
  <c r="I59" i="2"/>
  <c r="V58" i="2"/>
  <c r="T58" i="2"/>
  <c r="S58" i="2"/>
  <c r="R58" i="2"/>
  <c r="Q58" i="2"/>
  <c r="J58" i="2"/>
  <c r="I58" i="2"/>
  <c r="V57" i="2"/>
  <c r="T57" i="2"/>
  <c r="S57" i="2"/>
  <c r="R57" i="2"/>
  <c r="Q57" i="2"/>
  <c r="J57" i="2"/>
  <c r="I57" i="2"/>
  <c r="V56" i="2"/>
  <c r="T56" i="2"/>
  <c r="S56" i="2"/>
  <c r="R56" i="2"/>
  <c r="Q56" i="2"/>
  <c r="J56" i="2"/>
  <c r="I56" i="2"/>
  <c r="V55" i="2"/>
  <c r="T55" i="2"/>
  <c r="S55" i="2"/>
  <c r="R55" i="2"/>
  <c r="Q55" i="2"/>
  <c r="J55" i="2"/>
  <c r="I55" i="2"/>
  <c r="V54" i="2"/>
  <c r="T54" i="2"/>
  <c r="S54" i="2"/>
  <c r="R54" i="2"/>
  <c r="Q54" i="2"/>
  <c r="J54" i="2"/>
  <c r="I54" i="2"/>
  <c r="V53" i="2"/>
  <c r="T53" i="2"/>
  <c r="S53" i="2"/>
  <c r="R53" i="2"/>
  <c r="Q53" i="2"/>
  <c r="J53" i="2"/>
  <c r="I53" i="2"/>
  <c r="V52" i="2"/>
  <c r="T52" i="2"/>
  <c r="S52" i="2"/>
  <c r="R52" i="2"/>
  <c r="Q52" i="2"/>
  <c r="J52" i="2"/>
  <c r="I52" i="2"/>
  <c r="V51" i="2"/>
  <c r="T51" i="2"/>
  <c r="S51" i="2"/>
  <c r="R51" i="2"/>
  <c r="Q51" i="2"/>
  <c r="J51" i="2"/>
  <c r="I51" i="2"/>
  <c r="V50" i="2"/>
  <c r="T50" i="2"/>
  <c r="S50" i="2"/>
  <c r="R50" i="2"/>
  <c r="Q50" i="2"/>
  <c r="J50" i="2"/>
  <c r="I50" i="2"/>
  <c r="V49" i="2"/>
  <c r="T49" i="2"/>
  <c r="S49" i="2"/>
  <c r="R49" i="2"/>
  <c r="Q49" i="2"/>
  <c r="J49" i="2"/>
  <c r="I49" i="2"/>
  <c r="V48" i="2"/>
  <c r="T48" i="2"/>
  <c r="S48" i="2"/>
  <c r="R48" i="2"/>
  <c r="Q48" i="2"/>
  <c r="J48" i="2"/>
  <c r="I48" i="2"/>
  <c r="V47" i="2"/>
  <c r="T47" i="2"/>
  <c r="S47" i="2"/>
  <c r="R47" i="2"/>
  <c r="Q47" i="2"/>
  <c r="J47" i="2"/>
  <c r="I47" i="2"/>
  <c r="V46" i="2"/>
  <c r="T46" i="2"/>
  <c r="S46" i="2"/>
  <c r="R46" i="2"/>
  <c r="Q46" i="2"/>
  <c r="J46" i="2"/>
  <c r="I46" i="2"/>
  <c r="V45" i="2"/>
  <c r="T45" i="2"/>
  <c r="S45" i="2"/>
  <c r="R45" i="2"/>
  <c r="Q45" i="2"/>
  <c r="J45" i="2"/>
  <c r="I45" i="2"/>
  <c r="V44" i="2"/>
  <c r="T44" i="2"/>
  <c r="S44" i="2"/>
  <c r="R44" i="2"/>
  <c r="Q44" i="2"/>
  <c r="J44" i="2"/>
  <c r="I44" i="2"/>
  <c r="V43" i="2"/>
  <c r="T43" i="2"/>
  <c r="S43" i="2"/>
  <c r="R43" i="2"/>
  <c r="Q43" i="2"/>
  <c r="J43" i="2"/>
  <c r="I43" i="2"/>
  <c r="V42" i="2"/>
  <c r="T42" i="2"/>
  <c r="S42" i="2"/>
  <c r="R42" i="2"/>
  <c r="Q42" i="2"/>
  <c r="J42" i="2"/>
  <c r="I42" i="2"/>
  <c r="V41" i="2"/>
  <c r="T41" i="2"/>
  <c r="S41" i="2"/>
  <c r="R41" i="2"/>
  <c r="Q41" i="2"/>
  <c r="J41" i="2"/>
  <c r="I41" i="2"/>
  <c r="V40" i="2"/>
  <c r="T40" i="2"/>
  <c r="S40" i="2"/>
  <c r="R40" i="2"/>
  <c r="Q40" i="2"/>
  <c r="J40" i="2"/>
  <c r="I40" i="2"/>
  <c r="V39" i="2"/>
  <c r="T39" i="2"/>
  <c r="S39" i="2"/>
  <c r="R39" i="2"/>
  <c r="Q39" i="2"/>
  <c r="J39" i="2"/>
  <c r="I39" i="2"/>
  <c r="V38" i="2"/>
  <c r="T38" i="2"/>
  <c r="S38" i="2"/>
  <c r="R38" i="2"/>
  <c r="Q38" i="2"/>
  <c r="J38" i="2"/>
  <c r="I38" i="2"/>
  <c r="V37" i="2"/>
  <c r="T37" i="2"/>
  <c r="S37" i="2"/>
  <c r="R37" i="2"/>
  <c r="Q37" i="2"/>
  <c r="J37" i="2"/>
  <c r="I37" i="2"/>
  <c r="V36" i="2"/>
  <c r="T36" i="2"/>
  <c r="S36" i="2"/>
  <c r="R36" i="2"/>
  <c r="Q36" i="2"/>
  <c r="J36" i="2"/>
  <c r="I36" i="2"/>
  <c r="V35" i="2"/>
  <c r="T35" i="2"/>
  <c r="S35" i="2"/>
  <c r="R35" i="2"/>
  <c r="Q35" i="2"/>
  <c r="J35" i="2"/>
  <c r="I35" i="2"/>
  <c r="V34" i="2"/>
  <c r="T34" i="2"/>
  <c r="S34" i="2"/>
  <c r="R34" i="2"/>
  <c r="Q34" i="2"/>
  <c r="J34" i="2"/>
  <c r="I34" i="2"/>
  <c r="V33" i="2"/>
  <c r="T33" i="2"/>
  <c r="S33" i="2"/>
  <c r="R33" i="2"/>
  <c r="Q33" i="2"/>
  <c r="J33" i="2"/>
  <c r="I33" i="2"/>
  <c r="V32" i="2"/>
  <c r="T32" i="2"/>
  <c r="S32" i="2"/>
  <c r="R32" i="2"/>
  <c r="Q32" i="2"/>
  <c r="J32" i="2"/>
  <c r="I32" i="2"/>
  <c r="V31" i="2"/>
  <c r="T31" i="2"/>
  <c r="S31" i="2"/>
  <c r="R31" i="2"/>
  <c r="Q31" i="2"/>
  <c r="J31" i="2"/>
  <c r="I31" i="2"/>
  <c r="V30" i="2"/>
  <c r="T30" i="2"/>
  <c r="S30" i="2"/>
  <c r="R30" i="2"/>
  <c r="Q30" i="2"/>
  <c r="J30" i="2"/>
  <c r="I30" i="2"/>
  <c r="V29" i="2"/>
  <c r="T29" i="2"/>
  <c r="S29" i="2"/>
  <c r="R29" i="2"/>
  <c r="Q29" i="2"/>
  <c r="J29" i="2"/>
  <c r="I29" i="2"/>
  <c r="V28" i="2"/>
  <c r="T28" i="2"/>
  <c r="S28" i="2"/>
  <c r="R28" i="2"/>
  <c r="Q28" i="2"/>
  <c r="J28" i="2"/>
  <c r="I28" i="2"/>
  <c r="V27" i="2"/>
  <c r="T27" i="2"/>
  <c r="S27" i="2"/>
  <c r="R27" i="2"/>
  <c r="Q27" i="2"/>
  <c r="J27" i="2"/>
  <c r="I27" i="2"/>
  <c r="V26" i="2"/>
  <c r="T26" i="2"/>
  <c r="S26" i="2"/>
  <c r="R26" i="2"/>
  <c r="Q26" i="2"/>
  <c r="J26" i="2"/>
  <c r="I26" i="2"/>
  <c r="V25" i="2"/>
  <c r="T25" i="2"/>
  <c r="S25" i="2"/>
  <c r="R25" i="2"/>
  <c r="Q25" i="2"/>
  <c r="J25" i="2"/>
  <c r="I25" i="2"/>
  <c r="V24" i="2"/>
  <c r="T24" i="2"/>
  <c r="S24" i="2"/>
  <c r="R24" i="2"/>
  <c r="Q24" i="2"/>
  <c r="J24" i="2"/>
  <c r="I24" i="2"/>
  <c r="V23" i="2"/>
  <c r="T23" i="2"/>
  <c r="S23" i="2"/>
  <c r="R23" i="2"/>
  <c r="Q23" i="2"/>
  <c r="J23" i="2"/>
  <c r="I23" i="2"/>
  <c r="V22" i="2"/>
  <c r="S22" i="2"/>
  <c r="R22" i="2"/>
  <c r="Q22" i="2"/>
  <c r="T22" i="2" s="1"/>
  <c r="I22" i="2"/>
  <c r="J22" i="2" s="1"/>
  <c r="V21" i="2"/>
  <c r="S21" i="2"/>
  <c r="R21" i="2"/>
  <c r="Q21" i="2"/>
  <c r="I21" i="2"/>
  <c r="J21" i="2" s="1"/>
  <c r="V20" i="2"/>
  <c r="S20" i="2"/>
  <c r="R20" i="2"/>
  <c r="Q20" i="2"/>
  <c r="I20" i="2"/>
  <c r="J20" i="2" s="1"/>
  <c r="L22" i="1" s="1"/>
  <c r="V19" i="2"/>
  <c r="S19" i="2"/>
  <c r="R19" i="2"/>
  <c r="H15" i="1" s="1"/>
  <c r="Q19" i="2"/>
  <c r="T19" i="2" s="1"/>
  <c r="I19" i="2"/>
  <c r="J19" i="2" s="1"/>
  <c r="V18" i="2"/>
  <c r="S18" i="2"/>
  <c r="R18" i="2"/>
  <c r="H17" i="1" s="1"/>
  <c r="Q18" i="2"/>
  <c r="T18" i="2" s="1"/>
  <c r="J18" i="2"/>
  <c r="I18" i="2"/>
  <c r="V17" i="2"/>
  <c r="T17" i="2"/>
  <c r="S17" i="2"/>
  <c r="R17" i="2"/>
  <c r="Q17" i="2"/>
  <c r="J17" i="2"/>
  <c r="I17" i="2"/>
  <c r="V16" i="2"/>
  <c r="S16" i="2"/>
  <c r="R16" i="2"/>
  <c r="Q16" i="2"/>
  <c r="T16" i="2" s="1"/>
  <c r="J16" i="2"/>
  <c r="I16" i="2"/>
  <c r="V15" i="2"/>
  <c r="T15" i="2"/>
  <c r="S15" i="2"/>
  <c r="R15" i="2"/>
  <c r="Q15" i="2"/>
  <c r="J15" i="2"/>
  <c r="I15" i="2"/>
  <c r="V14" i="2"/>
  <c r="S14" i="2"/>
  <c r="R14" i="2"/>
  <c r="Q14" i="2"/>
  <c r="T14" i="2" s="1"/>
  <c r="J14" i="2"/>
  <c r="I14" i="2"/>
  <c r="V13" i="2"/>
  <c r="S13" i="2"/>
  <c r="R13" i="2"/>
  <c r="Q13" i="2"/>
  <c r="T13" i="2" s="1"/>
  <c r="J13" i="2"/>
  <c r="I13" i="2"/>
  <c r="V12" i="2"/>
  <c r="T12" i="2"/>
  <c r="S12" i="2"/>
  <c r="R12" i="2"/>
  <c r="Q12" i="2"/>
  <c r="J12" i="2"/>
  <c r="I12" i="2"/>
  <c r="V11" i="2"/>
  <c r="S11" i="2"/>
  <c r="R11" i="2"/>
  <c r="Q11" i="2"/>
  <c r="I11" i="2"/>
  <c r="J11" i="2" s="1"/>
  <c r="V10" i="2"/>
  <c r="S10" i="2"/>
  <c r="R10" i="2"/>
  <c r="Q10" i="2"/>
  <c r="I10" i="2"/>
  <c r="J10" i="2" s="1"/>
  <c r="V9" i="2"/>
  <c r="S9" i="2"/>
  <c r="R9" i="2"/>
  <c r="Q9" i="2"/>
  <c r="T9" i="2" s="1"/>
  <c r="I9" i="2"/>
  <c r="J9" i="2" s="1"/>
  <c r="V8" i="2"/>
  <c r="S8" i="2"/>
  <c r="R8" i="2"/>
  <c r="H18" i="1" s="1"/>
  <c r="Q8" i="2"/>
  <c r="T8" i="2" s="1"/>
  <c r="J8" i="2"/>
  <c r="I8" i="2"/>
  <c r="V7" i="2"/>
  <c r="S7" i="2"/>
  <c r="R7" i="2"/>
  <c r="Q7" i="2"/>
  <c r="T7" i="2" s="1"/>
  <c r="I7" i="2"/>
  <c r="J7" i="2" s="1"/>
  <c r="V6" i="2"/>
  <c r="S6" i="2"/>
  <c r="R6" i="2"/>
  <c r="Q6" i="2"/>
  <c r="T6" i="2" s="1"/>
  <c r="I6" i="2"/>
  <c r="J6" i="2" s="1"/>
  <c r="V5" i="2"/>
  <c r="T5" i="2"/>
  <c r="S5" i="2"/>
  <c r="R5" i="2"/>
  <c r="Q5" i="2"/>
  <c r="J5" i="2"/>
  <c r="I5" i="2"/>
  <c r="K22" i="1"/>
  <c r="K21" i="1"/>
  <c r="H21" i="1"/>
  <c r="G21" i="1"/>
  <c r="F21" i="1"/>
  <c r="K20" i="1"/>
  <c r="F20" i="1"/>
  <c r="L19" i="1"/>
  <c r="K19" i="1"/>
  <c r="H19" i="1"/>
  <c r="F19" i="1"/>
  <c r="K18" i="1"/>
  <c r="F18" i="1"/>
  <c r="K17" i="1"/>
  <c r="F17" i="1"/>
  <c r="K16" i="1"/>
  <c r="H16" i="1"/>
  <c r="F16" i="1"/>
  <c r="K15" i="1"/>
  <c r="F15" i="1"/>
  <c r="D15" i="1"/>
  <c r="A10" i="1"/>
  <c r="F7" i="1"/>
  <c r="E7" i="1"/>
  <c r="B7" i="1"/>
  <c r="A7" i="1"/>
  <c r="B4" i="1"/>
  <c r="E37" i="1" s="1"/>
  <c r="T21" i="2" l="1"/>
  <c r="B10" i="1"/>
  <c r="T10" i="2"/>
  <c r="T20" i="2"/>
  <c r="T11" i="2"/>
  <c r="F10" i="1"/>
  <c r="H20" i="1"/>
  <c r="G18" i="1"/>
  <c r="L17" i="1"/>
  <c r="G19" i="1"/>
  <c r="G16" i="1"/>
  <c r="L18" i="1"/>
  <c r="G17" i="1"/>
  <c r="L21" i="1"/>
  <c r="G20" i="1"/>
  <c r="L16" i="1"/>
  <c r="C7" i="1"/>
  <c r="G15" i="1"/>
  <c r="L20" i="1"/>
  <c r="B28" i="1"/>
  <c r="B33" i="1"/>
  <c r="C28" i="1"/>
  <c r="C33" i="1"/>
  <c r="L15" i="1"/>
  <c r="C16" i="1"/>
  <c r="D28" i="1"/>
  <c r="E28" i="1"/>
  <c r="E33" i="1"/>
  <c r="C21" i="1"/>
  <c r="D33" i="1"/>
  <c r="B29" i="1"/>
  <c r="B34" i="1"/>
  <c r="C29" i="1"/>
  <c r="C34" i="1"/>
  <c r="C19" i="1"/>
  <c r="D29" i="1"/>
  <c r="D34" i="1"/>
  <c r="E29" i="1"/>
  <c r="E34" i="1"/>
  <c r="C30" i="1"/>
  <c r="C35" i="1"/>
  <c r="D30" i="1"/>
  <c r="D35" i="1"/>
  <c r="E30" i="1"/>
  <c r="E35" i="1"/>
  <c r="C17" i="1"/>
  <c r="B26" i="1"/>
  <c r="B31" i="1"/>
  <c r="B36" i="1"/>
  <c r="B30" i="1"/>
  <c r="C36" i="1"/>
  <c r="D7" i="1"/>
  <c r="B35" i="1"/>
  <c r="C26" i="1"/>
  <c r="C31" i="1"/>
  <c r="C15" i="1"/>
  <c r="E15" i="1" s="1"/>
  <c r="C20" i="1"/>
  <c r="D26" i="1"/>
  <c r="D31" i="1"/>
  <c r="D36" i="1"/>
  <c r="E26" i="1"/>
  <c r="E31" i="1"/>
  <c r="E36" i="1"/>
  <c r="B27" i="1"/>
  <c r="B32" i="1"/>
  <c r="B37" i="1"/>
  <c r="C27" i="1"/>
  <c r="C32" i="1"/>
  <c r="C37" i="1"/>
  <c r="D32" i="1"/>
  <c r="C18" i="1"/>
  <c r="D27" i="1"/>
  <c r="D37" i="1"/>
  <c r="E27" i="1"/>
  <c r="E32" i="1"/>
  <c r="E17" i="1" l="1"/>
  <c r="D17" i="1"/>
  <c r="E16" i="1"/>
  <c r="D16" i="1"/>
  <c r="E10" i="1"/>
  <c r="C10" i="1"/>
  <c r="D10" i="1" s="1"/>
  <c r="E19" i="1"/>
  <c r="D19" i="1"/>
  <c r="E20" i="1"/>
  <c r="D20" i="1"/>
  <c r="D18" i="1"/>
  <c r="E18" i="1"/>
  <c r="E21" i="1"/>
  <c r="D21" i="1"/>
</calcChain>
</file>

<file path=xl/sharedStrings.xml><?xml version="1.0" encoding="utf-8"?>
<sst xmlns="http://schemas.openxmlformats.org/spreadsheetml/2006/main" count="307" uniqueCount="203">
  <si>
    <t>Automatisches Dashboard für Pipeline, Funnel-Conversion, Forecast, Follow-ups und Monatsentwicklung. Datenbasis: Blatt „Pipeline“.</t>
  </si>
  <si>
    <t>Berichtsjahr</t>
  </si>
  <si>
    <t>Offene Deals</t>
  </si>
  <si>
    <t>Pipeline-Wert offen</t>
  </si>
  <si>
    <t>Gewichtete Prognose</t>
  </si>
  <si>
    <t>Gewonnener Umsatz</t>
  </si>
  <si>
    <t>Abschlussquote</t>
  </si>
  <si>
    <t>Ø Deal gewonnen</t>
  </si>
  <si>
    <t>Überfällige Follow-ups</t>
  </si>
  <si>
    <t>Stagnierende Deals</t>
  </si>
  <si>
    <t>Forecast + Umsatz</t>
  </si>
  <si>
    <t>Zielerreichung</t>
  </si>
  <si>
    <t>Pipeline-Coverage</t>
  </si>
  <si>
    <t>Ø Tage in Phase</t>
  </si>
  <si>
    <t>Funnel-Übersicht: erreichte Stufen und aktuelle Pipeline</t>
  </si>
  <si>
    <t>Quellen-Performance</t>
  </si>
  <si>
    <t>Phase</t>
  </si>
  <si>
    <t>Rang</t>
  </si>
  <si>
    <t>Erreichte Leads</t>
  </si>
  <si>
    <t>Conversion zur Vorstufe</t>
  </si>
  <si>
    <t>Kumulierte Conversion</t>
  </si>
  <si>
    <t>Offener Wert</t>
  </si>
  <si>
    <t>Gewichteter Forecast</t>
  </si>
  <si>
    <t>Quelle</t>
  </si>
  <si>
    <t>Lead erfasst</t>
  </si>
  <si>
    <t>Website</t>
  </si>
  <si>
    <t>Qualifiziert</t>
  </si>
  <si>
    <t>Empfehlung</t>
  </si>
  <si>
    <t>Erstgespräch</t>
  </si>
  <si>
    <t>LinkedIn</t>
  </si>
  <si>
    <t>Bedarf bestätigt</t>
  </si>
  <si>
    <t>Newsletter</t>
  </si>
  <si>
    <t>Angebot gesendet</t>
  </si>
  <si>
    <t>Messe</t>
  </si>
  <si>
    <t>Verhandlung</t>
  </si>
  <si>
    <t>Kaltakquise</t>
  </si>
  <si>
    <t>Gewonnen</t>
  </si>
  <si>
    <t>Partner</t>
  </si>
  <si>
    <t>Bestandskunde</t>
  </si>
  <si>
    <t>Monatsentwicklung 2026</t>
  </si>
  <si>
    <t>Monat</t>
  </si>
  <si>
    <t>Gewichtete Prognose Abschlussmonat</t>
  </si>
  <si>
    <t>Neue Deals</t>
  </si>
  <si>
    <t>Gewonnene Deals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</si>
  <si>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</si>
  <si>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</si>
  <si>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</si>
  <si>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</si>
  <si>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</si>
  <si>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</si>
  <si>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</si>
  <si>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</si>
  <si>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</si>
  <si>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</si>
  <si>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</si>
  <si>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</si>
  <si>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Pipeline-Daten 2026</t>
  </si>
  <si>
    <t>Beispieldaten sind frei erfunden und dienen nur zur Erklärung. Neue Deals einfach darunter ergänzen; die Formeln in den grauen Spalten nach unten kopieren.</t>
  </si>
  <si>
    <t>Deal-ID</t>
  </si>
  <si>
    <t>Unternehmen</t>
  </si>
  <si>
    <t>Kontakt</t>
  </si>
  <si>
    <t>Vertriebler</t>
  </si>
  <si>
    <t>Status</t>
  </si>
  <si>
    <t>Deal-Wert €</t>
  </si>
  <si>
    <t>Wahrscheinlichkeit</t>
  </si>
  <si>
    <t>Gewichteter Wert €</t>
  </si>
  <si>
    <t>Erstkontakt</t>
  </si>
  <si>
    <t>Phase seit</t>
  </si>
  <si>
    <t>Erwarteter Abschluss</t>
  </si>
  <si>
    <t>Letzte Aktivität</t>
  </si>
  <si>
    <t>Nächster Schritt</t>
  </si>
  <si>
    <t>Follow-up am</t>
  </si>
  <si>
    <t>Tage seit Aktivität</t>
  </si>
  <si>
    <t>Tage in Phase</t>
  </si>
  <si>
    <t>Follow-up Status</t>
  </si>
  <si>
    <t>Priorität</t>
  </si>
  <si>
    <t>Notiz</t>
  </si>
  <si>
    <t>Phasen-Rang</t>
  </si>
  <si>
    <t>D-2026-001</t>
  </si>
  <si>
    <t>Muster GmbH</t>
  </si>
  <si>
    <t>Sophie Braun</t>
  </si>
  <si>
    <t>Anna Keller</t>
  </si>
  <si>
    <t>Onboarding starten</t>
  </si>
  <si>
    <t>Beispiel: Abschluss im März</t>
  </si>
  <si>
    <t>D-2026-002</t>
  </si>
  <si>
    <t>Nordblick Services</t>
  </si>
  <si>
    <t>Felix Wagner</t>
  </si>
  <si>
    <t>Jonas Meyer</t>
  </si>
  <si>
    <t>Offen</t>
  </si>
  <si>
    <t>Vertragsentwurf prüfen</t>
  </si>
  <si>
    <t>Entscheider wartet auf Finanzfreigabe</t>
  </si>
  <si>
    <t>D-2026-003</t>
  </si>
  <si>
    <t>Hanse Digital</t>
  </si>
  <si>
    <t>Miriam Koch</t>
  </si>
  <si>
    <t>Lea Hoffmann</t>
  </si>
  <si>
    <t>Angebot nachfassen</t>
  </si>
  <si>
    <t>Vergleich mit zwei Alternativen</t>
  </si>
  <si>
    <t>D-2026-004</t>
  </si>
  <si>
    <t>Alpenblick AG</t>
  </si>
  <si>
    <t>Leon Fischer</t>
  </si>
  <si>
    <t>Tim Schneider</t>
  </si>
  <si>
    <t>Leistungsumfang finalisieren</t>
  </si>
  <si>
    <t>Technische Anforderungen klären</t>
  </si>
  <si>
    <t>D-2026-005</t>
  </si>
  <si>
    <t>Stadtwerk Beispiel</t>
  </si>
  <si>
    <t>Nina Hartmann</t>
  </si>
  <si>
    <t>Mara Vogel</t>
  </si>
  <si>
    <t>Zweiten Termin vorbereiten</t>
  </si>
  <si>
    <t>Langer Entscheidungsprozess</t>
  </si>
  <si>
    <t>D-2026-006</t>
  </si>
  <si>
    <t>Rhein Bürobedarf</t>
  </si>
  <si>
    <t>Paul Neumann</t>
  </si>
  <si>
    <t>Bedarf telefonisch prüfen</t>
  </si>
  <si>
    <t>Kleiner Deal, schnelle Entscheidung möglich</t>
  </si>
  <si>
    <t>D-2026-007</t>
  </si>
  <si>
    <t>Elbe Handel</t>
  </si>
  <si>
    <t>Laura Schmidt</t>
  </si>
  <si>
    <t>Kontakt qualifizieren</t>
  </si>
  <si>
    <t>Noch keine Budgetinfo</t>
  </si>
  <si>
    <t>D-2026-008</t>
  </si>
  <si>
    <t>Weser Consulting</t>
  </si>
  <si>
    <t>Max Becker</t>
  </si>
  <si>
    <t>Verloren</t>
  </si>
  <si>
    <t>Kein weiterer Schritt</t>
  </si>
  <si>
    <t>Projekt intern verschoben</t>
  </si>
  <si>
    <t>D-2026-009</t>
  </si>
  <si>
    <t>Ostsee Logistik</t>
  </si>
  <si>
    <t>Clara Weber</t>
  </si>
  <si>
    <t>Rabattgrenze abstimmen</t>
  </si>
  <si>
    <t>Achtung: Follow-up heute</t>
  </si>
  <si>
    <t>D-2026-010</t>
  </si>
  <si>
    <t>MainTal Solutions</t>
  </si>
  <si>
    <t>David Wolf</t>
  </si>
  <si>
    <t>Feedback zum Angebot einholen</t>
  </si>
  <si>
    <t>Beispiel für überfälliges Follow-up</t>
  </si>
  <si>
    <t>D-2026-011</t>
  </si>
  <si>
    <t>Berliner Werkstatt</t>
  </si>
  <si>
    <t>Julia König</t>
  </si>
  <si>
    <t>Rechnung prüfen</t>
  </si>
  <si>
    <t>Wiederkehrende Zusammenarbeit möglich</t>
  </si>
  <si>
    <t>D-2026-012</t>
  </si>
  <si>
    <t>Isar Medien</t>
  </si>
  <si>
    <t>Tobias Klein</t>
  </si>
  <si>
    <t>ROI-Beispiel senden</t>
  </si>
  <si>
    <t>Mehrere Stakeholder beteiligt</t>
  </si>
  <si>
    <t>D-2026-013</t>
  </si>
  <si>
    <t>Küstenblick Hotel</t>
  </si>
  <si>
    <t>Nora Lehmann</t>
  </si>
  <si>
    <t>Disqualifiziert</t>
  </si>
  <si>
    <t>Passt aktuell nicht zum Budget</t>
  </si>
  <si>
    <t>D-2026-014</t>
  </si>
  <si>
    <t>Südpunkt Retail</t>
  </si>
  <si>
    <t>Martin Richter</t>
  </si>
  <si>
    <t>Demo-Termin bestätigen</t>
  </si>
  <si>
    <t>Interesse vorhanden</t>
  </si>
  <si>
    <t>D-2026-015</t>
  </si>
  <si>
    <t>Eifel IT</t>
  </si>
  <si>
    <t>Eva Lorenz</t>
  </si>
  <si>
    <t>Ansprechpartner validieren</t>
  </si>
  <si>
    <t>Neuer Lead aus Partnernetzwerk</t>
  </si>
  <si>
    <t>D-2026-016</t>
  </si>
  <si>
    <t>Berg &amp; Tal GmbH</t>
  </si>
  <si>
    <t>Jan Schulz</t>
  </si>
  <si>
    <t>Entscheidungstermin klären</t>
  </si>
  <si>
    <t>Stagniert in Angebotsphase</t>
  </si>
  <si>
    <t>D-2026-017</t>
  </si>
  <si>
    <t>Kanalblick GmbH</t>
  </si>
  <si>
    <t>Lena Fuchs</t>
  </si>
  <si>
    <t>Bedarfscheck planen</t>
  </si>
  <si>
    <t>Kleines Volumen, guter Fit</t>
  </si>
  <si>
    <t>D-2026-018</t>
  </si>
  <si>
    <t>Mitte Projektbau</t>
  </si>
  <si>
    <t>Oliver Jung</t>
  </si>
  <si>
    <t>Entscheider-Runde vorbereiten</t>
  </si>
  <si>
    <t>Große Chance, längerer Zyklus</t>
  </si>
  <si>
    <t>Sales Funnel Excel Vorlage kostenlos 2026 – Einstellungen</t>
  </si>
  <si>
    <t>Diese Vorlage ist generisch aufgebaut. Passen Sie Phasen, Wahrscheinlichkeiten, Quellen und Teamnamen hier an; Dashboard und Pipeline aktualisieren sich automatisch.</t>
  </si>
  <si>
    <t>Funnel-Phasen</t>
  </si>
  <si>
    <t>Parameter</t>
  </si>
  <si>
    <t>Wert</t>
  </si>
  <si>
    <t>Lead-Quellen</t>
  </si>
  <si>
    <t>Team</t>
  </si>
  <si>
    <t>Eintrittskriterium</t>
  </si>
  <si>
    <t>Ziel-Tage in Phase</t>
  </si>
  <si>
    <t>Status-Liste</t>
  </si>
  <si>
    <t>Kontakt oder Anfrage liegt vor</t>
  </si>
  <si>
    <t>Jahresziel Umsatz</t>
  </si>
  <si>
    <t>Budget, Bedarf oder Fit wurde geprüft</t>
  </si>
  <si>
    <t>Follow-up gilt als überfällig nach Tagen</t>
  </si>
  <si>
    <t>Erster Termin ist geplant oder durchgeführt</t>
  </si>
  <si>
    <t>Deal gilt als inaktiv ab Tagen ohne Aktivität</t>
  </si>
  <si>
    <t>Problem, Ziel und Entscheidungsweg sind klar</t>
  </si>
  <si>
    <t>Deal gilt als stagnierend ab Tagen in Phase</t>
  </si>
  <si>
    <t>Konkretes Angebot wurde übermittelt</t>
  </si>
  <si>
    <t>Preis, Umfang oder Vertrag wird abgestimmt</t>
  </si>
  <si>
    <t>Auftrag wurde bestätigt</t>
  </si>
  <si>
    <t>Kurzanleitung</t>
  </si>
  <si>
    <t>In der Pipeline neue Opportunities zeilenweise eintragen. Gelbe und weiße Felder sind Eingabefelder.</t>
  </si>
  <si>
    <t>Phase, Status, Quelle und Vertriebler über Dropdowns auswählen.</t>
  </si>
  <si>
    <t>Deal-Wert, Termine, letzte Aktivität und nächsten Schritt pflegen.</t>
  </si>
  <si>
    <t>Dashboard zeigt automatisch Funnel, gewichtete Prognose, Follow-up-Risiken und Monatsentwicklung.</t>
  </si>
  <si>
    <t>Phasen und Wahrscheinlichkeiten können hier angepasst werden, ohne Dashboard-Formeln zu ändern.</t>
  </si>
  <si>
    <t>Sales Funnel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</si>
</sst>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\€"/>
    <numFmt numFmtId="165" formatCode="yyyy\-mm\-dd"/>
  </numFmts>
  <fonts count="10" x14ac:knownFonts="1">
    <font>
      <sz val="11"/>
      <name val="Carlito"/>
    </font>
    <font>
      <i/>
      <sz val="11"/>
      <color rgb="FF111827"/>
      <name val="Carlito"/>
    </font>
    <font>
      <b/>
      <sz val="11"/>
      <color rgb="FFFFFFFF"/>
      <name val="Carlito"/>
    </font>
    <font>
      <b/>
      <sz val="11"/>
      <color rgb="FF111827"/>
      <name val="Carlito"/>
    </font>
    <font>
      <sz val="11"/>
      <color rgb="FF111827"/>
      <name val="Carlito"/>
    </font>
    <font>
      <b/>
      <sz val="12"/>
      <color rgb="FFFFFFFF"/>
      <name val="Carlito"/>
    </font>
    <font>
      <b/>
      <sz val="16"/>
      <color rgb="FF111827"/>
      <name val="Carlito"/>
    </font>
    <font>
      <sz val="10"/>
      <color rgb="FF111827"/>
      <name val="Aptos"/>
    </font>
    <font>
      <b/>
      <sz val="18"/>
      <color rgb="FFFFFFFF"/>
      <name val="Aptos"/>
    </font>
    <font>
      <sz val="11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DBEAFE"/>
      </patternFill>
    </fill>
    <fill>
      <patternFill patternType="solid">
        <fgColor rgb="FF2563EB"/>
      </patternFill>
    </fill>
    <fill>
      <patternFill patternType="solid">
        <fgColor rgb="FFF3F4F6"/>
      </patternFill>
    </fill>
    <fill>
      <patternFill patternType="solid">
        <fgColor rgb="FFFFFBEB"/>
      </patternFill>
    </fill>
    <fill>
      <patternFill patternType="solid">
        <fgColor rgb="FF334155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90">
    <xf numFmtId="0" fontId="0" fillId="0" borderId="0" xfId="0"/>
    <xf numFmtId="0" fontId="2" fillId="4" borderId="0" xfId="1" applyFont="1" applyFill="1" applyAlignment="1">
      <alignment horizontal="center" vertical="center" wrapText="1"/>
    </xf>
    <xf numFmtId="0" fontId="0" fillId="5" borderId="0" xfId="1" applyFont="1" applyFill="1"/>
    <xf numFmtId="0" fontId="4" fillId="6" borderId="0" xfId="1" applyFont="1" applyFill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0" fillId="0" borderId="4" xfId="1" applyFont="1" applyBorder="1" applyAlignment="1">
      <alignment vertical="center" wrapText="1"/>
    </xf>
    <xf numFmtId="0" fontId="0" fillId="0" borderId="5" xfId="1" applyFont="1" applyBorder="1" applyAlignment="1">
      <alignment vertical="center" wrapText="1"/>
    </xf>
    <xf numFmtId="0" fontId="3" fillId="5" borderId="5" xfId="1" applyFont="1" applyFill="1" applyBorder="1" applyAlignment="1">
      <alignment vertical="center" wrapText="1"/>
    </xf>
    <xf numFmtId="0" fontId="0" fillId="0" borderId="7" xfId="1" applyFont="1" applyBorder="1" applyAlignment="1">
      <alignment vertical="center" wrapText="1"/>
    </xf>
    <xf numFmtId="0" fontId="0" fillId="0" borderId="8" xfId="1" applyFont="1" applyBorder="1" applyAlignment="1">
      <alignment vertical="center" wrapText="1"/>
    </xf>
    <xf numFmtId="9" fontId="0" fillId="0" borderId="5" xfId="1" applyNumberFormat="1" applyFont="1" applyBorder="1" applyAlignment="1">
      <alignment vertical="center" wrapText="1"/>
    </xf>
    <xf numFmtId="9" fontId="0" fillId="0" borderId="8" xfId="1" applyNumberFormat="1" applyFont="1" applyBorder="1" applyAlignment="1">
      <alignment vertical="center" wrapText="1"/>
    </xf>
    <xf numFmtId="0" fontId="2" fillId="4" borderId="10" xfId="1" applyFont="1" applyFill="1" applyBorder="1" applyAlignment="1">
      <alignment horizontal="center" vertical="center" wrapText="1"/>
    </xf>
    <xf numFmtId="0" fontId="0" fillId="5" borderId="11" xfId="1" applyFont="1" applyFill="1" applyBorder="1" applyAlignment="1">
      <alignment horizontal="center"/>
    </xf>
    <xf numFmtId="0" fontId="0" fillId="5" borderId="12" xfId="1" applyFont="1" applyFill="1" applyBorder="1" applyAlignment="1">
      <alignment horizontal="center"/>
    </xf>
    <xf numFmtId="0" fontId="0" fillId="8" borderId="4" xfId="1" applyFont="1" applyFill="1" applyBorder="1" applyAlignment="1">
      <alignment vertical="center" wrapText="1"/>
    </xf>
    <xf numFmtId="0" fontId="0" fillId="8" borderId="5" xfId="1" applyFont="1" applyFill="1" applyBorder="1" applyAlignment="1">
      <alignment vertical="center" wrapText="1"/>
    </xf>
    <xf numFmtId="164" fontId="0" fillId="8" borderId="5" xfId="1" applyNumberFormat="1" applyFont="1" applyFill="1" applyBorder="1" applyAlignment="1">
      <alignment vertical="center" wrapText="1"/>
    </xf>
    <xf numFmtId="9" fontId="4" fillId="5" borderId="5" xfId="1" applyNumberFormat="1" applyFont="1" applyFill="1" applyBorder="1" applyAlignment="1">
      <alignment horizontal="center" vertical="center" wrapText="1"/>
    </xf>
    <xf numFmtId="164" fontId="4" fillId="5" borderId="5" xfId="1" applyNumberFormat="1" applyFont="1" applyFill="1" applyBorder="1" applyAlignment="1">
      <alignment horizontal="center" vertical="center" wrapText="1"/>
    </xf>
    <xf numFmtId="165" fontId="0" fillId="8" borderId="5" xfId="1" applyNumberFormat="1" applyFont="1" applyFill="1" applyBorder="1" applyAlignment="1">
      <alignment vertical="center" wrapText="1"/>
    </xf>
    <xf numFmtId="1" fontId="4" fillId="5" borderId="5" xfId="1" applyNumberFormat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0" fillId="8" borderId="7" xfId="1" applyFont="1" applyFill="1" applyBorder="1" applyAlignment="1">
      <alignment vertical="center" wrapText="1"/>
    </xf>
    <xf numFmtId="0" fontId="0" fillId="8" borderId="8" xfId="1" applyFont="1" applyFill="1" applyBorder="1" applyAlignment="1">
      <alignment vertical="center" wrapText="1"/>
    </xf>
    <xf numFmtId="164" fontId="0" fillId="8" borderId="8" xfId="1" applyNumberFormat="1" applyFont="1" applyFill="1" applyBorder="1" applyAlignment="1">
      <alignment vertical="center" wrapText="1"/>
    </xf>
    <xf numFmtId="9" fontId="4" fillId="5" borderId="8" xfId="1" applyNumberFormat="1" applyFont="1" applyFill="1" applyBorder="1" applyAlignment="1">
      <alignment horizontal="center" vertical="center" wrapText="1"/>
    </xf>
    <xf numFmtId="164" fontId="4" fillId="5" borderId="8" xfId="1" applyNumberFormat="1" applyFont="1" applyFill="1" applyBorder="1" applyAlignment="1">
      <alignment horizontal="center" vertical="center" wrapText="1"/>
    </xf>
    <xf numFmtId="165" fontId="0" fillId="8" borderId="8" xfId="1" applyNumberFormat="1" applyFont="1" applyFill="1" applyBorder="1" applyAlignment="1">
      <alignment vertical="center" wrapText="1"/>
    </xf>
    <xf numFmtId="1" fontId="4" fillId="5" borderId="8" xfId="1" applyNumberFormat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/>
    </xf>
    <xf numFmtId="0" fontId="2" fillId="2" borderId="13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6" fillId="8" borderId="15" xfId="1" applyFont="1" applyFill="1" applyBorder="1" applyAlignment="1">
      <alignment horizontal="center" vertical="center"/>
    </xf>
    <xf numFmtId="0" fontId="6" fillId="8" borderId="16" xfId="1" applyFont="1" applyFill="1" applyBorder="1" applyAlignment="1">
      <alignment horizontal="center" vertical="center"/>
    </xf>
    <xf numFmtId="164" fontId="6" fillId="8" borderId="16" xfId="1" applyNumberFormat="1" applyFont="1" applyFill="1" applyBorder="1" applyAlignment="1">
      <alignment horizontal="center" vertical="center"/>
    </xf>
    <xf numFmtId="9" fontId="6" fillId="8" borderId="16" xfId="1" applyNumberFormat="1" applyFont="1" applyFill="1" applyBorder="1" applyAlignment="1">
      <alignment horizontal="center" vertical="center"/>
    </xf>
    <xf numFmtId="0" fontId="0" fillId="5" borderId="4" xfId="1" applyFont="1" applyFill="1" applyBorder="1" applyAlignment="1">
      <alignment vertical="center" wrapText="1"/>
    </xf>
    <xf numFmtId="0" fontId="0" fillId="5" borderId="5" xfId="1" applyFont="1" applyFill="1" applyBorder="1" applyAlignment="1">
      <alignment vertical="center" wrapText="1"/>
    </xf>
    <xf numFmtId="0" fontId="0" fillId="5" borderId="7" xfId="1" applyFont="1" applyFill="1" applyBorder="1" applyAlignment="1">
      <alignment vertical="center" wrapText="1"/>
    </xf>
    <xf numFmtId="0" fontId="0" fillId="5" borderId="8" xfId="1" applyFont="1" applyFill="1" applyBorder="1" applyAlignment="1">
      <alignment vertical="center" wrapText="1"/>
    </xf>
    <xf numFmtId="1" fontId="0" fillId="0" borderId="5" xfId="1" applyNumberFormat="1" applyFont="1" applyBorder="1" applyAlignment="1">
      <alignment vertical="center" wrapText="1"/>
    </xf>
    <xf numFmtId="1" fontId="0" fillId="0" borderId="8" xfId="1" applyNumberFormat="1" applyFont="1" applyBorder="1" applyAlignment="1">
      <alignment vertical="center" wrapText="1"/>
    </xf>
    <xf numFmtId="164" fontId="0" fillId="0" borderId="5" xfId="1" applyNumberFormat="1" applyFont="1" applyBorder="1" applyAlignment="1">
      <alignment vertical="center" wrapText="1"/>
    </xf>
    <xf numFmtId="164" fontId="0" fillId="0" borderId="8" xfId="1" applyNumberFormat="1" applyFont="1" applyBorder="1" applyAlignment="1">
      <alignment vertical="center" wrapText="1"/>
    </xf>
    <xf numFmtId="1" fontId="0" fillId="0" borderId="6" xfId="1" applyNumberFormat="1" applyFont="1" applyBorder="1" applyAlignment="1">
      <alignment vertical="center" wrapText="1"/>
    </xf>
    <xf numFmtId="1" fontId="0" fillId="0" borderId="9" xfId="1" applyNumberFormat="1" applyFont="1" applyBorder="1" applyAlignment="1">
      <alignment vertical="center" wrapText="1"/>
    </xf>
    <xf numFmtId="0" fontId="0" fillId="0" borderId="5" xfId="1" applyFont="1" applyBorder="1"/>
    <xf numFmtId="0" fontId="0" fillId="5" borderId="4" xfId="1" applyFont="1" applyFill="1" applyBorder="1"/>
    <xf numFmtId="0" fontId="0" fillId="5" borderId="7" xfId="1" applyFont="1" applyFill="1" applyBorder="1"/>
    <xf numFmtId="164" fontId="0" fillId="0" borderId="6" xfId="1" applyNumberFormat="1" applyFont="1" applyBorder="1"/>
    <xf numFmtId="164" fontId="0" fillId="0" borderId="5" xfId="1" applyNumberFormat="1" applyFont="1" applyBorder="1"/>
    <xf numFmtId="164" fontId="0" fillId="0" borderId="8" xfId="1" applyNumberFormat="1" applyFont="1" applyBorder="1"/>
    <xf numFmtId="1" fontId="0" fillId="0" borderId="5" xfId="1" applyNumberFormat="1" applyFont="1" applyBorder="1"/>
    <xf numFmtId="1" fontId="0" fillId="0" borderId="6" xfId="1" applyNumberFormat="1" applyFont="1" applyBorder="1"/>
    <xf numFmtId="1" fontId="0" fillId="0" borderId="8" xfId="1" applyNumberFormat="1" applyFont="1" applyBorder="1"/>
    <xf numFmtId="1" fontId="0" fillId="0" borderId="9" xfId="1" applyNumberFormat="1" applyFont="1" applyBorder="1"/>
    <xf numFmtId="0" fontId="7" fillId="0" borderId="0" xfId="1" applyFont="1"/>
    <xf numFmtId="0" fontId="3" fillId="5" borderId="4" xfId="1" applyFont="1" applyFill="1" applyBorder="1" applyAlignment="1">
      <alignment wrapText="1"/>
    </xf>
    <xf numFmtId="0" fontId="4" fillId="6" borderId="6" xfId="1" applyFont="1" applyFill="1" applyBorder="1" applyAlignment="1">
      <alignment horizontal="center" vertical="center"/>
    </xf>
    <xf numFmtId="164" fontId="4" fillId="6" borderId="6" xfId="1" applyNumberFormat="1" applyFont="1" applyFill="1" applyBorder="1" applyAlignment="1">
      <alignment horizontal="center" vertical="center"/>
    </xf>
    <xf numFmtId="0" fontId="3" fillId="5" borderId="7" xfId="1" applyFont="1" applyFill="1" applyBorder="1" applyAlignment="1">
      <alignment wrapText="1"/>
    </xf>
    <xf numFmtId="0" fontId="4" fillId="6" borderId="9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1" fontId="4" fillId="6" borderId="6" xfId="1" applyNumberFormat="1" applyFont="1" applyFill="1" applyBorder="1" applyAlignment="1">
      <alignment horizontal="center" vertical="center" wrapText="1"/>
    </xf>
    <xf numFmtId="1" fontId="0" fillId="0" borderId="6" xfId="1" applyNumberFormat="1" applyFont="1" applyBorder="1" applyAlignment="1">
      <alignment horizontal="center" vertical="center" wrapText="1"/>
    </xf>
    <xf numFmtId="1" fontId="0" fillId="0" borderId="9" xfId="1" applyNumberFormat="1" applyFont="1" applyBorder="1" applyAlignment="1">
      <alignment horizontal="center" vertical="center" wrapText="1"/>
    </xf>
    <xf numFmtId="1" fontId="0" fillId="0" borderId="5" xfId="1" applyNumberFormat="1" applyFont="1" applyBorder="1" applyAlignment="1">
      <alignment horizontal="center" vertical="center" wrapText="1"/>
    </xf>
    <xf numFmtId="1" fontId="0" fillId="0" borderId="8" xfId="1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/>
    </xf>
    <xf numFmtId="0" fontId="7" fillId="0" borderId="0" xfId="1" applyFont="1"/>
    <xf numFmtId="0" fontId="1" fillId="3" borderId="0" xfId="1" applyFont="1" applyFill="1" applyAlignment="1">
      <alignment vertical="center" wrapText="1"/>
    </xf>
    <xf numFmtId="0" fontId="0" fillId="0" borderId="0" xfId="0"/>
    <xf numFmtId="0" fontId="5" fillId="7" borderId="0" xfId="1" applyFont="1" applyFill="1" applyAlignment="1">
      <alignment horizontal="left" vertical="center"/>
    </xf>
    <xf numFmtId="0" fontId="2" fillId="4" borderId="0" xfId="1" applyFont="1" applyFill="1" applyAlignment="1">
      <alignment horizontal="center" vertical="center" wrapText="1"/>
    </xf>
    <xf numFmtId="0" fontId="0" fillId="8" borderId="2" xfId="1" applyFont="1" applyFill="1" applyBorder="1" applyAlignment="1">
      <alignment vertical="center" wrapText="1"/>
    </xf>
    <xf numFmtId="0" fontId="0" fillId="8" borderId="5" xfId="1" applyFont="1" applyFill="1" applyBorder="1" applyAlignment="1">
      <alignment vertical="center" wrapText="1"/>
    </xf>
    <xf numFmtId="0" fontId="0" fillId="9" borderId="0" xfId="0" applyFill="1"/>
    <xf numFmtId="0" fontId="7" fillId="9" borderId="0" xfId="1" applyFont="1" applyFill="1"/>
    <xf numFmtId="0" fontId="7" fillId="9" borderId="0" xfId="1" applyFont="1" applyFill="1"/>
    <xf numFmtId="0" fontId="0" fillId="9" borderId="0" xfId="0" applyFill="1"/>
    <xf numFmtId="0" fontId="0" fillId="9" borderId="8" xfId="1" applyFont="1" applyFill="1" applyBorder="1"/>
    <xf numFmtId="164" fontId="0" fillId="9" borderId="9" xfId="1" applyNumberFormat="1" applyFont="1" applyFill="1" applyBorder="1"/>
    <xf numFmtId="0" fontId="0" fillId="9" borderId="7" xfId="1" applyFont="1" applyFill="1" applyBorder="1"/>
  </cellXfs>
  <cellStyles count="2">
    <cellStyle name="Normal" xfId="1" xr:uid="{00000000-0005-0000-0000-000000000000}"/>
    <cellStyle name="Standard" xfId="0" builtinId="0"/>
  </cellStyles>
  <dxfs count="6"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DC2626"/>
      </font>
      <fill>
        <patternFill patternType="solid">
          <bgColor rgb="FFFEE2E2"/>
        </patternFill>
      </fill>
    </dxf>
    <dxf>
      <font>
        <color rgb="FF16A34A"/>
      </font>
      <fill>
        <patternFill patternType="solid">
          <bgColor rgb="FFDCFCE7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DC2626"/>
      </font>
      <fill>
        <patternFill patternType="solid">
          <bgColor rgb="FFFEE2E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Erreichte Leads</c:v>
          </c:tx>
          <c:invertIfNegative val="1"/>
          <c:cat>
            <c:strRef>
              <c:f>Dashboard!$A$15:$A$21</c:f>
              <c:strCache>
                <c:ptCount val="7"/>
                <c:pt idx="0">
                  <c:v>Lead erfasst</c:v>
                </c:pt>
                <c:pt idx="1">
                  <c:v>Qualifiziert</c:v>
                </c:pt>
                <c:pt idx="2">
                  <c:v>Erstgespräch</c:v>
                </c:pt>
                <c:pt idx="3">
                  <c:v>Bedarf bestätigt</c:v>
                </c:pt>
                <c:pt idx="4">
                  <c:v>Angebot gesendet</c:v>
                </c:pt>
                <c:pt idx="5">
                  <c:v>Verhandlung</c:v>
                </c:pt>
                <c:pt idx="6">
                  <c:v>Gewonnen</c:v>
                </c:pt>
              </c:strCache>
            </c:strRef>
          </c:cat>
          <c:val>
            <c:numRef>
              <c:f>Dashboard!$C$15:$C$21</c:f>
              <c:numCache>
                <c:formatCode>0</c:formatCode>
                <c:ptCount val="7"/>
                <c:pt idx="0">
                  <c:v>18</c:v>
                </c:pt>
                <c:pt idx="1">
                  <c:v>16</c:v>
                </c:pt>
                <c:pt idx="2">
                  <c:v>13</c:v>
                </c:pt>
                <c:pt idx="3">
                  <c:v>11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0-49F9-8641-BEEA9731A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accent6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Gewonnener Umsatz</c:v>
          </c:tx>
          <c:invertIfNegative val="1"/>
          <c:cat>
            <c:strRef>
              <c:f>Dashboard!$A$26:$A$37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Dashboard!$B$26:$B$37</c:f>
              <c:numCache>
                <c:formatCode>#,##0\ \€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18500</c:v>
                </c:pt>
                <c:pt idx="3">
                  <c:v>9700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86-4AAC-A6DF-6F81049B9658}"/>
            </c:ext>
          </c:extLst>
        </c:ser>
        <c:ser>
          <c:idx val="1"/>
          <c:order val="1"/>
          <c:tx>
            <c:v>Gewichtete Prognose</c:v>
          </c:tx>
          <c:invertIfNegative val="1"/>
          <c:cat>
            <c:strRef>
              <c:f>Dashboard!$A$26:$A$37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Dashboard!$C$26:$C$37</c:f>
              <c:numCache>
                <c:formatCode>#,##0\ \€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103895</c:v>
                </c:pt>
                <c:pt idx="6">
                  <c:v>51710</c:v>
                </c:pt>
                <c:pt idx="7">
                  <c:v>41620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86-4AAC-A6DF-6F81049B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rgbClr val="FFFFCC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962025</xdr:colOff>
      <xdr:row>0</xdr:row>
      <xdr:rowOff>419100</xdr:rowOff>
    </xdr:from>
    <xdr:ext cx="4286250" cy="2476500"/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6</xdr:col>
      <xdr:colOff>0</xdr:colOff>
      <xdr:row>23</xdr:row>
      <xdr:rowOff>0</xdr:rowOff>
    </xdr:from>
    <xdr:ext cx="5334000" cy="3048000"/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ipelineTabelle" displayName="PipelineTabelle" ref="A4:V104">
  <tableColumns count="22">
    <tableColumn id="1" xr3:uid="{00000000-0010-0000-0000-000001000000}" name="Deal-ID"/>
    <tableColumn id="2" xr3:uid="{00000000-0010-0000-0000-000002000000}" name="Unternehmen"/>
    <tableColumn id="3" xr3:uid="{00000000-0010-0000-0000-000003000000}" name="Kontakt"/>
    <tableColumn id="4" xr3:uid="{00000000-0010-0000-0000-000004000000}" name="Vertriebler"/>
    <tableColumn id="5" xr3:uid="{00000000-0010-0000-0000-000005000000}" name="Quelle"/>
    <tableColumn id="6" xr3:uid="{00000000-0010-0000-0000-000006000000}" name="Phase"/>
    <tableColumn id="7" xr3:uid="{00000000-0010-0000-0000-000007000000}" name="Status"/>
    <tableColumn id="8" xr3:uid="{00000000-0010-0000-0000-000008000000}" name="Deal-Wert €"/>
    <tableColumn id="9" xr3:uid="{00000000-0010-0000-0000-000009000000}" name="Wahrscheinlichkeit"/>
    <tableColumn id="10" xr3:uid="{00000000-0010-0000-0000-00000A000000}" name="Gewichteter Wert €"/>
    <tableColumn id="11" xr3:uid="{00000000-0010-0000-0000-00000B000000}" name="Erstkontakt"/>
    <tableColumn id="12" xr3:uid="{00000000-0010-0000-0000-00000C000000}" name="Phase seit"/>
    <tableColumn id="13" xr3:uid="{00000000-0010-0000-0000-00000D000000}" name="Erwarteter Abschluss"/>
    <tableColumn id="14" xr3:uid="{00000000-0010-0000-0000-00000E000000}" name="Letzte Aktivität"/>
    <tableColumn id="15" xr3:uid="{00000000-0010-0000-0000-00000F000000}" name="Nächster Schritt"/>
    <tableColumn id="16" xr3:uid="{00000000-0010-0000-0000-000010000000}" name="Follow-up am"/>
    <tableColumn id="17" xr3:uid="{00000000-0010-0000-0000-000011000000}" name="Tage seit Aktivität"/>
    <tableColumn id="18" xr3:uid="{00000000-0010-0000-0000-000012000000}" name="Tage in Phase"/>
    <tableColumn id="19" xr3:uid="{00000000-0010-0000-0000-000013000000}" name="Follow-up Status"/>
    <tableColumn id="20" xr3:uid="{00000000-0010-0000-0000-000014000000}" name="Priorität"/>
    <tableColumn id="21" xr3:uid="{00000000-0010-0000-0000-000015000000}" name="Notiz"/>
    <tableColumn id="22" xr3:uid="{00000000-0010-0000-0000-000016000000}" name="Phasen-R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5"/>
  <sheetViews>
    <sheetView tabSelected="1" workbookViewId="0">
      <selection activeCell="E9" sqref="E9"/>
    </sheetView>
  </sheetViews>
  <sheetFormatPr baseColWidth="10" defaultColWidth="9" defaultRowHeight="15" x14ac:dyDescent="0.25"/>
  <cols>
    <col min="1" max="1" width="20" customWidth="1"/>
    <col min="2" max="2" width="13" customWidth="1"/>
    <col min="3" max="3" width="16" customWidth="1"/>
    <col min="4" max="5" width="18" customWidth="1"/>
    <col min="6" max="6" width="16" customWidth="1"/>
    <col min="7" max="7" width="18" customWidth="1"/>
    <col min="8" max="8" width="16" customWidth="1"/>
    <col min="9" max="9" width="3" customWidth="1"/>
    <col min="10" max="10" width="18" customWidth="1"/>
    <col min="11" max="11" width="14" customWidth="1"/>
    <col min="12" max="12" width="18" customWidth="1"/>
    <col min="13" max="23" width="9" style="83"/>
  </cols>
  <sheetData>
    <row r="1" spans="1:26" ht="33.950000000000003" customHeight="1" x14ac:dyDescent="0.25">
      <c r="A1" s="75" t="s">
        <v>202</v>
      </c>
      <c r="B1" s="76"/>
      <c r="C1" s="76"/>
      <c r="D1" s="76"/>
      <c r="E1" s="76"/>
      <c r="F1" s="84"/>
      <c r="G1" s="84"/>
      <c r="H1" s="84"/>
      <c r="I1" s="84"/>
      <c r="J1" s="84"/>
      <c r="K1" s="84"/>
      <c r="L1" s="84"/>
      <c r="R1" s="85"/>
      <c r="S1" s="85"/>
      <c r="T1" s="85"/>
      <c r="U1" s="85"/>
      <c r="V1" s="85"/>
      <c r="W1" s="85"/>
      <c r="X1" s="62"/>
      <c r="Y1" s="62"/>
      <c r="Z1" s="62"/>
    </row>
    <row r="2" spans="1:26" ht="30" customHeight="1" x14ac:dyDescent="0.25">
      <c r="A2" s="77" t="s">
        <v>0</v>
      </c>
      <c r="B2" s="78"/>
      <c r="C2" s="78"/>
      <c r="D2" s="78"/>
      <c r="E2" s="78"/>
      <c r="F2" s="86"/>
      <c r="G2" s="86"/>
      <c r="H2" s="86"/>
      <c r="I2" s="86"/>
      <c r="J2" s="86"/>
      <c r="K2" s="86"/>
      <c r="L2" s="86"/>
    </row>
    <row r="3" spans="1:26" s="83" customFormat="1" x14ac:dyDescent="0.25"/>
    <row r="4" spans="1:26" x14ac:dyDescent="0.25">
      <c r="A4" s="35" t="s">
        <v>1</v>
      </c>
      <c r="B4" s="3">
        <f>Einstellungen!$N$6</f>
        <v>2026</v>
      </c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26" s="83" customFormat="1" x14ac:dyDescent="0.25"/>
    <row r="6" spans="1:26" ht="30" x14ac:dyDescent="0.25">
      <c r="A6" s="36" t="s">
        <v>2</v>
      </c>
      <c r="B6" s="37" t="s">
        <v>3</v>
      </c>
      <c r="C6" s="37" t="s">
        <v>4</v>
      </c>
      <c r="D6" s="37" t="s">
        <v>5</v>
      </c>
      <c r="E6" s="37" t="s">
        <v>6</v>
      </c>
      <c r="F6" s="83" t="s">
        <v>7</v>
      </c>
      <c r="G6" s="83"/>
      <c r="H6" s="83"/>
      <c r="I6" s="83"/>
      <c r="J6" s="83"/>
      <c r="K6" s="83"/>
      <c r="L6" s="83"/>
    </row>
    <row r="7" spans="1:26" ht="24" customHeight="1" x14ac:dyDescent="0.25">
      <c r="A7" s="38">
        <f>COUNTIFS(Pipeline!$A$5:$A$104,"&lt;&gt;",Pipeline!$G$5:$G$104,"Offen")</f>
        <v>14</v>
      </c>
      <c r="B7" s="40">
        <f>SUMIFS(Pipeline!$H$5:$H$104,Pipeline!$G$5:$G$104,"Offen")</f>
        <v>363400</v>
      </c>
      <c r="C7" s="40">
        <f>SUMIFS(Pipeline!$J$5:$J$104,Pipeline!$G$5:$G$104,"Offen")</f>
        <v>197225</v>
      </c>
      <c r="D7" s="40">
        <f>SUMIFS(Pipeline!$H$5:$H$104,Pipeline!$G$5:$G$104,"Gewonnen",Pipeline!$M$5:$M$104,"&gt;="&amp;DATE($B$4,1,1),Pipeline!$M$5:$M$104,"&lt;"&amp;DATE($B$4+1,1,1))</f>
        <v>28200</v>
      </c>
      <c r="E7" s="41">
        <f>IFERROR(COUNTIFS(Pipeline!$G$5:$G$104,"Gewonnen")/(COUNTIFS(Pipeline!$G$5:$G$104,"Gewonnen")+COUNTIFS(Pipeline!$G$5:$G$104,"Verloren")),0)</f>
        <v>0.66666666666666663</v>
      </c>
      <c r="F7" s="83">
        <f>IFERROR(SUMIFS(Pipeline!$H$5:$H$104,Pipeline!$G$5:$G$104,"Gewonnen")/COUNTIFS(Pipeline!$G$5:$G$104,"Gewonnen"),0)</f>
        <v>14100</v>
      </c>
      <c r="G7" s="83"/>
      <c r="H7" s="83"/>
      <c r="I7" s="83"/>
      <c r="J7" s="83"/>
      <c r="K7" s="83"/>
      <c r="L7" s="83"/>
    </row>
    <row r="8" spans="1:26" s="83" customFormat="1" x14ac:dyDescent="0.25"/>
    <row r="9" spans="1:26" ht="30" x14ac:dyDescent="0.25">
      <c r="A9" s="36" t="s">
        <v>8</v>
      </c>
      <c r="B9" s="37" t="s">
        <v>9</v>
      </c>
      <c r="C9" s="37" t="s">
        <v>10</v>
      </c>
      <c r="D9" s="37" t="s">
        <v>11</v>
      </c>
      <c r="E9" s="37" t="s">
        <v>12</v>
      </c>
      <c r="F9" s="83" t="s">
        <v>13</v>
      </c>
      <c r="G9" s="83"/>
      <c r="H9" s="83"/>
      <c r="I9" s="83"/>
      <c r="J9" s="83"/>
      <c r="K9" s="83"/>
      <c r="L9" s="83"/>
    </row>
    <row r="10" spans="1:26" ht="21" x14ac:dyDescent="0.25">
      <c r="A10" s="38">
        <f ca="1">COUNTIFS(Pipeline!$G$5:$G$104,"Offen",Pipeline!$P$5:$P$104,"&lt;"&amp;TODAY())</f>
        <v>2</v>
      </c>
      <c r="B10" s="39">
        <f ca="1">COUNTIFS(Pipeline!$G$5:$G$104,"Offen",Pipeline!$R$5:$R$104,"&gt;="&amp;Einstellungen!$N$10)</f>
        <v>5</v>
      </c>
      <c r="C10" s="40">
        <f>C7+D7</f>
        <v>225425</v>
      </c>
      <c r="D10" s="41">
        <f>IFERROR(C10/Einstellungen!$N$7,0)</f>
        <v>0.90169999999999995</v>
      </c>
      <c r="E10" s="41">
        <f>IFERROR(C7/Einstellungen!$N$7,0)</f>
        <v>0.78890000000000005</v>
      </c>
      <c r="F10" s="83">
        <f ca="1">IFERROR(SUMIFS(Pipeline!$R$5:$R$104,Pipeline!$G$5:$G$104,"Offen")/COUNTIFS(Pipeline!$G$5:$G$104,"Offen"),0)</f>
        <v>15</v>
      </c>
      <c r="G10" s="83"/>
      <c r="H10" s="83"/>
      <c r="I10" s="83"/>
      <c r="J10" s="83"/>
      <c r="K10" s="83"/>
      <c r="L10" s="83"/>
    </row>
    <row r="11" spans="1:26" s="83" customFormat="1" x14ac:dyDescent="0.25"/>
    <row r="12" spans="1:26" s="83" customFormat="1" x14ac:dyDescent="0.25"/>
    <row r="13" spans="1:26" ht="15.75" x14ac:dyDescent="0.25">
      <c r="A13" s="79" t="s">
        <v>14</v>
      </c>
      <c r="B13" s="78"/>
      <c r="C13" s="78"/>
      <c r="D13" s="78"/>
      <c r="E13" s="78"/>
      <c r="F13" s="86"/>
      <c r="G13" s="86"/>
      <c r="H13" s="86"/>
      <c r="J13" s="79" t="s">
        <v>15</v>
      </c>
      <c r="K13" s="86"/>
      <c r="L13" s="86"/>
    </row>
    <row r="14" spans="1:26" ht="30" x14ac:dyDescent="0.25">
      <c r="A14" s="4" t="s">
        <v>16</v>
      </c>
      <c r="B14" s="5" t="s">
        <v>17</v>
      </c>
      <c r="C14" s="5" t="s">
        <v>18</v>
      </c>
      <c r="D14" s="5" t="s">
        <v>19</v>
      </c>
      <c r="E14" s="5" t="s">
        <v>20</v>
      </c>
      <c r="F14" s="5" t="s">
        <v>21</v>
      </c>
      <c r="G14" s="5" t="s">
        <v>22</v>
      </c>
      <c r="H14" s="6" t="s">
        <v>13</v>
      </c>
      <c r="J14" s="4" t="s">
        <v>23</v>
      </c>
      <c r="K14" s="5" t="s">
        <v>2</v>
      </c>
      <c r="L14" s="6" t="s">
        <v>22</v>
      </c>
    </row>
    <row r="15" spans="1:26" x14ac:dyDescent="0.25">
      <c r="A15" s="42" t="s">
        <v>24</v>
      </c>
      <c r="B15" s="43">
        <v>1</v>
      </c>
      <c r="C15" s="46">
        <f>COUNTIFS(Pipeline!$V$5:$V$104,"&gt;="&amp;B15,Pipeline!$K$5:$K$104,"&gt;="&amp;DATE($B$4,1,1),Pipeline!$K$5:$K$104,"&lt;"&amp;DATE($B$4+1,1,1))</f>
        <v>18</v>
      </c>
      <c r="D15" s="12">
        <f>1</f>
        <v>1</v>
      </c>
      <c r="E15" s="12">
        <f t="shared" ref="E15:E21" si="0">IFERROR(C15/$C$15,0)</f>
        <v>1</v>
      </c>
      <c r="F15" s="48">
        <f>SUMIFS(Pipeline!$H$5:$H$104,Pipeline!$F$5:$F$104,A15,Pipeline!$G$5:$G$104,"Offen")</f>
        <v>20400</v>
      </c>
      <c r="G15" s="48">
        <f>SUMIFS(Pipeline!$J$5:$J$104,Pipeline!$F$5:$F$104,A15,Pipeline!$G$5:$G$104,"Offen")</f>
        <v>2040</v>
      </c>
      <c r="H15" s="50">
        <f ca="1">IFERROR(SUMIFS(Pipeline!$R$5:$R$104,Pipeline!$F$5:$F$104,A15,Pipeline!$G$5:$G$104,"Offen")/COUNTIFS(Pipeline!$F$5:$F$104,A15,Pipeline!$G$5:$G$104,"Offen"),0)</f>
        <v>2</v>
      </c>
      <c r="J15" s="53" t="s">
        <v>25</v>
      </c>
      <c r="K15" s="52">
        <f>COUNTIFS(Pipeline!$E$5:$E$104,J15,Pipeline!$G$5:$G$104,"Offen")</f>
        <v>2</v>
      </c>
      <c r="L15" s="55">
        <f>SUMIFS(Pipeline!$J$5:$J$104,Pipeline!$E$5:$E$104,J15,Pipeline!$G$5:$G$104,"Offen")</f>
        <v>39650</v>
      </c>
    </row>
    <row r="16" spans="1:26" x14ac:dyDescent="0.25">
      <c r="A16" s="42" t="s">
        <v>26</v>
      </c>
      <c r="B16" s="43">
        <v>2</v>
      </c>
      <c r="C16" s="46">
        <f>COUNTIFS(Pipeline!$V$5:$V$104,"&gt;="&amp;B16,Pipeline!$K$5:$K$104,"&gt;="&amp;DATE($B$4,1,1),Pipeline!$K$5:$K$104,"&lt;"&amp;DATE($B$4+1,1,1))</f>
        <v>16</v>
      </c>
      <c r="D16" s="12">
        <f t="shared" ref="D16:D21" si="1">IFERROR(C16/C15,1)</f>
        <v>0.88888888888888884</v>
      </c>
      <c r="E16" s="12">
        <f t="shared" si="0"/>
        <v>0.88888888888888884</v>
      </c>
      <c r="F16" s="48">
        <f>SUMIFS(Pipeline!$H$5:$H$104,Pipeline!$F$5:$F$104,A16,Pipeline!$G$5:$G$104,"Offen")</f>
        <v>11900</v>
      </c>
      <c r="G16" s="48">
        <f>SUMIFS(Pipeline!$J$5:$J$104,Pipeline!$F$5:$F$104,A16,Pipeline!$G$5:$G$104,"Offen")</f>
        <v>2380</v>
      </c>
      <c r="H16" s="50">
        <f ca="1">IFERROR(SUMIFS(Pipeline!$R$5:$R$104,Pipeline!$F$5:$F$104,A16,Pipeline!$G$5:$G$104,"Offen")/COUNTIFS(Pipeline!$F$5:$F$104,A16,Pipeline!$G$5:$G$104,"Offen"),0)</f>
        <v>7.5</v>
      </c>
      <c r="J16" s="53" t="s">
        <v>27</v>
      </c>
      <c r="K16" s="52">
        <f>COUNTIFS(Pipeline!$E$5:$E$104,J16,Pipeline!$G$5:$G$104,"Offen")</f>
        <v>1</v>
      </c>
      <c r="L16" s="55">
        <f>SUMIFS(Pipeline!$J$5:$J$104,Pipeline!$E$5:$E$104,J16,Pipeline!$G$5:$G$104,"Offen")</f>
        <v>25600</v>
      </c>
    </row>
    <row r="17" spans="1:12" x14ac:dyDescent="0.25">
      <c r="A17" s="42" t="s">
        <v>28</v>
      </c>
      <c r="B17" s="43">
        <v>3</v>
      </c>
      <c r="C17" s="46">
        <f>COUNTIFS(Pipeline!$V$5:$V$104,"&gt;="&amp;B17,Pipeline!$K$5:$K$104,"&gt;="&amp;DATE($B$4,1,1),Pipeline!$K$5:$K$104,"&lt;"&amp;DATE($B$4+1,1,1))</f>
        <v>13</v>
      </c>
      <c r="D17" s="12">
        <f t="shared" si="1"/>
        <v>0.8125</v>
      </c>
      <c r="E17" s="12">
        <f t="shared" si="0"/>
        <v>0.72222222222222221</v>
      </c>
      <c r="F17" s="48">
        <f>SUMIFS(Pipeline!$H$5:$H$104,Pipeline!$F$5:$F$104,A17,Pipeline!$G$5:$G$104,"Offen")</f>
        <v>64300</v>
      </c>
      <c r="G17" s="48">
        <f>SUMIFS(Pipeline!$J$5:$J$104,Pipeline!$F$5:$F$104,A17,Pipeline!$G$5:$G$104,"Offen")</f>
        <v>22505</v>
      </c>
      <c r="H17" s="50">
        <f ca="1">IFERROR(SUMIFS(Pipeline!$R$5:$R$104,Pipeline!$F$5:$F$104,A17,Pipeline!$G$5:$G$104,"Offen")/COUNTIFS(Pipeline!$F$5:$F$104,A17,Pipeline!$G$5:$G$104,"Offen"),0)</f>
        <v>5</v>
      </c>
      <c r="J17" s="53" t="s">
        <v>29</v>
      </c>
      <c r="K17" s="52">
        <f>COUNTIFS(Pipeline!$E$5:$E$104,J17,Pipeline!$G$5:$G$104,"Offen")</f>
        <v>2</v>
      </c>
      <c r="L17" s="55">
        <f>SUMIFS(Pipeline!$J$5:$J$104,Pipeline!$E$5:$E$104,J17,Pipeline!$G$5:$G$104,"Offen")</f>
        <v>22425</v>
      </c>
    </row>
    <row r="18" spans="1:12" x14ac:dyDescent="0.25">
      <c r="A18" s="42" t="s">
        <v>30</v>
      </c>
      <c r="B18" s="43">
        <v>4</v>
      </c>
      <c r="C18" s="46">
        <f>COUNTIFS(Pipeline!$V$5:$V$104,"&gt;="&amp;B18,Pipeline!$K$5:$K$104,"&gt;="&amp;DATE($B$4,1,1),Pipeline!$K$5:$K$104,"&lt;"&amp;DATE($B$4+1,1,1))</f>
        <v>11</v>
      </c>
      <c r="D18" s="12">
        <f t="shared" si="1"/>
        <v>0.84615384615384615</v>
      </c>
      <c r="E18" s="12">
        <f t="shared" si="0"/>
        <v>0.61111111111111116</v>
      </c>
      <c r="F18" s="48">
        <f>SUMIFS(Pipeline!$H$5:$H$104,Pipeline!$F$5:$F$104,A18,Pipeline!$G$5:$G$104,"Offen")</f>
        <v>106800</v>
      </c>
      <c r="G18" s="48">
        <f>SUMIFS(Pipeline!$J$5:$J$104,Pipeline!$F$5:$F$104,A18,Pipeline!$G$5:$G$104,"Offen")</f>
        <v>53400</v>
      </c>
      <c r="H18" s="50">
        <f ca="1">IFERROR(SUMIFS(Pipeline!$R$5:$R$104,Pipeline!$F$5:$F$104,A18,Pipeline!$G$5:$G$104,"Offen")/COUNTIFS(Pipeline!$F$5:$F$104,A18,Pipeline!$G$5:$G$104,"Offen"),0)</f>
        <v>19</v>
      </c>
      <c r="J18" s="53" t="s">
        <v>31</v>
      </c>
      <c r="K18" s="52">
        <f>COUNTIFS(Pipeline!$E$5:$E$104,J18,Pipeline!$G$5:$G$104,"Offen")</f>
        <v>2</v>
      </c>
      <c r="L18" s="55">
        <f>SUMIFS(Pipeline!$J$5:$J$104,Pipeline!$E$5:$E$104,J18,Pipeline!$G$5:$G$104,"Offen")</f>
        <v>7765</v>
      </c>
    </row>
    <row r="19" spans="1:12" x14ac:dyDescent="0.25">
      <c r="A19" s="42" t="s">
        <v>32</v>
      </c>
      <c r="B19" s="43">
        <v>5</v>
      </c>
      <c r="C19" s="46">
        <f>COUNTIFS(Pipeline!$V$5:$V$104,"&gt;="&amp;B19,Pipeline!$K$5:$K$104,"&gt;="&amp;DATE($B$4,1,1),Pipeline!$K$5:$K$104,"&lt;"&amp;DATE($B$4+1,1,1))</f>
        <v>8</v>
      </c>
      <c r="D19" s="12">
        <f t="shared" si="1"/>
        <v>0.72727272727272729</v>
      </c>
      <c r="E19" s="12">
        <f t="shared" si="0"/>
        <v>0.44444444444444442</v>
      </c>
      <c r="F19" s="48">
        <f>SUMIFS(Pipeline!$H$5:$H$104,Pipeline!$F$5:$F$104,A19,Pipeline!$G$5:$G$104,"Offen")</f>
        <v>74000</v>
      </c>
      <c r="G19" s="48">
        <f>SUMIFS(Pipeline!$J$5:$J$104,Pipeline!$F$5:$F$104,A19,Pipeline!$G$5:$G$104,"Offen")</f>
        <v>48100</v>
      </c>
      <c r="H19" s="50">
        <f ca="1">IFERROR(SUMIFS(Pipeline!$R$5:$R$104,Pipeline!$F$5:$F$104,A19,Pipeline!$G$5:$G$104,"Offen")/COUNTIFS(Pipeline!$F$5:$F$104,A19,Pipeline!$G$5:$G$104,"Offen"),0)</f>
        <v>25.333333333333332</v>
      </c>
      <c r="J19" s="53" t="s">
        <v>33</v>
      </c>
      <c r="K19" s="52">
        <f>COUNTIFS(Pipeline!$E$5:$E$104,J19,Pipeline!$G$5:$G$104,"Offen")</f>
        <v>1</v>
      </c>
      <c r="L19" s="55">
        <f>SUMIFS(Pipeline!$J$5:$J$104,Pipeline!$E$5:$E$104,J19,Pipeline!$G$5:$G$104,"Offen")</f>
        <v>13750</v>
      </c>
    </row>
    <row r="20" spans="1:12" x14ac:dyDescent="0.25">
      <c r="A20" s="42" t="s">
        <v>34</v>
      </c>
      <c r="B20" s="43">
        <v>6</v>
      </c>
      <c r="C20" s="46">
        <f>COUNTIFS(Pipeline!$V$5:$V$104,"&gt;="&amp;B20,Pipeline!$K$5:$K$104,"&gt;="&amp;DATE($B$4,1,1),Pipeline!$K$5:$K$104,"&lt;"&amp;DATE($B$4+1,1,1))</f>
        <v>4</v>
      </c>
      <c r="D20" s="12">
        <f t="shared" si="1"/>
        <v>0.5</v>
      </c>
      <c r="E20" s="12">
        <f t="shared" si="0"/>
        <v>0.22222222222222221</v>
      </c>
      <c r="F20" s="48">
        <f>SUMIFS(Pipeline!$H$5:$H$104,Pipeline!$F$5:$F$104,A20,Pipeline!$G$5:$G$104,"Offen")</f>
        <v>86000</v>
      </c>
      <c r="G20" s="48">
        <f>SUMIFS(Pipeline!$J$5:$J$104,Pipeline!$F$5:$F$104,A20,Pipeline!$G$5:$G$104,"Offen")</f>
        <v>68800</v>
      </c>
      <c r="H20" s="50">
        <f ca="1">IFERROR(SUMIFS(Pipeline!$R$5:$R$104,Pipeline!$F$5:$F$104,A20,Pipeline!$G$5:$G$104,"Offen")/COUNTIFS(Pipeline!$F$5:$F$104,A20,Pipeline!$G$5:$G$104,"Offen"),0)</f>
        <v>24</v>
      </c>
      <c r="J20" s="53" t="s">
        <v>35</v>
      </c>
      <c r="K20" s="52">
        <f>COUNTIFS(Pipeline!$E$5:$E$104,J20,Pipeline!$G$5:$G$104,"Offen")</f>
        <v>2</v>
      </c>
      <c r="L20" s="55">
        <f>SUMIFS(Pipeline!$J$5:$J$104,Pipeline!$E$5:$E$104,J20,Pipeline!$G$5:$G$104,"Offen")</f>
        <v>1940</v>
      </c>
    </row>
    <row r="21" spans="1:12" x14ac:dyDescent="0.25">
      <c r="A21" s="44" t="s">
        <v>36</v>
      </c>
      <c r="B21" s="45">
        <v>7</v>
      </c>
      <c r="C21" s="47">
        <f>COUNTIFS(Pipeline!$V$5:$V$104,"&gt;="&amp;B21,Pipeline!$K$5:$K$104,"&gt;="&amp;DATE($B$4,1,1),Pipeline!$K$5:$K$104,"&lt;"&amp;DATE($B$4+1,1,1))</f>
        <v>2</v>
      </c>
      <c r="D21" s="13">
        <f t="shared" si="1"/>
        <v>0.5</v>
      </c>
      <c r="E21" s="13">
        <f t="shared" si="0"/>
        <v>0.1111111111111111</v>
      </c>
      <c r="F21" s="49">
        <f>SUMIFS(Pipeline!$H$5:$H$104,Pipeline!$F$5:$F$104,A21,Pipeline!$G$5:$G$104,"Offen")</f>
        <v>0</v>
      </c>
      <c r="G21" s="49">
        <f>SUMIFS(Pipeline!$J$5:$J$104,Pipeline!$F$5:$F$104,A21,Pipeline!$G$5:$G$104,"Offen")</f>
        <v>0</v>
      </c>
      <c r="H21" s="51">
        <f>IFERROR(SUMIFS(Pipeline!$R$5:$R$104,Pipeline!$F$5:$F$104,A21,Pipeline!$G$5:$G$104,"Offen")/COUNTIFS(Pipeline!$F$5:$F$104,A21,Pipeline!$G$5:$G$104,"Offen"),0)</f>
        <v>0</v>
      </c>
      <c r="J21" s="53" t="s">
        <v>37</v>
      </c>
      <c r="K21" s="52">
        <f>COUNTIFS(Pipeline!$E$5:$E$104,J21,Pipeline!$G$5:$G$104,"Offen")</f>
        <v>2</v>
      </c>
      <c r="L21" s="55">
        <f>SUMIFS(Pipeline!$J$5:$J$104,Pipeline!$E$5:$E$104,J21,Pipeline!$G$5:$G$104,"Offen")</f>
        <v>17220</v>
      </c>
    </row>
    <row r="22" spans="1:12" s="83" customFormat="1" x14ac:dyDescent="0.25">
      <c r="J22" s="89" t="s">
        <v>38</v>
      </c>
      <c r="K22" s="87">
        <f>COUNTIFS(Pipeline!$E$5:$E$104,J22,Pipeline!$G$5:$G$104,"Offen")</f>
        <v>2</v>
      </c>
      <c r="L22" s="88">
        <f>SUMIFS(Pipeline!$J$5:$J$104,Pipeline!$E$5:$E$104,J22,Pipeline!$G$5:$G$104,"Offen")</f>
        <v>68875</v>
      </c>
    </row>
    <row r="23" spans="1:12" s="83" customFormat="1" x14ac:dyDescent="0.25"/>
    <row r="24" spans="1:12" ht="15.75" x14ac:dyDescent="0.25">
      <c r="A24" s="79" t="s">
        <v>39</v>
      </c>
      <c r="B24" s="78"/>
      <c r="C24" s="78"/>
      <c r="D24" s="78"/>
      <c r="E24" s="78"/>
      <c r="F24" s="83"/>
      <c r="G24" s="83"/>
      <c r="H24" s="83"/>
      <c r="I24" s="83"/>
      <c r="J24" s="83"/>
      <c r="K24" s="83"/>
      <c r="L24" s="83"/>
    </row>
    <row r="25" spans="1:12" ht="45" x14ac:dyDescent="0.25">
      <c r="A25" s="4" t="s">
        <v>40</v>
      </c>
      <c r="B25" s="5" t="s">
        <v>5</v>
      </c>
      <c r="C25" s="5" t="s">
        <v>41</v>
      </c>
      <c r="D25" s="5" t="s">
        <v>42</v>
      </c>
      <c r="E25" s="6" t="s">
        <v>43</v>
      </c>
      <c r="F25" s="83"/>
      <c r="G25" s="83"/>
      <c r="H25" s="83"/>
      <c r="I25" s="83"/>
      <c r="J25" s="83"/>
      <c r="K25" s="83"/>
      <c r="L25" s="83"/>
    </row>
    <row r="26" spans="1:12" x14ac:dyDescent="0.25">
      <c r="A26" s="53" t="s">
        <v>44</v>
      </c>
      <c r="B26" s="56">
        <f>SUMIFS(Pipeline!$H$5:$H$104,Pipeline!$G$5:$G$104,"Gewonnen",Pipeline!$M$5:$M$104,"&gt;="&amp;DATE($B$4,1,1),Pipeline!$M$5:$M$104,"&lt;"&amp;EDATE(DATE($B$4,1,1),1))</f>
        <v>0</v>
      </c>
      <c r="C26" s="56">
        <f>SUMIFS(Pipeline!$J$5:$J$104,Pipeline!$G$5:$G$104,"Offen",Pipeline!$M$5:$M$104,"&gt;="&amp;DATE($B$4,1,1),Pipeline!$M$5:$M$104,"&lt;"&amp;EDATE(DATE($B$4,1,1),1))</f>
        <v>0</v>
      </c>
      <c r="D26" s="58">
        <f>COUNTIFS(Pipeline!$K$5:$K$104,"&gt;="&amp;DATE($B$4,1,1),Pipeline!$K$5:$K$104,"&lt;"&amp;EDATE(DATE($B$4,1,1),1))</f>
        <v>4</v>
      </c>
      <c r="E26" s="59">
        <f>COUNTIFS(Pipeline!$G$5:$G$104,"Gewonnen",Pipeline!$M$5:$M$104,"&gt;="&amp;DATE($B$4,1,1),Pipeline!$M$5:$M$104,"&lt;"&amp;EDATE(DATE($B$4,1,1),1))</f>
        <v>0</v>
      </c>
      <c r="F26" s="83"/>
      <c r="G26" s="83"/>
      <c r="H26" s="83"/>
      <c r="I26" s="83"/>
      <c r="J26" s="83"/>
      <c r="K26" s="83"/>
      <c r="L26" s="83"/>
    </row>
    <row r="27" spans="1:12" x14ac:dyDescent="0.25">
      <c r="A27" s="53" t="s">
        <v>45</v>
      </c>
      <c r="B27" s="56">
        <f>SUMIFS(Pipeline!$H$5:$H$104,Pipeline!$G$5:$G$104,"Gewonnen",Pipeline!$M$5:$M$104,"&gt;="&amp;DATE($B$4,2,1),Pipeline!$M$5:$M$104,"&lt;"&amp;EDATE(DATE($B$4,2,1),1))</f>
        <v>0</v>
      </c>
      <c r="C27" s="56">
        <f>SUMIFS(Pipeline!$J$5:$J$104,Pipeline!$G$5:$G$104,"Offen",Pipeline!$M$5:$M$104,"&gt;="&amp;DATE($B$4,2,1),Pipeline!$M$5:$M$104,"&lt;"&amp;EDATE(DATE($B$4,2,1),1))</f>
        <v>0</v>
      </c>
      <c r="D27" s="58">
        <f>COUNTIFS(Pipeline!$K$5:$K$104,"&gt;="&amp;DATE($B$4,2,1),Pipeline!$K$5:$K$104,"&lt;"&amp;EDATE(DATE($B$4,2,1),1))</f>
        <v>4</v>
      </c>
      <c r="E27" s="59">
        <f>COUNTIFS(Pipeline!$G$5:$G$104,"Gewonnen",Pipeline!$M$5:$M$104,"&gt;="&amp;DATE($B$4,2,1),Pipeline!$M$5:$M$104,"&lt;"&amp;EDATE(DATE($B$4,2,1),1))</f>
        <v>0</v>
      </c>
      <c r="F27" s="83"/>
      <c r="G27" s="83"/>
      <c r="H27" s="83"/>
      <c r="I27" s="83"/>
      <c r="J27" s="83"/>
      <c r="K27" s="83"/>
      <c r="L27" s="83"/>
    </row>
    <row r="28" spans="1:12" x14ac:dyDescent="0.25">
      <c r="A28" s="53" t="s">
        <v>46</v>
      </c>
      <c r="B28" s="56">
        <f>SUMIFS(Pipeline!$H$5:$H$104,Pipeline!$G$5:$G$104,"Gewonnen",Pipeline!$M$5:$M$104,"&gt;="&amp;DATE($B$4,3,1),Pipeline!$M$5:$M$104,"&lt;"&amp;EDATE(DATE($B$4,3,1),1))</f>
        <v>18500</v>
      </c>
      <c r="C28" s="56">
        <f>SUMIFS(Pipeline!$J$5:$J$104,Pipeline!$G$5:$G$104,"Offen",Pipeline!$M$5:$M$104,"&gt;="&amp;DATE($B$4,3,1),Pipeline!$M$5:$M$104,"&lt;"&amp;EDATE(DATE($B$4,3,1),1))</f>
        <v>0</v>
      </c>
      <c r="D28" s="58">
        <f>COUNTIFS(Pipeline!$K$5:$K$104,"&gt;="&amp;DATE($B$4,3,1),Pipeline!$K$5:$K$104,"&lt;"&amp;EDATE(DATE($B$4,3,1),1))</f>
        <v>4</v>
      </c>
      <c r="E28" s="59">
        <f>COUNTIFS(Pipeline!$G$5:$G$104,"Gewonnen",Pipeline!$M$5:$M$104,"&gt;="&amp;DATE($B$4,3,1),Pipeline!$M$5:$M$104,"&lt;"&amp;EDATE(DATE($B$4,3,1),1))</f>
        <v>1</v>
      </c>
      <c r="F28" s="83"/>
      <c r="G28" s="83"/>
      <c r="H28" s="83"/>
      <c r="I28" s="83"/>
      <c r="J28" s="83"/>
      <c r="K28" s="83"/>
      <c r="L28" s="83"/>
    </row>
    <row r="29" spans="1:12" x14ac:dyDescent="0.25">
      <c r="A29" s="53" t="s">
        <v>47</v>
      </c>
      <c r="B29" s="56">
        <f>SUMIFS(Pipeline!$H$5:$H$104,Pipeline!$G$5:$G$104,"Gewonnen",Pipeline!$M$5:$M$104,"&gt;="&amp;DATE($B$4,4,1),Pipeline!$M$5:$M$104,"&lt;"&amp;EDATE(DATE($B$4,4,1),1))</f>
        <v>9700</v>
      </c>
      <c r="C29" s="56">
        <f>SUMIFS(Pipeline!$J$5:$J$104,Pipeline!$G$5:$G$104,"Offen",Pipeline!$M$5:$M$104,"&gt;="&amp;DATE($B$4,4,1),Pipeline!$M$5:$M$104,"&lt;"&amp;EDATE(DATE($B$4,4,1),1))</f>
        <v>0</v>
      </c>
      <c r="D29" s="58">
        <f>COUNTIFS(Pipeline!$K$5:$K$104,"&gt;="&amp;DATE($B$4,4,1),Pipeline!$K$5:$K$104,"&lt;"&amp;EDATE(DATE($B$4,4,1),1))</f>
        <v>3</v>
      </c>
      <c r="E29" s="59">
        <f>COUNTIFS(Pipeline!$G$5:$G$104,"Gewonnen",Pipeline!$M$5:$M$104,"&gt;="&amp;DATE($B$4,4,1),Pipeline!$M$5:$M$104,"&lt;"&amp;EDATE(DATE($B$4,4,1),1))</f>
        <v>1</v>
      </c>
      <c r="F29" s="83"/>
      <c r="G29" s="83"/>
      <c r="H29" s="83"/>
      <c r="I29" s="83"/>
      <c r="J29" s="83"/>
      <c r="K29" s="83"/>
      <c r="L29" s="83"/>
    </row>
    <row r="30" spans="1:12" x14ac:dyDescent="0.25">
      <c r="A30" s="53" t="s">
        <v>48</v>
      </c>
      <c r="B30" s="56">
        <f>SUMIFS(Pipeline!$H$5:$H$104,Pipeline!$G$5:$G$104,"Gewonnen",Pipeline!$M$5:$M$104,"&gt;="&amp;DATE($B$4,5,1),Pipeline!$M$5:$M$104,"&lt;"&amp;EDATE(DATE($B$4,5,1),1))</f>
        <v>0</v>
      </c>
      <c r="C30" s="56">
        <f>SUMIFS(Pipeline!$J$5:$J$104,Pipeline!$G$5:$G$104,"Offen",Pipeline!$M$5:$M$104,"&gt;="&amp;DATE($B$4,5,1),Pipeline!$M$5:$M$104,"&lt;"&amp;EDATE(DATE($B$4,5,1),1))</f>
        <v>0</v>
      </c>
      <c r="D30" s="58">
        <f>COUNTIFS(Pipeline!$K$5:$K$104,"&gt;="&amp;DATE($B$4,5,1),Pipeline!$K$5:$K$104,"&lt;"&amp;EDATE(DATE($B$4,5,1),1))</f>
        <v>3</v>
      </c>
      <c r="E30" s="59">
        <f>COUNTIFS(Pipeline!$G$5:$G$104,"Gewonnen",Pipeline!$M$5:$M$104,"&gt;="&amp;DATE($B$4,5,1),Pipeline!$M$5:$M$104,"&lt;"&amp;EDATE(DATE($B$4,5,1),1))</f>
        <v>0</v>
      </c>
      <c r="F30" s="83"/>
      <c r="G30" s="83"/>
      <c r="H30" s="83"/>
      <c r="I30" s="83"/>
      <c r="J30" s="83"/>
      <c r="K30" s="83"/>
      <c r="L30" s="83"/>
    </row>
    <row r="31" spans="1:12" x14ac:dyDescent="0.25">
      <c r="A31" s="53" t="s">
        <v>49</v>
      </c>
      <c r="B31" s="56">
        <f>SUMIFS(Pipeline!$H$5:$H$104,Pipeline!$G$5:$G$104,"Gewonnen",Pipeline!$M$5:$M$104,"&gt;="&amp;DATE($B$4,6,1),Pipeline!$M$5:$M$104,"&lt;"&amp;EDATE(DATE($B$4,6,1),1))</f>
        <v>0</v>
      </c>
      <c r="C31" s="56">
        <f>SUMIFS(Pipeline!$J$5:$J$104,Pipeline!$G$5:$G$104,"Offen",Pipeline!$M$5:$M$104,"&gt;="&amp;DATE($B$4,6,1),Pipeline!$M$5:$M$104,"&lt;"&amp;EDATE(DATE($B$4,6,1),1))</f>
        <v>103895</v>
      </c>
      <c r="D31" s="58">
        <f>COUNTIFS(Pipeline!$K$5:$K$104,"&gt;="&amp;DATE($B$4,6,1),Pipeline!$K$5:$K$104,"&lt;"&amp;EDATE(DATE($B$4,6,1),1))</f>
        <v>0</v>
      </c>
      <c r="E31" s="59">
        <f>COUNTIFS(Pipeline!$G$5:$G$104,"Gewonnen",Pipeline!$M$5:$M$104,"&gt;="&amp;DATE($B$4,6,1),Pipeline!$M$5:$M$104,"&lt;"&amp;EDATE(DATE($B$4,6,1),1))</f>
        <v>0</v>
      </c>
      <c r="F31" s="83"/>
      <c r="G31" s="83"/>
      <c r="H31" s="83"/>
      <c r="I31" s="83"/>
      <c r="J31" s="83"/>
      <c r="K31" s="83"/>
      <c r="L31" s="83"/>
    </row>
    <row r="32" spans="1:12" x14ac:dyDescent="0.25">
      <c r="A32" s="53" t="s">
        <v>50</v>
      </c>
      <c r="B32" s="56">
        <f>SUMIFS(Pipeline!$H$5:$H$104,Pipeline!$G$5:$G$104,"Gewonnen",Pipeline!$M$5:$M$104,"&gt;="&amp;DATE($B$4,7,1),Pipeline!$M$5:$M$104,"&lt;"&amp;EDATE(DATE($B$4,7,1),1))</f>
        <v>0</v>
      </c>
      <c r="C32" s="56">
        <f>SUMIFS(Pipeline!$J$5:$J$104,Pipeline!$G$5:$G$104,"Offen",Pipeline!$M$5:$M$104,"&gt;="&amp;DATE($B$4,7,1),Pipeline!$M$5:$M$104,"&lt;"&amp;EDATE(DATE($B$4,7,1),1))</f>
        <v>51710</v>
      </c>
      <c r="D32" s="58">
        <f>COUNTIFS(Pipeline!$K$5:$K$104,"&gt;="&amp;DATE($B$4,7,1),Pipeline!$K$5:$K$104,"&lt;"&amp;EDATE(DATE($B$4,7,1),1))</f>
        <v>0</v>
      </c>
      <c r="E32" s="59">
        <f>COUNTIFS(Pipeline!$G$5:$G$104,"Gewonnen",Pipeline!$M$5:$M$104,"&gt;="&amp;DATE($B$4,7,1),Pipeline!$M$5:$M$104,"&lt;"&amp;EDATE(DATE($B$4,7,1),1))</f>
        <v>0</v>
      </c>
      <c r="F32" s="83"/>
      <c r="G32" s="83"/>
      <c r="H32" s="83"/>
      <c r="I32" s="83"/>
      <c r="J32" s="83"/>
      <c r="K32" s="83"/>
      <c r="L32" s="83"/>
    </row>
    <row r="33" spans="1:12" x14ac:dyDescent="0.25">
      <c r="A33" s="53" t="s">
        <v>51</v>
      </c>
      <c r="B33" s="56">
        <f>SUMIFS(Pipeline!$H$5:$H$104,Pipeline!$G$5:$G$104,"Gewonnen",Pipeline!$M$5:$M$104,"&gt;="&amp;DATE($B$4,8,1),Pipeline!$M$5:$M$104,"&lt;"&amp;EDATE(DATE($B$4,8,1),1))</f>
        <v>0</v>
      </c>
      <c r="C33" s="56">
        <f>SUMIFS(Pipeline!$J$5:$J$104,Pipeline!$G$5:$G$104,"Offen",Pipeline!$M$5:$M$104,"&gt;="&amp;DATE($B$4,8,1),Pipeline!$M$5:$M$104,"&lt;"&amp;EDATE(DATE($B$4,8,1),1))</f>
        <v>41620</v>
      </c>
      <c r="D33" s="58">
        <f>COUNTIFS(Pipeline!$K$5:$K$104,"&gt;="&amp;DATE($B$4,8,1),Pipeline!$K$5:$K$104,"&lt;"&amp;EDATE(DATE($B$4,8,1),1))</f>
        <v>0</v>
      </c>
      <c r="E33" s="59">
        <f>COUNTIFS(Pipeline!$G$5:$G$104,"Gewonnen",Pipeline!$M$5:$M$104,"&gt;="&amp;DATE($B$4,8,1),Pipeline!$M$5:$M$104,"&lt;"&amp;EDATE(DATE($B$4,8,1),1))</f>
        <v>0</v>
      </c>
      <c r="F33" s="83"/>
      <c r="G33" s="83"/>
      <c r="H33" s="83"/>
      <c r="I33" s="83"/>
      <c r="J33" s="83"/>
      <c r="K33" s="83"/>
      <c r="L33" s="83"/>
    </row>
    <row r="34" spans="1:12" x14ac:dyDescent="0.25">
      <c r="A34" s="53" t="s">
        <v>52</v>
      </c>
      <c r="B34" s="56">
        <f>SUMIFS(Pipeline!$H$5:$H$104,Pipeline!$G$5:$G$104,"Gewonnen",Pipeline!$M$5:$M$104,"&gt;="&amp;DATE($B$4,9,1),Pipeline!$M$5:$M$104,"&lt;"&amp;EDATE(DATE($B$4,9,1),1))</f>
        <v>0</v>
      </c>
      <c r="C34" s="56">
        <f>SUMIFS(Pipeline!$J$5:$J$104,Pipeline!$G$5:$G$104,"Offen",Pipeline!$M$5:$M$104,"&gt;="&amp;DATE($B$4,9,1),Pipeline!$M$5:$M$104,"&lt;"&amp;EDATE(DATE($B$4,9,1),1))</f>
        <v>0</v>
      </c>
      <c r="D34" s="58">
        <f>COUNTIFS(Pipeline!$K$5:$K$104,"&gt;="&amp;DATE($B$4,9,1),Pipeline!$K$5:$K$104,"&lt;"&amp;EDATE(DATE($B$4,9,1),1))</f>
        <v>0</v>
      </c>
      <c r="E34" s="59">
        <f>COUNTIFS(Pipeline!$G$5:$G$104,"Gewonnen",Pipeline!$M$5:$M$104,"&gt;="&amp;DATE($B$4,9,1),Pipeline!$M$5:$M$104,"&lt;"&amp;EDATE(DATE($B$4,9,1),1))</f>
        <v>0</v>
      </c>
      <c r="F34" s="83"/>
      <c r="G34" s="83"/>
      <c r="H34" s="83"/>
      <c r="I34" s="83"/>
      <c r="J34" s="83"/>
      <c r="K34" s="83"/>
      <c r="L34" s="83"/>
    </row>
    <row r="35" spans="1:12" x14ac:dyDescent="0.25">
      <c r="A35" s="53" t="s">
        <v>53</v>
      </c>
      <c r="B35" s="56">
        <f>SUMIFS(Pipeline!$H$5:$H$104,Pipeline!$G$5:$G$104,"Gewonnen",Pipeline!$M$5:$M$104,"&gt;="&amp;DATE($B$4,10,1),Pipeline!$M$5:$M$104,"&lt;"&amp;EDATE(DATE($B$4,10,1),1))</f>
        <v>0</v>
      </c>
      <c r="C35" s="56">
        <f>SUMIFS(Pipeline!$J$5:$J$104,Pipeline!$G$5:$G$104,"Offen",Pipeline!$M$5:$M$104,"&gt;="&amp;DATE($B$4,10,1),Pipeline!$M$5:$M$104,"&lt;"&amp;EDATE(DATE($B$4,10,1),1))</f>
        <v>0</v>
      </c>
      <c r="D35" s="58">
        <f>COUNTIFS(Pipeline!$K$5:$K$104,"&gt;="&amp;DATE($B$4,10,1),Pipeline!$K$5:$K$104,"&lt;"&amp;EDATE(DATE($B$4,10,1),1))</f>
        <v>0</v>
      </c>
      <c r="E35" s="59">
        <f>COUNTIFS(Pipeline!$G$5:$G$104,"Gewonnen",Pipeline!$M$5:$M$104,"&gt;="&amp;DATE($B$4,10,1),Pipeline!$M$5:$M$104,"&lt;"&amp;EDATE(DATE($B$4,10,1),1))</f>
        <v>0</v>
      </c>
      <c r="F35" s="83"/>
      <c r="G35" s="83"/>
      <c r="H35" s="83"/>
      <c r="I35" s="83"/>
      <c r="J35" s="83"/>
      <c r="K35" s="83"/>
      <c r="L35" s="83"/>
    </row>
    <row r="36" spans="1:12" x14ac:dyDescent="0.25">
      <c r="A36" s="53" t="s">
        <v>54</v>
      </c>
      <c r="B36" s="56">
        <f>SUMIFS(Pipeline!$H$5:$H$104,Pipeline!$G$5:$G$104,"Gewonnen",Pipeline!$M$5:$M$104,"&gt;="&amp;DATE($B$4,11,1),Pipeline!$M$5:$M$104,"&lt;"&amp;EDATE(DATE($B$4,11,1),1))</f>
        <v>0</v>
      </c>
      <c r="C36" s="56">
        <f>SUMIFS(Pipeline!$J$5:$J$104,Pipeline!$G$5:$G$104,"Offen",Pipeline!$M$5:$M$104,"&gt;="&amp;DATE($B$4,11,1),Pipeline!$M$5:$M$104,"&lt;"&amp;EDATE(DATE($B$4,11,1),1))</f>
        <v>0</v>
      </c>
      <c r="D36" s="58">
        <f>COUNTIFS(Pipeline!$K$5:$K$104,"&gt;="&amp;DATE($B$4,11,1),Pipeline!$K$5:$K$104,"&lt;"&amp;EDATE(DATE($B$4,11,1),1))</f>
        <v>0</v>
      </c>
      <c r="E36" s="59">
        <f>COUNTIFS(Pipeline!$G$5:$G$104,"Gewonnen",Pipeline!$M$5:$M$104,"&gt;="&amp;DATE($B$4,11,1),Pipeline!$M$5:$M$104,"&lt;"&amp;EDATE(DATE($B$4,11,1),1))</f>
        <v>0</v>
      </c>
      <c r="F36" s="83"/>
      <c r="G36" s="83"/>
      <c r="H36" s="83"/>
      <c r="I36" s="83"/>
      <c r="J36" s="83"/>
      <c r="K36" s="83"/>
      <c r="L36" s="83"/>
    </row>
    <row r="37" spans="1:12" x14ac:dyDescent="0.25">
      <c r="A37" s="54" t="s">
        <v>55</v>
      </c>
      <c r="B37" s="57">
        <f>SUMIFS(Pipeline!$H$5:$H$104,Pipeline!$G$5:$G$104,"Gewonnen",Pipeline!$M$5:$M$104,"&gt;="&amp;DATE($B$4,12,1),Pipeline!$M$5:$M$104,"&lt;"&amp;EDATE(DATE($B$4,12,1),1))</f>
        <v>0</v>
      </c>
      <c r="C37" s="57">
        <f>SUMIFS(Pipeline!$J$5:$J$104,Pipeline!$G$5:$G$104,"Offen",Pipeline!$M$5:$M$104,"&gt;="&amp;DATE($B$4,12,1),Pipeline!$M$5:$M$104,"&lt;"&amp;EDATE(DATE($B$4,12,1),1))</f>
        <v>0</v>
      </c>
      <c r="D37" s="60">
        <f>COUNTIFS(Pipeline!$K$5:$K$104,"&gt;="&amp;DATE($B$4,12,1),Pipeline!$K$5:$K$104,"&lt;"&amp;EDATE(DATE($B$4,12,1),1))</f>
        <v>0</v>
      </c>
      <c r="E37" s="61">
        <f>COUNTIFS(Pipeline!$G$5:$G$104,"Gewonnen",Pipeline!$M$5:$M$104,"&gt;="&amp;DATE($B$4,12,1),Pipeline!$M$5:$M$104,"&lt;"&amp;EDATE(DATE($B$4,12,1),1))</f>
        <v>0</v>
      </c>
      <c r="F37" s="83"/>
      <c r="G37" s="83"/>
      <c r="H37" s="83"/>
      <c r="I37" s="83"/>
      <c r="J37" s="83"/>
      <c r="K37" s="83"/>
      <c r="L37" s="83"/>
    </row>
    <row r="38" spans="1:12" s="83" customFormat="1" x14ac:dyDescent="0.25"/>
    <row r="39" spans="1:12" s="83" customFormat="1" x14ac:dyDescent="0.25"/>
    <row r="40" spans="1:12" s="83" customFormat="1" x14ac:dyDescent="0.25"/>
    <row r="41" spans="1:12" s="83" customFormat="1" x14ac:dyDescent="0.25"/>
    <row r="42" spans="1:12" s="83" customFormat="1" x14ac:dyDescent="0.25"/>
    <row r="43" spans="1:12" s="83" customFormat="1" x14ac:dyDescent="0.25"/>
    <row r="44" spans="1:12" s="83" customFormat="1" x14ac:dyDescent="0.25"/>
    <row r="45" spans="1:12" s="83" customFormat="1" x14ac:dyDescent="0.25"/>
  </sheetData>
  <mergeCells count="5">
    <mergeCell ref="A1:L1"/>
    <mergeCell ref="A2:L2"/>
    <mergeCell ref="A13:H13"/>
    <mergeCell ref="J13:L13"/>
    <mergeCell ref="A24:E24"/>
  </mergeCells>
  <conditionalFormatting sqref="A10:B10">
    <cfRule type="cellIs" dxfId="5" priority="1" operator="greaterThan">
      <formula>0</formula>
    </cfRule>
  </conditionalFormatting>
  <conditionalFormatting sqref="D10:E10">
    <cfRule type="dataBar" priority="2">
      <dataBar>
        <cfvo type="min"/>
        <cfvo type="max"/>
        <color rgb="FF22C55E"/>
      </dataBar>
    </cfRule>
    <cfRule type="dataBar" priority="6">
      <dataBar>
        <cfvo type="min"/>
        <cfvo type="max"/>
        <color rgb="FF22C55E"/>
      </dataBar>
      <extLst>
        <ext xmlns:x14="http://schemas.microsoft.com/office/spreadsheetml/2009/9/main" uri="{B025F937-C7B1-47D3-B67F-A62EFF666E3E}">
          <x14:id>{169BE573-5479-287D-BE93-74B15E11EBFA}</x14:id>
        </ext>
      </extLst>
    </cfRule>
  </conditionalFormatting>
  <conditionalFormatting sqref="D15:E21">
    <cfRule type="dataBar" priority="3">
      <dataBar>
        <cfvo type="min"/>
        <cfvo type="max"/>
        <color rgb="FF93C5FD"/>
      </dataBar>
    </cfRule>
    <cfRule type="dataBar" priority="7">
      <dataBar>
        <cfvo type="min"/>
        <cfvo type="max"/>
        <color rgb="FF93C5FD"/>
      </dataBar>
      <extLst>
        <ext xmlns:x14="http://schemas.microsoft.com/office/spreadsheetml/2009/9/main" uri="{B025F937-C7B1-47D3-B67F-A62EFF666E3E}">
          <x14:id>{C5593AA7-0028-5BEA-E3E0-8178783C1A47}</x14:id>
        </ext>
      </extLst>
    </cfRule>
  </conditionalFormatting>
  <conditionalFormatting sqref="G15:G21">
    <cfRule type="dataBar" priority="4">
      <dataBar>
        <cfvo type="min"/>
        <cfvo type="max"/>
        <color rgb="FF60A5FA"/>
      </dataBar>
    </cfRule>
    <cfRule type="dataBar" priority="8">
      <dataBar>
        <cfvo type="min"/>
        <cfvo type="max"/>
        <color rgb="FF60A5FA"/>
      </dataBar>
      <extLst>
        <ext xmlns:x14="http://schemas.microsoft.com/office/spreadsheetml/2009/9/main" uri="{B025F937-C7B1-47D3-B67F-A62EFF666E3E}">
          <x14:id>{9FB71B9A-F398-1C5C-AB63-4C1EA09CC5DA}</x14:id>
        </ext>
      </extLst>
    </cfRule>
  </conditionalFormatting>
  <conditionalFormatting sqref="L15:L22">
    <cfRule type="dataBar" priority="5">
      <dataBar>
        <cfvo type="min"/>
        <cfvo type="max"/>
        <color rgb="FFA78BFA"/>
      </dataBar>
    </cfRule>
    <cfRule type="dataBar" priority="9">
      <dataBar>
        <cfvo type="min"/>
        <cfvo type="max"/>
        <color rgb="FFA78BFA"/>
      </dataBar>
      <extLst>
        <ext xmlns:x14="http://schemas.microsoft.com/office/spreadsheetml/2009/9/main" uri="{B025F937-C7B1-47D3-B67F-A62EFF666E3E}">
          <x14:id>{A2C5F989-CA60-2928-DF8F-0A7C5049F2CB}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69BE573-5479-287D-BE93-74B15E11EBFA}">
            <x14:dataBar>
              <x14:cfvo type="min"/>
              <x14:cfvo type="max"/>
              <x14:negativeFillColor auto="1"/>
              <x14:axisColor auto="1"/>
            </x14:dataBar>
          </x14:cfRule>
          <xm:sqref>D10:E10</xm:sqref>
        </x14:conditionalFormatting>
        <x14:conditionalFormatting xmlns:xm="http://schemas.microsoft.com/office/excel/2006/main">
          <x14:cfRule type="dataBar" id="{C5593AA7-0028-5BEA-E3E0-8178783C1A47}">
            <x14:dataBar>
              <x14:cfvo type="min"/>
              <x14:cfvo type="max"/>
              <x14:negativeFillColor auto="1"/>
              <x14:axisColor auto="1"/>
            </x14:dataBar>
          </x14:cfRule>
          <xm:sqref>D15:E21</xm:sqref>
        </x14:conditionalFormatting>
        <x14:conditionalFormatting xmlns:xm="http://schemas.microsoft.com/office/excel/2006/main">
          <x14:cfRule type="dataBar" id="{9FB71B9A-F398-1C5C-AB63-4C1EA09CC5DA}">
            <x14:dataBar>
              <x14:cfvo type="min"/>
              <x14:cfvo type="max"/>
              <x14:negativeFillColor auto="1"/>
              <x14:axisColor auto="1"/>
            </x14:dataBar>
          </x14:cfRule>
          <xm:sqref>G15:G21</xm:sqref>
        </x14:conditionalFormatting>
        <x14:conditionalFormatting xmlns:xm="http://schemas.microsoft.com/office/excel/2006/main">
          <x14:cfRule type="dataBar" id="{A2C5F989-CA60-2928-DF8F-0A7C5049F2CB}">
            <x14:dataBar>
              <x14:cfvo type="min"/>
              <x14:cfvo type="max"/>
              <x14:negativeFillColor auto="1"/>
              <x14:axisColor auto="1"/>
            </x14:dataBar>
          </x14:cfRule>
          <xm:sqref>L15:L22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"/>
  <sheetViews>
    <sheetView workbookViewId="0">
      <selection sqref="A1:V1"/>
    </sheetView>
  </sheetViews>
  <sheetFormatPr baseColWidth="10" defaultColWidth="9" defaultRowHeight="15" x14ac:dyDescent="0.25"/>
  <cols>
    <col min="1" max="1" width="13" customWidth="1"/>
    <col min="2" max="2" width="20" customWidth="1"/>
    <col min="3" max="3" width="18" customWidth="1"/>
    <col min="4" max="4" width="16" customWidth="1"/>
    <col min="5" max="5" width="14" customWidth="1"/>
    <col min="6" max="6" width="18" customWidth="1"/>
    <col min="7" max="7" width="14" customWidth="1"/>
    <col min="8" max="8" width="13" customWidth="1"/>
    <col min="9" max="9" width="14" customWidth="1"/>
    <col min="10" max="10" width="16" customWidth="1"/>
    <col min="11" max="12" width="14" customWidth="1"/>
    <col min="13" max="13" width="18" customWidth="1"/>
    <col min="14" max="14" width="16" customWidth="1"/>
    <col min="15" max="15" width="28" customWidth="1"/>
    <col min="16" max="17" width="14" customWidth="1"/>
    <col min="18" max="18" width="13" customWidth="1"/>
    <col min="19" max="19" width="16" customWidth="1"/>
    <col min="20" max="20" width="12" customWidth="1"/>
    <col min="21" max="21" width="32" customWidth="1"/>
    <col min="22" max="22" width="12" customWidth="1"/>
  </cols>
  <sheetData>
    <row r="1" spans="1:26" ht="32.1" customHeight="1" x14ac:dyDescent="0.25">
      <c r="A1" s="75" t="s">
        <v>56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62"/>
      <c r="X1" s="62"/>
      <c r="Y1" s="62"/>
      <c r="Z1" s="62"/>
    </row>
    <row r="2" spans="1:26" ht="33.950000000000003" customHeight="1" x14ac:dyDescent="0.25">
      <c r="A2" s="77" t="s">
        <v>57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4" spans="1:26" ht="38.1" customHeight="1" x14ac:dyDescent="0.25">
      <c r="A4" s="4" t="s">
        <v>58</v>
      </c>
      <c r="B4" s="5" t="s">
        <v>59</v>
      </c>
      <c r="C4" s="5" t="s">
        <v>60</v>
      </c>
      <c r="D4" s="5" t="s">
        <v>61</v>
      </c>
      <c r="E4" s="5" t="s">
        <v>23</v>
      </c>
      <c r="F4" s="5" t="s">
        <v>16</v>
      </c>
      <c r="G4" s="5" t="s">
        <v>62</v>
      </c>
      <c r="H4" s="5" t="s">
        <v>63</v>
      </c>
      <c r="I4" s="5" t="s">
        <v>64</v>
      </c>
      <c r="J4" s="5" t="s">
        <v>65</v>
      </c>
      <c r="K4" s="5" t="s">
        <v>66</v>
      </c>
      <c r="L4" s="5" t="s">
        <v>67</v>
      </c>
      <c r="M4" s="5" t="s">
        <v>68</v>
      </c>
      <c r="N4" s="5" t="s">
        <v>69</v>
      </c>
      <c r="O4" s="5" t="s">
        <v>70</v>
      </c>
      <c r="P4" s="5" t="s">
        <v>71</v>
      </c>
      <c r="Q4" s="5" t="s">
        <v>72</v>
      </c>
      <c r="R4" s="5" t="s">
        <v>73</v>
      </c>
      <c r="S4" s="5" t="s">
        <v>74</v>
      </c>
      <c r="T4" s="5" t="s">
        <v>75</v>
      </c>
      <c r="U4" s="5" t="s">
        <v>76</v>
      </c>
      <c r="V4" s="6" t="s">
        <v>77</v>
      </c>
    </row>
    <row r="5" spans="1:26" x14ac:dyDescent="0.25">
      <c r="A5" s="17" t="s">
        <v>78</v>
      </c>
      <c r="B5" s="18" t="s">
        <v>79</v>
      </c>
      <c r="C5" s="18" t="s">
        <v>80</v>
      </c>
      <c r="D5" s="18" t="s">
        <v>81</v>
      </c>
      <c r="E5" s="18" t="s">
        <v>25</v>
      </c>
      <c r="F5" s="18" t="s">
        <v>36</v>
      </c>
      <c r="G5" s="18" t="s">
        <v>36</v>
      </c>
      <c r="H5" s="19">
        <v>18500</v>
      </c>
      <c r="I5" s="20">
        <f>IFERROR(VLOOKUP(F5,Einstellungen!$A$7:$C$13,3,FALSE),0)</f>
        <v>1</v>
      </c>
      <c r="J5" s="21">
        <f t="shared" ref="J5:J36" si="0">IF(A5="","",IF(G5="Gewonnen",H5,IF(OR(G5="Verloren",G5="Disqualifiziert"),0,H5*I5)))</f>
        <v>18500</v>
      </c>
      <c r="K5" s="22">
        <v>46030</v>
      </c>
      <c r="L5" s="22">
        <v>46067</v>
      </c>
      <c r="M5" s="22">
        <v>46096</v>
      </c>
      <c r="N5" s="22">
        <v>46093</v>
      </c>
      <c r="O5" s="18" t="s">
        <v>82</v>
      </c>
      <c r="P5" s="22">
        <v>46099</v>
      </c>
      <c r="Q5" s="23">
        <f t="shared" ref="Q5:Q36" ca="1" si="1">IF(N5="","",TODAY()-N5)</f>
        <v>81</v>
      </c>
      <c r="R5" s="23">
        <f t="shared" ref="R5:R36" ca="1" si="2">IF(L5="","",TODAY()-L5)</f>
        <v>107</v>
      </c>
      <c r="S5" s="24" t="str">
        <f t="shared" ref="S5:S36" ca="1" si="3">IF(A5="","",IF(G5&lt;&gt;"Offen","Abgeschlossen",IF(P5&lt;TODAY(),"Überfällig",IF(P5=TODAY(),"Heute","Geplant"))))</f>
        <v>Abgeschlossen</v>
      </c>
      <c r="T5" s="24" t="str">
        <f>IF(A5="","",IF(G5&lt;&gt;"Offen","-",IF(AND(Q5&gt;=Einstellungen!$N$9,R5&gt;=Einstellungen!$N$10),"Hoch",IF(OR(Q5&gt;=Einstellungen!$N$9,R5&gt;=Einstellungen!$N$10),"Mittel","Normal"))))</f>
        <v>-</v>
      </c>
      <c r="U5" s="18" t="s">
        <v>83</v>
      </c>
      <c r="V5" s="25">
        <f>IFERROR(VLOOKUP(F5,Einstellungen!$A$7:$B$13,2,FALSE),"")</f>
        <v>7</v>
      </c>
    </row>
    <row r="6" spans="1:26" x14ac:dyDescent="0.25">
      <c r="A6" s="17" t="s">
        <v>84</v>
      </c>
      <c r="B6" s="18" t="s">
        <v>85</v>
      </c>
      <c r="C6" s="18" t="s">
        <v>86</v>
      </c>
      <c r="D6" s="18" t="s">
        <v>87</v>
      </c>
      <c r="E6" s="18" t="s">
        <v>27</v>
      </c>
      <c r="F6" s="18" t="s">
        <v>34</v>
      </c>
      <c r="G6" s="18" t="s">
        <v>88</v>
      </c>
      <c r="H6" s="19">
        <v>32000</v>
      </c>
      <c r="I6" s="20">
        <f>IFERROR(VLOOKUP(F6,Einstellungen!$A$7:$C$13,3,FALSE),0)</f>
        <v>0.8</v>
      </c>
      <c r="J6" s="21">
        <f t="shared" si="0"/>
        <v>25600</v>
      </c>
      <c r="K6" s="22">
        <v>46043</v>
      </c>
      <c r="L6" s="22">
        <v>46152</v>
      </c>
      <c r="M6" s="22">
        <v>46193</v>
      </c>
      <c r="N6" s="22">
        <v>46164</v>
      </c>
      <c r="O6" s="18" t="s">
        <v>89</v>
      </c>
      <c r="P6" s="22">
        <v>46176</v>
      </c>
      <c r="Q6" s="23">
        <f t="shared" ca="1" si="1"/>
        <v>10</v>
      </c>
      <c r="R6" s="23">
        <f t="shared" ca="1" si="2"/>
        <v>22</v>
      </c>
      <c r="S6" s="24" t="str">
        <f t="shared" ca="1" si="3"/>
        <v>Geplant</v>
      </c>
      <c r="T6" s="24" t="str">
        <f ca="1">IF(A6="","",IF(G6&lt;&gt;"Offen","-",IF(AND(Q6&gt;=Einstellungen!$N$9,R6&gt;=Einstellungen!$N$10),"Hoch",IF(OR(Q6&gt;=Einstellungen!$N$9,R6&gt;=Einstellungen!$N$10),"Mittel","Normal"))))</f>
        <v>Mittel</v>
      </c>
      <c r="U6" s="18" t="s">
        <v>90</v>
      </c>
      <c r="V6" s="25">
        <f>IFERROR(VLOOKUP(F6,Einstellungen!$A$7:$B$13,2,FALSE),"")</f>
        <v>6</v>
      </c>
    </row>
    <row r="7" spans="1:26" x14ac:dyDescent="0.25">
      <c r="A7" s="17" t="s">
        <v>91</v>
      </c>
      <c r="B7" s="18" t="s">
        <v>92</v>
      </c>
      <c r="C7" s="18" t="s">
        <v>93</v>
      </c>
      <c r="D7" s="18" t="s">
        <v>94</v>
      </c>
      <c r="E7" s="18" t="s">
        <v>29</v>
      </c>
      <c r="F7" s="18" t="s">
        <v>32</v>
      </c>
      <c r="G7" s="18" t="s">
        <v>88</v>
      </c>
      <c r="H7" s="19">
        <v>12400</v>
      </c>
      <c r="I7" s="20">
        <f>IFERROR(VLOOKUP(F7,Einstellungen!$A$7:$C$13,3,FALSE),0)</f>
        <v>0.65</v>
      </c>
      <c r="J7" s="21">
        <f t="shared" si="0"/>
        <v>8060</v>
      </c>
      <c r="K7" s="22">
        <v>46058</v>
      </c>
      <c r="L7" s="22">
        <v>46160</v>
      </c>
      <c r="M7" s="22">
        <v>46201</v>
      </c>
      <c r="N7" s="22">
        <v>46171</v>
      </c>
      <c r="O7" s="18" t="s">
        <v>95</v>
      </c>
      <c r="P7" s="22">
        <v>46177</v>
      </c>
      <c r="Q7" s="23">
        <f t="shared" ca="1" si="1"/>
        <v>3</v>
      </c>
      <c r="R7" s="23">
        <f t="shared" ca="1" si="2"/>
        <v>14</v>
      </c>
      <c r="S7" s="24" t="str">
        <f t="shared" ca="1" si="3"/>
        <v>Geplant</v>
      </c>
      <c r="T7" s="24" t="str">
        <f ca="1">IF(A7="","",IF(G7&lt;&gt;"Offen","-",IF(AND(Q7&gt;=Einstellungen!$N$9,R7&gt;=Einstellungen!$N$10),"Hoch",IF(OR(Q7&gt;=Einstellungen!$N$9,R7&gt;=Einstellungen!$N$10),"Mittel","Normal"))))</f>
        <v>Normal</v>
      </c>
      <c r="U7" s="18" t="s">
        <v>96</v>
      </c>
      <c r="V7" s="25">
        <f>IFERROR(VLOOKUP(F7,Einstellungen!$A$7:$B$13,2,FALSE),"")</f>
        <v>5</v>
      </c>
    </row>
    <row r="8" spans="1:26" x14ac:dyDescent="0.25">
      <c r="A8" s="17" t="s">
        <v>97</v>
      </c>
      <c r="B8" s="18" t="s">
        <v>98</v>
      </c>
      <c r="C8" s="18" t="s">
        <v>99</v>
      </c>
      <c r="D8" s="18" t="s">
        <v>100</v>
      </c>
      <c r="E8" s="18" t="s">
        <v>33</v>
      </c>
      <c r="F8" s="18" t="s">
        <v>30</v>
      </c>
      <c r="G8" s="18" t="s">
        <v>88</v>
      </c>
      <c r="H8" s="19">
        <v>27500</v>
      </c>
      <c r="I8" s="20">
        <f>IFERROR(VLOOKUP(F8,Einstellungen!$A$7:$C$13,3,FALSE),0)</f>
        <v>0.5</v>
      </c>
      <c r="J8" s="21">
        <f t="shared" si="0"/>
        <v>13750</v>
      </c>
      <c r="K8" s="22">
        <v>46070</v>
      </c>
      <c r="L8" s="22">
        <v>46167</v>
      </c>
      <c r="M8" s="22">
        <v>46213</v>
      </c>
      <c r="N8" s="22">
        <v>46170</v>
      </c>
      <c r="O8" s="18" t="s">
        <v>101</v>
      </c>
      <c r="P8" s="22">
        <v>46178</v>
      </c>
      <c r="Q8" s="23">
        <f t="shared" ca="1" si="1"/>
        <v>4</v>
      </c>
      <c r="R8" s="23">
        <f t="shared" ca="1" si="2"/>
        <v>7</v>
      </c>
      <c r="S8" s="24" t="str">
        <f t="shared" ca="1" si="3"/>
        <v>Geplant</v>
      </c>
      <c r="T8" s="24" t="str">
        <f ca="1">IF(A8="","",IF(G8&lt;&gt;"Offen","-",IF(AND(Q8&gt;=Einstellungen!$N$9,R8&gt;=Einstellungen!$N$10),"Hoch",IF(OR(Q8&gt;=Einstellungen!$N$9,R8&gt;=Einstellungen!$N$10),"Mittel","Normal"))))</f>
        <v>Normal</v>
      </c>
      <c r="U8" s="18" t="s">
        <v>102</v>
      </c>
      <c r="V8" s="25">
        <f>IFERROR(VLOOKUP(F8,Einstellungen!$A$7:$B$13,2,FALSE),"")</f>
        <v>4</v>
      </c>
    </row>
    <row r="9" spans="1:26" x14ac:dyDescent="0.25">
      <c r="A9" s="17" t="s">
        <v>103</v>
      </c>
      <c r="B9" s="18" t="s">
        <v>104</v>
      </c>
      <c r="C9" s="18" t="s">
        <v>105</v>
      </c>
      <c r="D9" s="18" t="s">
        <v>106</v>
      </c>
      <c r="E9" s="18" t="s">
        <v>37</v>
      </c>
      <c r="F9" s="18" t="s">
        <v>28</v>
      </c>
      <c r="G9" s="18" t="s">
        <v>88</v>
      </c>
      <c r="H9" s="19">
        <v>46000</v>
      </c>
      <c r="I9" s="20">
        <f>IFERROR(VLOOKUP(F9,Einstellungen!$A$7:$C$13,3,FALSE),0)</f>
        <v>0.35</v>
      </c>
      <c r="J9" s="21">
        <f t="shared" si="0"/>
        <v>16099.999999999998</v>
      </c>
      <c r="K9" s="22">
        <v>46082</v>
      </c>
      <c r="L9" s="22">
        <v>46172</v>
      </c>
      <c r="M9" s="22">
        <v>46235</v>
      </c>
      <c r="N9" s="22">
        <v>46172</v>
      </c>
      <c r="O9" s="18" t="s">
        <v>107</v>
      </c>
      <c r="P9" s="22">
        <v>46179</v>
      </c>
      <c r="Q9" s="23">
        <f t="shared" ca="1" si="1"/>
        <v>2</v>
      </c>
      <c r="R9" s="23">
        <f t="shared" ca="1" si="2"/>
        <v>2</v>
      </c>
      <c r="S9" s="24" t="str">
        <f t="shared" ca="1" si="3"/>
        <v>Geplant</v>
      </c>
      <c r="T9" s="24" t="str">
        <f ca="1">IF(A9="","",IF(G9&lt;&gt;"Offen","-",IF(AND(Q9&gt;=Einstellungen!$N$9,R9&gt;=Einstellungen!$N$10),"Hoch",IF(OR(Q9&gt;=Einstellungen!$N$9,R9&gt;=Einstellungen!$N$10),"Mittel","Normal"))))</f>
        <v>Normal</v>
      </c>
      <c r="U9" s="18" t="s">
        <v>108</v>
      </c>
      <c r="V9" s="25">
        <f>IFERROR(VLOOKUP(F9,Einstellungen!$A$7:$B$13,2,FALSE),"")</f>
        <v>3</v>
      </c>
    </row>
    <row r="10" spans="1:26" ht="30" x14ac:dyDescent="0.25">
      <c r="A10" s="17" t="s">
        <v>109</v>
      </c>
      <c r="B10" s="18" t="s">
        <v>110</v>
      </c>
      <c r="C10" s="18" t="s">
        <v>111</v>
      </c>
      <c r="D10" s="18" t="s">
        <v>81</v>
      </c>
      <c r="E10" s="18" t="s">
        <v>31</v>
      </c>
      <c r="F10" s="18" t="s">
        <v>26</v>
      </c>
      <c r="G10" s="18" t="s">
        <v>88</v>
      </c>
      <c r="H10" s="19">
        <v>6800</v>
      </c>
      <c r="I10" s="20">
        <f>IFERROR(VLOOKUP(F10,Einstellungen!$A$7:$C$13,3,FALSE),0)</f>
        <v>0.2</v>
      </c>
      <c r="J10" s="21">
        <f t="shared" si="0"/>
        <v>1360</v>
      </c>
      <c r="K10" s="22">
        <v>46090</v>
      </c>
      <c r="L10" s="22">
        <v>46163</v>
      </c>
      <c r="M10" s="22">
        <v>46198</v>
      </c>
      <c r="N10" s="22">
        <v>46165</v>
      </c>
      <c r="O10" s="18" t="s">
        <v>112</v>
      </c>
      <c r="P10" s="22">
        <v>46175</v>
      </c>
      <c r="Q10" s="23">
        <f t="shared" ca="1" si="1"/>
        <v>9</v>
      </c>
      <c r="R10" s="23">
        <f t="shared" ca="1" si="2"/>
        <v>11</v>
      </c>
      <c r="S10" s="24" t="str">
        <f t="shared" ca="1" si="3"/>
        <v>Geplant</v>
      </c>
      <c r="T10" s="24" t="str">
        <f ca="1">IF(A10="","",IF(G10&lt;&gt;"Offen","-",IF(AND(Q10&gt;=Einstellungen!$N$9,R10&gt;=Einstellungen!$N$10),"Hoch",IF(OR(Q10&gt;=Einstellungen!$N$9,R10&gt;=Einstellungen!$N$10),"Mittel","Normal"))))</f>
        <v>Normal</v>
      </c>
      <c r="U10" s="18" t="s">
        <v>113</v>
      </c>
      <c r="V10" s="25">
        <f>IFERROR(VLOOKUP(F10,Einstellungen!$A$7:$B$13,2,FALSE),"")</f>
        <v>2</v>
      </c>
    </row>
    <row r="11" spans="1:26" x14ac:dyDescent="0.25">
      <c r="A11" s="17" t="s">
        <v>114</v>
      </c>
      <c r="B11" s="18" t="s">
        <v>115</v>
      </c>
      <c r="C11" s="18" t="s">
        <v>116</v>
      </c>
      <c r="D11" s="18" t="s">
        <v>87</v>
      </c>
      <c r="E11" s="18" t="s">
        <v>35</v>
      </c>
      <c r="F11" s="18" t="s">
        <v>24</v>
      </c>
      <c r="G11" s="18" t="s">
        <v>88</v>
      </c>
      <c r="H11" s="19">
        <v>9200</v>
      </c>
      <c r="I11" s="20">
        <f>IFERROR(VLOOKUP(F11,Einstellungen!$A$7:$C$13,3,FALSE),0)</f>
        <v>0.1</v>
      </c>
      <c r="J11" s="21">
        <f t="shared" si="0"/>
        <v>920</v>
      </c>
      <c r="K11" s="22">
        <v>46114</v>
      </c>
      <c r="L11" s="22">
        <v>46173</v>
      </c>
      <c r="M11" s="22">
        <v>46208</v>
      </c>
      <c r="N11" s="22">
        <v>46173</v>
      </c>
      <c r="O11" s="18" t="s">
        <v>117</v>
      </c>
      <c r="P11" s="22">
        <v>46176</v>
      </c>
      <c r="Q11" s="23">
        <f t="shared" ca="1" si="1"/>
        <v>1</v>
      </c>
      <c r="R11" s="23">
        <f t="shared" ca="1" si="2"/>
        <v>1</v>
      </c>
      <c r="S11" s="24" t="str">
        <f t="shared" ca="1" si="3"/>
        <v>Geplant</v>
      </c>
      <c r="T11" s="24" t="str">
        <f ca="1">IF(A11="","",IF(G11&lt;&gt;"Offen","-",IF(AND(Q11&gt;=Einstellungen!$N$9,R11&gt;=Einstellungen!$N$10),"Hoch",IF(OR(Q11&gt;=Einstellungen!$N$9,R11&gt;=Einstellungen!$N$10),"Mittel","Normal"))))</f>
        <v>Normal</v>
      </c>
      <c r="U11" s="18" t="s">
        <v>118</v>
      </c>
      <c r="V11" s="25">
        <f>IFERROR(VLOOKUP(F11,Einstellungen!$A$7:$B$13,2,FALSE),"")</f>
        <v>1</v>
      </c>
    </row>
    <row r="12" spans="1:26" x14ac:dyDescent="0.25">
      <c r="A12" s="17" t="s">
        <v>119</v>
      </c>
      <c r="B12" s="18" t="s">
        <v>120</v>
      </c>
      <c r="C12" s="18" t="s">
        <v>121</v>
      </c>
      <c r="D12" s="18" t="s">
        <v>94</v>
      </c>
      <c r="E12" s="18" t="s">
        <v>25</v>
      </c>
      <c r="F12" s="18" t="s">
        <v>32</v>
      </c>
      <c r="G12" s="18" t="s">
        <v>122</v>
      </c>
      <c r="H12" s="19">
        <v>15800</v>
      </c>
      <c r="I12" s="20">
        <f>IFERROR(VLOOKUP(F12,Einstellungen!$A$7:$C$13,3,FALSE),0)</f>
        <v>0.65</v>
      </c>
      <c r="J12" s="21">
        <f t="shared" si="0"/>
        <v>0</v>
      </c>
      <c r="K12" s="22">
        <v>46037</v>
      </c>
      <c r="L12" s="22">
        <v>46123</v>
      </c>
      <c r="M12" s="22">
        <v>46162</v>
      </c>
      <c r="N12" s="22">
        <v>46150</v>
      </c>
      <c r="O12" s="18" t="s">
        <v>123</v>
      </c>
      <c r="P12" s="22">
        <v>46150</v>
      </c>
      <c r="Q12" s="23">
        <f t="shared" ca="1" si="1"/>
        <v>24</v>
      </c>
      <c r="R12" s="23">
        <f t="shared" ca="1" si="2"/>
        <v>51</v>
      </c>
      <c r="S12" s="24" t="str">
        <f t="shared" ca="1" si="3"/>
        <v>Abgeschlossen</v>
      </c>
      <c r="T12" s="24" t="str">
        <f>IF(A12="","",IF(G12&lt;&gt;"Offen","-",IF(AND(Q12&gt;=Einstellungen!$N$9,R12&gt;=Einstellungen!$N$10),"Hoch",IF(OR(Q12&gt;=Einstellungen!$N$9,R12&gt;=Einstellungen!$N$10),"Mittel","Normal"))))</f>
        <v>-</v>
      </c>
      <c r="U12" s="18" t="s">
        <v>124</v>
      </c>
      <c r="V12" s="25">
        <f>IFERROR(VLOOKUP(F12,Einstellungen!$A$7:$B$13,2,FALSE),"")</f>
        <v>5</v>
      </c>
    </row>
    <row r="13" spans="1:26" x14ac:dyDescent="0.25">
      <c r="A13" s="17" t="s">
        <v>125</v>
      </c>
      <c r="B13" s="18" t="s">
        <v>126</v>
      </c>
      <c r="C13" s="18" t="s">
        <v>127</v>
      </c>
      <c r="D13" s="18" t="s">
        <v>100</v>
      </c>
      <c r="E13" s="18" t="s">
        <v>38</v>
      </c>
      <c r="F13" s="18" t="s">
        <v>34</v>
      </c>
      <c r="G13" s="18" t="s">
        <v>88</v>
      </c>
      <c r="H13" s="19">
        <v>54000</v>
      </c>
      <c r="I13" s="20">
        <f>IFERROR(VLOOKUP(F13,Einstellungen!$A$7:$C$13,3,FALSE),0)</f>
        <v>0.8</v>
      </c>
      <c r="J13" s="21">
        <f t="shared" si="0"/>
        <v>43200</v>
      </c>
      <c r="K13" s="22">
        <v>46081</v>
      </c>
      <c r="L13" s="22">
        <v>46148</v>
      </c>
      <c r="M13" s="22">
        <v>46203</v>
      </c>
      <c r="N13" s="22">
        <v>46152</v>
      </c>
      <c r="O13" s="18" t="s">
        <v>128</v>
      </c>
      <c r="P13" s="22">
        <v>46174</v>
      </c>
      <c r="Q13" s="23">
        <f t="shared" ca="1" si="1"/>
        <v>22</v>
      </c>
      <c r="R13" s="23">
        <f t="shared" ca="1" si="2"/>
        <v>26</v>
      </c>
      <c r="S13" s="24" t="str">
        <f t="shared" ca="1" si="3"/>
        <v>Heute</v>
      </c>
      <c r="T13" s="24" t="str">
        <f ca="1">IF(A13="","",IF(G13&lt;&gt;"Offen","-",IF(AND(Q13&gt;=Einstellungen!$N$9,R13&gt;=Einstellungen!$N$10),"Hoch",IF(OR(Q13&gt;=Einstellungen!$N$9,R13&gt;=Einstellungen!$N$10),"Mittel","Normal"))))</f>
        <v>Hoch</v>
      </c>
      <c r="U13" s="18" t="s">
        <v>129</v>
      </c>
      <c r="V13" s="25">
        <f>IFERROR(VLOOKUP(F13,Einstellungen!$A$7:$B$13,2,FALSE),"")</f>
        <v>6</v>
      </c>
    </row>
    <row r="14" spans="1:26" x14ac:dyDescent="0.25">
      <c r="A14" s="17" t="s">
        <v>130</v>
      </c>
      <c r="B14" s="18" t="s">
        <v>131</v>
      </c>
      <c r="C14" s="18" t="s">
        <v>132</v>
      </c>
      <c r="D14" s="18" t="s">
        <v>106</v>
      </c>
      <c r="E14" s="18" t="s">
        <v>29</v>
      </c>
      <c r="F14" s="18" t="s">
        <v>32</v>
      </c>
      <c r="G14" s="18" t="s">
        <v>88</v>
      </c>
      <c r="H14" s="19">
        <v>22100</v>
      </c>
      <c r="I14" s="20">
        <f>IFERROR(VLOOKUP(F14,Einstellungen!$A$7:$C$13,3,FALSE),0)</f>
        <v>0.65</v>
      </c>
      <c r="J14" s="21">
        <f t="shared" si="0"/>
        <v>14365</v>
      </c>
      <c r="K14" s="22">
        <v>46095</v>
      </c>
      <c r="L14" s="22">
        <v>46149</v>
      </c>
      <c r="M14" s="22">
        <v>46218</v>
      </c>
      <c r="N14" s="22">
        <v>46151</v>
      </c>
      <c r="O14" s="18" t="s">
        <v>133</v>
      </c>
      <c r="P14" s="22">
        <v>46169</v>
      </c>
      <c r="Q14" s="23">
        <f t="shared" ca="1" si="1"/>
        <v>23</v>
      </c>
      <c r="R14" s="23">
        <f t="shared" ca="1" si="2"/>
        <v>25</v>
      </c>
      <c r="S14" s="24" t="str">
        <f t="shared" ca="1" si="3"/>
        <v>Überfällig</v>
      </c>
      <c r="T14" s="24" t="str">
        <f ca="1">IF(A14="","",IF(G14&lt;&gt;"Offen","-",IF(AND(Q14&gt;=Einstellungen!$N$9,R14&gt;=Einstellungen!$N$10),"Hoch",IF(OR(Q14&gt;=Einstellungen!$N$9,R14&gt;=Einstellungen!$N$10),"Mittel","Normal"))))</f>
        <v>Hoch</v>
      </c>
      <c r="U14" s="18" t="s">
        <v>134</v>
      </c>
      <c r="V14" s="25">
        <f>IFERROR(VLOOKUP(F14,Einstellungen!$A$7:$B$13,2,FALSE),"")</f>
        <v>5</v>
      </c>
    </row>
    <row r="15" spans="1:26" ht="30" x14ac:dyDescent="0.25">
      <c r="A15" s="17" t="s">
        <v>135</v>
      </c>
      <c r="B15" s="18" t="s">
        <v>136</v>
      </c>
      <c r="C15" s="18" t="s">
        <v>137</v>
      </c>
      <c r="D15" s="18" t="s">
        <v>81</v>
      </c>
      <c r="E15" s="18" t="s">
        <v>27</v>
      </c>
      <c r="F15" s="18" t="s">
        <v>36</v>
      </c>
      <c r="G15" s="18" t="s">
        <v>36</v>
      </c>
      <c r="H15" s="19">
        <v>9700</v>
      </c>
      <c r="I15" s="20">
        <f>IFERROR(VLOOKUP(F15,Einstellungen!$A$7:$C$13,3,FALSE),0)</f>
        <v>1</v>
      </c>
      <c r="J15" s="21">
        <f t="shared" si="0"/>
        <v>9700</v>
      </c>
      <c r="K15" s="22">
        <v>46059</v>
      </c>
      <c r="L15" s="22">
        <v>46114</v>
      </c>
      <c r="M15" s="22">
        <v>46142</v>
      </c>
      <c r="N15" s="22">
        <v>46138</v>
      </c>
      <c r="O15" s="18" t="s">
        <v>138</v>
      </c>
      <c r="P15" s="22">
        <v>46144</v>
      </c>
      <c r="Q15" s="23">
        <f t="shared" ca="1" si="1"/>
        <v>36</v>
      </c>
      <c r="R15" s="23">
        <f t="shared" ca="1" si="2"/>
        <v>60</v>
      </c>
      <c r="S15" s="24" t="str">
        <f t="shared" ca="1" si="3"/>
        <v>Abgeschlossen</v>
      </c>
      <c r="T15" s="24" t="str">
        <f>IF(A15="","",IF(G15&lt;&gt;"Offen","-",IF(AND(Q15&gt;=Einstellungen!$N$9,R15&gt;=Einstellungen!$N$10),"Hoch",IF(OR(Q15&gt;=Einstellungen!$N$9,R15&gt;=Einstellungen!$N$10),"Mittel","Normal"))))</f>
        <v>-</v>
      </c>
      <c r="U15" s="18" t="s">
        <v>139</v>
      </c>
      <c r="V15" s="25">
        <f>IFERROR(VLOOKUP(F15,Einstellungen!$A$7:$B$13,2,FALSE),"")</f>
        <v>7</v>
      </c>
    </row>
    <row r="16" spans="1:26" x14ac:dyDescent="0.25">
      <c r="A16" s="17" t="s">
        <v>140</v>
      </c>
      <c r="B16" s="18" t="s">
        <v>141</v>
      </c>
      <c r="C16" s="18" t="s">
        <v>142</v>
      </c>
      <c r="D16" s="18" t="s">
        <v>87</v>
      </c>
      <c r="E16" s="18" t="s">
        <v>25</v>
      </c>
      <c r="F16" s="18" t="s">
        <v>30</v>
      </c>
      <c r="G16" s="18" t="s">
        <v>88</v>
      </c>
      <c r="H16" s="19">
        <v>30500</v>
      </c>
      <c r="I16" s="20">
        <f>IFERROR(VLOOKUP(F16,Einstellungen!$A$7:$C$13,3,FALSE),0)</f>
        <v>0.5</v>
      </c>
      <c r="J16" s="21">
        <f t="shared" si="0"/>
        <v>15250</v>
      </c>
      <c r="K16" s="22">
        <v>46124</v>
      </c>
      <c r="L16" s="22">
        <v>46144</v>
      </c>
      <c r="M16" s="22">
        <v>46228</v>
      </c>
      <c r="N16" s="22">
        <v>46153</v>
      </c>
      <c r="O16" s="18" t="s">
        <v>143</v>
      </c>
      <c r="P16" s="22">
        <v>46177</v>
      </c>
      <c r="Q16" s="23">
        <f t="shared" ca="1" si="1"/>
        <v>21</v>
      </c>
      <c r="R16" s="23">
        <f t="shared" ca="1" si="2"/>
        <v>30</v>
      </c>
      <c r="S16" s="24" t="str">
        <f t="shared" ca="1" si="3"/>
        <v>Geplant</v>
      </c>
      <c r="T16" s="24" t="str">
        <f ca="1">IF(A16="","",IF(G16&lt;&gt;"Offen","-",IF(AND(Q16&gt;=Einstellungen!$N$9,R16&gt;=Einstellungen!$N$10),"Hoch",IF(OR(Q16&gt;=Einstellungen!$N$9,R16&gt;=Einstellungen!$N$10),"Mittel","Normal"))))</f>
        <v>Hoch</v>
      </c>
      <c r="U16" s="18" t="s">
        <v>144</v>
      </c>
      <c r="V16" s="25">
        <f>IFERROR(VLOOKUP(F16,Einstellungen!$A$7:$B$13,2,FALSE),"")</f>
        <v>4</v>
      </c>
    </row>
    <row r="17" spans="1:22" x14ac:dyDescent="0.25">
      <c r="A17" s="17" t="s">
        <v>145</v>
      </c>
      <c r="B17" s="18" t="s">
        <v>146</v>
      </c>
      <c r="C17" s="18" t="s">
        <v>147</v>
      </c>
      <c r="D17" s="18" t="s">
        <v>94</v>
      </c>
      <c r="E17" s="18" t="s">
        <v>33</v>
      </c>
      <c r="F17" s="18" t="s">
        <v>26</v>
      </c>
      <c r="G17" s="18" t="s">
        <v>148</v>
      </c>
      <c r="H17" s="19">
        <v>7400</v>
      </c>
      <c r="I17" s="20">
        <f>IFERROR(VLOOKUP(F17,Einstellungen!$A$7:$C$13,3,FALSE),0)</f>
        <v>0.2</v>
      </c>
      <c r="J17" s="21">
        <f t="shared" si="0"/>
        <v>0</v>
      </c>
      <c r="K17" s="22">
        <v>46100</v>
      </c>
      <c r="L17" s="22">
        <v>46113</v>
      </c>
      <c r="M17" s="22">
        <v>46175</v>
      </c>
      <c r="N17" s="22">
        <v>46117</v>
      </c>
      <c r="O17" s="18" t="s">
        <v>123</v>
      </c>
      <c r="P17" s="22">
        <v>46117</v>
      </c>
      <c r="Q17" s="23">
        <f t="shared" ca="1" si="1"/>
        <v>57</v>
      </c>
      <c r="R17" s="23">
        <f t="shared" ca="1" si="2"/>
        <v>61</v>
      </c>
      <c r="S17" s="24" t="str">
        <f t="shared" ca="1" si="3"/>
        <v>Abgeschlossen</v>
      </c>
      <c r="T17" s="24" t="str">
        <f>IF(A17="","",IF(G17&lt;&gt;"Offen","-",IF(AND(Q17&gt;=Einstellungen!$N$9,R17&gt;=Einstellungen!$N$10),"Hoch",IF(OR(Q17&gt;=Einstellungen!$N$9,R17&gt;=Einstellungen!$N$10),"Mittel","Normal"))))</f>
        <v>-</v>
      </c>
      <c r="U17" s="18" t="s">
        <v>149</v>
      </c>
      <c r="V17" s="25">
        <f>IFERROR(VLOOKUP(F17,Einstellungen!$A$7:$B$13,2,FALSE),"")</f>
        <v>2</v>
      </c>
    </row>
    <row r="18" spans="1:22" x14ac:dyDescent="0.25">
      <c r="A18" s="17" t="s">
        <v>150</v>
      </c>
      <c r="B18" s="18" t="s">
        <v>151</v>
      </c>
      <c r="C18" s="18" t="s">
        <v>152</v>
      </c>
      <c r="D18" s="18" t="s">
        <v>100</v>
      </c>
      <c r="E18" s="18" t="s">
        <v>31</v>
      </c>
      <c r="F18" s="18" t="s">
        <v>28</v>
      </c>
      <c r="G18" s="18" t="s">
        <v>88</v>
      </c>
      <c r="H18" s="19">
        <v>18300</v>
      </c>
      <c r="I18" s="20">
        <f>IFERROR(VLOOKUP(F18,Einstellungen!$A$7:$C$13,3,FALSE),0)</f>
        <v>0.35</v>
      </c>
      <c r="J18" s="21">
        <f t="shared" si="0"/>
        <v>6405</v>
      </c>
      <c r="K18" s="22">
        <v>46145</v>
      </c>
      <c r="L18" s="22">
        <v>46166</v>
      </c>
      <c r="M18" s="22">
        <v>46233</v>
      </c>
      <c r="N18" s="22">
        <v>46166</v>
      </c>
      <c r="O18" s="18" t="s">
        <v>153</v>
      </c>
      <c r="P18" s="22">
        <v>46180</v>
      </c>
      <c r="Q18" s="23">
        <f t="shared" ca="1" si="1"/>
        <v>8</v>
      </c>
      <c r="R18" s="23">
        <f t="shared" ca="1" si="2"/>
        <v>8</v>
      </c>
      <c r="S18" s="24" t="str">
        <f t="shared" ca="1" si="3"/>
        <v>Geplant</v>
      </c>
      <c r="T18" s="24" t="str">
        <f ca="1">IF(A18="","",IF(G18&lt;&gt;"Offen","-",IF(AND(Q18&gt;=Einstellungen!$N$9,R18&gt;=Einstellungen!$N$10),"Hoch",IF(OR(Q18&gt;=Einstellungen!$N$9,R18&gt;=Einstellungen!$N$10),"Mittel","Normal"))))</f>
        <v>Normal</v>
      </c>
      <c r="U18" s="18" t="s">
        <v>154</v>
      </c>
      <c r="V18" s="25">
        <f>IFERROR(VLOOKUP(F18,Einstellungen!$A$7:$B$13,2,FALSE),"")</f>
        <v>3</v>
      </c>
    </row>
    <row r="19" spans="1:22" x14ac:dyDescent="0.25">
      <c r="A19" s="17" t="s">
        <v>155</v>
      </c>
      <c r="B19" s="18" t="s">
        <v>156</v>
      </c>
      <c r="C19" s="18" t="s">
        <v>157</v>
      </c>
      <c r="D19" s="18" t="s">
        <v>106</v>
      </c>
      <c r="E19" s="18" t="s">
        <v>37</v>
      </c>
      <c r="F19" s="18" t="s">
        <v>24</v>
      </c>
      <c r="G19" s="18" t="s">
        <v>88</v>
      </c>
      <c r="H19" s="19">
        <v>11200</v>
      </c>
      <c r="I19" s="20">
        <f>IFERROR(VLOOKUP(F19,Einstellungen!$A$7:$C$13,3,FALSE),0)</f>
        <v>0.1</v>
      </c>
      <c r="J19" s="21">
        <f t="shared" si="0"/>
        <v>1120</v>
      </c>
      <c r="K19" s="22">
        <v>46160</v>
      </c>
      <c r="L19" s="22">
        <v>46171</v>
      </c>
      <c r="M19" s="22">
        <v>46244</v>
      </c>
      <c r="N19" s="22">
        <v>46171</v>
      </c>
      <c r="O19" s="18" t="s">
        <v>158</v>
      </c>
      <c r="P19" s="22">
        <v>46178</v>
      </c>
      <c r="Q19" s="23">
        <f t="shared" ca="1" si="1"/>
        <v>3</v>
      </c>
      <c r="R19" s="23">
        <f t="shared" ca="1" si="2"/>
        <v>3</v>
      </c>
      <c r="S19" s="24" t="str">
        <f t="shared" ca="1" si="3"/>
        <v>Geplant</v>
      </c>
      <c r="T19" s="24" t="str">
        <f ca="1">IF(A19="","",IF(G19&lt;&gt;"Offen","-",IF(AND(Q19&gt;=Einstellungen!$N$9,R19&gt;=Einstellungen!$N$10),"Hoch",IF(OR(Q19&gt;=Einstellungen!$N$9,R19&gt;=Einstellungen!$N$10),"Mittel","Normal"))))</f>
        <v>Normal</v>
      </c>
      <c r="U19" s="18" t="s">
        <v>159</v>
      </c>
      <c r="V19" s="25">
        <f>IFERROR(VLOOKUP(F19,Einstellungen!$A$7:$B$13,2,FALSE),"")</f>
        <v>1</v>
      </c>
    </row>
    <row r="20" spans="1:22" x14ac:dyDescent="0.25">
      <c r="A20" s="17" t="s">
        <v>160</v>
      </c>
      <c r="B20" s="18" t="s">
        <v>161</v>
      </c>
      <c r="C20" s="18" t="s">
        <v>162</v>
      </c>
      <c r="D20" s="18" t="s">
        <v>81</v>
      </c>
      <c r="E20" s="18" t="s">
        <v>38</v>
      </c>
      <c r="F20" s="18" t="s">
        <v>32</v>
      </c>
      <c r="G20" s="18" t="s">
        <v>88</v>
      </c>
      <c r="H20" s="19">
        <v>39500</v>
      </c>
      <c r="I20" s="20">
        <f>IFERROR(VLOOKUP(F20,Einstellungen!$A$7:$C$13,3,FALSE),0)</f>
        <v>0.65</v>
      </c>
      <c r="J20" s="21">
        <f t="shared" si="0"/>
        <v>25675</v>
      </c>
      <c r="K20" s="22">
        <v>46052</v>
      </c>
      <c r="L20" s="22">
        <v>46137</v>
      </c>
      <c r="M20" s="22">
        <v>46191</v>
      </c>
      <c r="N20" s="22">
        <v>46140</v>
      </c>
      <c r="O20" s="18" t="s">
        <v>163</v>
      </c>
      <c r="P20" s="22">
        <v>46162</v>
      </c>
      <c r="Q20" s="23">
        <f t="shared" ca="1" si="1"/>
        <v>34</v>
      </c>
      <c r="R20" s="23">
        <f t="shared" ca="1" si="2"/>
        <v>37</v>
      </c>
      <c r="S20" s="24" t="str">
        <f t="shared" ca="1" si="3"/>
        <v>Überfällig</v>
      </c>
      <c r="T20" s="24" t="str">
        <f ca="1">IF(A20="","",IF(G20&lt;&gt;"Offen","-",IF(AND(Q20&gt;=Einstellungen!$N$9,R20&gt;=Einstellungen!$N$10),"Hoch",IF(OR(Q20&gt;=Einstellungen!$N$9,R20&gt;=Einstellungen!$N$10),"Mittel","Normal"))))</f>
        <v>Hoch</v>
      </c>
      <c r="U20" s="18" t="s">
        <v>164</v>
      </c>
      <c r="V20" s="25">
        <f>IFERROR(VLOOKUP(F20,Einstellungen!$A$7:$B$13,2,FALSE),"")</f>
        <v>5</v>
      </c>
    </row>
    <row r="21" spans="1:22" x14ac:dyDescent="0.25">
      <c r="A21" s="17" t="s">
        <v>165</v>
      </c>
      <c r="B21" s="18" t="s">
        <v>166</v>
      </c>
      <c r="C21" s="18" t="s">
        <v>167</v>
      </c>
      <c r="D21" s="18" t="s">
        <v>87</v>
      </c>
      <c r="E21" s="18" t="s">
        <v>35</v>
      </c>
      <c r="F21" s="18" t="s">
        <v>26</v>
      </c>
      <c r="G21" s="18" t="s">
        <v>88</v>
      </c>
      <c r="H21" s="19">
        <v>5100</v>
      </c>
      <c r="I21" s="20">
        <f>IFERROR(VLOOKUP(F21,Einstellungen!$A$7:$C$13,3,FALSE),0)</f>
        <v>0.2</v>
      </c>
      <c r="J21" s="21">
        <f t="shared" si="0"/>
        <v>1020</v>
      </c>
      <c r="K21" s="22">
        <v>46162</v>
      </c>
      <c r="L21" s="22">
        <v>46170</v>
      </c>
      <c r="M21" s="22">
        <v>46221</v>
      </c>
      <c r="N21" s="22">
        <v>46170</v>
      </c>
      <c r="O21" s="18" t="s">
        <v>168</v>
      </c>
      <c r="P21" s="22">
        <v>46177</v>
      </c>
      <c r="Q21" s="23">
        <f t="shared" ca="1" si="1"/>
        <v>4</v>
      </c>
      <c r="R21" s="23">
        <f t="shared" ca="1" si="2"/>
        <v>4</v>
      </c>
      <c r="S21" s="24" t="str">
        <f t="shared" ca="1" si="3"/>
        <v>Geplant</v>
      </c>
      <c r="T21" s="24" t="str">
        <f ca="1">IF(A21="","",IF(G21&lt;&gt;"Offen","-",IF(AND(Q21&gt;=Einstellungen!$N$9,R21&gt;=Einstellungen!$N$10),"Hoch",IF(OR(Q21&gt;=Einstellungen!$N$9,R21&gt;=Einstellungen!$N$10),"Mittel","Normal"))))</f>
        <v>Normal</v>
      </c>
      <c r="U21" s="18" t="s">
        <v>169</v>
      </c>
      <c r="V21" s="25">
        <f>IFERROR(VLOOKUP(F21,Einstellungen!$A$7:$B$13,2,FALSE),"")</f>
        <v>2</v>
      </c>
    </row>
    <row r="22" spans="1:22" x14ac:dyDescent="0.25">
      <c r="A22" s="17" t="s">
        <v>170</v>
      </c>
      <c r="B22" s="18" t="s">
        <v>171</v>
      </c>
      <c r="C22" s="18" t="s">
        <v>172</v>
      </c>
      <c r="D22" s="18" t="s">
        <v>94</v>
      </c>
      <c r="E22" s="18" t="s">
        <v>25</v>
      </c>
      <c r="F22" s="18" t="s">
        <v>30</v>
      </c>
      <c r="G22" s="18" t="s">
        <v>88</v>
      </c>
      <c r="H22" s="19">
        <v>48800</v>
      </c>
      <c r="I22" s="20">
        <f>IFERROR(VLOOKUP(F22,Einstellungen!$A$7:$C$13,3,FALSE),0)</f>
        <v>0.5</v>
      </c>
      <c r="J22" s="21">
        <f t="shared" si="0"/>
        <v>24400</v>
      </c>
      <c r="K22" s="22">
        <v>46132</v>
      </c>
      <c r="L22" s="22">
        <v>46154</v>
      </c>
      <c r="M22" s="22">
        <v>46254</v>
      </c>
      <c r="N22" s="22">
        <v>46155</v>
      </c>
      <c r="O22" s="18" t="s">
        <v>173</v>
      </c>
      <c r="P22" s="22">
        <v>46183</v>
      </c>
      <c r="Q22" s="23">
        <f t="shared" ca="1" si="1"/>
        <v>19</v>
      </c>
      <c r="R22" s="23">
        <f t="shared" ca="1" si="2"/>
        <v>20</v>
      </c>
      <c r="S22" s="24" t="str">
        <f t="shared" ca="1" si="3"/>
        <v>Geplant</v>
      </c>
      <c r="T22" s="24" t="str">
        <f ca="1">IF(A22="","",IF(G22&lt;&gt;"Offen","-",IF(AND(Q22&gt;=Einstellungen!$N$9,R22&gt;=Einstellungen!$N$10),"Hoch",IF(OR(Q22&gt;=Einstellungen!$N$9,R22&gt;=Einstellungen!$N$10),"Mittel","Normal"))))</f>
        <v>Mittel</v>
      </c>
      <c r="U22" s="18" t="s">
        <v>174</v>
      </c>
      <c r="V22" s="25">
        <f>IFERROR(VLOOKUP(F22,Einstellungen!$A$7:$B$13,2,FALSE),"")</f>
        <v>4</v>
      </c>
    </row>
    <row r="23" spans="1:22" x14ac:dyDescent="0.25">
      <c r="A23" s="17"/>
      <c r="B23" s="18"/>
      <c r="C23" s="18"/>
      <c r="D23" s="18"/>
      <c r="E23" s="18"/>
      <c r="F23" s="18"/>
      <c r="G23" s="18"/>
      <c r="H23" s="19"/>
      <c r="I23" s="20">
        <f>IFERROR(VLOOKUP(F23,Einstellungen!$A$7:$C$13,3,FALSE),0)</f>
        <v>0</v>
      </c>
      <c r="J23" s="21" t="str">
        <f t="shared" si="0"/>
        <v/>
      </c>
      <c r="K23" s="22"/>
      <c r="L23" s="22"/>
      <c r="M23" s="22"/>
      <c r="N23" s="22"/>
      <c r="O23" s="18"/>
      <c r="P23" s="22"/>
      <c r="Q23" s="23" t="str">
        <f t="shared" ca="1" si="1"/>
        <v/>
      </c>
      <c r="R23" s="23" t="str">
        <f t="shared" ca="1" si="2"/>
        <v/>
      </c>
      <c r="S23" s="24" t="str">
        <f t="shared" ca="1" si="3"/>
        <v/>
      </c>
      <c r="T23" s="24" t="str">
        <f>IF(A23="","",IF(G23&lt;&gt;"Offen","-",IF(AND(Q23&gt;=Einstellungen!$N$9,R23&gt;=Einstellungen!$N$10),"Hoch",IF(OR(Q23&gt;=Einstellungen!$N$9,R23&gt;=Einstellungen!$N$10),"Mittel","Normal"))))</f>
        <v/>
      </c>
      <c r="U23" s="18"/>
      <c r="V23" s="25" t="str">
        <f>IFERROR(VLOOKUP(F23,Einstellungen!$A$7:$B$13,2,FALSE),"")</f>
        <v/>
      </c>
    </row>
    <row r="24" spans="1:22" x14ac:dyDescent="0.25">
      <c r="A24" s="17"/>
      <c r="B24" s="18"/>
      <c r="C24" s="18"/>
      <c r="D24" s="18"/>
      <c r="E24" s="18"/>
      <c r="F24" s="18"/>
      <c r="G24" s="18"/>
      <c r="H24" s="19"/>
      <c r="I24" s="20">
        <f>IFERROR(VLOOKUP(F24,Einstellungen!$A$7:$C$13,3,FALSE),0)</f>
        <v>0</v>
      </c>
      <c r="J24" s="21" t="str">
        <f t="shared" si="0"/>
        <v/>
      </c>
      <c r="K24" s="22"/>
      <c r="L24" s="22"/>
      <c r="M24" s="22"/>
      <c r="N24" s="22"/>
      <c r="O24" s="18"/>
      <c r="P24" s="22"/>
      <c r="Q24" s="23" t="str">
        <f t="shared" ca="1" si="1"/>
        <v/>
      </c>
      <c r="R24" s="23" t="str">
        <f t="shared" ca="1" si="2"/>
        <v/>
      </c>
      <c r="S24" s="24" t="str">
        <f t="shared" ca="1" si="3"/>
        <v/>
      </c>
      <c r="T24" s="24" t="str">
        <f>IF(A24="","",IF(G24&lt;&gt;"Offen","-",IF(AND(Q24&gt;=Einstellungen!$N$9,R24&gt;=Einstellungen!$N$10),"Hoch",IF(OR(Q24&gt;=Einstellungen!$N$9,R24&gt;=Einstellungen!$N$10),"Mittel","Normal"))))</f>
        <v/>
      </c>
      <c r="U24" s="18"/>
      <c r="V24" s="25" t="str">
        <f>IFERROR(VLOOKUP(F24,Einstellungen!$A$7:$B$13,2,FALSE),"")</f>
        <v/>
      </c>
    </row>
    <row r="25" spans="1:22" x14ac:dyDescent="0.25">
      <c r="A25" s="17"/>
      <c r="B25" s="18"/>
      <c r="C25" s="18"/>
      <c r="D25" s="18"/>
      <c r="E25" s="18"/>
      <c r="F25" s="18"/>
      <c r="G25" s="18"/>
      <c r="H25" s="19"/>
      <c r="I25" s="20">
        <f>IFERROR(VLOOKUP(F25,Einstellungen!$A$7:$C$13,3,FALSE),0)</f>
        <v>0</v>
      </c>
      <c r="J25" s="21" t="str">
        <f t="shared" si="0"/>
        <v/>
      </c>
      <c r="K25" s="22"/>
      <c r="L25" s="22"/>
      <c r="M25" s="22"/>
      <c r="N25" s="22"/>
      <c r="O25" s="18"/>
      <c r="P25" s="22"/>
      <c r="Q25" s="23" t="str">
        <f t="shared" ca="1" si="1"/>
        <v/>
      </c>
      <c r="R25" s="23" t="str">
        <f t="shared" ca="1" si="2"/>
        <v/>
      </c>
      <c r="S25" s="24" t="str">
        <f t="shared" ca="1" si="3"/>
        <v/>
      </c>
      <c r="T25" s="24" t="str">
        <f>IF(A25="","",IF(G25&lt;&gt;"Offen","-",IF(AND(Q25&gt;=Einstellungen!$N$9,R25&gt;=Einstellungen!$N$10),"Hoch",IF(OR(Q25&gt;=Einstellungen!$N$9,R25&gt;=Einstellungen!$N$10),"Mittel","Normal"))))</f>
        <v/>
      </c>
      <c r="U25" s="18"/>
      <c r="V25" s="25" t="str">
        <f>IFERROR(VLOOKUP(F25,Einstellungen!$A$7:$B$13,2,FALSE),"")</f>
        <v/>
      </c>
    </row>
    <row r="26" spans="1:22" x14ac:dyDescent="0.25">
      <c r="A26" s="17"/>
      <c r="B26" s="18"/>
      <c r="C26" s="18"/>
      <c r="D26" s="18"/>
      <c r="E26" s="18"/>
      <c r="F26" s="18"/>
      <c r="G26" s="18"/>
      <c r="H26" s="19"/>
      <c r="I26" s="20">
        <f>IFERROR(VLOOKUP(F26,Einstellungen!$A$7:$C$13,3,FALSE),0)</f>
        <v>0</v>
      </c>
      <c r="J26" s="21" t="str">
        <f t="shared" si="0"/>
        <v/>
      </c>
      <c r="K26" s="22"/>
      <c r="L26" s="22"/>
      <c r="M26" s="22"/>
      <c r="N26" s="22"/>
      <c r="O26" s="18"/>
      <c r="P26" s="22"/>
      <c r="Q26" s="23" t="str">
        <f t="shared" ca="1" si="1"/>
        <v/>
      </c>
      <c r="R26" s="23" t="str">
        <f t="shared" ca="1" si="2"/>
        <v/>
      </c>
      <c r="S26" s="24" t="str">
        <f t="shared" ca="1" si="3"/>
        <v/>
      </c>
      <c r="T26" s="24" t="str">
        <f>IF(A26="","",IF(G26&lt;&gt;"Offen","-",IF(AND(Q26&gt;=Einstellungen!$N$9,R26&gt;=Einstellungen!$N$10),"Hoch",IF(OR(Q26&gt;=Einstellungen!$N$9,R26&gt;=Einstellungen!$N$10),"Mittel","Normal"))))</f>
        <v/>
      </c>
      <c r="U26" s="18"/>
      <c r="V26" s="25" t="str">
        <f>IFERROR(VLOOKUP(F26,Einstellungen!$A$7:$B$13,2,FALSE),"")</f>
        <v/>
      </c>
    </row>
    <row r="27" spans="1:22" x14ac:dyDescent="0.25">
      <c r="A27" s="17"/>
      <c r="B27" s="18"/>
      <c r="C27" s="18"/>
      <c r="D27" s="18"/>
      <c r="E27" s="18"/>
      <c r="F27" s="18"/>
      <c r="G27" s="18"/>
      <c r="H27" s="19"/>
      <c r="I27" s="20">
        <f>IFERROR(VLOOKUP(F27,Einstellungen!$A$7:$C$13,3,FALSE),0)</f>
        <v>0</v>
      </c>
      <c r="J27" s="21" t="str">
        <f t="shared" si="0"/>
        <v/>
      </c>
      <c r="K27" s="22"/>
      <c r="L27" s="22"/>
      <c r="M27" s="22"/>
      <c r="N27" s="22"/>
      <c r="O27" s="18"/>
      <c r="P27" s="22"/>
      <c r="Q27" s="23" t="str">
        <f t="shared" ca="1" si="1"/>
        <v/>
      </c>
      <c r="R27" s="23" t="str">
        <f t="shared" ca="1" si="2"/>
        <v/>
      </c>
      <c r="S27" s="24" t="str">
        <f t="shared" ca="1" si="3"/>
        <v/>
      </c>
      <c r="T27" s="24" t="str">
        <f>IF(A27="","",IF(G27&lt;&gt;"Offen","-",IF(AND(Q27&gt;=Einstellungen!$N$9,R27&gt;=Einstellungen!$N$10),"Hoch",IF(OR(Q27&gt;=Einstellungen!$N$9,R27&gt;=Einstellungen!$N$10),"Mittel","Normal"))))</f>
        <v/>
      </c>
      <c r="U27" s="18"/>
      <c r="V27" s="25" t="str">
        <f>IFERROR(VLOOKUP(F27,Einstellungen!$A$7:$B$13,2,FALSE),"")</f>
        <v/>
      </c>
    </row>
    <row r="28" spans="1:22" x14ac:dyDescent="0.25">
      <c r="A28" s="17"/>
      <c r="B28" s="18"/>
      <c r="C28" s="18"/>
      <c r="D28" s="18"/>
      <c r="E28" s="18"/>
      <c r="F28" s="18"/>
      <c r="G28" s="18"/>
      <c r="H28" s="19"/>
      <c r="I28" s="20">
        <f>IFERROR(VLOOKUP(F28,Einstellungen!$A$7:$C$13,3,FALSE),0)</f>
        <v>0</v>
      </c>
      <c r="J28" s="21" t="str">
        <f t="shared" si="0"/>
        <v/>
      </c>
      <c r="K28" s="22"/>
      <c r="L28" s="22"/>
      <c r="M28" s="22"/>
      <c r="N28" s="22"/>
      <c r="O28" s="18"/>
      <c r="P28" s="22"/>
      <c r="Q28" s="23" t="str">
        <f t="shared" ca="1" si="1"/>
        <v/>
      </c>
      <c r="R28" s="23" t="str">
        <f t="shared" ca="1" si="2"/>
        <v/>
      </c>
      <c r="S28" s="24" t="str">
        <f t="shared" ca="1" si="3"/>
        <v/>
      </c>
      <c r="T28" s="24" t="str">
        <f>IF(A28="","",IF(G28&lt;&gt;"Offen","-",IF(AND(Q28&gt;=Einstellungen!$N$9,R28&gt;=Einstellungen!$N$10),"Hoch",IF(OR(Q28&gt;=Einstellungen!$N$9,R28&gt;=Einstellungen!$N$10),"Mittel","Normal"))))</f>
        <v/>
      </c>
      <c r="U28" s="18"/>
      <c r="V28" s="25" t="str">
        <f>IFERROR(VLOOKUP(F28,Einstellungen!$A$7:$B$13,2,FALSE),"")</f>
        <v/>
      </c>
    </row>
    <row r="29" spans="1:22" x14ac:dyDescent="0.25">
      <c r="A29" s="17"/>
      <c r="B29" s="18"/>
      <c r="C29" s="18"/>
      <c r="D29" s="18"/>
      <c r="E29" s="18"/>
      <c r="F29" s="18"/>
      <c r="G29" s="18"/>
      <c r="H29" s="19"/>
      <c r="I29" s="20">
        <f>IFERROR(VLOOKUP(F29,Einstellungen!$A$7:$C$13,3,FALSE),0)</f>
        <v>0</v>
      </c>
      <c r="J29" s="21" t="str">
        <f t="shared" si="0"/>
        <v/>
      </c>
      <c r="K29" s="22"/>
      <c r="L29" s="22"/>
      <c r="M29" s="22"/>
      <c r="N29" s="22"/>
      <c r="O29" s="18"/>
      <c r="P29" s="22"/>
      <c r="Q29" s="23" t="str">
        <f t="shared" ca="1" si="1"/>
        <v/>
      </c>
      <c r="R29" s="23" t="str">
        <f t="shared" ca="1" si="2"/>
        <v/>
      </c>
      <c r="S29" s="24" t="str">
        <f t="shared" ca="1" si="3"/>
        <v/>
      </c>
      <c r="T29" s="24" t="str">
        <f>IF(A29="","",IF(G29&lt;&gt;"Offen","-",IF(AND(Q29&gt;=Einstellungen!$N$9,R29&gt;=Einstellungen!$N$10),"Hoch",IF(OR(Q29&gt;=Einstellungen!$N$9,R29&gt;=Einstellungen!$N$10),"Mittel","Normal"))))</f>
        <v/>
      </c>
      <c r="U29" s="18"/>
      <c r="V29" s="25" t="str">
        <f>IFERROR(VLOOKUP(F29,Einstellungen!$A$7:$B$13,2,FALSE),"")</f>
        <v/>
      </c>
    </row>
    <row r="30" spans="1:22" x14ac:dyDescent="0.25">
      <c r="A30" s="17"/>
      <c r="B30" s="18"/>
      <c r="C30" s="18"/>
      <c r="D30" s="18"/>
      <c r="E30" s="18"/>
      <c r="F30" s="18"/>
      <c r="G30" s="18"/>
      <c r="H30" s="19"/>
      <c r="I30" s="20">
        <f>IFERROR(VLOOKUP(F30,Einstellungen!$A$7:$C$13,3,FALSE),0)</f>
        <v>0</v>
      </c>
      <c r="J30" s="21" t="str">
        <f t="shared" si="0"/>
        <v/>
      </c>
      <c r="K30" s="22"/>
      <c r="L30" s="22"/>
      <c r="M30" s="22"/>
      <c r="N30" s="22"/>
      <c r="O30" s="18"/>
      <c r="P30" s="22"/>
      <c r="Q30" s="23" t="str">
        <f t="shared" ca="1" si="1"/>
        <v/>
      </c>
      <c r="R30" s="23" t="str">
        <f t="shared" ca="1" si="2"/>
        <v/>
      </c>
      <c r="S30" s="24" t="str">
        <f t="shared" ca="1" si="3"/>
        <v/>
      </c>
      <c r="T30" s="24" t="str">
        <f>IF(A30="","",IF(G30&lt;&gt;"Offen","-",IF(AND(Q30&gt;=Einstellungen!$N$9,R30&gt;=Einstellungen!$N$10),"Hoch",IF(OR(Q30&gt;=Einstellungen!$N$9,R30&gt;=Einstellungen!$N$10),"Mittel","Normal"))))</f>
        <v/>
      </c>
      <c r="U30" s="18"/>
      <c r="V30" s="25" t="str">
        <f>IFERROR(VLOOKUP(F30,Einstellungen!$A$7:$B$13,2,FALSE),"")</f>
        <v/>
      </c>
    </row>
    <row r="31" spans="1:22" x14ac:dyDescent="0.25">
      <c r="A31" s="17"/>
      <c r="B31" s="18"/>
      <c r="C31" s="18"/>
      <c r="D31" s="18"/>
      <c r="E31" s="18"/>
      <c r="F31" s="18"/>
      <c r="G31" s="18"/>
      <c r="H31" s="19"/>
      <c r="I31" s="20">
        <f>IFERROR(VLOOKUP(F31,Einstellungen!$A$7:$C$13,3,FALSE),0)</f>
        <v>0</v>
      </c>
      <c r="J31" s="21" t="str">
        <f t="shared" si="0"/>
        <v/>
      </c>
      <c r="K31" s="22"/>
      <c r="L31" s="22"/>
      <c r="M31" s="22"/>
      <c r="N31" s="22"/>
      <c r="O31" s="18"/>
      <c r="P31" s="22"/>
      <c r="Q31" s="23" t="str">
        <f t="shared" ca="1" si="1"/>
        <v/>
      </c>
      <c r="R31" s="23" t="str">
        <f t="shared" ca="1" si="2"/>
        <v/>
      </c>
      <c r="S31" s="24" t="str">
        <f t="shared" ca="1" si="3"/>
        <v/>
      </c>
      <c r="T31" s="24" t="str">
        <f>IF(A31="","",IF(G31&lt;&gt;"Offen","-",IF(AND(Q31&gt;=Einstellungen!$N$9,R31&gt;=Einstellungen!$N$10),"Hoch",IF(OR(Q31&gt;=Einstellungen!$N$9,R31&gt;=Einstellungen!$N$10),"Mittel","Normal"))))</f>
        <v/>
      </c>
      <c r="U31" s="18"/>
      <c r="V31" s="25" t="str">
        <f>IFERROR(VLOOKUP(F31,Einstellungen!$A$7:$B$13,2,FALSE),"")</f>
        <v/>
      </c>
    </row>
    <row r="32" spans="1:22" x14ac:dyDescent="0.25">
      <c r="A32" s="17"/>
      <c r="B32" s="18"/>
      <c r="C32" s="18"/>
      <c r="D32" s="18"/>
      <c r="E32" s="18"/>
      <c r="F32" s="18"/>
      <c r="G32" s="18"/>
      <c r="H32" s="19"/>
      <c r="I32" s="20">
        <f>IFERROR(VLOOKUP(F32,Einstellungen!$A$7:$C$13,3,FALSE),0)</f>
        <v>0</v>
      </c>
      <c r="J32" s="21" t="str">
        <f t="shared" si="0"/>
        <v/>
      </c>
      <c r="K32" s="22"/>
      <c r="L32" s="22"/>
      <c r="M32" s="22"/>
      <c r="N32" s="22"/>
      <c r="O32" s="18"/>
      <c r="P32" s="22"/>
      <c r="Q32" s="23" t="str">
        <f t="shared" ca="1" si="1"/>
        <v/>
      </c>
      <c r="R32" s="23" t="str">
        <f t="shared" ca="1" si="2"/>
        <v/>
      </c>
      <c r="S32" s="24" t="str">
        <f t="shared" ca="1" si="3"/>
        <v/>
      </c>
      <c r="T32" s="24" t="str">
        <f>IF(A32="","",IF(G32&lt;&gt;"Offen","-",IF(AND(Q32&gt;=Einstellungen!$N$9,R32&gt;=Einstellungen!$N$10),"Hoch",IF(OR(Q32&gt;=Einstellungen!$N$9,R32&gt;=Einstellungen!$N$10),"Mittel","Normal"))))</f>
        <v/>
      </c>
      <c r="U32" s="18"/>
      <c r="V32" s="25" t="str">
        <f>IFERROR(VLOOKUP(F32,Einstellungen!$A$7:$B$13,2,FALSE),"")</f>
        <v/>
      </c>
    </row>
    <row r="33" spans="1:22" x14ac:dyDescent="0.25">
      <c r="A33" s="17"/>
      <c r="B33" s="18"/>
      <c r="C33" s="18"/>
      <c r="D33" s="18"/>
      <c r="E33" s="18"/>
      <c r="F33" s="18"/>
      <c r="G33" s="18"/>
      <c r="H33" s="19"/>
      <c r="I33" s="20">
        <f>IFERROR(VLOOKUP(F33,Einstellungen!$A$7:$C$13,3,FALSE),0)</f>
        <v>0</v>
      </c>
      <c r="J33" s="21" t="str">
        <f t="shared" si="0"/>
        <v/>
      </c>
      <c r="K33" s="22"/>
      <c r="L33" s="22"/>
      <c r="M33" s="22"/>
      <c r="N33" s="22"/>
      <c r="O33" s="18"/>
      <c r="P33" s="22"/>
      <c r="Q33" s="23" t="str">
        <f t="shared" ca="1" si="1"/>
        <v/>
      </c>
      <c r="R33" s="23" t="str">
        <f t="shared" ca="1" si="2"/>
        <v/>
      </c>
      <c r="S33" s="24" t="str">
        <f t="shared" ca="1" si="3"/>
        <v/>
      </c>
      <c r="T33" s="24" t="str">
        <f>IF(A33="","",IF(G33&lt;&gt;"Offen","-",IF(AND(Q33&gt;=Einstellungen!$N$9,R33&gt;=Einstellungen!$N$10),"Hoch",IF(OR(Q33&gt;=Einstellungen!$N$9,R33&gt;=Einstellungen!$N$10),"Mittel","Normal"))))</f>
        <v/>
      </c>
      <c r="U33" s="18"/>
      <c r="V33" s="25" t="str">
        <f>IFERROR(VLOOKUP(F33,Einstellungen!$A$7:$B$13,2,FALSE),"")</f>
        <v/>
      </c>
    </row>
    <row r="34" spans="1:22" x14ac:dyDescent="0.25">
      <c r="A34" s="17"/>
      <c r="B34" s="18"/>
      <c r="C34" s="18"/>
      <c r="D34" s="18"/>
      <c r="E34" s="18"/>
      <c r="F34" s="18"/>
      <c r="G34" s="18"/>
      <c r="H34" s="19"/>
      <c r="I34" s="20">
        <f>IFERROR(VLOOKUP(F34,Einstellungen!$A$7:$C$13,3,FALSE),0)</f>
        <v>0</v>
      </c>
      <c r="J34" s="21" t="str">
        <f t="shared" si="0"/>
        <v/>
      </c>
      <c r="K34" s="22"/>
      <c r="L34" s="22"/>
      <c r="M34" s="22"/>
      <c r="N34" s="22"/>
      <c r="O34" s="18"/>
      <c r="P34" s="22"/>
      <c r="Q34" s="23" t="str">
        <f t="shared" ca="1" si="1"/>
        <v/>
      </c>
      <c r="R34" s="23" t="str">
        <f t="shared" ca="1" si="2"/>
        <v/>
      </c>
      <c r="S34" s="24" t="str">
        <f t="shared" ca="1" si="3"/>
        <v/>
      </c>
      <c r="T34" s="24" t="str">
        <f>IF(A34="","",IF(G34&lt;&gt;"Offen","-",IF(AND(Q34&gt;=Einstellungen!$N$9,R34&gt;=Einstellungen!$N$10),"Hoch",IF(OR(Q34&gt;=Einstellungen!$N$9,R34&gt;=Einstellungen!$N$10),"Mittel","Normal"))))</f>
        <v/>
      </c>
      <c r="U34" s="18"/>
      <c r="V34" s="25" t="str">
        <f>IFERROR(VLOOKUP(F34,Einstellungen!$A$7:$B$13,2,FALSE),"")</f>
        <v/>
      </c>
    </row>
    <row r="35" spans="1:22" x14ac:dyDescent="0.25">
      <c r="A35" s="17"/>
      <c r="B35" s="18"/>
      <c r="C35" s="18"/>
      <c r="D35" s="18"/>
      <c r="E35" s="18"/>
      <c r="F35" s="18"/>
      <c r="G35" s="18"/>
      <c r="H35" s="19"/>
      <c r="I35" s="20">
        <f>IFERROR(VLOOKUP(F35,Einstellungen!$A$7:$C$13,3,FALSE),0)</f>
        <v>0</v>
      </c>
      <c r="J35" s="21" t="str">
        <f t="shared" si="0"/>
        <v/>
      </c>
      <c r="K35" s="22"/>
      <c r="L35" s="22"/>
      <c r="M35" s="22"/>
      <c r="N35" s="22"/>
      <c r="O35" s="18"/>
      <c r="P35" s="22"/>
      <c r="Q35" s="23" t="str">
        <f t="shared" ca="1" si="1"/>
        <v/>
      </c>
      <c r="R35" s="23" t="str">
        <f t="shared" ca="1" si="2"/>
        <v/>
      </c>
      <c r="S35" s="24" t="str">
        <f t="shared" ca="1" si="3"/>
        <v/>
      </c>
      <c r="T35" s="24" t="str">
        <f>IF(A35="","",IF(G35&lt;&gt;"Offen","-",IF(AND(Q35&gt;=Einstellungen!$N$9,R35&gt;=Einstellungen!$N$10),"Hoch",IF(OR(Q35&gt;=Einstellungen!$N$9,R35&gt;=Einstellungen!$N$10),"Mittel","Normal"))))</f>
        <v/>
      </c>
      <c r="U35" s="18"/>
      <c r="V35" s="25" t="str">
        <f>IFERROR(VLOOKUP(F35,Einstellungen!$A$7:$B$13,2,FALSE),"")</f>
        <v/>
      </c>
    </row>
    <row r="36" spans="1:22" x14ac:dyDescent="0.25">
      <c r="A36" s="17"/>
      <c r="B36" s="18"/>
      <c r="C36" s="18"/>
      <c r="D36" s="18"/>
      <c r="E36" s="18"/>
      <c r="F36" s="18"/>
      <c r="G36" s="18"/>
      <c r="H36" s="19"/>
      <c r="I36" s="20">
        <f>IFERROR(VLOOKUP(F36,Einstellungen!$A$7:$C$13,3,FALSE),0)</f>
        <v>0</v>
      </c>
      <c r="J36" s="21" t="str">
        <f t="shared" si="0"/>
        <v/>
      </c>
      <c r="K36" s="22"/>
      <c r="L36" s="22"/>
      <c r="M36" s="22"/>
      <c r="N36" s="22"/>
      <c r="O36" s="18"/>
      <c r="P36" s="22"/>
      <c r="Q36" s="23" t="str">
        <f t="shared" ca="1" si="1"/>
        <v/>
      </c>
      <c r="R36" s="23" t="str">
        <f t="shared" ca="1" si="2"/>
        <v/>
      </c>
      <c r="S36" s="24" t="str">
        <f t="shared" ca="1" si="3"/>
        <v/>
      </c>
      <c r="T36" s="24" t="str">
        <f>IF(A36="","",IF(G36&lt;&gt;"Offen","-",IF(AND(Q36&gt;=Einstellungen!$N$9,R36&gt;=Einstellungen!$N$10),"Hoch",IF(OR(Q36&gt;=Einstellungen!$N$9,R36&gt;=Einstellungen!$N$10),"Mittel","Normal"))))</f>
        <v/>
      </c>
      <c r="U36" s="18"/>
      <c r="V36" s="25" t="str">
        <f>IFERROR(VLOOKUP(F36,Einstellungen!$A$7:$B$13,2,FALSE),"")</f>
        <v/>
      </c>
    </row>
    <row r="37" spans="1:22" x14ac:dyDescent="0.25">
      <c r="A37" s="17"/>
      <c r="B37" s="18"/>
      <c r="C37" s="18"/>
      <c r="D37" s="18"/>
      <c r="E37" s="18"/>
      <c r="F37" s="18"/>
      <c r="G37" s="18"/>
      <c r="H37" s="19"/>
      <c r="I37" s="20">
        <f>IFERROR(VLOOKUP(F37,Einstellungen!$A$7:$C$13,3,FALSE),0)</f>
        <v>0</v>
      </c>
      <c r="J37" s="21" t="str">
        <f t="shared" ref="J37:J68" si="4">IF(A37="","",IF(G37="Gewonnen",H37,IF(OR(G37="Verloren",G37="Disqualifiziert"),0,H37*I37)))</f>
        <v/>
      </c>
      <c r="K37" s="22"/>
      <c r="L37" s="22"/>
      <c r="M37" s="22"/>
      <c r="N37" s="22"/>
      <c r="O37" s="18"/>
      <c r="P37" s="22"/>
      <c r="Q37" s="23" t="str">
        <f t="shared" ref="Q37:Q68" ca="1" si="5">IF(N37="","",TODAY()-N37)</f>
        <v/>
      </c>
      <c r="R37" s="23" t="str">
        <f t="shared" ref="R37:R68" ca="1" si="6">IF(L37="","",TODAY()-L37)</f>
        <v/>
      </c>
      <c r="S37" s="24" t="str">
        <f t="shared" ref="S37:S68" ca="1" si="7">IF(A37="","",IF(G37&lt;&gt;"Offen","Abgeschlossen",IF(P37&lt;TODAY(),"Überfällig",IF(P37=TODAY(),"Heute","Geplant"))))</f>
        <v/>
      </c>
      <c r="T37" s="24" t="str">
        <f>IF(A37="","",IF(G37&lt;&gt;"Offen","-",IF(AND(Q37&gt;=Einstellungen!$N$9,R37&gt;=Einstellungen!$N$10),"Hoch",IF(OR(Q37&gt;=Einstellungen!$N$9,R37&gt;=Einstellungen!$N$10),"Mittel","Normal"))))</f>
        <v/>
      </c>
      <c r="U37" s="18"/>
      <c r="V37" s="25" t="str">
        <f>IFERROR(VLOOKUP(F37,Einstellungen!$A$7:$B$13,2,FALSE),"")</f>
        <v/>
      </c>
    </row>
    <row r="38" spans="1:22" x14ac:dyDescent="0.25">
      <c r="A38" s="17"/>
      <c r="B38" s="18"/>
      <c r="C38" s="18"/>
      <c r="D38" s="18"/>
      <c r="E38" s="18"/>
      <c r="F38" s="18"/>
      <c r="G38" s="18"/>
      <c r="H38" s="19"/>
      <c r="I38" s="20">
        <f>IFERROR(VLOOKUP(F38,Einstellungen!$A$7:$C$13,3,FALSE),0)</f>
        <v>0</v>
      </c>
      <c r="J38" s="21" t="str">
        <f t="shared" si="4"/>
        <v/>
      </c>
      <c r="K38" s="22"/>
      <c r="L38" s="22"/>
      <c r="M38" s="22"/>
      <c r="N38" s="22"/>
      <c r="O38" s="18"/>
      <c r="P38" s="22"/>
      <c r="Q38" s="23" t="str">
        <f t="shared" ca="1" si="5"/>
        <v/>
      </c>
      <c r="R38" s="23" t="str">
        <f t="shared" ca="1" si="6"/>
        <v/>
      </c>
      <c r="S38" s="24" t="str">
        <f t="shared" ca="1" si="7"/>
        <v/>
      </c>
      <c r="T38" s="24" t="str">
        <f>IF(A38="","",IF(G38&lt;&gt;"Offen","-",IF(AND(Q38&gt;=Einstellungen!$N$9,R38&gt;=Einstellungen!$N$10),"Hoch",IF(OR(Q38&gt;=Einstellungen!$N$9,R38&gt;=Einstellungen!$N$10),"Mittel","Normal"))))</f>
        <v/>
      </c>
      <c r="U38" s="18"/>
      <c r="V38" s="25" t="str">
        <f>IFERROR(VLOOKUP(F38,Einstellungen!$A$7:$B$13,2,FALSE),"")</f>
        <v/>
      </c>
    </row>
    <row r="39" spans="1:22" x14ac:dyDescent="0.25">
      <c r="A39" s="17"/>
      <c r="B39" s="18"/>
      <c r="C39" s="18"/>
      <c r="D39" s="18"/>
      <c r="E39" s="18"/>
      <c r="F39" s="18"/>
      <c r="G39" s="18"/>
      <c r="H39" s="19"/>
      <c r="I39" s="20">
        <f>IFERROR(VLOOKUP(F39,Einstellungen!$A$7:$C$13,3,FALSE),0)</f>
        <v>0</v>
      </c>
      <c r="J39" s="21" t="str">
        <f t="shared" si="4"/>
        <v/>
      </c>
      <c r="K39" s="22"/>
      <c r="L39" s="22"/>
      <c r="M39" s="22"/>
      <c r="N39" s="22"/>
      <c r="O39" s="18"/>
      <c r="P39" s="22"/>
      <c r="Q39" s="23" t="str">
        <f t="shared" ca="1" si="5"/>
        <v/>
      </c>
      <c r="R39" s="23" t="str">
        <f t="shared" ca="1" si="6"/>
        <v/>
      </c>
      <c r="S39" s="24" t="str">
        <f t="shared" ca="1" si="7"/>
        <v/>
      </c>
      <c r="T39" s="24" t="str">
        <f>IF(A39="","",IF(G39&lt;&gt;"Offen","-",IF(AND(Q39&gt;=Einstellungen!$N$9,R39&gt;=Einstellungen!$N$10),"Hoch",IF(OR(Q39&gt;=Einstellungen!$N$9,R39&gt;=Einstellungen!$N$10),"Mittel","Normal"))))</f>
        <v/>
      </c>
      <c r="U39" s="18"/>
      <c r="V39" s="25" t="str">
        <f>IFERROR(VLOOKUP(F39,Einstellungen!$A$7:$B$13,2,FALSE),"")</f>
        <v/>
      </c>
    </row>
    <row r="40" spans="1:22" x14ac:dyDescent="0.25">
      <c r="A40" s="17"/>
      <c r="B40" s="18"/>
      <c r="C40" s="18"/>
      <c r="D40" s="18"/>
      <c r="E40" s="18"/>
      <c r="F40" s="18"/>
      <c r="G40" s="18"/>
      <c r="H40" s="19"/>
      <c r="I40" s="20">
        <f>IFERROR(VLOOKUP(F40,Einstellungen!$A$7:$C$13,3,FALSE),0)</f>
        <v>0</v>
      </c>
      <c r="J40" s="21" t="str">
        <f t="shared" si="4"/>
        <v/>
      </c>
      <c r="K40" s="22"/>
      <c r="L40" s="22"/>
      <c r="M40" s="22"/>
      <c r="N40" s="22"/>
      <c r="O40" s="18"/>
      <c r="P40" s="22"/>
      <c r="Q40" s="23" t="str">
        <f t="shared" ca="1" si="5"/>
        <v/>
      </c>
      <c r="R40" s="23" t="str">
        <f t="shared" ca="1" si="6"/>
        <v/>
      </c>
      <c r="S40" s="24" t="str">
        <f t="shared" ca="1" si="7"/>
        <v/>
      </c>
      <c r="T40" s="24" t="str">
        <f>IF(A40="","",IF(G40&lt;&gt;"Offen","-",IF(AND(Q40&gt;=Einstellungen!$N$9,R40&gt;=Einstellungen!$N$10),"Hoch",IF(OR(Q40&gt;=Einstellungen!$N$9,R40&gt;=Einstellungen!$N$10),"Mittel","Normal"))))</f>
        <v/>
      </c>
      <c r="U40" s="18"/>
      <c r="V40" s="25" t="str">
        <f>IFERROR(VLOOKUP(F40,Einstellungen!$A$7:$B$13,2,FALSE),"")</f>
        <v/>
      </c>
    </row>
    <row r="41" spans="1:22" x14ac:dyDescent="0.25">
      <c r="A41" s="17"/>
      <c r="B41" s="18"/>
      <c r="C41" s="18"/>
      <c r="D41" s="18"/>
      <c r="E41" s="18"/>
      <c r="F41" s="18"/>
      <c r="G41" s="18"/>
      <c r="H41" s="19"/>
      <c r="I41" s="20">
        <f>IFERROR(VLOOKUP(F41,Einstellungen!$A$7:$C$13,3,FALSE),0)</f>
        <v>0</v>
      </c>
      <c r="J41" s="21" t="str">
        <f t="shared" si="4"/>
        <v/>
      </c>
      <c r="K41" s="22"/>
      <c r="L41" s="22"/>
      <c r="M41" s="22"/>
      <c r="N41" s="22"/>
      <c r="O41" s="18"/>
      <c r="P41" s="22"/>
      <c r="Q41" s="23" t="str">
        <f t="shared" ca="1" si="5"/>
        <v/>
      </c>
      <c r="R41" s="23" t="str">
        <f t="shared" ca="1" si="6"/>
        <v/>
      </c>
      <c r="S41" s="24" t="str">
        <f t="shared" ca="1" si="7"/>
        <v/>
      </c>
      <c r="T41" s="24" t="str">
        <f>IF(A41="","",IF(G41&lt;&gt;"Offen","-",IF(AND(Q41&gt;=Einstellungen!$N$9,R41&gt;=Einstellungen!$N$10),"Hoch",IF(OR(Q41&gt;=Einstellungen!$N$9,R41&gt;=Einstellungen!$N$10),"Mittel","Normal"))))</f>
        <v/>
      </c>
      <c r="U41" s="18"/>
      <c r="V41" s="25" t="str">
        <f>IFERROR(VLOOKUP(F41,Einstellungen!$A$7:$B$13,2,FALSE),"")</f>
        <v/>
      </c>
    </row>
    <row r="42" spans="1:22" x14ac:dyDescent="0.25">
      <c r="A42" s="17"/>
      <c r="B42" s="18"/>
      <c r="C42" s="18"/>
      <c r="D42" s="18"/>
      <c r="E42" s="18"/>
      <c r="F42" s="18"/>
      <c r="G42" s="18"/>
      <c r="H42" s="19"/>
      <c r="I42" s="20">
        <f>IFERROR(VLOOKUP(F42,Einstellungen!$A$7:$C$13,3,FALSE),0)</f>
        <v>0</v>
      </c>
      <c r="J42" s="21" t="str">
        <f t="shared" si="4"/>
        <v/>
      </c>
      <c r="K42" s="22"/>
      <c r="L42" s="22"/>
      <c r="M42" s="22"/>
      <c r="N42" s="22"/>
      <c r="O42" s="18"/>
      <c r="P42" s="22"/>
      <c r="Q42" s="23" t="str">
        <f t="shared" ca="1" si="5"/>
        <v/>
      </c>
      <c r="R42" s="23" t="str">
        <f t="shared" ca="1" si="6"/>
        <v/>
      </c>
      <c r="S42" s="24" t="str">
        <f t="shared" ca="1" si="7"/>
        <v/>
      </c>
      <c r="T42" s="24" t="str">
        <f>IF(A42="","",IF(G42&lt;&gt;"Offen","-",IF(AND(Q42&gt;=Einstellungen!$N$9,R42&gt;=Einstellungen!$N$10),"Hoch",IF(OR(Q42&gt;=Einstellungen!$N$9,R42&gt;=Einstellungen!$N$10),"Mittel","Normal"))))</f>
        <v/>
      </c>
      <c r="U42" s="18"/>
      <c r="V42" s="25" t="str">
        <f>IFERROR(VLOOKUP(F42,Einstellungen!$A$7:$B$13,2,FALSE),"")</f>
        <v/>
      </c>
    </row>
    <row r="43" spans="1:22" x14ac:dyDescent="0.25">
      <c r="A43" s="17"/>
      <c r="B43" s="18"/>
      <c r="C43" s="18"/>
      <c r="D43" s="18"/>
      <c r="E43" s="18"/>
      <c r="F43" s="18"/>
      <c r="G43" s="18"/>
      <c r="H43" s="19"/>
      <c r="I43" s="20">
        <f>IFERROR(VLOOKUP(F43,Einstellungen!$A$7:$C$13,3,FALSE),0)</f>
        <v>0</v>
      </c>
      <c r="J43" s="21" t="str">
        <f t="shared" si="4"/>
        <v/>
      </c>
      <c r="K43" s="22"/>
      <c r="L43" s="22"/>
      <c r="M43" s="22"/>
      <c r="N43" s="22"/>
      <c r="O43" s="18"/>
      <c r="P43" s="22"/>
      <c r="Q43" s="23" t="str">
        <f t="shared" ca="1" si="5"/>
        <v/>
      </c>
      <c r="R43" s="23" t="str">
        <f t="shared" ca="1" si="6"/>
        <v/>
      </c>
      <c r="S43" s="24" t="str">
        <f t="shared" ca="1" si="7"/>
        <v/>
      </c>
      <c r="T43" s="24" t="str">
        <f>IF(A43="","",IF(G43&lt;&gt;"Offen","-",IF(AND(Q43&gt;=Einstellungen!$N$9,R43&gt;=Einstellungen!$N$10),"Hoch",IF(OR(Q43&gt;=Einstellungen!$N$9,R43&gt;=Einstellungen!$N$10),"Mittel","Normal"))))</f>
        <v/>
      </c>
      <c r="U43" s="18"/>
      <c r="V43" s="25" t="str">
        <f>IFERROR(VLOOKUP(F43,Einstellungen!$A$7:$B$13,2,FALSE),"")</f>
        <v/>
      </c>
    </row>
    <row r="44" spans="1:22" x14ac:dyDescent="0.25">
      <c r="A44" s="17"/>
      <c r="B44" s="18"/>
      <c r="C44" s="18"/>
      <c r="D44" s="18"/>
      <c r="E44" s="18"/>
      <c r="F44" s="18"/>
      <c r="G44" s="18"/>
      <c r="H44" s="19"/>
      <c r="I44" s="20">
        <f>IFERROR(VLOOKUP(F44,Einstellungen!$A$7:$C$13,3,FALSE),0)</f>
        <v>0</v>
      </c>
      <c r="J44" s="21" t="str">
        <f t="shared" si="4"/>
        <v/>
      </c>
      <c r="K44" s="22"/>
      <c r="L44" s="22"/>
      <c r="M44" s="22"/>
      <c r="N44" s="22"/>
      <c r="O44" s="18"/>
      <c r="P44" s="22"/>
      <c r="Q44" s="23" t="str">
        <f t="shared" ca="1" si="5"/>
        <v/>
      </c>
      <c r="R44" s="23" t="str">
        <f t="shared" ca="1" si="6"/>
        <v/>
      </c>
      <c r="S44" s="24" t="str">
        <f t="shared" ca="1" si="7"/>
        <v/>
      </c>
      <c r="T44" s="24" t="str">
        <f>IF(A44="","",IF(G44&lt;&gt;"Offen","-",IF(AND(Q44&gt;=Einstellungen!$N$9,R44&gt;=Einstellungen!$N$10),"Hoch",IF(OR(Q44&gt;=Einstellungen!$N$9,R44&gt;=Einstellungen!$N$10),"Mittel","Normal"))))</f>
        <v/>
      </c>
      <c r="U44" s="18"/>
      <c r="V44" s="25" t="str">
        <f>IFERROR(VLOOKUP(F44,Einstellungen!$A$7:$B$13,2,FALSE),"")</f>
        <v/>
      </c>
    </row>
    <row r="45" spans="1:22" x14ac:dyDescent="0.25">
      <c r="A45" s="17"/>
      <c r="B45" s="18"/>
      <c r="C45" s="18"/>
      <c r="D45" s="18"/>
      <c r="E45" s="18"/>
      <c r="F45" s="18"/>
      <c r="G45" s="18"/>
      <c r="H45" s="19"/>
      <c r="I45" s="20">
        <f>IFERROR(VLOOKUP(F45,Einstellungen!$A$7:$C$13,3,FALSE),0)</f>
        <v>0</v>
      </c>
      <c r="J45" s="21" t="str">
        <f t="shared" si="4"/>
        <v/>
      </c>
      <c r="K45" s="22"/>
      <c r="L45" s="22"/>
      <c r="M45" s="22"/>
      <c r="N45" s="22"/>
      <c r="O45" s="18"/>
      <c r="P45" s="22"/>
      <c r="Q45" s="23" t="str">
        <f t="shared" ca="1" si="5"/>
        <v/>
      </c>
      <c r="R45" s="23" t="str">
        <f t="shared" ca="1" si="6"/>
        <v/>
      </c>
      <c r="S45" s="24" t="str">
        <f t="shared" ca="1" si="7"/>
        <v/>
      </c>
      <c r="T45" s="24" t="str">
        <f>IF(A45="","",IF(G45&lt;&gt;"Offen","-",IF(AND(Q45&gt;=Einstellungen!$N$9,R45&gt;=Einstellungen!$N$10),"Hoch",IF(OR(Q45&gt;=Einstellungen!$N$9,R45&gt;=Einstellungen!$N$10),"Mittel","Normal"))))</f>
        <v/>
      </c>
      <c r="U45" s="18"/>
      <c r="V45" s="25" t="str">
        <f>IFERROR(VLOOKUP(F45,Einstellungen!$A$7:$B$13,2,FALSE),"")</f>
        <v/>
      </c>
    </row>
    <row r="46" spans="1:22" x14ac:dyDescent="0.25">
      <c r="A46" s="17"/>
      <c r="B46" s="18"/>
      <c r="C46" s="18"/>
      <c r="D46" s="18"/>
      <c r="E46" s="18"/>
      <c r="F46" s="18"/>
      <c r="G46" s="18"/>
      <c r="H46" s="19"/>
      <c r="I46" s="20">
        <f>IFERROR(VLOOKUP(F46,Einstellungen!$A$7:$C$13,3,FALSE),0)</f>
        <v>0</v>
      </c>
      <c r="J46" s="21" t="str">
        <f t="shared" si="4"/>
        <v/>
      </c>
      <c r="K46" s="22"/>
      <c r="L46" s="22"/>
      <c r="M46" s="22"/>
      <c r="N46" s="22"/>
      <c r="O46" s="18"/>
      <c r="P46" s="22"/>
      <c r="Q46" s="23" t="str">
        <f t="shared" ca="1" si="5"/>
        <v/>
      </c>
      <c r="R46" s="23" t="str">
        <f t="shared" ca="1" si="6"/>
        <v/>
      </c>
      <c r="S46" s="24" t="str">
        <f t="shared" ca="1" si="7"/>
        <v/>
      </c>
      <c r="T46" s="24" t="str">
        <f>IF(A46="","",IF(G46&lt;&gt;"Offen","-",IF(AND(Q46&gt;=Einstellungen!$N$9,R46&gt;=Einstellungen!$N$10),"Hoch",IF(OR(Q46&gt;=Einstellungen!$N$9,R46&gt;=Einstellungen!$N$10),"Mittel","Normal"))))</f>
        <v/>
      </c>
      <c r="U46" s="18"/>
      <c r="V46" s="25" t="str">
        <f>IFERROR(VLOOKUP(F46,Einstellungen!$A$7:$B$13,2,FALSE),"")</f>
        <v/>
      </c>
    </row>
    <row r="47" spans="1:22" x14ac:dyDescent="0.25">
      <c r="A47" s="17"/>
      <c r="B47" s="18"/>
      <c r="C47" s="18"/>
      <c r="D47" s="18"/>
      <c r="E47" s="18"/>
      <c r="F47" s="18"/>
      <c r="G47" s="18"/>
      <c r="H47" s="19"/>
      <c r="I47" s="20">
        <f>IFERROR(VLOOKUP(F47,Einstellungen!$A$7:$C$13,3,FALSE),0)</f>
        <v>0</v>
      </c>
      <c r="J47" s="21" t="str">
        <f t="shared" si="4"/>
        <v/>
      </c>
      <c r="K47" s="22"/>
      <c r="L47" s="22"/>
      <c r="M47" s="22"/>
      <c r="N47" s="22"/>
      <c r="O47" s="18"/>
      <c r="P47" s="22"/>
      <c r="Q47" s="23" t="str">
        <f t="shared" ca="1" si="5"/>
        <v/>
      </c>
      <c r="R47" s="23" t="str">
        <f t="shared" ca="1" si="6"/>
        <v/>
      </c>
      <c r="S47" s="24" t="str">
        <f t="shared" ca="1" si="7"/>
        <v/>
      </c>
      <c r="T47" s="24" t="str">
        <f>IF(A47="","",IF(G47&lt;&gt;"Offen","-",IF(AND(Q47&gt;=Einstellungen!$N$9,R47&gt;=Einstellungen!$N$10),"Hoch",IF(OR(Q47&gt;=Einstellungen!$N$9,R47&gt;=Einstellungen!$N$10),"Mittel","Normal"))))</f>
        <v/>
      </c>
      <c r="U47" s="18"/>
      <c r="V47" s="25" t="str">
        <f>IFERROR(VLOOKUP(F47,Einstellungen!$A$7:$B$13,2,FALSE),"")</f>
        <v/>
      </c>
    </row>
    <row r="48" spans="1:22" x14ac:dyDescent="0.25">
      <c r="A48" s="17"/>
      <c r="B48" s="18"/>
      <c r="C48" s="18"/>
      <c r="D48" s="18"/>
      <c r="E48" s="18"/>
      <c r="F48" s="18"/>
      <c r="G48" s="18"/>
      <c r="H48" s="19"/>
      <c r="I48" s="20">
        <f>IFERROR(VLOOKUP(F48,Einstellungen!$A$7:$C$13,3,FALSE),0)</f>
        <v>0</v>
      </c>
      <c r="J48" s="21" t="str">
        <f t="shared" si="4"/>
        <v/>
      </c>
      <c r="K48" s="22"/>
      <c r="L48" s="22"/>
      <c r="M48" s="22"/>
      <c r="N48" s="22"/>
      <c r="O48" s="18"/>
      <c r="P48" s="22"/>
      <c r="Q48" s="23" t="str">
        <f t="shared" ca="1" si="5"/>
        <v/>
      </c>
      <c r="R48" s="23" t="str">
        <f t="shared" ca="1" si="6"/>
        <v/>
      </c>
      <c r="S48" s="24" t="str">
        <f t="shared" ca="1" si="7"/>
        <v/>
      </c>
      <c r="T48" s="24" t="str">
        <f>IF(A48="","",IF(G48&lt;&gt;"Offen","-",IF(AND(Q48&gt;=Einstellungen!$N$9,R48&gt;=Einstellungen!$N$10),"Hoch",IF(OR(Q48&gt;=Einstellungen!$N$9,R48&gt;=Einstellungen!$N$10),"Mittel","Normal"))))</f>
        <v/>
      </c>
      <c r="U48" s="18"/>
      <c r="V48" s="25" t="str">
        <f>IFERROR(VLOOKUP(F48,Einstellungen!$A$7:$B$13,2,FALSE),"")</f>
        <v/>
      </c>
    </row>
    <row r="49" spans="1:22" x14ac:dyDescent="0.25">
      <c r="A49" s="17"/>
      <c r="B49" s="18"/>
      <c r="C49" s="18"/>
      <c r="D49" s="18"/>
      <c r="E49" s="18"/>
      <c r="F49" s="18"/>
      <c r="G49" s="18"/>
      <c r="H49" s="19"/>
      <c r="I49" s="20">
        <f>IFERROR(VLOOKUP(F49,Einstellungen!$A$7:$C$13,3,FALSE),0)</f>
        <v>0</v>
      </c>
      <c r="J49" s="21" t="str">
        <f t="shared" si="4"/>
        <v/>
      </c>
      <c r="K49" s="22"/>
      <c r="L49" s="22"/>
      <c r="M49" s="22"/>
      <c r="N49" s="22"/>
      <c r="O49" s="18"/>
      <c r="P49" s="22"/>
      <c r="Q49" s="23" t="str">
        <f t="shared" ca="1" si="5"/>
        <v/>
      </c>
      <c r="R49" s="23" t="str">
        <f t="shared" ca="1" si="6"/>
        <v/>
      </c>
      <c r="S49" s="24" t="str">
        <f t="shared" ca="1" si="7"/>
        <v/>
      </c>
      <c r="T49" s="24" t="str">
        <f>IF(A49="","",IF(G49&lt;&gt;"Offen","-",IF(AND(Q49&gt;=Einstellungen!$N$9,R49&gt;=Einstellungen!$N$10),"Hoch",IF(OR(Q49&gt;=Einstellungen!$N$9,R49&gt;=Einstellungen!$N$10),"Mittel","Normal"))))</f>
        <v/>
      </c>
      <c r="U49" s="18"/>
      <c r="V49" s="25" t="str">
        <f>IFERROR(VLOOKUP(F49,Einstellungen!$A$7:$B$13,2,FALSE),"")</f>
        <v/>
      </c>
    </row>
    <row r="50" spans="1:22" x14ac:dyDescent="0.25">
      <c r="A50" s="17"/>
      <c r="B50" s="18"/>
      <c r="C50" s="18"/>
      <c r="D50" s="18"/>
      <c r="E50" s="18"/>
      <c r="F50" s="18"/>
      <c r="G50" s="18"/>
      <c r="H50" s="19"/>
      <c r="I50" s="20">
        <f>IFERROR(VLOOKUP(F50,Einstellungen!$A$7:$C$13,3,FALSE),0)</f>
        <v>0</v>
      </c>
      <c r="J50" s="21" t="str">
        <f t="shared" si="4"/>
        <v/>
      </c>
      <c r="K50" s="22"/>
      <c r="L50" s="22"/>
      <c r="M50" s="22"/>
      <c r="N50" s="22"/>
      <c r="O50" s="18"/>
      <c r="P50" s="22"/>
      <c r="Q50" s="23" t="str">
        <f t="shared" ca="1" si="5"/>
        <v/>
      </c>
      <c r="R50" s="23" t="str">
        <f t="shared" ca="1" si="6"/>
        <v/>
      </c>
      <c r="S50" s="24" t="str">
        <f t="shared" ca="1" si="7"/>
        <v/>
      </c>
      <c r="T50" s="24" t="str">
        <f>IF(A50="","",IF(G50&lt;&gt;"Offen","-",IF(AND(Q50&gt;=Einstellungen!$N$9,R50&gt;=Einstellungen!$N$10),"Hoch",IF(OR(Q50&gt;=Einstellungen!$N$9,R50&gt;=Einstellungen!$N$10),"Mittel","Normal"))))</f>
        <v/>
      </c>
      <c r="U50" s="18"/>
      <c r="V50" s="25" t="str">
        <f>IFERROR(VLOOKUP(F50,Einstellungen!$A$7:$B$13,2,FALSE),"")</f>
        <v/>
      </c>
    </row>
    <row r="51" spans="1:22" x14ac:dyDescent="0.25">
      <c r="A51" s="17"/>
      <c r="B51" s="18"/>
      <c r="C51" s="18"/>
      <c r="D51" s="18"/>
      <c r="E51" s="18"/>
      <c r="F51" s="18"/>
      <c r="G51" s="18"/>
      <c r="H51" s="19"/>
      <c r="I51" s="20">
        <f>IFERROR(VLOOKUP(F51,Einstellungen!$A$7:$C$13,3,FALSE),0)</f>
        <v>0</v>
      </c>
      <c r="J51" s="21" t="str">
        <f t="shared" si="4"/>
        <v/>
      </c>
      <c r="K51" s="22"/>
      <c r="L51" s="22"/>
      <c r="M51" s="22"/>
      <c r="N51" s="22"/>
      <c r="O51" s="18"/>
      <c r="P51" s="22"/>
      <c r="Q51" s="23" t="str">
        <f t="shared" ca="1" si="5"/>
        <v/>
      </c>
      <c r="R51" s="23" t="str">
        <f t="shared" ca="1" si="6"/>
        <v/>
      </c>
      <c r="S51" s="24" t="str">
        <f t="shared" ca="1" si="7"/>
        <v/>
      </c>
      <c r="T51" s="24" t="str">
        <f>IF(A51="","",IF(G51&lt;&gt;"Offen","-",IF(AND(Q51&gt;=Einstellungen!$N$9,R51&gt;=Einstellungen!$N$10),"Hoch",IF(OR(Q51&gt;=Einstellungen!$N$9,R51&gt;=Einstellungen!$N$10),"Mittel","Normal"))))</f>
        <v/>
      </c>
      <c r="U51" s="18"/>
      <c r="V51" s="25" t="str">
        <f>IFERROR(VLOOKUP(F51,Einstellungen!$A$7:$B$13,2,FALSE),"")</f>
        <v/>
      </c>
    </row>
    <row r="52" spans="1:22" x14ac:dyDescent="0.25">
      <c r="A52" s="17"/>
      <c r="B52" s="18"/>
      <c r="C52" s="18"/>
      <c r="D52" s="18"/>
      <c r="E52" s="18"/>
      <c r="F52" s="18"/>
      <c r="G52" s="18"/>
      <c r="H52" s="19"/>
      <c r="I52" s="20">
        <f>IFERROR(VLOOKUP(F52,Einstellungen!$A$7:$C$13,3,FALSE),0)</f>
        <v>0</v>
      </c>
      <c r="J52" s="21" t="str">
        <f t="shared" si="4"/>
        <v/>
      </c>
      <c r="K52" s="22"/>
      <c r="L52" s="22"/>
      <c r="M52" s="22"/>
      <c r="N52" s="22"/>
      <c r="O52" s="18"/>
      <c r="P52" s="22"/>
      <c r="Q52" s="23" t="str">
        <f t="shared" ca="1" si="5"/>
        <v/>
      </c>
      <c r="R52" s="23" t="str">
        <f t="shared" ca="1" si="6"/>
        <v/>
      </c>
      <c r="S52" s="24" t="str">
        <f t="shared" ca="1" si="7"/>
        <v/>
      </c>
      <c r="T52" s="24" t="str">
        <f>IF(A52="","",IF(G52&lt;&gt;"Offen","-",IF(AND(Q52&gt;=Einstellungen!$N$9,R52&gt;=Einstellungen!$N$10),"Hoch",IF(OR(Q52&gt;=Einstellungen!$N$9,R52&gt;=Einstellungen!$N$10),"Mittel","Normal"))))</f>
        <v/>
      </c>
      <c r="U52" s="18"/>
      <c r="V52" s="25" t="str">
        <f>IFERROR(VLOOKUP(F52,Einstellungen!$A$7:$B$13,2,FALSE),"")</f>
        <v/>
      </c>
    </row>
    <row r="53" spans="1:22" x14ac:dyDescent="0.25">
      <c r="A53" s="17"/>
      <c r="B53" s="18"/>
      <c r="C53" s="18"/>
      <c r="D53" s="18"/>
      <c r="E53" s="18"/>
      <c r="F53" s="18"/>
      <c r="G53" s="18"/>
      <c r="H53" s="19"/>
      <c r="I53" s="20">
        <f>IFERROR(VLOOKUP(F53,Einstellungen!$A$7:$C$13,3,FALSE),0)</f>
        <v>0</v>
      </c>
      <c r="J53" s="21" t="str">
        <f t="shared" si="4"/>
        <v/>
      </c>
      <c r="K53" s="22"/>
      <c r="L53" s="22"/>
      <c r="M53" s="22"/>
      <c r="N53" s="22"/>
      <c r="O53" s="18"/>
      <c r="P53" s="22"/>
      <c r="Q53" s="23" t="str">
        <f t="shared" ca="1" si="5"/>
        <v/>
      </c>
      <c r="R53" s="23" t="str">
        <f t="shared" ca="1" si="6"/>
        <v/>
      </c>
      <c r="S53" s="24" t="str">
        <f t="shared" ca="1" si="7"/>
        <v/>
      </c>
      <c r="T53" s="24" t="str">
        <f>IF(A53="","",IF(G53&lt;&gt;"Offen","-",IF(AND(Q53&gt;=Einstellungen!$N$9,R53&gt;=Einstellungen!$N$10),"Hoch",IF(OR(Q53&gt;=Einstellungen!$N$9,R53&gt;=Einstellungen!$N$10),"Mittel","Normal"))))</f>
        <v/>
      </c>
      <c r="U53" s="18"/>
      <c r="V53" s="25" t="str">
        <f>IFERROR(VLOOKUP(F53,Einstellungen!$A$7:$B$13,2,FALSE),"")</f>
        <v/>
      </c>
    </row>
    <row r="54" spans="1:22" x14ac:dyDescent="0.25">
      <c r="A54" s="17"/>
      <c r="B54" s="18"/>
      <c r="C54" s="18"/>
      <c r="D54" s="18"/>
      <c r="E54" s="18"/>
      <c r="F54" s="18"/>
      <c r="G54" s="18"/>
      <c r="H54" s="19"/>
      <c r="I54" s="20">
        <f>IFERROR(VLOOKUP(F54,Einstellungen!$A$7:$C$13,3,FALSE),0)</f>
        <v>0</v>
      </c>
      <c r="J54" s="21" t="str">
        <f t="shared" si="4"/>
        <v/>
      </c>
      <c r="K54" s="22"/>
      <c r="L54" s="22"/>
      <c r="M54" s="22"/>
      <c r="N54" s="22"/>
      <c r="O54" s="18"/>
      <c r="P54" s="22"/>
      <c r="Q54" s="23" t="str">
        <f t="shared" ca="1" si="5"/>
        <v/>
      </c>
      <c r="R54" s="23" t="str">
        <f t="shared" ca="1" si="6"/>
        <v/>
      </c>
      <c r="S54" s="24" t="str">
        <f t="shared" ca="1" si="7"/>
        <v/>
      </c>
      <c r="T54" s="24" t="str">
        <f>IF(A54="","",IF(G54&lt;&gt;"Offen","-",IF(AND(Q54&gt;=Einstellungen!$N$9,R54&gt;=Einstellungen!$N$10),"Hoch",IF(OR(Q54&gt;=Einstellungen!$N$9,R54&gt;=Einstellungen!$N$10),"Mittel","Normal"))))</f>
        <v/>
      </c>
      <c r="U54" s="18"/>
      <c r="V54" s="25" t="str">
        <f>IFERROR(VLOOKUP(F54,Einstellungen!$A$7:$B$13,2,FALSE),"")</f>
        <v/>
      </c>
    </row>
    <row r="55" spans="1:22" x14ac:dyDescent="0.25">
      <c r="A55" s="17"/>
      <c r="B55" s="18"/>
      <c r="C55" s="18"/>
      <c r="D55" s="18"/>
      <c r="E55" s="18"/>
      <c r="F55" s="18"/>
      <c r="G55" s="18"/>
      <c r="H55" s="19"/>
      <c r="I55" s="20">
        <f>IFERROR(VLOOKUP(F55,Einstellungen!$A$7:$C$13,3,FALSE),0)</f>
        <v>0</v>
      </c>
      <c r="J55" s="21" t="str">
        <f t="shared" si="4"/>
        <v/>
      </c>
      <c r="K55" s="22"/>
      <c r="L55" s="22"/>
      <c r="M55" s="22"/>
      <c r="N55" s="22"/>
      <c r="O55" s="18"/>
      <c r="P55" s="22"/>
      <c r="Q55" s="23" t="str">
        <f t="shared" ca="1" si="5"/>
        <v/>
      </c>
      <c r="R55" s="23" t="str">
        <f t="shared" ca="1" si="6"/>
        <v/>
      </c>
      <c r="S55" s="24" t="str">
        <f t="shared" ca="1" si="7"/>
        <v/>
      </c>
      <c r="T55" s="24" t="str">
        <f>IF(A55="","",IF(G55&lt;&gt;"Offen","-",IF(AND(Q55&gt;=Einstellungen!$N$9,R55&gt;=Einstellungen!$N$10),"Hoch",IF(OR(Q55&gt;=Einstellungen!$N$9,R55&gt;=Einstellungen!$N$10),"Mittel","Normal"))))</f>
        <v/>
      </c>
      <c r="U55" s="18"/>
      <c r="V55" s="25" t="str">
        <f>IFERROR(VLOOKUP(F55,Einstellungen!$A$7:$B$13,2,FALSE),"")</f>
        <v/>
      </c>
    </row>
    <row r="56" spans="1:22" x14ac:dyDescent="0.25">
      <c r="A56" s="17"/>
      <c r="B56" s="18"/>
      <c r="C56" s="18"/>
      <c r="D56" s="18"/>
      <c r="E56" s="18"/>
      <c r="F56" s="18"/>
      <c r="G56" s="18"/>
      <c r="H56" s="19"/>
      <c r="I56" s="20">
        <f>IFERROR(VLOOKUP(F56,Einstellungen!$A$7:$C$13,3,FALSE),0)</f>
        <v>0</v>
      </c>
      <c r="J56" s="21" t="str">
        <f t="shared" si="4"/>
        <v/>
      </c>
      <c r="K56" s="22"/>
      <c r="L56" s="22"/>
      <c r="M56" s="22"/>
      <c r="N56" s="22"/>
      <c r="O56" s="18"/>
      <c r="P56" s="22"/>
      <c r="Q56" s="23" t="str">
        <f t="shared" ca="1" si="5"/>
        <v/>
      </c>
      <c r="R56" s="23" t="str">
        <f t="shared" ca="1" si="6"/>
        <v/>
      </c>
      <c r="S56" s="24" t="str">
        <f t="shared" ca="1" si="7"/>
        <v/>
      </c>
      <c r="T56" s="24" t="str">
        <f>IF(A56="","",IF(G56&lt;&gt;"Offen","-",IF(AND(Q56&gt;=Einstellungen!$N$9,R56&gt;=Einstellungen!$N$10),"Hoch",IF(OR(Q56&gt;=Einstellungen!$N$9,R56&gt;=Einstellungen!$N$10),"Mittel","Normal"))))</f>
        <v/>
      </c>
      <c r="U56" s="18"/>
      <c r="V56" s="25" t="str">
        <f>IFERROR(VLOOKUP(F56,Einstellungen!$A$7:$B$13,2,FALSE),"")</f>
        <v/>
      </c>
    </row>
    <row r="57" spans="1:22" x14ac:dyDescent="0.25">
      <c r="A57" s="17"/>
      <c r="B57" s="18"/>
      <c r="C57" s="18"/>
      <c r="D57" s="18"/>
      <c r="E57" s="18"/>
      <c r="F57" s="18"/>
      <c r="G57" s="18"/>
      <c r="H57" s="19"/>
      <c r="I57" s="20">
        <f>IFERROR(VLOOKUP(F57,Einstellungen!$A$7:$C$13,3,FALSE),0)</f>
        <v>0</v>
      </c>
      <c r="J57" s="21" t="str">
        <f t="shared" si="4"/>
        <v/>
      </c>
      <c r="K57" s="22"/>
      <c r="L57" s="22"/>
      <c r="M57" s="22"/>
      <c r="N57" s="22"/>
      <c r="O57" s="18"/>
      <c r="P57" s="22"/>
      <c r="Q57" s="23" t="str">
        <f t="shared" ca="1" si="5"/>
        <v/>
      </c>
      <c r="R57" s="23" t="str">
        <f t="shared" ca="1" si="6"/>
        <v/>
      </c>
      <c r="S57" s="24" t="str">
        <f t="shared" ca="1" si="7"/>
        <v/>
      </c>
      <c r="T57" s="24" t="str">
        <f>IF(A57="","",IF(G57&lt;&gt;"Offen","-",IF(AND(Q57&gt;=Einstellungen!$N$9,R57&gt;=Einstellungen!$N$10),"Hoch",IF(OR(Q57&gt;=Einstellungen!$N$9,R57&gt;=Einstellungen!$N$10),"Mittel","Normal"))))</f>
        <v/>
      </c>
      <c r="U57" s="18"/>
      <c r="V57" s="25" t="str">
        <f>IFERROR(VLOOKUP(F57,Einstellungen!$A$7:$B$13,2,FALSE),"")</f>
        <v/>
      </c>
    </row>
    <row r="58" spans="1:22" x14ac:dyDescent="0.25">
      <c r="A58" s="17"/>
      <c r="B58" s="18"/>
      <c r="C58" s="18"/>
      <c r="D58" s="18"/>
      <c r="E58" s="18"/>
      <c r="F58" s="18"/>
      <c r="G58" s="18"/>
      <c r="H58" s="19"/>
      <c r="I58" s="20">
        <f>IFERROR(VLOOKUP(F58,Einstellungen!$A$7:$C$13,3,FALSE),0)</f>
        <v>0</v>
      </c>
      <c r="J58" s="21" t="str">
        <f t="shared" si="4"/>
        <v/>
      </c>
      <c r="K58" s="22"/>
      <c r="L58" s="22"/>
      <c r="M58" s="22"/>
      <c r="N58" s="22"/>
      <c r="O58" s="18"/>
      <c r="P58" s="22"/>
      <c r="Q58" s="23" t="str">
        <f t="shared" ca="1" si="5"/>
        <v/>
      </c>
      <c r="R58" s="23" t="str">
        <f t="shared" ca="1" si="6"/>
        <v/>
      </c>
      <c r="S58" s="24" t="str">
        <f t="shared" ca="1" si="7"/>
        <v/>
      </c>
      <c r="T58" s="24" t="str">
        <f>IF(A58="","",IF(G58&lt;&gt;"Offen","-",IF(AND(Q58&gt;=Einstellungen!$N$9,R58&gt;=Einstellungen!$N$10),"Hoch",IF(OR(Q58&gt;=Einstellungen!$N$9,R58&gt;=Einstellungen!$N$10),"Mittel","Normal"))))</f>
        <v/>
      </c>
      <c r="U58" s="18"/>
      <c r="V58" s="25" t="str">
        <f>IFERROR(VLOOKUP(F58,Einstellungen!$A$7:$B$13,2,FALSE),"")</f>
        <v/>
      </c>
    </row>
    <row r="59" spans="1:22" x14ac:dyDescent="0.25">
      <c r="A59" s="17"/>
      <c r="B59" s="18"/>
      <c r="C59" s="18"/>
      <c r="D59" s="18"/>
      <c r="E59" s="18"/>
      <c r="F59" s="18"/>
      <c r="G59" s="18"/>
      <c r="H59" s="19"/>
      <c r="I59" s="20">
        <f>IFERROR(VLOOKUP(F59,Einstellungen!$A$7:$C$13,3,FALSE),0)</f>
        <v>0</v>
      </c>
      <c r="J59" s="21" t="str">
        <f t="shared" si="4"/>
        <v/>
      </c>
      <c r="K59" s="22"/>
      <c r="L59" s="22"/>
      <c r="M59" s="22"/>
      <c r="N59" s="22"/>
      <c r="O59" s="18"/>
      <c r="P59" s="22"/>
      <c r="Q59" s="23" t="str">
        <f t="shared" ca="1" si="5"/>
        <v/>
      </c>
      <c r="R59" s="23" t="str">
        <f t="shared" ca="1" si="6"/>
        <v/>
      </c>
      <c r="S59" s="24" t="str">
        <f t="shared" ca="1" si="7"/>
        <v/>
      </c>
      <c r="T59" s="24" t="str">
        <f>IF(A59="","",IF(G59&lt;&gt;"Offen","-",IF(AND(Q59&gt;=Einstellungen!$N$9,R59&gt;=Einstellungen!$N$10),"Hoch",IF(OR(Q59&gt;=Einstellungen!$N$9,R59&gt;=Einstellungen!$N$10),"Mittel","Normal"))))</f>
        <v/>
      </c>
      <c r="U59" s="18"/>
      <c r="V59" s="25" t="str">
        <f>IFERROR(VLOOKUP(F59,Einstellungen!$A$7:$B$13,2,FALSE),"")</f>
        <v/>
      </c>
    </row>
    <row r="60" spans="1:22" x14ac:dyDescent="0.25">
      <c r="A60" s="17"/>
      <c r="B60" s="18"/>
      <c r="C60" s="18"/>
      <c r="D60" s="18"/>
      <c r="E60" s="18"/>
      <c r="F60" s="18"/>
      <c r="G60" s="18"/>
      <c r="H60" s="19"/>
      <c r="I60" s="20">
        <f>IFERROR(VLOOKUP(F60,Einstellungen!$A$7:$C$13,3,FALSE),0)</f>
        <v>0</v>
      </c>
      <c r="J60" s="21" t="str">
        <f t="shared" si="4"/>
        <v/>
      </c>
      <c r="K60" s="22"/>
      <c r="L60" s="22"/>
      <c r="M60" s="22"/>
      <c r="N60" s="22"/>
      <c r="O60" s="18"/>
      <c r="P60" s="22"/>
      <c r="Q60" s="23" t="str">
        <f t="shared" ca="1" si="5"/>
        <v/>
      </c>
      <c r="R60" s="23" t="str">
        <f t="shared" ca="1" si="6"/>
        <v/>
      </c>
      <c r="S60" s="24" t="str">
        <f t="shared" ca="1" si="7"/>
        <v/>
      </c>
      <c r="T60" s="24" t="str">
        <f>IF(A60="","",IF(G60&lt;&gt;"Offen","-",IF(AND(Q60&gt;=Einstellungen!$N$9,R60&gt;=Einstellungen!$N$10),"Hoch",IF(OR(Q60&gt;=Einstellungen!$N$9,R60&gt;=Einstellungen!$N$10),"Mittel","Normal"))))</f>
        <v/>
      </c>
      <c r="U60" s="18"/>
      <c r="V60" s="25" t="str">
        <f>IFERROR(VLOOKUP(F60,Einstellungen!$A$7:$B$13,2,FALSE),"")</f>
        <v/>
      </c>
    </row>
    <row r="61" spans="1:22" x14ac:dyDescent="0.25">
      <c r="A61" s="17"/>
      <c r="B61" s="18"/>
      <c r="C61" s="18"/>
      <c r="D61" s="18"/>
      <c r="E61" s="18"/>
      <c r="F61" s="18"/>
      <c r="G61" s="18"/>
      <c r="H61" s="19"/>
      <c r="I61" s="20">
        <f>IFERROR(VLOOKUP(F61,Einstellungen!$A$7:$C$13,3,FALSE),0)</f>
        <v>0</v>
      </c>
      <c r="J61" s="21" t="str">
        <f t="shared" si="4"/>
        <v/>
      </c>
      <c r="K61" s="22"/>
      <c r="L61" s="22"/>
      <c r="M61" s="22"/>
      <c r="N61" s="22"/>
      <c r="O61" s="18"/>
      <c r="P61" s="22"/>
      <c r="Q61" s="23" t="str">
        <f t="shared" ca="1" si="5"/>
        <v/>
      </c>
      <c r="R61" s="23" t="str">
        <f t="shared" ca="1" si="6"/>
        <v/>
      </c>
      <c r="S61" s="24" t="str">
        <f t="shared" ca="1" si="7"/>
        <v/>
      </c>
      <c r="T61" s="24" t="str">
        <f>IF(A61="","",IF(G61&lt;&gt;"Offen","-",IF(AND(Q61&gt;=Einstellungen!$N$9,R61&gt;=Einstellungen!$N$10),"Hoch",IF(OR(Q61&gt;=Einstellungen!$N$9,R61&gt;=Einstellungen!$N$10),"Mittel","Normal"))))</f>
        <v/>
      </c>
      <c r="U61" s="18"/>
      <c r="V61" s="25" t="str">
        <f>IFERROR(VLOOKUP(F61,Einstellungen!$A$7:$B$13,2,FALSE),"")</f>
        <v/>
      </c>
    </row>
    <row r="62" spans="1:22" x14ac:dyDescent="0.25">
      <c r="A62" s="17"/>
      <c r="B62" s="18"/>
      <c r="C62" s="18"/>
      <c r="D62" s="18"/>
      <c r="E62" s="18"/>
      <c r="F62" s="18"/>
      <c r="G62" s="18"/>
      <c r="H62" s="19"/>
      <c r="I62" s="20">
        <f>IFERROR(VLOOKUP(F62,Einstellungen!$A$7:$C$13,3,FALSE),0)</f>
        <v>0</v>
      </c>
      <c r="J62" s="21" t="str">
        <f t="shared" si="4"/>
        <v/>
      </c>
      <c r="K62" s="22"/>
      <c r="L62" s="22"/>
      <c r="M62" s="22"/>
      <c r="N62" s="22"/>
      <c r="O62" s="18"/>
      <c r="P62" s="22"/>
      <c r="Q62" s="23" t="str">
        <f t="shared" ca="1" si="5"/>
        <v/>
      </c>
      <c r="R62" s="23" t="str">
        <f t="shared" ca="1" si="6"/>
        <v/>
      </c>
      <c r="S62" s="24" t="str">
        <f t="shared" ca="1" si="7"/>
        <v/>
      </c>
      <c r="T62" s="24" t="str">
        <f>IF(A62="","",IF(G62&lt;&gt;"Offen","-",IF(AND(Q62&gt;=Einstellungen!$N$9,R62&gt;=Einstellungen!$N$10),"Hoch",IF(OR(Q62&gt;=Einstellungen!$N$9,R62&gt;=Einstellungen!$N$10),"Mittel","Normal"))))</f>
        <v/>
      </c>
      <c r="U62" s="18"/>
      <c r="V62" s="25" t="str">
        <f>IFERROR(VLOOKUP(F62,Einstellungen!$A$7:$B$13,2,FALSE),"")</f>
        <v/>
      </c>
    </row>
    <row r="63" spans="1:22" x14ac:dyDescent="0.25">
      <c r="A63" s="17"/>
      <c r="B63" s="18"/>
      <c r="C63" s="18"/>
      <c r="D63" s="18"/>
      <c r="E63" s="18"/>
      <c r="F63" s="18"/>
      <c r="G63" s="18"/>
      <c r="H63" s="19"/>
      <c r="I63" s="20">
        <f>IFERROR(VLOOKUP(F63,Einstellungen!$A$7:$C$13,3,FALSE),0)</f>
        <v>0</v>
      </c>
      <c r="J63" s="21" t="str">
        <f t="shared" si="4"/>
        <v/>
      </c>
      <c r="K63" s="22"/>
      <c r="L63" s="22"/>
      <c r="M63" s="22"/>
      <c r="N63" s="22"/>
      <c r="O63" s="18"/>
      <c r="P63" s="22"/>
      <c r="Q63" s="23" t="str">
        <f t="shared" ca="1" si="5"/>
        <v/>
      </c>
      <c r="R63" s="23" t="str">
        <f t="shared" ca="1" si="6"/>
        <v/>
      </c>
      <c r="S63" s="24" t="str">
        <f t="shared" ca="1" si="7"/>
        <v/>
      </c>
      <c r="T63" s="24" t="str">
        <f>IF(A63="","",IF(G63&lt;&gt;"Offen","-",IF(AND(Q63&gt;=Einstellungen!$N$9,R63&gt;=Einstellungen!$N$10),"Hoch",IF(OR(Q63&gt;=Einstellungen!$N$9,R63&gt;=Einstellungen!$N$10),"Mittel","Normal"))))</f>
        <v/>
      </c>
      <c r="U63" s="18"/>
      <c r="V63" s="25" t="str">
        <f>IFERROR(VLOOKUP(F63,Einstellungen!$A$7:$B$13,2,FALSE),"")</f>
        <v/>
      </c>
    </row>
    <row r="64" spans="1:22" x14ac:dyDescent="0.25">
      <c r="A64" s="17"/>
      <c r="B64" s="18"/>
      <c r="C64" s="18"/>
      <c r="D64" s="18"/>
      <c r="E64" s="18"/>
      <c r="F64" s="18"/>
      <c r="G64" s="18"/>
      <c r="H64" s="19"/>
      <c r="I64" s="20">
        <f>IFERROR(VLOOKUP(F64,Einstellungen!$A$7:$C$13,3,FALSE),0)</f>
        <v>0</v>
      </c>
      <c r="J64" s="21" t="str">
        <f t="shared" si="4"/>
        <v/>
      </c>
      <c r="K64" s="22"/>
      <c r="L64" s="22"/>
      <c r="M64" s="22"/>
      <c r="N64" s="22"/>
      <c r="O64" s="18"/>
      <c r="P64" s="22"/>
      <c r="Q64" s="23" t="str">
        <f t="shared" ca="1" si="5"/>
        <v/>
      </c>
      <c r="R64" s="23" t="str">
        <f t="shared" ca="1" si="6"/>
        <v/>
      </c>
      <c r="S64" s="24" t="str">
        <f t="shared" ca="1" si="7"/>
        <v/>
      </c>
      <c r="T64" s="24" t="str">
        <f>IF(A64="","",IF(G64&lt;&gt;"Offen","-",IF(AND(Q64&gt;=Einstellungen!$N$9,R64&gt;=Einstellungen!$N$10),"Hoch",IF(OR(Q64&gt;=Einstellungen!$N$9,R64&gt;=Einstellungen!$N$10),"Mittel","Normal"))))</f>
        <v/>
      </c>
      <c r="U64" s="18"/>
      <c r="V64" s="25" t="str">
        <f>IFERROR(VLOOKUP(F64,Einstellungen!$A$7:$B$13,2,FALSE),"")</f>
        <v/>
      </c>
    </row>
    <row r="65" spans="1:22" x14ac:dyDescent="0.25">
      <c r="A65" s="17"/>
      <c r="B65" s="18"/>
      <c r="C65" s="18"/>
      <c r="D65" s="18"/>
      <c r="E65" s="18"/>
      <c r="F65" s="18"/>
      <c r="G65" s="18"/>
      <c r="H65" s="19"/>
      <c r="I65" s="20">
        <f>IFERROR(VLOOKUP(F65,Einstellungen!$A$7:$C$13,3,FALSE),0)</f>
        <v>0</v>
      </c>
      <c r="J65" s="21" t="str">
        <f t="shared" si="4"/>
        <v/>
      </c>
      <c r="K65" s="22"/>
      <c r="L65" s="22"/>
      <c r="M65" s="22"/>
      <c r="N65" s="22"/>
      <c r="O65" s="18"/>
      <c r="P65" s="22"/>
      <c r="Q65" s="23" t="str">
        <f t="shared" ca="1" si="5"/>
        <v/>
      </c>
      <c r="R65" s="23" t="str">
        <f t="shared" ca="1" si="6"/>
        <v/>
      </c>
      <c r="S65" s="24" t="str">
        <f t="shared" ca="1" si="7"/>
        <v/>
      </c>
      <c r="T65" s="24" t="str">
        <f>IF(A65="","",IF(G65&lt;&gt;"Offen","-",IF(AND(Q65&gt;=Einstellungen!$N$9,R65&gt;=Einstellungen!$N$10),"Hoch",IF(OR(Q65&gt;=Einstellungen!$N$9,R65&gt;=Einstellungen!$N$10),"Mittel","Normal"))))</f>
        <v/>
      </c>
      <c r="U65" s="18"/>
      <c r="V65" s="25" t="str">
        <f>IFERROR(VLOOKUP(F65,Einstellungen!$A$7:$B$13,2,FALSE),"")</f>
        <v/>
      </c>
    </row>
    <row r="66" spans="1:22" x14ac:dyDescent="0.25">
      <c r="A66" s="17"/>
      <c r="B66" s="18"/>
      <c r="C66" s="18"/>
      <c r="D66" s="18"/>
      <c r="E66" s="18"/>
      <c r="F66" s="18"/>
      <c r="G66" s="18"/>
      <c r="H66" s="19"/>
      <c r="I66" s="20">
        <f>IFERROR(VLOOKUP(F66,Einstellungen!$A$7:$C$13,3,FALSE),0)</f>
        <v>0</v>
      </c>
      <c r="J66" s="21" t="str">
        <f t="shared" si="4"/>
        <v/>
      </c>
      <c r="K66" s="22"/>
      <c r="L66" s="22"/>
      <c r="M66" s="22"/>
      <c r="N66" s="22"/>
      <c r="O66" s="18"/>
      <c r="P66" s="22"/>
      <c r="Q66" s="23" t="str">
        <f t="shared" ca="1" si="5"/>
        <v/>
      </c>
      <c r="R66" s="23" t="str">
        <f t="shared" ca="1" si="6"/>
        <v/>
      </c>
      <c r="S66" s="24" t="str">
        <f t="shared" ca="1" si="7"/>
        <v/>
      </c>
      <c r="T66" s="24" t="str">
        <f>IF(A66="","",IF(G66&lt;&gt;"Offen","-",IF(AND(Q66&gt;=Einstellungen!$N$9,R66&gt;=Einstellungen!$N$10),"Hoch",IF(OR(Q66&gt;=Einstellungen!$N$9,R66&gt;=Einstellungen!$N$10),"Mittel","Normal"))))</f>
        <v/>
      </c>
      <c r="U66" s="18"/>
      <c r="V66" s="25" t="str">
        <f>IFERROR(VLOOKUP(F66,Einstellungen!$A$7:$B$13,2,FALSE),"")</f>
        <v/>
      </c>
    </row>
    <row r="67" spans="1:22" x14ac:dyDescent="0.25">
      <c r="A67" s="17"/>
      <c r="B67" s="18"/>
      <c r="C67" s="18"/>
      <c r="D67" s="18"/>
      <c r="E67" s="18"/>
      <c r="F67" s="18"/>
      <c r="G67" s="18"/>
      <c r="H67" s="19"/>
      <c r="I67" s="20">
        <f>IFERROR(VLOOKUP(F67,Einstellungen!$A$7:$C$13,3,FALSE),0)</f>
        <v>0</v>
      </c>
      <c r="J67" s="21" t="str">
        <f t="shared" si="4"/>
        <v/>
      </c>
      <c r="K67" s="22"/>
      <c r="L67" s="22"/>
      <c r="M67" s="22"/>
      <c r="N67" s="22"/>
      <c r="O67" s="18"/>
      <c r="P67" s="22"/>
      <c r="Q67" s="23" t="str">
        <f t="shared" ca="1" si="5"/>
        <v/>
      </c>
      <c r="R67" s="23" t="str">
        <f t="shared" ca="1" si="6"/>
        <v/>
      </c>
      <c r="S67" s="24" t="str">
        <f t="shared" ca="1" si="7"/>
        <v/>
      </c>
      <c r="T67" s="24" t="str">
        <f>IF(A67="","",IF(G67&lt;&gt;"Offen","-",IF(AND(Q67&gt;=Einstellungen!$N$9,R67&gt;=Einstellungen!$N$10),"Hoch",IF(OR(Q67&gt;=Einstellungen!$N$9,R67&gt;=Einstellungen!$N$10),"Mittel","Normal"))))</f>
        <v/>
      </c>
      <c r="U67" s="18"/>
      <c r="V67" s="25" t="str">
        <f>IFERROR(VLOOKUP(F67,Einstellungen!$A$7:$B$13,2,FALSE),"")</f>
        <v/>
      </c>
    </row>
    <row r="68" spans="1:22" x14ac:dyDescent="0.25">
      <c r="A68" s="17"/>
      <c r="B68" s="18"/>
      <c r="C68" s="18"/>
      <c r="D68" s="18"/>
      <c r="E68" s="18"/>
      <c r="F68" s="18"/>
      <c r="G68" s="18"/>
      <c r="H68" s="19"/>
      <c r="I68" s="20">
        <f>IFERROR(VLOOKUP(F68,Einstellungen!$A$7:$C$13,3,FALSE),0)</f>
        <v>0</v>
      </c>
      <c r="J68" s="21" t="str">
        <f t="shared" si="4"/>
        <v/>
      </c>
      <c r="K68" s="22"/>
      <c r="L68" s="22"/>
      <c r="M68" s="22"/>
      <c r="N68" s="22"/>
      <c r="O68" s="18"/>
      <c r="P68" s="22"/>
      <c r="Q68" s="23" t="str">
        <f t="shared" ca="1" si="5"/>
        <v/>
      </c>
      <c r="R68" s="23" t="str">
        <f t="shared" ca="1" si="6"/>
        <v/>
      </c>
      <c r="S68" s="24" t="str">
        <f t="shared" ca="1" si="7"/>
        <v/>
      </c>
      <c r="T68" s="24" t="str">
        <f>IF(A68="","",IF(G68&lt;&gt;"Offen","-",IF(AND(Q68&gt;=Einstellungen!$N$9,R68&gt;=Einstellungen!$N$10),"Hoch",IF(OR(Q68&gt;=Einstellungen!$N$9,R68&gt;=Einstellungen!$N$10),"Mittel","Normal"))))</f>
        <v/>
      </c>
      <c r="U68" s="18"/>
      <c r="V68" s="25" t="str">
        <f>IFERROR(VLOOKUP(F68,Einstellungen!$A$7:$B$13,2,FALSE),"")</f>
        <v/>
      </c>
    </row>
    <row r="69" spans="1:22" x14ac:dyDescent="0.25">
      <c r="A69" s="17"/>
      <c r="B69" s="18"/>
      <c r="C69" s="18"/>
      <c r="D69" s="18"/>
      <c r="E69" s="18"/>
      <c r="F69" s="18"/>
      <c r="G69" s="18"/>
      <c r="H69" s="19"/>
      <c r="I69" s="20">
        <f>IFERROR(VLOOKUP(F69,Einstellungen!$A$7:$C$13,3,FALSE),0)</f>
        <v>0</v>
      </c>
      <c r="J69" s="21" t="str">
        <f t="shared" ref="J69:J100" si="8">IF(A69="","",IF(G69="Gewonnen",H69,IF(OR(G69="Verloren",G69="Disqualifiziert"),0,H69*I69)))</f>
        <v/>
      </c>
      <c r="K69" s="22"/>
      <c r="L69" s="22"/>
      <c r="M69" s="22"/>
      <c r="N69" s="22"/>
      <c r="O69" s="18"/>
      <c r="P69" s="22"/>
      <c r="Q69" s="23" t="str">
        <f t="shared" ref="Q69:Q104" ca="1" si="9">IF(N69="","",TODAY()-N69)</f>
        <v/>
      </c>
      <c r="R69" s="23" t="str">
        <f t="shared" ref="R69:R104" ca="1" si="10">IF(L69="","",TODAY()-L69)</f>
        <v/>
      </c>
      <c r="S69" s="24" t="str">
        <f t="shared" ref="S69:S104" ca="1" si="11">IF(A69="","",IF(G69&lt;&gt;"Offen","Abgeschlossen",IF(P69&lt;TODAY(),"Überfällig",IF(P69=TODAY(),"Heute","Geplant"))))</f>
        <v/>
      </c>
      <c r="T69" s="24" t="str">
        <f>IF(A69="","",IF(G69&lt;&gt;"Offen","-",IF(AND(Q69&gt;=Einstellungen!$N$9,R69&gt;=Einstellungen!$N$10),"Hoch",IF(OR(Q69&gt;=Einstellungen!$N$9,R69&gt;=Einstellungen!$N$10),"Mittel","Normal"))))</f>
        <v/>
      </c>
      <c r="U69" s="18"/>
      <c r="V69" s="25" t="str">
        <f>IFERROR(VLOOKUP(F69,Einstellungen!$A$7:$B$13,2,FALSE),"")</f>
        <v/>
      </c>
    </row>
    <row r="70" spans="1:22" x14ac:dyDescent="0.25">
      <c r="A70" s="17"/>
      <c r="B70" s="18"/>
      <c r="C70" s="18"/>
      <c r="D70" s="18"/>
      <c r="E70" s="18"/>
      <c r="F70" s="18"/>
      <c r="G70" s="18"/>
      <c r="H70" s="19"/>
      <c r="I70" s="20">
        <f>IFERROR(VLOOKUP(F70,Einstellungen!$A$7:$C$13,3,FALSE),0)</f>
        <v>0</v>
      </c>
      <c r="J70" s="21" t="str">
        <f t="shared" si="8"/>
        <v/>
      </c>
      <c r="K70" s="22"/>
      <c r="L70" s="22"/>
      <c r="M70" s="22"/>
      <c r="N70" s="22"/>
      <c r="O70" s="18"/>
      <c r="P70" s="22"/>
      <c r="Q70" s="23" t="str">
        <f t="shared" ca="1" si="9"/>
        <v/>
      </c>
      <c r="R70" s="23" t="str">
        <f t="shared" ca="1" si="10"/>
        <v/>
      </c>
      <c r="S70" s="24" t="str">
        <f t="shared" ca="1" si="11"/>
        <v/>
      </c>
      <c r="T70" s="24" t="str">
        <f>IF(A70="","",IF(G70&lt;&gt;"Offen","-",IF(AND(Q70&gt;=Einstellungen!$N$9,R70&gt;=Einstellungen!$N$10),"Hoch",IF(OR(Q70&gt;=Einstellungen!$N$9,R70&gt;=Einstellungen!$N$10),"Mittel","Normal"))))</f>
        <v/>
      </c>
      <c r="U70" s="18"/>
      <c r="V70" s="25" t="str">
        <f>IFERROR(VLOOKUP(F70,Einstellungen!$A$7:$B$13,2,FALSE),"")</f>
        <v/>
      </c>
    </row>
    <row r="71" spans="1:22" x14ac:dyDescent="0.25">
      <c r="A71" s="17"/>
      <c r="B71" s="18"/>
      <c r="C71" s="18"/>
      <c r="D71" s="18"/>
      <c r="E71" s="18"/>
      <c r="F71" s="18"/>
      <c r="G71" s="18"/>
      <c r="H71" s="19"/>
      <c r="I71" s="20">
        <f>IFERROR(VLOOKUP(F71,Einstellungen!$A$7:$C$13,3,FALSE),0)</f>
        <v>0</v>
      </c>
      <c r="J71" s="21" t="str">
        <f t="shared" si="8"/>
        <v/>
      </c>
      <c r="K71" s="22"/>
      <c r="L71" s="22"/>
      <c r="M71" s="22"/>
      <c r="N71" s="22"/>
      <c r="O71" s="18"/>
      <c r="P71" s="22"/>
      <c r="Q71" s="23" t="str">
        <f t="shared" ca="1" si="9"/>
        <v/>
      </c>
      <c r="R71" s="23" t="str">
        <f t="shared" ca="1" si="10"/>
        <v/>
      </c>
      <c r="S71" s="24" t="str">
        <f t="shared" ca="1" si="11"/>
        <v/>
      </c>
      <c r="T71" s="24" t="str">
        <f>IF(A71="","",IF(G71&lt;&gt;"Offen","-",IF(AND(Q71&gt;=Einstellungen!$N$9,R71&gt;=Einstellungen!$N$10),"Hoch",IF(OR(Q71&gt;=Einstellungen!$N$9,R71&gt;=Einstellungen!$N$10),"Mittel","Normal"))))</f>
        <v/>
      </c>
      <c r="U71" s="18"/>
      <c r="V71" s="25" t="str">
        <f>IFERROR(VLOOKUP(F71,Einstellungen!$A$7:$B$13,2,FALSE),"")</f>
        <v/>
      </c>
    </row>
    <row r="72" spans="1:22" x14ac:dyDescent="0.25">
      <c r="A72" s="17"/>
      <c r="B72" s="18"/>
      <c r="C72" s="18"/>
      <c r="D72" s="18"/>
      <c r="E72" s="18"/>
      <c r="F72" s="18"/>
      <c r="G72" s="18"/>
      <c r="H72" s="19"/>
      <c r="I72" s="20">
        <f>IFERROR(VLOOKUP(F72,Einstellungen!$A$7:$C$13,3,FALSE),0)</f>
        <v>0</v>
      </c>
      <c r="J72" s="21" t="str">
        <f t="shared" si="8"/>
        <v/>
      </c>
      <c r="K72" s="22"/>
      <c r="L72" s="22"/>
      <c r="M72" s="22"/>
      <c r="N72" s="22"/>
      <c r="O72" s="18"/>
      <c r="P72" s="22"/>
      <c r="Q72" s="23" t="str">
        <f t="shared" ca="1" si="9"/>
        <v/>
      </c>
      <c r="R72" s="23" t="str">
        <f t="shared" ca="1" si="10"/>
        <v/>
      </c>
      <c r="S72" s="24" t="str">
        <f t="shared" ca="1" si="11"/>
        <v/>
      </c>
      <c r="T72" s="24" t="str">
        <f>IF(A72="","",IF(G72&lt;&gt;"Offen","-",IF(AND(Q72&gt;=Einstellungen!$N$9,R72&gt;=Einstellungen!$N$10),"Hoch",IF(OR(Q72&gt;=Einstellungen!$N$9,R72&gt;=Einstellungen!$N$10),"Mittel","Normal"))))</f>
        <v/>
      </c>
      <c r="U72" s="18"/>
      <c r="V72" s="25" t="str">
        <f>IFERROR(VLOOKUP(F72,Einstellungen!$A$7:$B$13,2,FALSE),"")</f>
        <v/>
      </c>
    </row>
    <row r="73" spans="1:22" x14ac:dyDescent="0.25">
      <c r="A73" s="17"/>
      <c r="B73" s="18"/>
      <c r="C73" s="18"/>
      <c r="D73" s="18"/>
      <c r="E73" s="18"/>
      <c r="F73" s="18"/>
      <c r="G73" s="18"/>
      <c r="H73" s="19"/>
      <c r="I73" s="20">
        <f>IFERROR(VLOOKUP(F73,Einstellungen!$A$7:$C$13,3,FALSE),0)</f>
        <v>0</v>
      </c>
      <c r="J73" s="21" t="str">
        <f t="shared" si="8"/>
        <v/>
      </c>
      <c r="K73" s="22"/>
      <c r="L73" s="22"/>
      <c r="M73" s="22"/>
      <c r="N73" s="22"/>
      <c r="O73" s="18"/>
      <c r="P73" s="22"/>
      <c r="Q73" s="23" t="str">
        <f t="shared" ca="1" si="9"/>
        <v/>
      </c>
      <c r="R73" s="23" t="str">
        <f t="shared" ca="1" si="10"/>
        <v/>
      </c>
      <c r="S73" s="24" t="str">
        <f t="shared" ca="1" si="11"/>
        <v/>
      </c>
      <c r="T73" s="24" t="str">
        <f>IF(A73="","",IF(G73&lt;&gt;"Offen","-",IF(AND(Q73&gt;=Einstellungen!$N$9,R73&gt;=Einstellungen!$N$10),"Hoch",IF(OR(Q73&gt;=Einstellungen!$N$9,R73&gt;=Einstellungen!$N$10),"Mittel","Normal"))))</f>
        <v/>
      </c>
      <c r="U73" s="18"/>
      <c r="V73" s="25" t="str">
        <f>IFERROR(VLOOKUP(F73,Einstellungen!$A$7:$B$13,2,FALSE),"")</f>
        <v/>
      </c>
    </row>
    <row r="74" spans="1:22" x14ac:dyDescent="0.25">
      <c r="A74" s="17"/>
      <c r="B74" s="18"/>
      <c r="C74" s="18"/>
      <c r="D74" s="18"/>
      <c r="E74" s="18"/>
      <c r="F74" s="18"/>
      <c r="G74" s="18"/>
      <c r="H74" s="19"/>
      <c r="I74" s="20">
        <f>IFERROR(VLOOKUP(F74,Einstellungen!$A$7:$C$13,3,FALSE),0)</f>
        <v>0</v>
      </c>
      <c r="J74" s="21" t="str">
        <f t="shared" si="8"/>
        <v/>
      </c>
      <c r="K74" s="22"/>
      <c r="L74" s="22"/>
      <c r="M74" s="22"/>
      <c r="N74" s="22"/>
      <c r="O74" s="18"/>
      <c r="P74" s="22"/>
      <c r="Q74" s="23" t="str">
        <f t="shared" ca="1" si="9"/>
        <v/>
      </c>
      <c r="R74" s="23" t="str">
        <f t="shared" ca="1" si="10"/>
        <v/>
      </c>
      <c r="S74" s="24" t="str">
        <f t="shared" ca="1" si="11"/>
        <v/>
      </c>
      <c r="T74" s="24" t="str">
        <f>IF(A74="","",IF(G74&lt;&gt;"Offen","-",IF(AND(Q74&gt;=Einstellungen!$N$9,R74&gt;=Einstellungen!$N$10),"Hoch",IF(OR(Q74&gt;=Einstellungen!$N$9,R74&gt;=Einstellungen!$N$10),"Mittel","Normal"))))</f>
        <v/>
      </c>
      <c r="U74" s="18"/>
      <c r="V74" s="25" t="str">
        <f>IFERROR(VLOOKUP(F74,Einstellungen!$A$7:$B$13,2,FALSE),"")</f>
        <v/>
      </c>
    </row>
    <row r="75" spans="1:22" x14ac:dyDescent="0.25">
      <c r="A75" s="17"/>
      <c r="B75" s="18"/>
      <c r="C75" s="18"/>
      <c r="D75" s="18"/>
      <c r="E75" s="18"/>
      <c r="F75" s="18"/>
      <c r="G75" s="18"/>
      <c r="H75" s="19"/>
      <c r="I75" s="20">
        <f>IFERROR(VLOOKUP(F75,Einstellungen!$A$7:$C$13,3,FALSE),0)</f>
        <v>0</v>
      </c>
      <c r="J75" s="21" t="str">
        <f t="shared" si="8"/>
        <v/>
      </c>
      <c r="K75" s="22"/>
      <c r="L75" s="22"/>
      <c r="M75" s="22"/>
      <c r="N75" s="22"/>
      <c r="O75" s="18"/>
      <c r="P75" s="22"/>
      <c r="Q75" s="23" t="str">
        <f t="shared" ca="1" si="9"/>
        <v/>
      </c>
      <c r="R75" s="23" t="str">
        <f t="shared" ca="1" si="10"/>
        <v/>
      </c>
      <c r="S75" s="24" t="str">
        <f t="shared" ca="1" si="11"/>
        <v/>
      </c>
      <c r="T75" s="24" t="str">
        <f>IF(A75="","",IF(G75&lt;&gt;"Offen","-",IF(AND(Q75&gt;=Einstellungen!$N$9,R75&gt;=Einstellungen!$N$10),"Hoch",IF(OR(Q75&gt;=Einstellungen!$N$9,R75&gt;=Einstellungen!$N$10),"Mittel","Normal"))))</f>
        <v/>
      </c>
      <c r="U75" s="18"/>
      <c r="V75" s="25" t="str">
        <f>IFERROR(VLOOKUP(F75,Einstellungen!$A$7:$B$13,2,FALSE),"")</f>
        <v/>
      </c>
    </row>
    <row r="76" spans="1:22" x14ac:dyDescent="0.25">
      <c r="A76" s="17"/>
      <c r="B76" s="18"/>
      <c r="C76" s="18"/>
      <c r="D76" s="18"/>
      <c r="E76" s="18"/>
      <c r="F76" s="18"/>
      <c r="G76" s="18"/>
      <c r="H76" s="19"/>
      <c r="I76" s="20">
        <f>IFERROR(VLOOKUP(F76,Einstellungen!$A$7:$C$13,3,FALSE),0)</f>
        <v>0</v>
      </c>
      <c r="J76" s="21" t="str">
        <f t="shared" si="8"/>
        <v/>
      </c>
      <c r="K76" s="22"/>
      <c r="L76" s="22"/>
      <c r="M76" s="22"/>
      <c r="N76" s="22"/>
      <c r="O76" s="18"/>
      <c r="P76" s="22"/>
      <c r="Q76" s="23" t="str">
        <f t="shared" ca="1" si="9"/>
        <v/>
      </c>
      <c r="R76" s="23" t="str">
        <f t="shared" ca="1" si="10"/>
        <v/>
      </c>
      <c r="S76" s="24" t="str">
        <f t="shared" ca="1" si="11"/>
        <v/>
      </c>
      <c r="T76" s="24" t="str">
        <f>IF(A76="","",IF(G76&lt;&gt;"Offen","-",IF(AND(Q76&gt;=Einstellungen!$N$9,R76&gt;=Einstellungen!$N$10),"Hoch",IF(OR(Q76&gt;=Einstellungen!$N$9,R76&gt;=Einstellungen!$N$10),"Mittel","Normal"))))</f>
        <v/>
      </c>
      <c r="U76" s="18"/>
      <c r="V76" s="25" t="str">
        <f>IFERROR(VLOOKUP(F76,Einstellungen!$A$7:$B$13,2,FALSE),"")</f>
        <v/>
      </c>
    </row>
    <row r="77" spans="1:22" x14ac:dyDescent="0.25">
      <c r="A77" s="17"/>
      <c r="B77" s="18"/>
      <c r="C77" s="18"/>
      <c r="D77" s="18"/>
      <c r="E77" s="18"/>
      <c r="F77" s="18"/>
      <c r="G77" s="18"/>
      <c r="H77" s="19"/>
      <c r="I77" s="20">
        <f>IFERROR(VLOOKUP(F77,Einstellungen!$A$7:$C$13,3,FALSE),0)</f>
        <v>0</v>
      </c>
      <c r="J77" s="21" t="str">
        <f t="shared" si="8"/>
        <v/>
      </c>
      <c r="K77" s="22"/>
      <c r="L77" s="22"/>
      <c r="M77" s="22"/>
      <c r="N77" s="22"/>
      <c r="O77" s="18"/>
      <c r="P77" s="22"/>
      <c r="Q77" s="23" t="str">
        <f t="shared" ca="1" si="9"/>
        <v/>
      </c>
      <c r="R77" s="23" t="str">
        <f t="shared" ca="1" si="10"/>
        <v/>
      </c>
      <c r="S77" s="24" t="str">
        <f t="shared" ca="1" si="11"/>
        <v/>
      </c>
      <c r="T77" s="24" t="str">
        <f>IF(A77="","",IF(G77&lt;&gt;"Offen","-",IF(AND(Q77&gt;=Einstellungen!$N$9,R77&gt;=Einstellungen!$N$10),"Hoch",IF(OR(Q77&gt;=Einstellungen!$N$9,R77&gt;=Einstellungen!$N$10),"Mittel","Normal"))))</f>
        <v/>
      </c>
      <c r="U77" s="18"/>
      <c r="V77" s="25" t="str">
        <f>IFERROR(VLOOKUP(F77,Einstellungen!$A$7:$B$13,2,FALSE),"")</f>
        <v/>
      </c>
    </row>
    <row r="78" spans="1:22" x14ac:dyDescent="0.25">
      <c r="A78" s="17"/>
      <c r="B78" s="18"/>
      <c r="C78" s="18"/>
      <c r="D78" s="18"/>
      <c r="E78" s="18"/>
      <c r="F78" s="18"/>
      <c r="G78" s="18"/>
      <c r="H78" s="19"/>
      <c r="I78" s="20">
        <f>IFERROR(VLOOKUP(F78,Einstellungen!$A$7:$C$13,3,FALSE),0)</f>
        <v>0</v>
      </c>
      <c r="J78" s="21" t="str">
        <f t="shared" si="8"/>
        <v/>
      </c>
      <c r="K78" s="22"/>
      <c r="L78" s="22"/>
      <c r="M78" s="22"/>
      <c r="N78" s="22"/>
      <c r="O78" s="18"/>
      <c r="P78" s="22"/>
      <c r="Q78" s="23" t="str">
        <f t="shared" ca="1" si="9"/>
        <v/>
      </c>
      <c r="R78" s="23" t="str">
        <f t="shared" ca="1" si="10"/>
        <v/>
      </c>
      <c r="S78" s="24" t="str">
        <f t="shared" ca="1" si="11"/>
        <v/>
      </c>
      <c r="T78" s="24" t="str">
        <f>IF(A78="","",IF(G78&lt;&gt;"Offen","-",IF(AND(Q78&gt;=Einstellungen!$N$9,R78&gt;=Einstellungen!$N$10),"Hoch",IF(OR(Q78&gt;=Einstellungen!$N$9,R78&gt;=Einstellungen!$N$10),"Mittel","Normal"))))</f>
        <v/>
      </c>
      <c r="U78" s="18"/>
      <c r="V78" s="25" t="str">
        <f>IFERROR(VLOOKUP(F78,Einstellungen!$A$7:$B$13,2,FALSE),"")</f>
        <v/>
      </c>
    </row>
    <row r="79" spans="1:22" x14ac:dyDescent="0.25">
      <c r="A79" s="17"/>
      <c r="B79" s="18"/>
      <c r="C79" s="18"/>
      <c r="D79" s="18"/>
      <c r="E79" s="18"/>
      <c r="F79" s="18"/>
      <c r="G79" s="18"/>
      <c r="H79" s="19"/>
      <c r="I79" s="20">
        <f>IFERROR(VLOOKUP(F79,Einstellungen!$A$7:$C$13,3,FALSE),0)</f>
        <v>0</v>
      </c>
      <c r="J79" s="21" t="str">
        <f t="shared" si="8"/>
        <v/>
      </c>
      <c r="K79" s="22"/>
      <c r="L79" s="22"/>
      <c r="M79" s="22"/>
      <c r="N79" s="22"/>
      <c r="O79" s="18"/>
      <c r="P79" s="22"/>
      <c r="Q79" s="23" t="str">
        <f t="shared" ca="1" si="9"/>
        <v/>
      </c>
      <c r="R79" s="23" t="str">
        <f t="shared" ca="1" si="10"/>
        <v/>
      </c>
      <c r="S79" s="24" t="str">
        <f t="shared" ca="1" si="11"/>
        <v/>
      </c>
      <c r="T79" s="24" t="str">
        <f>IF(A79="","",IF(G79&lt;&gt;"Offen","-",IF(AND(Q79&gt;=Einstellungen!$N$9,R79&gt;=Einstellungen!$N$10),"Hoch",IF(OR(Q79&gt;=Einstellungen!$N$9,R79&gt;=Einstellungen!$N$10),"Mittel","Normal"))))</f>
        <v/>
      </c>
      <c r="U79" s="18"/>
      <c r="V79" s="25" t="str">
        <f>IFERROR(VLOOKUP(F79,Einstellungen!$A$7:$B$13,2,FALSE),"")</f>
        <v/>
      </c>
    </row>
    <row r="80" spans="1:22" x14ac:dyDescent="0.25">
      <c r="A80" s="17"/>
      <c r="B80" s="18"/>
      <c r="C80" s="18"/>
      <c r="D80" s="18"/>
      <c r="E80" s="18"/>
      <c r="F80" s="18"/>
      <c r="G80" s="18"/>
      <c r="H80" s="19"/>
      <c r="I80" s="20">
        <f>IFERROR(VLOOKUP(F80,Einstellungen!$A$7:$C$13,3,FALSE),0)</f>
        <v>0</v>
      </c>
      <c r="J80" s="21" t="str">
        <f t="shared" si="8"/>
        <v/>
      </c>
      <c r="K80" s="22"/>
      <c r="L80" s="22"/>
      <c r="M80" s="22"/>
      <c r="N80" s="22"/>
      <c r="O80" s="18"/>
      <c r="P80" s="22"/>
      <c r="Q80" s="23" t="str">
        <f t="shared" ca="1" si="9"/>
        <v/>
      </c>
      <c r="R80" s="23" t="str">
        <f t="shared" ca="1" si="10"/>
        <v/>
      </c>
      <c r="S80" s="24" t="str">
        <f t="shared" ca="1" si="11"/>
        <v/>
      </c>
      <c r="T80" s="24" t="str">
        <f>IF(A80="","",IF(G80&lt;&gt;"Offen","-",IF(AND(Q80&gt;=Einstellungen!$N$9,R80&gt;=Einstellungen!$N$10),"Hoch",IF(OR(Q80&gt;=Einstellungen!$N$9,R80&gt;=Einstellungen!$N$10),"Mittel","Normal"))))</f>
        <v/>
      </c>
      <c r="U80" s="18"/>
      <c r="V80" s="25" t="str">
        <f>IFERROR(VLOOKUP(F80,Einstellungen!$A$7:$B$13,2,FALSE),"")</f>
        <v/>
      </c>
    </row>
    <row r="81" spans="1:22" x14ac:dyDescent="0.25">
      <c r="A81" s="17"/>
      <c r="B81" s="18"/>
      <c r="C81" s="18"/>
      <c r="D81" s="18"/>
      <c r="E81" s="18"/>
      <c r="F81" s="18"/>
      <c r="G81" s="18"/>
      <c r="H81" s="19"/>
      <c r="I81" s="20">
        <f>IFERROR(VLOOKUP(F81,Einstellungen!$A$7:$C$13,3,FALSE),0)</f>
        <v>0</v>
      </c>
      <c r="J81" s="21" t="str">
        <f t="shared" si="8"/>
        <v/>
      </c>
      <c r="K81" s="22"/>
      <c r="L81" s="22"/>
      <c r="M81" s="22"/>
      <c r="N81" s="22"/>
      <c r="O81" s="18"/>
      <c r="P81" s="22"/>
      <c r="Q81" s="23" t="str">
        <f t="shared" ca="1" si="9"/>
        <v/>
      </c>
      <c r="R81" s="23" t="str">
        <f t="shared" ca="1" si="10"/>
        <v/>
      </c>
      <c r="S81" s="24" t="str">
        <f t="shared" ca="1" si="11"/>
        <v/>
      </c>
      <c r="T81" s="24" t="str">
        <f>IF(A81="","",IF(G81&lt;&gt;"Offen","-",IF(AND(Q81&gt;=Einstellungen!$N$9,R81&gt;=Einstellungen!$N$10),"Hoch",IF(OR(Q81&gt;=Einstellungen!$N$9,R81&gt;=Einstellungen!$N$10),"Mittel","Normal"))))</f>
        <v/>
      </c>
      <c r="U81" s="18"/>
      <c r="V81" s="25" t="str">
        <f>IFERROR(VLOOKUP(F81,Einstellungen!$A$7:$B$13,2,FALSE),"")</f>
        <v/>
      </c>
    </row>
    <row r="82" spans="1:22" x14ac:dyDescent="0.25">
      <c r="A82" s="17"/>
      <c r="B82" s="18"/>
      <c r="C82" s="18"/>
      <c r="D82" s="18"/>
      <c r="E82" s="18"/>
      <c r="F82" s="18"/>
      <c r="G82" s="18"/>
      <c r="H82" s="19"/>
      <c r="I82" s="20">
        <f>IFERROR(VLOOKUP(F82,Einstellungen!$A$7:$C$13,3,FALSE),0)</f>
        <v>0</v>
      </c>
      <c r="J82" s="21" t="str">
        <f t="shared" si="8"/>
        <v/>
      </c>
      <c r="K82" s="22"/>
      <c r="L82" s="22"/>
      <c r="M82" s="22"/>
      <c r="N82" s="22"/>
      <c r="O82" s="18"/>
      <c r="P82" s="22"/>
      <c r="Q82" s="23" t="str">
        <f t="shared" ca="1" si="9"/>
        <v/>
      </c>
      <c r="R82" s="23" t="str">
        <f t="shared" ca="1" si="10"/>
        <v/>
      </c>
      <c r="S82" s="24" t="str">
        <f t="shared" ca="1" si="11"/>
        <v/>
      </c>
      <c r="T82" s="24" t="str">
        <f>IF(A82="","",IF(G82&lt;&gt;"Offen","-",IF(AND(Q82&gt;=Einstellungen!$N$9,R82&gt;=Einstellungen!$N$10),"Hoch",IF(OR(Q82&gt;=Einstellungen!$N$9,R82&gt;=Einstellungen!$N$10),"Mittel","Normal"))))</f>
        <v/>
      </c>
      <c r="U82" s="18"/>
      <c r="V82" s="25" t="str">
        <f>IFERROR(VLOOKUP(F82,Einstellungen!$A$7:$B$13,2,FALSE),"")</f>
        <v/>
      </c>
    </row>
    <row r="83" spans="1:22" x14ac:dyDescent="0.25">
      <c r="A83" s="17"/>
      <c r="B83" s="18"/>
      <c r="C83" s="18"/>
      <c r="D83" s="18"/>
      <c r="E83" s="18"/>
      <c r="F83" s="18"/>
      <c r="G83" s="18"/>
      <c r="H83" s="19"/>
      <c r="I83" s="20">
        <f>IFERROR(VLOOKUP(F83,Einstellungen!$A$7:$C$13,3,FALSE),0)</f>
        <v>0</v>
      </c>
      <c r="J83" s="21" t="str">
        <f t="shared" si="8"/>
        <v/>
      </c>
      <c r="K83" s="22"/>
      <c r="L83" s="22"/>
      <c r="M83" s="22"/>
      <c r="N83" s="22"/>
      <c r="O83" s="18"/>
      <c r="P83" s="22"/>
      <c r="Q83" s="23" t="str">
        <f t="shared" ca="1" si="9"/>
        <v/>
      </c>
      <c r="R83" s="23" t="str">
        <f t="shared" ca="1" si="10"/>
        <v/>
      </c>
      <c r="S83" s="24" t="str">
        <f t="shared" ca="1" si="11"/>
        <v/>
      </c>
      <c r="T83" s="24" t="str">
        <f>IF(A83="","",IF(G83&lt;&gt;"Offen","-",IF(AND(Q83&gt;=Einstellungen!$N$9,R83&gt;=Einstellungen!$N$10),"Hoch",IF(OR(Q83&gt;=Einstellungen!$N$9,R83&gt;=Einstellungen!$N$10),"Mittel","Normal"))))</f>
        <v/>
      </c>
      <c r="U83" s="18"/>
      <c r="V83" s="25" t="str">
        <f>IFERROR(VLOOKUP(F83,Einstellungen!$A$7:$B$13,2,FALSE),"")</f>
        <v/>
      </c>
    </row>
    <row r="84" spans="1:22" x14ac:dyDescent="0.25">
      <c r="A84" s="17"/>
      <c r="B84" s="18"/>
      <c r="C84" s="18"/>
      <c r="D84" s="18"/>
      <c r="E84" s="18"/>
      <c r="F84" s="18"/>
      <c r="G84" s="18"/>
      <c r="H84" s="19"/>
      <c r="I84" s="20">
        <f>IFERROR(VLOOKUP(F84,Einstellungen!$A$7:$C$13,3,FALSE),0)</f>
        <v>0</v>
      </c>
      <c r="J84" s="21" t="str">
        <f t="shared" si="8"/>
        <v/>
      </c>
      <c r="K84" s="22"/>
      <c r="L84" s="22"/>
      <c r="M84" s="22"/>
      <c r="N84" s="22"/>
      <c r="O84" s="18"/>
      <c r="P84" s="22"/>
      <c r="Q84" s="23" t="str">
        <f t="shared" ca="1" si="9"/>
        <v/>
      </c>
      <c r="R84" s="23" t="str">
        <f t="shared" ca="1" si="10"/>
        <v/>
      </c>
      <c r="S84" s="24" t="str">
        <f t="shared" ca="1" si="11"/>
        <v/>
      </c>
      <c r="T84" s="24" t="str">
        <f>IF(A84="","",IF(G84&lt;&gt;"Offen","-",IF(AND(Q84&gt;=Einstellungen!$N$9,R84&gt;=Einstellungen!$N$10),"Hoch",IF(OR(Q84&gt;=Einstellungen!$N$9,R84&gt;=Einstellungen!$N$10),"Mittel","Normal"))))</f>
        <v/>
      </c>
      <c r="U84" s="18"/>
      <c r="V84" s="25" t="str">
        <f>IFERROR(VLOOKUP(F84,Einstellungen!$A$7:$B$13,2,FALSE),"")</f>
        <v/>
      </c>
    </row>
    <row r="85" spans="1:22" x14ac:dyDescent="0.25">
      <c r="A85" s="17"/>
      <c r="B85" s="18"/>
      <c r="C85" s="18"/>
      <c r="D85" s="18"/>
      <c r="E85" s="18"/>
      <c r="F85" s="18"/>
      <c r="G85" s="18"/>
      <c r="H85" s="19"/>
      <c r="I85" s="20">
        <f>IFERROR(VLOOKUP(F85,Einstellungen!$A$7:$C$13,3,FALSE),0)</f>
        <v>0</v>
      </c>
      <c r="J85" s="21" t="str">
        <f t="shared" si="8"/>
        <v/>
      </c>
      <c r="K85" s="22"/>
      <c r="L85" s="22"/>
      <c r="M85" s="22"/>
      <c r="N85" s="22"/>
      <c r="O85" s="18"/>
      <c r="P85" s="22"/>
      <c r="Q85" s="23" t="str">
        <f t="shared" ca="1" si="9"/>
        <v/>
      </c>
      <c r="R85" s="23" t="str">
        <f t="shared" ca="1" si="10"/>
        <v/>
      </c>
      <c r="S85" s="24" t="str">
        <f t="shared" ca="1" si="11"/>
        <v/>
      </c>
      <c r="T85" s="24" t="str">
        <f>IF(A85="","",IF(G85&lt;&gt;"Offen","-",IF(AND(Q85&gt;=Einstellungen!$N$9,R85&gt;=Einstellungen!$N$10),"Hoch",IF(OR(Q85&gt;=Einstellungen!$N$9,R85&gt;=Einstellungen!$N$10),"Mittel","Normal"))))</f>
        <v/>
      </c>
      <c r="U85" s="18"/>
      <c r="V85" s="25" t="str">
        <f>IFERROR(VLOOKUP(F85,Einstellungen!$A$7:$B$13,2,FALSE),"")</f>
        <v/>
      </c>
    </row>
    <row r="86" spans="1:22" x14ac:dyDescent="0.25">
      <c r="A86" s="17"/>
      <c r="B86" s="18"/>
      <c r="C86" s="18"/>
      <c r="D86" s="18"/>
      <c r="E86" s="18"/>
      <c r="F86" s="18"/>
      <c r="G86" s="18"/>
      <c r="H86" s="19"/>
      <c r="I86" s="20">
        <f>IFERROR(VLOOKUP(F86,Einstellungen!$A$7:$C$13,3,FALSE),0)</f>
        <v>0</v>
      </c>
      <c r="J86" s="21" t="str">
        <f t="shared" si="8"/>
        <v/>
      </c>
      <c r="K86" s="22"/>
      <c r="L86" s="22"/>
      <c r="M86" s="22"/>
      <c r="N86" s="22"/>
      <c r="O86" s="18"/>
      <c r="P86" s="22"/>
      <c r="Q86" s="23" t="str">
        <f t="shared" ca="1" si="9"/>
        <v/>
      </c>
      <c r="R86" s="23" t="str">
        <f t="shared" ca="1" si="10"/>
        <v/>
      </c>
      <c r="S86" s="24" t="str">
        <f t="shared" ca="1" si="11"/>
        <v/>
      </c>
      <c r="T86" s="24" t="str">
        <f>IF(A86="","",IF(G86&lt;&gt;"Offen","-",IF(AND(Q86&gt;=Einstellungen!$N$9,R86&gt;=Einstellungen!$N$10),"Hoch",IF(OR(Q86&gt;=Einstellungen!$N$9,R86&gt;=Einstellungen!$N$10),"Mittel","Normal"))))</f>
        <v/>
      </c>
      <c r="U86" s="18"/>
      <c r="V86" s="25" t="str">
        <f>IFERROR(VLOOKUP(F86,Einstellungen!$A$7:$B$13,2,FALSE),"")</f>
        <v/>
      </c>
    </row>
    <row r="87" spans="1:22" x14ac:dyDescent="0.25">
      <c r="A87" s="17"/>
      <c r="B87" s="18"/>
      <c r="C87" s="18"/>
      <c r="D87" s="18"/>
      <c r="E87" s="18"/>
      <c r="F87" s="18"/>
      <c r="G87" s="18"/>
      <c r="H87" s="19"/>
      <c r="I87" s="20">
        <f>IFERROR(VLOOKUP(F87,Einstellungen!$A$7:$C$13,3,FALSE),0)</f>
        <v>0</v>
      </c>
      <c r="J87" s="21" t="str">
        <f t="shared" si="8"/>
        <v/>
      </c>
      <c r="K87" s="22"/>
      <c r="L87" s="22"/>
      <c r="M87" s="22"/>
      <c r="N87" s="22"/>
      <c r="O87" s="18"/>
      <c r="P87" s="22"/>
      <c r="Q87" s="23" t="str">
        <f t="shared" ca="1" si="9"/>
        <v/>
      </c>
      <c r="R87" s="23" t="str">
        <f t="shared" ca="1" si="10"/>
        <v/>
      </c>
      <c r="S87" s="24" t="str">
        <f t="shared" ca="1" si="11"/>
        <v/>
      </c>
      <c r="T87" s="24" t="str">
        <f>IF(A87="","",IF(G87&lt;&gt;"Offen","-",IF(AND(Q87&gt;=Einstellungen!$N$9,R87&gt;=Einstellungen!$N$10),"Hoch",IF(OR(Q87&gt;=Einstellungen!$N$9,R87&gt;=Einstellungen!$N$10),"Mittel","Normal"))))</f>
        <v/>
      </c>
      <c r="U87" s="18"/>
      <c r="V87" s="25" t="str">
        <f>IFERROR(VLOOKUP(F87,Einstellungen!$A$7:$B$13,2,FALSE),"")</f>
        <v/>
      </c>
    </row>
    <row r="88" spans="1:22" x14ac:dyDescent="0.25">
      <c r="A88" s="17"/>
      <c r="B88" s="18"/>
      <c r="C88" s="18"/>
      <c r="D88" s="18"/>
      <c r="E88" s="18"/>
      <c r="F88" s="18"/>
      <c r="G88" s="18"/>
      <c r="H88" s="19"/>
      <c r="I88" s="20">
        <f>IFERROR(VLOOKUP(F88,Einstellungen!$A$7:$C$13,3,FALSE),0)</f>
        <v>0</v>
      </c>
      <c r="J88" s="21" t="str">
        <f t="shared" si="8"/>
        <v/>
      </c>
      <c r="K88" s="22"/>
      <c r="L88" s="22"/>
      <c r="M88" s="22"/>
      <c r="N88" s="22"/>
      <c r="O88" s="18"/>
      <c r="P88" s="22"/>
      <c r="Q88" s="23" t="str">
        <f t="shared" ca="1" si="9"/>
        <v/>
      </c>
      <c r="R88" s="23" t="str">
        <f t="shared" ca="1" si="10"/>
        <v/>
      </c>
      <c r="S88" s="24" t="str">
        <f t="shared" ca="1" si="11"/>
        <v/>
      </c>
      <c r="T88" s="24" t="str">
        <f>IF(A88="","",IF(G88&lt;&gt;"Offen","-",IF(AND(Q88&gt;=Einstellungen!$N$9,R88&gt;=Einstellungen!$N$10),"Hoch",IF(OR(Q88&gt;=Einstellungen!$N$9,R88&gt;=Einstellungen!$N$10),"Mittel","Normal"))))</f>
        <v/>
      </c>
      <c r="U88" s="18"/>
      <c r="V88" s="25" t="str">
        <f>IFERROR(VLOOKUP(F88,Einstellungen!$A$7:$B$13,2,FALSE),"")</f>
        <v/>
      </c>
    </row>
    <row r="89" spans="1:22" x14ac:dyDescent="0.25">
      <c r="A89" s="17"/>
      <c r="B89" s="18"/>
      <c r="C89" s="18"/>
      <c r="D89" s="18"/>
      <c r="E89" s="18"/>
      <c r="F89" s="18"/>
      <c r="G89" s="18"/>
      <c r="H89" s="19"/>
      <c r="I89" s="20">
        <f>IFERROR(VLOOKUP(F89,Einstellungen!$A$7:$C$13,3,FALSE),0)</f>
        <v>0</v>
      </c>
      <c r="J89" s="21" t="str">
        <f t="shared" si="8"/>
        <v/>
      </c>
      <c r="K89" s="22"/>
      <c r="L89" s="22"/>
      <c r="M89" s="22"/>
      <c r="N89" s="22"/>
      <c r="O89" s="18"/>
      <c r="P89" s="22"/>
      <c r="Q89" s="23" t="str">
        <f t="shared" ca="1" si="9"/>
        <v/>
      </c>
      <c r="R89" s="23" t="str">
        <f t="shared" ca="1" si="10"/>
        <v/>
      </c>
      <c r="S89" s="24" t="str">
        <f t="shared" ca="1" si="11"/>
        <v/>
      </c>
      <c r="T89" s="24" t="str">
        <f>IF(A89="","",IF(G89&lt;&gt;"Offen","-",IF(AND(Q89&gt;=Einstellungen!$N$9,R89&gt;=Einstellungen!$N$10),"Hoch",IF(OR(Q89&gt;=Einstellungen!$N$9,R89&gt;=Einstellungen!$N$10),"Mittel","Normal"))))</f>
        <v/>
      </c>
      <c r="U89" s="18"/>
      <c r="V89" s="25" t="str">
        <f>IFERROR(VLOOKUP(F89,Einstellungen!$A$7:$B$13,2,FALSE),"")</f>
        <v/>
      </c>
    </row>
    <row r="90" spans="1:22" x14ac:dyDescent="0.25">
      <c r="A90" s="17"/>
      <c r="B90" s="18"/>
      <c r="C90" s="18"/>
      <c r="D90" s="18"/>
      <c r="E90" s="18"/>
      <c r="F90" s="18"/>
      <c r="G90" s="18"/>
      <c r="H90" s="19"/>
      <c r="I90" s="20">
        <f>IFERROR(VLOOKUP(F90,Einstellungen!$A$7:$C$13,3,FALSE),0)</f>
        <v>0</v>
      </c>
      <c r="J90" s="21" t="str">
        <f t="shared" si="8"/>
        <v/>
      </c>
      <c r="K90" s="22"/>
      <c r="L90" s="22"/>
      <c r="M90" s="22"/>
      <c r="N90" s="22"/>
      <c r="O90" s="18"/>
      <c r="P90" s="22"/>
      <c r="Q90" s="23" t="str">
        <f t="shared" ca="1" si="9"/>
        <v/>
      </c>
      <c r="R90" s="23" t="str">
        <f t="shared" ca="1" si="10"/>
        <v/>
      </c>
      <c r="S90" s="24" t="str">
        <f t="shared" ca="1" si="11"/>
        <v/>
      </c>
      <c r="T90" s="24" t="str">
        <f>IF(A90="","",IF(G90&lt;&gt;"Offen","-",IF(AND(Q90&gt;=Einstellungen!$N$9,R90&gt;=Einstellungen!$N$10),"Hoch",IF(OR(Q90&gt;=Einstellungen!$N$9,R90&gt;=Einstellungen!$N$10),"Mittel","Normal"))))</f>
        <v/>
      </c>
      <c r="U90" s="18"/>
      <c r="V90" s="25" t="str">
        <f>IFERROR(VLOOKUP(F90,Einstellungen!$A$7:$B$13,2,FALSE),"")</f>
        <v/>
      </c>
    </row>
    <row r="91" spans="1:22" x14ac:dyDescent="0.25">
      <c r="A91" s="17"/>
      <c r="B91" s="18"/>
      <c r="C91" s="18"/>
      <c r="D91" s="18"/>
      <c r="E91" s="18"/>
      <c r="F91" s="18"/>
      <c r="G91" s="18"/>
      <c r="H91" s="19"/>
      <c r="I91" s="20">
        <f>IFERROR(VLOOKUP(F91,Einstellungen!$A$7:$C$13,3,FALSE),0)</f>
        <v>0</v>
      </c>
      <c r="J91" s="21" t="str">
        <f t="shared" si="8"/>
        <v/>
      </c>
      <c r="K91" s="22"/>
      <c r="L91" s="22"/>
      <c r="M91" s="22"/>
      <c r="N91" s="22"/>
      <c r="O91" s="18"/>
      <c r="P91" s="22"/>
      <c r="Q91" s="23" t="str">
        <f t="shared" ca="1" si="9"/>
        <v/>
      </c>
      <c r="R91" s="23" t="str">
        <f t="shared" ca="1" si="10"/>
        <v/>
      </c>
      <c r="S91" s="24" t="str">
        <f t="shared" ca="1" si="11"/>
        <v/>
      </c>
      <c r="T91" s="24" t="str">
        <f>IF(A91="","",IF(G91&lt;&gt;"Offen","-",IF(AND(Q91&gt;=Einstellungen!$N$9,R91&gt;=Einstellungen!$N$10),"Hoch",IF(OR(Q91&gt;=Einstellungen!$N$9,R91&gt;=Einstellungen!$N$10),"Mittel","Normal"))))</f>
        <v/>
      </c>
      <c r="U91" s="18"/>
      <c r="V91" s="25" t="str">
        <f>IFERROR(VLOOKUP(F91,Einstellungen!$A$7:$B$13,2,FALSE),"")</f>
        <v/>
      </c>
    </row>
    <row r="92" spans="1:22" x14ac:dyDescent="0.25">
      <c r="A92" s="17"/>
      <c r="B92" s="18"/>
      <c r="C92" s="18"/>
      <c r="D92" s="18"/>
      <c r="E92" s="18"/>
      <c r="F92" s="18"/>
      <c r="G92" s="18"/>
      <c r="H92" s="19"/>
      <c r="I92" s="20">
        <f>IFERROR(VLOOKUP(F92,Einstellungen!$A$7:$C$13,3,FALSE),0)</f>
        <v>0</v>
      </c>
      <c r="J92" s="21" t="str">
        <f t="shared" si="8"/>
        <v/>
      </c>
      <c r="K92" s="22"/>
      <c r="L92" s="22"/>
      <c r="M92" s="22"/>
      <c r="N92" s="22"/>
      <c r="O92" s="18"/>
      <c r="P92" s="22"/>
      <c r="Q92" s="23" t="str">
        <f t="shared" ca="1" si="9"/>
        <v/>
      </c>
      <c r="R92" s="23" t="str">
        <f t="shared" ca="1" si="10"/>
        <v/>
      </c>
      <c r="S92" s="24" t="str">
        <f t="shared" ca="1" si="11"/>
        <v/>
      </c>
      <c r="T92" s="24" t="str">
        <f>IF(A92="","",IF(G92&lt;&gt;"Offen","-",IF(AND(Q92&gt;=Einstellungen!$N$9,R92&gt;=Einstellungen!$N$10),"Hoch",IF(OR(Q92&gt;=Einstellungen!$N$9,R92&gt;=Einstellungen!$N$10),"Mittel","Normal"))))</f>
        <v/>
      </c>
      <c r="U92" s="18"/>
      <c r="V92" s="25" t="str">
        <f>IFERROR(VLOOKUP(F92,Einstellungen!$A$7:$B$13,2,FALSE),"")</f>
        <v/>
      </c>
    </row>
    <row r="93" spans="1:22" x14ac:dyDescent="0.25">
      <c r="A93" s="17"/>
      <c r="B93" s="18"/>
      <c r="C93" s="18"/>
      <c r="D93" s="18"/>
      <c r="E93" s="18"/>
      <c r="F93" s="18"/>
      <c r="G93" s="18"/>
      <c r="H93" s="19"/>
      <c r="I93" s="20">
        <f>IFERROR(VLOOKUP(F93,Einstellungen!$A$7:$C$13,3,FALSE),0)</f>
        <v>0</v>
      </c>
      <c r="J93" s="21" t="str">
        <f t="shared" si="8"/>
        <v/>
      </c>
      <c r="K93" s="22"/>
      <c r="L93" s="22"/>
      <c r="M93" s="22"/>
      <c r="N93" s="22"/>
      <c r="O93" s="18"/>
      <c r="P93" s="22"/>
      <c r="Q93" s="23" t="str">
        <f t="shared" ca="1" si="9"/>
        <v/>
      </c>
      <c r="R93" s="23" t="str">
        <f t="shared" ca="1" si="10"/>
        <v/>
      </c>
      <c r="S93" s="24" t="str">
        <f t="shared" ca="1" si="11"/>
        <v/>
      </c>
      <c r="T93" s="24" t="str">
        <f>IF(A93="","",IF(G93&lt;&gt;"Offen","-",IF(AND(Q93&gt;=Einstellungen!$N$9,R93&gt;=Einstellungen!$N$10),"Hoch",IF(OR(Q93&gt;=Einstellungen!$N$9,R93&gt;=Einstellungen!$N$10),"Mittel","Normal"))))</f>
        <v/>
      </c>
      <c r="U93" s="18"/>
      <c r="V93" s="25" t="str">
        <f>IFERROR(VLOOKUP(F93,Einstellungen!$A$7:$B$13,2,FALSE),"")</f>
        <v/>
      </c>
    </row>
    <row r="94" spans="1:22" x14ac:dyDescent="0.25">
      <c r="A94" s="17"/>
      <c r="B94" s="18"/>
      <c r="C94" s="18"/>
      <c r="D94" s="18"/>
      <c r="E94" s="18"/>
      <c r="F94" s="18"/>
      <c r="G94" s="18"/>
      <c r="H94" s="19"/>
      <c r="I94" s="20">
        <f>IFERROR(VLOOKUP(F94,Einstellungen!$A$7:$C$13,3,FALSE),0)</f>
        <v>0</v>
      </c>
      <c r="J94" s="21" t="str">
        <f t="shared" si="8"/>
        <v/>
      </c>
      <c r="K94" s="22"/>
      <c r="L94" s="22"/>
      <c r="M94" s="22"/>
      <c r="N94" s="22"/>
      <c r="O94" s="18"/>
      <c r="P94" s="22"/>
      <c r="Q94" s="23" t="str">
        <f t="shared" ca="1" si="9"/>
        <v/>
      </c>
      <c r="R94" s="23" t="str">
        <f t="shared" ca="1" si="10"/>
        <v/>
      </c>
      <c r="S94" s="24" t="str">
        <f t="shared" ca="1" si="11"/>
        <v/>
      </c>
      <c r="T94" s="24" t="str">
        <f>IF(A94="","",IF(G94&lt;&gt;"Offen","-",IF(AND(Q94&gt;=Einstellungen!$N$9,R94&gt;=Einstellungen!$N$10),"Hoch",IF(OR(Q94&gt;=Einstellungen!$N$9,R94&gt;=Einstellungen!$N$10),"Mittel","Normal"))))</f>
        <v/>
      </c>
      <c r="U94" s="18"/>
      <c r="V94" s="25" t="str">
        <f>IFERROR(VLOOKUP(F94,Einstellungen!$A$7:$B$13,2,FALSE),"")</f>
        <v/>
      </c>
    </row>
    <row r="95" spans="1:22" x14ac:dyDescent="0.25">
      <c r="A95" s="17"/>
      <c r="B95" s="18"/>
      <c r="C95" s="18"/>
      <c r="D95" s="18"/>
      <c r="E95" s="18"/>
      <c r="F95" s="18"/>
      <c r="G95" s="18"/>
      <c r="H95" s="19"/>
      <c r="I95" s="20">
        <f>IFERROR(VLOOKUP(F95,Einstellungen!$A$7:$C$13,3,FALSE),0)</f>
        <v>0</v>
      </c>
      <c r="J95" s="21" t="str">
        <f t="shared" si="8"/>
        <v/>
      </c>
      <c r="K95" s="22"/>
      <c r="L95" s="22"/>
      <c r="M95" s="22"/>
      <c r="N95" s="22"/>
      <c r="O95" s="18"/>
      <c r="P95" s="22"/>
      <c r="Q95" s="23" t="str">
        <f t="shared" ca="1" si="9"/>
        <v/>
      </c>
      <c r="R95" s="23" t="str">
        <f t="shared" ca="1" si="10"/>
        <v/>
      </c>
      <c r="S95" s="24" t="str">
        <f t="shared" ca="1" si="11"/>
        <v/>
      </c>
      <c r="T95" s="24" t="str">
        <f>IF(A95="","",IF(G95&lt;&gt;"Offen","-",IF(AND(Q95&gt;=Einstellungen!$N$9,R95&gt;=Einstellungen!$N$10),"Hoch",IF(OR(Q95&gt;=Einstellungen!$N$9,R95&gt;=Einstellungen!$N$10),"Mittel","Normal"))))</f>
        <v/>
      </c>
      <c r="U95" s="18"/>
      <c r="V95" s="25" t="str">
        <f>IFERROR(VLOOKUP(F95,Einstellungen!$A$7:$B$13,2,FALSE),"")</f>
        <v/>
      </c>
    </row>
    <row r="96" spans="1:22" x14ac:dyDescent="0.25">
      <c r="A96" s="17"/>
      <c r="B96" s="18"/>
      <c r="C96" s="18"/>
      <c r="D96" s="18"/>
      <c r="E96" s="18"/>
      <c r="F96" s="18"/>
      <c r="G96" s="18"/>
      <c r="H96" s="19"/>
      <c r="I96" s="20">
        <f>IFERROR(VLOOKUP(F96,Einstellungen!$A$7:$C$13,3,FALSE),0)</f>
        <v>0</v>
      </c>
      <c r="J96" s="21" t="str">
        <f t="shared" si="8"/>
        <v/>
      </c>
      <c r="K96" s="22"/>
      <c r="L96" s="22"/>
      <c r="M96" s="22"/>
      <c r="N96" s="22"/>
      <c r="O96" s="18"/>
      <c r="P96" s="22"/>
      <c r="Q96" s="23" t="str">
        <f t="shared" ca="1" si="9"/>
        <v/>
      </c>
      <c r="R96" s="23" t="str">
        <f t="shared" ca="1" si="10"/>
        <v/>
      </c>
      <c r="S96" s="24" t="str">
        <f t="shared" ca="1" si="11"/>
        <v/>
      </c>
      <c r="T96" s="24" t="str">
        <f>IF(A96="","",IF(G96&lt;&gt;"Offen","-",IF(AND(Q96&gt;=Einstellungen!$N$9,R96&gt;=Einstellungen!$N$10),"Hoch",IF(OR(Q96&gt;=Einstellungen!$N$9,R96&gt;=Einstellungen!$N$10),"Mittel","Normal"))))</f>
        <v/>
      </c>
      <c r="U96" s="18"/>
      <c r="V96" s="25" t="str">
        <f>IFERROR(VLOOKUP(F96,Einstellungen!$A$7:$B$13,2,FALSE),"")</f>
        <v/>
      </c>
    </row>
    <row r="97" spans="1:22" x14ac:dyDescent="0.25">
      <c r="A97" s="17"/>
      <c r="B97" s="18"/>
      <c r="C97" s="18"/>
      <c r="D97" s="18"/>
      <c r="E97" s="18"/>
      <c r="F97" s="18"/>
      <c r="G97" s="18"/>
      <c r="H97" s="19"/>
      <c r="I97" s="20">
        <f>IFERROR(VLOOKUP(F97,Einstellungen!$A$7:$C$13,3,FALSE),0)</f>
        <v>0</v>
      </c>
      <c r="J97" s="21" t="str">
        <f t="shared" si="8"/>
        <v/>
      </c>
      <c r="K97" s="22"/>
      <c r="L97" s="22"/>
      <c r="M97" s="22"/>
      <c r="N97" s="22"/>
      <c r="O97" s="18"/>
      <c r="P97" s="22"/>
      <c r="Q97" s="23" t="str">
        <f t="shared" ca="1" si="9"/>
        <v/>
      </c>
      <c r="R97" s="23" t="str">
        <f t="shared" ca="1" si="10"/>
        <v/>
      </c>
      <c r="S97" s="24" t="str">
        <f t="shared" ca="1" si="11"/>
        <v/>
      </c>
      <c r="T97" s="24" t="str">
        <f>IF(A97="","",IF(G97&lt;&gt;"Offen","-",IF(AND(Q97&gt;=Einstellungen!$N$9,R97&gt;=Einstellungen!$N$10),"Hoch",IF(OR(Q97&gt;=Einstellungen!$N$9,R97&gt;=Einstellungen!$N$10),"Mittel","Normal"))))</f>
        <v/>
      </c>
      <c r="U97" s="18"/>
      <c r="V97" s="25" t="str">
        <f>IFERROR(VLOOKUP(F97,Einstellungen!$A$7:$B$13,2,FALSE),"")</f>
        <v/>
      </c>
    </row>
    <row r="98" spans="1:22" x14ac:dyDescent="0.25">
      <c r="A98" s="17"/>
      <c r="B98" s="18"/>
      <c r="C98" s="18"/>
      <c r="D98" s="18"/>
      <c r="E98" s="18"/>
      <c r="F98" s="18"/>
      <c r="G98" s="18"/>
      <c r="H98" s="19"/>
      <c r="I98" s="20">
        <f>IFERROR(VLOOKUP(F98,Einstellungen!$A$7:$C$13,3,FALSE),0)</f>
        <v>0</v>
      </c>
      <c r="J98" s="21" t="str">
        <f t="shared" si="8"/>
        <v/>
      </c>
      <c r="K98" s="22"/>
      <c r="L98" s="22"/>
      <c r="M98" s="22"/>
      <c r="N98" s="22"/>
      <c r="O98" s="18"/>
      <c r="P98" s="22"/>
      <c r="Q98" s="23" t="str">
        <f t="shared" ca="1" si="9"/>
        <v/>
      </c>
      <c r="R98" s="23" t="str">
        <f t="shared" ca="1" si="10"/>
        <v/>
      </c>
      <c r="S98" s="24" t="str">
        <f t="shared" ca="1" si="11"/>
        <v/>
      </c>
      <c r="T98" s="24" t="str">
        <f>IF(A98="","",IF(G98&lt;&gt;"Offen","-",IF(AND(Q98&gt;=Einstellungen!$N$9,R98&gt;=Einstellungen!$N$10),"Hoch",IF(OR(Q98&gt;=Einstellungen!$N$9,R98&gt;=Einstellungen!$N$10),"Mittel","Normal"))))</f>
        <v/>
      </c>
      <c r="U98" s="18"/>
      <c r="V98" s="25" t="str">
        <f>IFERROR(VLOOKUP(F98,Einstellungen!$A$7:$B$13,2,FALSE),"")</f>
        <v/>
      </c>
    </row>
    <row r="99" spans="1:22" x14ac:dyDescent="0.25">
      <c r="A99" s="17"/>
      <c r="B99" s="18"/>
      <c r="C99" s="18"/>
      <c r="D99" s="18"/>
      <c r="E99" s="18"/>
      <c r="F99" s="18"/>
      <c r="G99" s="18"/>
      <c r="H99" s="19"/>
      <c r="I99" s="20">
        <f>IFERROR(VLOOKUP(F99,Einstellungen!$A$7:$C$13,3,FALSE),0)</f>
        <v>0</v>
      </c>
      <c r="J99" s="21" t="str">
        <f t="shared" si="8"/>
        <v/>
      </c>
      <c r="K99" s="22"/>
      <c r="L99" s="22"/>
      <c r="M99" s="22"/>
      <c r="N99" s="22"/>
      <c r="O99" s="18"/>
      <c r="P99" s="22"/>
      <c r="Q99" s="23" t="str">
        <f t="shared" ca="1" si="9"/>
        <v/>
      </c>
      <c r="R99" s="23" t="str">
        <f t="shared" ca="1" si="10"/>
        <v/>
      </c>
      <c r="S99" s="24" t="str">
        <f t="shared" ca="1" si="11"/>
        <v/>
      </c>
      <c r="T99" s="24" t="str">
        <f>IF(A99="","",IF(G99&lt;&gt;"Offen","-",IF(AND(Q99&gt;=Einstellungen!$N$9,R99&gt;=Einstellungen!$N$10),"Hoch",IF(OR(Q99&gt;=Einstellungen!$N$9,R99&gt;=Einstellungen!$N$10),"Mittel","Normal"))))</f>
        <v/>
      </c>
      <c r="U99" s="18"/>
      <c r="V99" s="25" t="str">
        <f>IFERROR(VLOOKUP(F99,Einstellungen!$A$7:$B$13,2,FALSE),"")</f>
        <v/>
      </c>
    </row>
    <row r="100" spans="1:22" x14ac:dyDescent="0.25">
      <c r="A100" s="17"/>
      <c r="B100" s="18"/>
      <c r="C100" s="18"/>
      <c r="D100" s="18"/>
      <c r="E100" s="18"/>
      <c r="F100" s="18"/>
      <c r="G100" s="18"/>
      <c r="H100" s="19"/>
      <c r="I100" s="20">
        <f>IFERROR(VLOOKUP(F100,Einstellungen!$A$7:$C$13,3,FALSE),0)</f>
        <v>0</v>
      </c>
      <c r="J100" s="21" t="str">
        <f t="shared" si="8"/>
        <v/>
      </c>
      <c r="K100" s="22"/>
      <c r="L100" s="22"/>
      <c r="M100" s="22"/>
      <c r="N100" s="22"/>
      <c r="O100" s="18"/>
      <c r="P100" s="22"/>
      <c r="Q100" s="23" t="str">
        <f t="shared" ca="1" si="9"/>
        <v/>
      </c>
      <c r="R100" s="23" t="str">
        <f t="shared" ca="1" si="10"/>
        <v/>
      </c>
      <c r="S100" s="24" t="str">
        <f t="shared" ca="1" si="11"/>
        <v/>
      </c>
      <c r="T100" s="24" t="str">
        <f>IF(A100="","",IF(G100&lt;&gt;"Offen","-",IF(AND(Q100&gt;=Einstellungen!$N$9,R100&gt;=Einstellungen!$N$10),"Hoch",IF(OR(Q100&gt;=Einstellungen!$N$9,R100&gt;=Einstellungen!$N$10),"Mittel","Normal"))))</f>
        <v/>
      </c>
      <c r="U100" s="18"/>
      <c r="V100" s="25" t="str">
        <f>IFERROR(VLOOKUP(F100,Einstellungen!$A$7:$B$13,2,FALSE),"")</f>
        <v/>
      </c>
    </row>
    <row r="101" spans="1:22" x14ac:dyDescent="0.25">
      <c r="A101" s="17"/>
      <c r="B101" s="18"/>
      <c r="C101" s="18"/>
      <c r="D101" s="18"/>
      <c r="E101" s="18"/>
      <c r="F101" s="18"/>
      <c r="G101" s="18"/>
      <c r="H101" s="19"/>
      <c r="I101" s="20">
        <f>IFERROR(VLOOKUP(F101,Einstellungen!$A$7:$C$13,3,FALSE),0)</f>
        <v>0</v>
      </c>
      <c r="J101" s="21" t="str">
        <f t="shared" ref="J101:J132" si="12">IF(A101="","",IF(G101="Gewonnen",H101,IF(OR(G101="Verloren",G101="Disqualifiziert"),0,H101*I101)))</f>
        <v/>
      </c>
      <c r="K101" s="22"/>
      <c r="L101" s="22"/>
      <c r="M101" s="22"/>
      <c r="N101" s="22"/>
      <c r="O101" s="18"/>
      <c r="P101" s="22"/>
      <c r="Q101" s="23" t="str">
        <f t="shared" ca="1" si="9"/>
        <v/>
      </c>
      <c r="R101" s="23" t="str">
        <f t="shared" ca="1" si="10"/>
        <v/>
      </c>
      <c r="S101" s="24" t="str">
        <f t="shared" ca="1" si="11"/>
        <v/>
      </c>
      <c r="T101" s="24" t="str">
        <f>IF(A101="","",IF(G101&lt;&gt;"Offen","-",IF(AND(Q101&gt;=Einstellungen!$N$9,R101&gt;=Einstellungen!$N$10),"Hoch",IF(OR(Q101&gt;=Einstellungen!$N$9,R101&gt;=Einstellungen!$N$10),"Mittel","Normal"))))</f>
        <v/>
      </c>
      <c r="U101" s="18"/>
      <c r="V101" s="25" t="str">
        <f>IFERROR(VLOOKUP(F101,Einstellungen!$A$7:$B$13,2,FALSE),"")</f>
        <v/>
      </c>
    </row>
    <row r="102" spans="1:22" x14ac:dyDescent="0.25">
      <c r="A102" s="17"/>
      <c r="B102" s="18"/>
      <c r="C102" s="18"/>
      <c r="D102" s="18"/>
      <c r="E102" s="18"/>
      <c r="F102" s="18"/>
      <c r="G102" s="18"/>
      <c r="H102" s="19"/>
      <c r="I102" s="20">
        <f>IFERROR(VLOOKUP(F102,Einstellungen!$A$7:$C$13,3,FALSE),0)</f>
        <v>0</v>
      </c>
      <c r="J102" s="21" t="str">
        <f t="shared" si="12"/>
        <v/>
      </c>
      <c r="K102" s="22"/>
      <c r="L102" s="22"/>
      <c r="M102" s="22"/>
      <c r="N102" s="22"/>
      <c r="O102" s="18"/>
      <c r="P102" s="22"/>
      <c r="Q102" s="23" t="str">
        <f t="shared" ca="1" si="9"/>
        <v/>
      </c>
      <c r="R102" s="23" t="str">
        <f t="shared" ca="1" si="10"/>
        <v/>
      </c>
      <c r="S102" s="24" t="str">
        <f t="shared" ca="1" si="11"/>
        <v/>
      </c>
      <c r="T102" s="24" t="str">
        <f>IF(A102="","",IF(G102&lt;&gt;"Offen","-",IF(AND(Q102&gt;=Einstellungen!$N$9,R102&gt;=Einstellungen!$N$10),"Hoch",IF(OR(Q102&gt;=Einstellungen!$N$9,R102&gt;=Einstellungen!$N$10),"Mittel","Normal"))))</f>
        <v/>
      </c>
      <c r="U102" s="18"/>
      <c r="V102" s="25" t="str">
        <f>IFERROR(VLOOKUP(F102,Einstellungen!$A$7:$B$13,2,FALSE),"")</f>
        <v/>
      </c>
    </row>
    <row r="103" spans="1:22" x14ac:dyDescent="0.25">
      <c r="A103" s="17"/>
      <c r="B103" s="18"/>
      <c r="C103" s="18"/>
      <c r="D103" s="18"/>
      <c r="E103" s="18"/>
      <c r="F103" s="18"/>
      <c r="G103" s="18"/>
      <c r="H103" s="19"/>
      <c r="I103" s="20">
        <f>IFERROR(VLOOKUP(F103,Einstellungen!$A$7:$C$13,3,FALSE),0)</f>
        <v>0</v>
      </c>
      <c r="J103" s="21" t="str">
        <f t="shared" si="12"/>
        <v/>
      </c>
      <c r="K103" s="22"/>
      <c r="L103" s="22"/>
      <c r="M103" s="22"/>
      <c r="N103" s="22"/>
      <c r="O103" s="18"/>
      <c r="P103" s="22"/>
      <c r="Q103" s="23" t="str">
        <f t="shared" ca="1" si="9"/>
        <v/>
      </c>
      <c r="R103" s="23" t="str">
        <f t="shared" ca="1" si="10"/>
        <v/>
      </c>
      <c r="S103" s="24" t="str">
        <f t="shared" ca="1" si="11"/>
        <v/>
      </c>
      <c r="T103" s="24" t="str">
        <f>IF(A103="","",IF(G103&lt;&gt;"Offen","-",IF(AND(Q103&gt;=Einstellungen!$N$9,R103&gt;=Einstellungen!$N$10),"Hoch",IF(OR(Q103&gt;=Einstellungen!$N$9,R103&gt;=Einstellungen!$N$10),"Mittel","Normal"))))</f>
        <v/>
      </c>
      <c r="U103" s="18"/>
      <c r="V103" s="25" t="str">
        <f>IFERROR(VLOOKUP(F103,Einstellungen!$A$7:$B$13,2,FALSE),"")</f>
        <v/>
      </c>
    </row>
    <row r="104" spans="1:22" x14ac:dyDescent="0.25">
      <c r="A104" s="26"/>
      <c r="B104" s="27"/>
      <c r="C104" s="27"/>
      <c r="D104" s="27"/>
      <c r="E104" s="27"/>
      <c r="F104" s="27"/>
      <c r="G104" s="27"/>
      <c r="H104" s="28"/>
      <c r="I104" s="29">
        <f>IFERROR(VLOOKUP(F104,Einstellungen!$A$7:$C$13,3,FALSE),0)</f>
        <v>0</v>
      </c>
      <c r="J104" s="30" t="str">
        <f t="shared" si="12"/>
        <v/>
      </c>
      <c r="K104" s="31"/>
      <c r="L104" s="31"/>
      <c r="M104" s="31"/>
      <c r="N104" s="31"/>
      <c r="O104" s="27"/>
      <c r="P104" s="31"/>
      <c r="Q104" s="32" t="str">
        <f t="shared" ca="1" si="9"/>
        <v/>
      </c>
      <c r="R104" s="32" t="str">
        <f t="shared" ca="1" si="10"/>
        <v/>
      </c>
      <c r="S104" s="33" t="str">
        <f t="shared" ca="1" si="11"/>
        <v/>
      </c>
      <c r="T104" s="33" t="str">
        <f>IF(A104="","",IF(G104&lt;&gt;"Offen","-",IF(AND(Q104&gt;=Einstellungen!$N$9,R104&gt;=Einstellungen!$N$10),"Hoch",IF(OR(Q104&gt;=Einstellungen!$N$9,R104&gt;=Einstellungen!$N$10),"Mittel","Normal"))))</f>
        <v/>
      </c>
      <c r="U104" s="27"/>
      <c r="V104" s="34" t="str">
        <f>IFERROR(VLOOKUP(F104,Einstellungen!$A$7:$B$13,2,FALSE),"")</f>
        <v/>
      </c>
    </row>
  </sheetData>
  <mergeCells count="2">
    <mergeCell ref="A1:V1"/>
    <mergeCell ref="A2:V2"/>
  </mergeCells>
  <conditionalFormatting sqref="J5:J104">
    <cfRule type="dataBar" priority="6">
      <dataBar>
        <cfvo type="min"/>
        <cfvo type="max"/>
        <color rgb="FF60A5FA"/>
      </dataBar>
    </cfRule>
    <cfRule type="dataBar" priority="7">
      <dataBar>
        <cfvo type="min"/>
        <cfvo type="max"/>
        <color rgb="FF60A5FA"/>
      </dataBar>
      <extLst>
        <ext xmlns:x14="http://schemas.microsoft.com/office/spreadsheetml/2009/9/main" uri="{B025F937-C7B1-47D3-B67F-A62EFF666E3E}">
          <x14:id>{B34FFCA0-8956-239C-E3C4-534514BF8A02}</x14:id>
        </ext>
      </extLst>
    </cfRule>
  </conditionalFormatting>
  <conditionalFormatting sqref="S5:S104">
    <cfRule type="expression" dxfId="4" priority="1">
      <formula>$S5="Überfällig"</formula>
    </cfRule>
    <cfRule type="expression" dxfId="3" priority="2">
      <formula>$S5="Heute"</formula>
    </cfRule>
    <cfRule type="expression" dxfId="2" priority="3">
      <formula>$S5="Geplant"</formula>
    </cfRule>
  </conditionalFormatting>
  <conditionalFormatting sqref="T5:T104">
    <cfRule type="expression" dxfId="1" priority="4">
      <formula>$T5="Hoch"</formula>
    </cfRule>
    <cfRule type="expression" dxfId="0" priority="5">
      <formula>$T5="Mittel"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34FFCA0-8956-239C-E3C4-534514BF8A02}">
            <x14:dataBar>
              <x14:cfvo type="min"/>
              <x14:cfvo type="max"/>
              <x14:negativeFillColor auto="1"/>
              <x14:axisColor auto="1"/>
            </x14:dataBar>
          </x14:cfRule>
          <xm:sqref>J5:J104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100-000000000000}">
          <x14:formula1>
            <xm:f>Einstellungen!$A$7:$A$13</xm:f>
          </x14:formula1>
          <xm:sqref>F5:F104</xm:sqref>
        </x14:dataValidation>
        <x14:dataValidation type="list" xr:uid="{00000000-0002-0000-0100-000001000000}">
          <x14:formula1>
            <xm:f>Einstellungen!$G$7:$G$10</xm:f>
          </x14:formula1>
          <xm:sqref>G5:G104</xm:sqref>
        </x14:dataValidation>
        <x14:dataValidation type="list" xr:uid="{00000000-0002-0000-0100-000002000000}">
          <x14:formula1>
            <xm:f>Einstellungen!$K$7:$K$11</xm:f>
          </x14:formula1>
          <xm:sqref>D5:D104</xm:sqref>
        </x14:dataValidation>
        <x14:dataValidation type="list" xr:uid="{00000000-0002-0000-0100-000003000000}">
          <x14:formula1>
            <xm:f>Einstellungen!$I$7:$I$14</xm:f>
          </x14:formula1>
          <xm:sqref>E5:E104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1"/>
  <sheetViews>
    <sheetView workbookViewId="0">
      <selection sqref="A1:F1"/>
    </sheetView>
  </sheetViews>
  <sheetFormatPr baseColWidth="10" defaultColWidth="9" defaultRowHeight="15" x14ac:dyDescent="0.25"/>
  <cols>
    <col min="1" max="1" width="20" customWidth="1"/>
    <col min="2" max="2" width="12" customWidth="1"/>
    <col min="3" max="3" width="16" customWidth="1"/>
    <col min="4" max="4" width="36" customWidth="1"/>
    <col min="5" max="6" width="18" customWidth="1"/>
    <col min="7" max="10" width="16" customWidth="1"/>
    <col min="11" max="12" width="18" customWidth="1"/>
    <col min="13" max="13" width="36" customWidth="1"/>
    <col min="14" max="14" width="16" customWidth="1"/>
  </cols>
  <sheetData>
    <row r="1" spans="1:26" ht="32.1" customHeight="1" x14ac:dyDescent="0.25">
      <c r="A1" s="75" t="s">
        <v>175</v>
      </c>
      <c r="B1" s="76"/>
      <c r="C1" s="76"/>
      <c r="D1" s="76"/>
      <c r="E1" s="76"/>
      <c r="F1" s="76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3" spans="1:26" ht="39.950000000000003" customHeight="1" x14ac:dyDescent="0.25">
      <c r="A3" s="77" t="s">
        <v>176</v>
      </c>
      <c r="B3" s="78"/>
      <c r="C3" s="78"/>
      <c r="D3" s="78"/>
      <c r="E3" s="78"/>
      <c r="F3" s="78"/>
    </row>
    <row r="5" spans="1:26" ht="15.75" x14ac:dyDescent="0.25">
      <c r="A5" s="79" t="s">
        <v>177</v>
      </c>
      <c r="B5" s="78"/>
      <c r="C5" s="78"/>
      <c r="D5" s="80" t="s">
        <v>178</v>
      </c>
      <c r="E5" s="80" t="s">
        <v>179</v>
      </c>
      <c r="G5" s="79" t="s">
        <v>62</v>
      </c>
      <c r="H5" s="78"/>
      <c r="I5" s="79" t="s">
        <v>180</v>
      </c>
      <c r="J5" s="78"/>
      <c r="K5" s="79" t="s">
        <v>181</v>
      </c>
      <c r="L5" s="78"/>
      <c r="M5" s="4" t="s">
        <v>178</v>
      </c>
      <c r="N5" s="6" t="s">
        <v>179</v>
      </c>
    </row>
    <row r="6" spans="1:26" x14ac:dyDescent="0.25">
      <c r="A6" s="4" t="s">
        <v>16</v>
      </c>
      <c r="B6" s="5" t="s">
        <v>17</v>
      </c>
      <c r="C6" s="5" t="s">
        <v>64</v>
      </c>
      <c r="D6" s="5" t="s">
        <v>182</v>
      </c>
      <c r="E6" s="6" t="s">
        <v>183</v>
      </c>
      <c r="G6" s="14" t="s">
        <v>184</v>
      </c>
      <c r="I6" s="1" t="s">
        <v>23</v>
      </c>
      <c r="K6" s="1" t="s">
        <v>61</v>
      </c>
      <c r="M6" s="63" t="s">
        <v>1</v>
      </c>
      <c r="N6" s="64">
        <v>2026</v>
      </c>
    </row>
    <row r="7" spans="1:26" x14ac:dyDescent="0.25">
      <c r="A7" s="7" t="s">
        <v>24</v>
      </c>
      <c r="B7" s="73">
        <v>1</v>
      </c>
      <c r="C7" s="12">
        <v>0.1</v>
      </c>
      <c r="D7" s="9" t="s">
        <v>185</v>
      </c>
      <c r="E7" s="70">
        <v>7</v>
      </c>
      <c r="G7" s="15" t="s">
        <v>88</v>
      </c>
      <c r="I7" s="2" t="s">
        <v>25</v>
      </c>
      <c r="K7" s="2" t="s">
        <v>81</v>
      </c>
      <c r="M7" s="63" t="s">
        <v>186</v>
      </c>
      <c r="N7" s="65">
        <v>250000</v>
      </c>
    </row>
    <row r="8" spans="1:26" x14ac:dyDescent="0.25">
      <c r="A8" s="7" t="s">
        <v>26</v>
      </c>
      <c r="B8" s="73">
        <v>2</v>
      </c>
      <c r="C8" s="12">
        <v>0.2</v>
      </c>
      <c r="D8" s="9" t="s">
        <v>187</v>
      </c>
      <c r="E8" s="70">
        <v>10</v>
      </c>
      <c r="G8" s="15" t="s">
        <v>36</v>
      </c>
      <c r="I8" s="2" t="s">
        <v>27</v>
      </c>
      <c r="K8" s="2" t="s">
        <v>87</v>
      </c>
      <c r="M8" s="63" t="s">
        <v>188</v>
      </c>
      <c r="N8" s="64">
        <v>0</v>
      </c>
    </row>
    <row r="9" spans="1:26" x14ac:dyDescent="0.25">
      <c r="A9" s="7" t="s">
        <v>28</v>
      </c>
      <c r="B9" s="73">
        <v>3</v>
      </c>
      <c r="C9" s="12">
        <v>0.35</v>
      </c>
      <c r="D9" s="9" t="s">
        <v>189</v>
      </c>
      <c r="E9" s="70">
        <v>10</v>
      </c>
      <c r="G9" s="15" t="s">
        <v>122</v>
      </c>
      <c r="I9" s="2" t="s">
        <v>29</v>
      </c>
      <c r="K9" s="2" t="s">
        <v>94</v>
      </c>
      <c r="M9" s="63" t="s">
        <v>190</v>
      </c>
      <c r="N9" s="64">
        <v>14</v>
      </c>
    </row>
    <row r="10" spans="1:26" ht="30" x14ac:dyDescent="0.25">
      <c r="A10" s="7" t="s">
        <v>30</v>
      </c>
      <c r="B10" s="73">
        <v>4</v>
      </c>
      <c r="C10" s="12">
        <v>0.5</v>
      </c>
      <c r="D10" s="9" t="s">
        <v>191</v>
      </c>
      <c r="E10" s="70">
        <v>14</v>
      </c>
      <c r="G10" s="16" t="s">
        <v>148</v>
      </c>
      <c r="I10" s="2" t="s">
        <v>31</v>
      </c>
      <c r="K10" s="2" t="s">
        <v>100</v>
      </c>
      <c r="M10" s="66" t="s">
        <v>192</v>
      </c>
      <c r="N10" s="67">
        <v>21</v>
      </c>
    </row>
    <row r="11" spans="1:26" x14ac:dyDescent="0.25">
      <c r="A11" s="7" t="s">
        <v>32</v>
      </c>
      <c r="B11" s="73">
        <v>5</v>
      </c>
      <c r="C11" s="12">
        <v>0.65</v>
      </c>
      <c r="D11" s="8" t="s">
        <v>193</v>
      </c>
      <c r="E11" s="71">
        <v>14</v>
      </c>
      <c r="I11" s="2" t="s">
        <v>33</v>
      </c>
      <c r="K11" s="2" t="s">
        <v>106</v>
      </c>
    </row>
    <row r="12" spans="1:26" x14ac:dyDescent="0.25">
      <c r="A12" s="7" t="s">
        <v>34</v>
      </c>
      <c r="B12" s="73">
        <v>6</v>
      </c>
      <c r="C12" s="12">
        <v>0.8</v>
      </c>
      <c r="D12" s="8" t="s">
        <v>194</v>
      </c>
      <c r="E12" s="71">
        <v>21</v>
      </c>
      <c r="I12" s="2" t="s">
        <v>35</v>
      </c>
    </row>
    <row r="13" spans="1:26" x14ac:dyDescent="0.25">
      <c r="A13" s="10" t="s">
        <v>36</v>
      </c>
      <c r="B13" s="74">
        <v>7</v>
      </c>
      <c r="C13" s="13">
        <v>1</v>
      </c>
      <c r="D13" s="11" t="s">
        <v>195</v>
      </c>
      <c r="E13" s="72">
        <v>0</v>
      </c>
      <c r="I13" s="2" t="s">
        <v>37</v>
      </c>
    </row>
    <row r="14" spans="1:26" x14ac:dyDescent="0.25">
      <c r="I14" s="2" t="s">
        <v>38</v>
      </c>
    </row>
    <row r="16" spans="1:26" ht="15.75" x14ac:dyDescent="0.25">
      <c r="A16" s="79" t="s">
        <v>196</v>
      </c>
      <c r="B16" s="78"/>
      <c r="C16" s="78"/>
      <c r="D16" s="78"/>
      <c r="E16" s="78"/>
      <c r="F16" s="78"/>
    </row>
    <row r="17" spans="1:6" ht="27.95" customHeight="1" x14ac:dyDescent="0.25">
      <c r="A17" s="68">
        <v>1</v>
      </c>
      <c r="B17" s="81" t="s">
        <v>197</v>
      </c>
      <c r="C17" s="81"/>
      <c r="D17" s="81"/>
      <c r="E17" s="81"/>
      <c r="F17" s="81"/>
    </row>
    <row r="18" spans="1:6" ht="27.95" customHeight="1" x14ac:dyDescent="0.25">
      <c r="A18" s="69">
        <v>2</v>
      </c>
      <c r="B18" s="82" t="s">
        <v>198</v>
      </c>
      <c r="C18" s="82"/>
      <c r="D18" s="82"/>
      <c r="E18" s="82"/>
      <c r="F18" s="82"/>
    </row>
    <row r="19" spans="1:6" ht="27.95" customHeight="1" x14ac:dyDescent="0.25">
      <c r="A19" s="69">
        <v>3</v>
      </c>
      <c r="B19" s="82" t="s">
        <v>199</v>
      </c>
      <c r="C19" s="82"/>
      <c r="D19" s="82"/>
      <c r="E19" s="82"/>
      <c r="F19" s="82"/>
    </row>
    <row r="20" spans="1:6" ht="27.95" customHeight="1" x14ac:dyDescent="0.25">
      <c r="A20" s="69">
        <v>4</v>
      </c>
      <c r="B20" s="82" t="s">
        <v>200</v>
      </c>
      <c r="C20" s="82"/>
      <c r="D20" s="82"/>
      <c r="E20" s="82"/>
      <c r="F20" s="82"/>
    </row>
    <row r="21" spans="1:6" ht="27.95" customHeight="1" x14ac:dyDescent="0.25">
      <c r="A21" s="69">
        <v>5</v>
      </c>
      <c r="B21" s="82" t="s">
        <v>201</v>
      </c>
      <c r="C21" s="82"/>
      <c r="D21" s="82"/>
      <c r="E21" s="82"/>
      <c r="F21" s="82"/>
    </row>
  </sheetData>
  <mergeCells count="12">
    <mergeCell ref="B20:F20"/>
    <mergeCell ref="B21:F21"/>
    <mergeCell ref="K5:L5"/>
    <mergeCell ref="A16:F16"/>
    <mergeCell ref="B17:F17"/>
    <mergeCell ref="B18:F18"/>
    <mergeCell ref="B19:F19"/>
    <mergeCell ref="A1:F1"/>
    <mergeCell ref="A3:F3"/>
    <mergeCell ref="A5:E5"/>
    <mergeCell ref="G5:H5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Dashboard</vt:lpstr>
      <vt:lpstr>Pipeline</vt:lpstr>
      <vt:lpstr>Einstellungen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2026-06-01T10:54:20Z</dcterms:modified>
</cp:coreProperties>
</file>