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E7EA5EA-0713-46C6-BAAE-D46659D6DD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unnel-Dashboard" sheetId="2" r:id="rId1"/>
    <sheet name="Leads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5" i="2" l="1"/>
  <c r="F25" i="2"/>
  <c r="E25" i="2"/>
  <c r="D25" i="2"/>
  <c r="H25" i="2" s="1"/>
  <c r="C25" i="2"/>
  <c r="G24" i="2"/>
  <c r="F24" i="2"/>
  <c r="E24" i="2"/>
  <c r="D24" i="2"/>
  <c r="H24" i="2" s="1"/>
  <c r="C24" i="2"/>
  <c r="G23" i="2"/>
  <c r="F23" i="2"/>
  <c r="E23" i="2"/>
  <c r="D23" i="2"/>
  <c r="H23" i="2" s="1"/>
  <c r="C23" i="2"/>
  <c r="G22" i="2"/>
  <c r="F22" i="2"/>
  <c r="E22" i="2"/>
  <c r="D22" i="2"/>
  <c r="H22" i="2" s="1"/>
  <c r="C22" i="2"/>
  <c r="G21" i="2"/>
  <c r="F21" i="2"/>
  <c r="E21" i="2"/>
  <c r="D21" i="2"/>
  <c r="H21" i="2" s="1"/>
  <c r="C21" i="2"/>
  <c r="G20" i="2"/>
  <c r="G26" i="2" s="1"/>
  <c r="F20" i="2"/>
  <c r="F26" i="2" s="1"/>
  <c r="E20" i="2"/>
  <c r="E26" i="2" s="1"/>
  <c r="D20" i="2"/>
  <c r="D26" i="2" s="1"/>
  <c r="H26" i="2" s="1"/>
  <c r="C20" i="2"/>
  <c r="C26" i="2" s="1"/>
  <c r="F16" i="2"/>
  <c r="C16" i="2"/>
  <c r="E16" i="2" s="1"/>
  <c r="Q15" i="2"/>
  <c r="F15" i="2"/>
  <c r="C15" i="2"/>
  <c r="E15" i="2" s="1"/>
  <c r="F14" i="2"/>
  <c r="C14" i="2"/>
  <c r="Q14" i="2" s="1"/>
  <c r="P13" i="2"/>
  <c r="F13" i="2"/>
  <c r="C13" i="2"/>
  <c r="Q13" i="2" s="1"/>
  <c r="Q12" i="2"/>
  <c r="P12" i="2"/>
  <c r="F12" i="2"/>
  <c r="C12" i="2"/>
  <c r="P16" i="2" s="1"/>
  <c r="H7" i="2"/>
  <c r="F7" i="2"/>
  <c r="D7" i="2"/>
  <c r="B7" i="2"/>
  <c r="H4" i="2"/>
  <c r="F4" i="2"/>
  <c r="D4" i="2"/>
  <c r="B4" i="2"/>
  <c r="A34" i="1"/>
  <c r="A33" i="1"/>
  <c r="A32" i="1"/>
  <c r="A31" i="1"/>
  <c r="A30" i="1"/>
  <c r="A29" i="1"/>
  <c r="A28" i="1"/>
  <c r="A27" i="1"/>
  <c r="D14" i="2" l="1"/>
  <c r="P14" i="2"/>
  <c r="H20" i="2"/>
  <c r="E14" i="2"/>
  <c r="D15" i="2"/>
  <c r="D16" i="2"/>
  <c r="Q16" i="2"/>
  <c r="D12" i="2"/>
  <c r="P15" i="2"/>
  <c r="D13" i="2"/>
  <c r="E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G4" authorId="0" shapeId="0" xr:uid="{00000000-0006-0000-0000-000001000000}">
      <text>
        <r>
          <rPr>
            <sz val="10"/>
            <rFont val="Arial"/>
            <family val="2"/>
          </rPr>
          <t>Phase im Funnel: Besucher → Lead → MQL → SQL → Kunde.</t>
        </r>
      </text>
    </comment>
    <comment ref="H4" authorId="0" shapeId="0" xr:uid="{00000000-0006-0000-0000-000002000000}">
      <text>
        <r>
          <rPr>
            <sz val="10"/>
            <rFont val="Arial"/>
            <family val="2"/>
          </rPr>
          <t>Status: Aktiv, Gewonnen oder Verloren.</t>
        </r>
      </text>
    </comment>
  </commentList>
</comments>
</file>

<file path=xl/sharedStrings.xml><?xml version="1.0" encoding="utf-8"?>
<sst xmlns="http://schemas.openxmlformats.org/spreadsheetml/2006/main" count="160" uniqueCount="74">
  <si>
    <t>Sales Funnel</t>
  </si>
  <si>
    <t xml:space="preserve">  LEAD-ERFASSUNG   ·   alle Leads hier eintragen – das Dashboard aktualisiert sich automatisch</t>
  </si>
  <si>
    <t>Nr.</t>
  </si>
  <si>
    <t>Lead / Kontakt</t>
  </si>
  <si>
    <t>Quelle</t>
  </si>
  <si>
    <t>Kampagne</t>
  </si>
  <si>
    <t>Eingang</t>
  </si>
  <si>
    <t>Wert (€)</t>
  </si>
  <si>
    <t>Phase</t>
  </si>
  <si>
    <t>Status</t>
  </si>
  <si>
    <t>Letzte Aktivität</t>
  </si>
  <si>
    <t>Nordlicht Medien GmbH</t>
  </si>
  <si>
    <t>Website</t>
  </si>
  <si>
    <t>Content-Download</t>
  </si>
  <si>
    <t>Kunde</t>
  </si>
  <si>
    <t>Gewonnen</t>
  </si>
  <si>
    <t>Bergmann &amp; Partner</t>
  </si>
  <si>
    <t>Google Ads</t>
  </si>
  <si>
    <t>Always-on SEA</t>
  </si>
  <si>
    <t>SQL</t>
  </si>
  <si>
    <t>Aktiv</t>
  </si>
  <si>
    <t>Studio Hafenblick</t>
  </si>
  <si>
    <t>Social Media</t>
  </si>
  <si>
    <t>Produktlaunch</t>
  </si>
  <si>
    <t>Lead</t>
  </si>
  <si>
    <t>Verloren</t>
  </si>
  <si>
    <t>TechVoll AG</t>
  </si>
  <si>
    <t>Empfehlung</t>
  </si>
  <si>
    <t>Webinar Q1</t>
  </si>
  <si>
    <t>Grünwerk Handel</t>
  </si>
  <si>
    <t>Newsletter</t>
  </si>
  <si>
    <t>Frühjahrsaktion 2026</t>
  </si>
  <si>
    <t>MQL</t>
  </si>
  <si>
    <t>Frau Petra Sahin</t>
  </si>
  <si>
    <t>Albrecht Logistik</t>
  </si>
  <si>
    <t>Messe</t>
  </si>
  <si>
    <t>Helder Design</t>
  </si>
  <si>
    <t>Besucher</t>
  </si>
  <si>
    <t>Maschinenbau Veit</t>
  </si>
  <si>
    <t>Café Morgentau</t>
  </si>
  <si>
    <t>Herr Jonas Reuter</t>
  </si>
  <si>
    <t>Polarstern Reisen</t>
  </si>
  <si>
    <t>Steinweg Immobilien</t>
  </si>
  <si>
    <t>Lichtblick Energie</t>
  </si>
  <si>
    <t>Weber Consulting</t>
  </si>
  <si>
    <t>Frau Dilara Koch</t>
  </si>
  <si>
    <t>Atlas Software</t>
  </si>
  <si>
    <t>Blumenhaus Iris</t>
  </si>
  <si>
    <t>Kontorhaus Beratung</t>
  </si>
  <si>
    <t>Voss Manufaktur</t>
  </si>
  <si>
    <t>Herr Malte Brinkmann</t>
  </si>
  <si>
    <t>Seehafen Trading</t>
  </si>
  <si>
    <t>Funnel-Dashboard 2026</t>
  </si>
  <si>
    <t xml:space="preserve">  automatische Auswertung der Lead-Erfassung</t>
  </si>
  <si>
    <t>LEADS GESAMT</t>
  </si>
  <si>
    <t>GEWONNEN</t>
  </si>
  <si>
    <t>AKTIV IM FUNNEL</t>
  </si>
  <si>
    <t>GEWINNRATE</t>
  </si>
  <si>
    <t>UMSATZ GEWONNEN</t>
  </si>
  <si>
    <t>PIPELINE AKTIV</t>
  </si>
  <si>
    <t>Ø DEALWERT</t>
  </si>
  <si>
    <t>VERLOREN</t>
  </si>
  <si>
    <t>FUNNEL NACH PHASE</t>
  </si>
  <si>
    <t>Anzahl</t>
  </si>
  <si>
    <t>% von oben</t>
  </si>
  <si>
    <t>Konversion</t>
  </si>
  <si>
    <t>Ø Wert (€)</t>
  </si>
  <si>
    <t>Spacer</t>
  </si>
  <si>
    <t>—</t>
  </si>
  <si>
    <t>LEADS NACH QUELLE</t>
  </si>
  <si>
    <t>Leads</t>
  </si>
  <si>
    <t>Umsatz (€)</t>
  </si>
  <si>
    <t>Gewinnrate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</si>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</sst>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&quot; €&quot;"/>
    <numFmt numFmtId="166" formatCode="0.0%"/>
    <numFmt numFmtId="167" formatCode="#,##0.0"/>
  </numFmts>
  <fonts count="18" x14ac:knownFonts="1">
    <font>
      <sz val="11"/>
      <color theme="1"/>
      <name val="Calibri"/>
      <family val="2"/>
      <charset val="1"/>
    </font>
    <font>
      <sz val="11"/>
      <color rgb="FF1F2A24"/>
      <name val="Calibri"/>
      <charset val="1"/>
    </font>
    <font>
      <b/>
      <sz val="20"/>
      <color rgb="FF1F2A24"/>
      <name val="Calibri"/>
      <charset val="1"/>
    </font>
    <font>
      <sz val="10"/>
      <color rgb="FF7A756B"/>
      <name val="Calibri"/>
      <charset val="1"/>
    </font>
    <font>
      <b/>
      <sz val="10"/>
      <color rgb="FF1E7268"/>
      <name val="Calibri"/>
      <charset val="1"/>
    </font>
    <font>
      <b/>
      <sz val="11"/>
      <color rgb="FF1F2A24"/>
      <name val="Calibri"/>
      <charset val="1"/>
    </font>
    <font>
      <sz val="11"/>
      <color rgb="FF7A756B"/>
      <name val="Calibri"/>
      <charset val="1"/>
    </font>
    <font>
      <b/>
      <sz val="11"/>
      <color rgb="FF1E7268"/>
      <name val="Calibri"/>
      <charset val="1"/>
    </font>
    <font>
      <sz val="10"/>
      <name val="Arial"/>
      <family val="2"/>
    </font>
    <font>
      <b/>
      <sz val="20"/>
      <color rgb="FFFFFFFF"/>
      <name val="Calibri"/>
      <charset val="1"/>
    </font>
    <font>
      <sz val="9"/>
      <color rgb="FFFFFFFF"/>
      <name val="Calibri"/>
      <charset val="1"/>
    </font>
    <font>
      <sz val="8"/>
      <color rgb="FFFFFFFF"/>
      <name val="Calibri"/>
      <charset val="1"/>
    </font>
    <font>
      <b/>
      <sz val="11"/>
      <color rgb="FFFFFFFF"/>
      <name val="Calibri"/>
      <charset val="1"/>
    </font>
    <font>
      <sz val="11"/>
      <color rgb="FF1E7B34"/>
      <name val="Calibri"/>
      <charset val="1"/>
    </font>
    <font>
      <sz val="11"/>
      <color rgb="FFB23A48"/>
      <name val="Calibri"/>
      <charset val="1"/>
    </font>
    <font>
      <b/>
      <sz val="11"/>
      <color rgb="FF1E7B34"/>
      <name val="Calibri"/>
      <charset val="1"/>
    </font>
    <font>
      <b/>
      <sz val="11"/>
      <color rgb="FFB23A48"/>
      <name val="Calibri"/>
      <charset val="1"/>
    </font>
    <font>
      <b/>
      <sz val="11"/>
      <color rgb="FF7A756B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E1A33B"/>
        <bgColor rgb="FFFF8080"/>
      </patternFill>
    </fill>
    <fill>
      <patternFill patternType="solid">
        <fgColor rgb="FFFBF8F2"/>
        <bgColor rgb="FFF6F1E7"/>
      </patternFill>
    </fill>
    <fill>
      <patternFill patternType="solid">
        <fgColor rgb="FFFFFFFF"/>
        <bgColor rgb="FFFBF8F2"/>
      </patternFill>
    </fill>
    <fill>
      <patternFill patternType="solid">
        <fgColor rgb="FF2A9D8F"/>
        <bgColor rgb="FF49B5A6"/>
      </patternFill>
    </fill>
    <fill>
      <patternFill patternType="solid">
        <fgColor rgb="FF264653"/>
        <bgColor rgb="FF1F2A24"/>
      </patternFill>
    </fill>
    <fill>
      <patternFill patternType="solid">
        <fgColor rgb="FF3A7CA5"/>
        <bgColor rgb="FF1E7268"/>
      </patternFill>
    </fill>
    <fill>
      <patternFill patternType="solid">
        <fgColor rgb="FF1E7268"/>
        <bgColor rgb="FF1E7B34"/>
      </patternFill>
    </fill>
    <fill>
      <patternFill patternType="solid">
        <fgColor rgb="FF49B5A6"/>
        <bgColor rgb="FF2A9D8F"/>
      </patternFill>
    </fill>
    <fill>
      <patternFill patternType="solid">
        <fgColor rgb="FF82CDBF"/>
        <bgColor rgb="FFB9E2D8"/>
      </patternFill>
    </fill>
    <fill>
      <patternFill patternType="solid">
        <fgColor rgb="FFB9E2D8"/>
        <bgColor rgb="FFD9D9D9"/>
      </patternFill>
    </fill>
    <fill>
      <patternFill patternType="solid">
        <fgColor rgb="FFF6F1E7"/>
        <bgColor rgb="FFFBF8F2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2A9D8F"/>
      </bottom>
      <diagonal/>
    </border>
    <border>
      <left/>
      <right/>
      <top/>
      <bottom style="thin">
        <color rgb="FFECE4D4"/>
      </bottom>
      <diagonal/>
    </border>
    <border>
      <left/>
      <right/>
      <top/>
      <bottom style="medium">
        <color rgb="FFE1A33B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9" fillId="7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9" fillId="6" borderId="0" xfId="0" applyNumberFormat="1" applyFont="1" applyFill="1" applyAlignment="1">
      <alignment horizontal="center" vertical="center"/>
    </xf>
    <xf numFmtId="165" fontId="9" fillId="5" borderId="0" xfId="0" applyNumberFormat="1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166" fontId="9" fillId="7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6" borderId="0" xfId="0" applyNumberFormat="1" applyFont="1" applyFill="1" applyAlignment="1">
      <alignment horizontal="center" vertical="center"/>
    </xf>
    <xf numFmtId="3" fontId="9" fillId="5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7" fontId="11" fillId="0" borderId="0" xfId="0" applyNumberFormat="1" applyFont="1"/>
    <xf numFmtId="3" fontId="11" fillId="0" borderId="0" xfId="0" applyNumberFormat="1" applyFont="1"/>
    <xf numFmtId="0" fontId="12" fillId="5" borderId="0" xfId="0" applyFont="1" applyFill="1" applyAlignment="1">
      <alignment horizontal="left" vertical="center"/>
    </xf>
    <xf numFmtId="166" fontId="1" fillId="0" borderId="2" xfId="0" applyNumberFormat="1" applyFont="1" applyBorder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left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center" vertical="center"/>
    </xf>
    <xf numFmtId="3" fontId="14" fillId="4" borderId="2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166" fontId="1" fillId="4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166" fontId="1" fillId="3" borderId="2" xfId="0" applyNumberFormat="1" applyFont="1" applyFill="1" applyBorder="1" applyAlignment="1">
      <alignment horizontal="center" vertical="center"/>
    </xf>
    <xf numFmtId="0" fontId="5" fillId="12" borderId="0" xfId="0" applyFont="1" applyFill="1" applyAlignment="1">
      <alignment horizontal="left" vertical="center"/>
    </xf>
    <xf numFmtId="3" fontId="5" fillId="12" borderId="0" xfId="0" applyNumberFormat="1" applyFont="1" applyFill="1" applyAlignment="1">
      <alignment horizontal="center" vertical="center"/>
    </xf>
    <xf numFmtId="3" fontId="15" fillId="12" borderId="0" xfId="0" applyNumberFormat="1" applyFont="1" applyFill="1" applyAlignment="1">
      <alignment horizontal="center" vertical="center"/>
    </xf>
    <xf numFmtId="3" fontId="16" fillId="12" borderId="0" xfId="0" applyNumberFormat="1" applyFont="1" applyFill="1" applyAlignment="1">
      <alignment horizontal="center" vertical="center"/>
    </xf>
    <xf numFmtId="3" fontId="17" fillId="12" borderId="0" xfId="0" applyNumberFormat="1" applyFont="1" applyFill="1" applyAlignment="1">
      <alignment horizontal="center" vertical="center"/>
    </xf>
    <xf numFmtId="165" fontId="5" fillId="12" borderId="0" xfId="0" applyNumberFormat="1" applyFont="1" applyFill="1" applyAlignment="1">
      <alignment horizontal="center" vertical="center"/>
    </xf>
    <xf numFmtId="166" fontId="5" fillId="12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horizontal="left" vertical="center"/>
    </xf>
  </cellXfs>
  <cellStyles count="1">
    <cellStyle name="Standard" xfId="0" builtinId="0"/>
  </cellStyles>
  <dxfs count="2">
    <dxf>
      <font>
        <b/>
        <color rgb="FFB23A48"/>
        <name val="Calibri"/>
        <charset val="1"/>
      </font>
      <fill>
        <patternFill>
          <bgColor rgb="FFF7E5E6"/>
        </patternFill>
      </fill>
    </dxf>
    <dxf>
      <font>
        <b/>
        <color rgb="FF1E7B34"/>
        <name val="Calibri"/>
        <charset val="1"/>
      </font>
      <fill>
        <patternFill>
          <bgColor rgb="FFE7F3E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B34"/>
      <rgbColor rgb="FF000080"/>
      <rgbColor rgb="FF808000"/>
      <rgbColor rgb="FF800080"/>
      <rgbColor rgb="FF1E7268"/>
      <rgbColor rgb="FFC0C0C0"/>
      <rgbColor rgb="FF878787"/>
      <rgbColor rgb="FF9999FF"/>
      <rgbColor rgb="FFB23A48"/>
      <rgbColor rgb="FFFBF8F2"/>
      <rgbColor rgb="FFE7F3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3A7CA5"/>
      <rgbColor rgb="FF0000FF"/>
      <rgbColor rgb="FF00CCFF"/>
      <rgbColor rgb="FFF6F1E7"/>
      <rgbColor rgb="FFB9E2D8"/>
      <rgbColor rgb="FFF7E5E6"/>
      <rgbColor rgb="FF82CDBF"/>
      <rgbColor rgb="FFFF99CC"/>
      <rgbColor rgb="FFCC99FF"/>
      <rgbColor rgb="FFECE4D4"/>
      <rgbColor rgb="FF3366FF"/>
      <rgbColor rgb="FF49B5A6"/>
      <rgbColor rgb="FF99CC00"/>
      <rgbColor rgb="FFFFCC00"/>
      <rgbColor rgb="FFE1A33B"/>
      <rgbColor rgb="FFFF6600"/>
      <rgbColor rgb="FF7A756B"/>
      <rgbColor rgb="FF969696"/>
      <rgbColor rgb="FF264653"/>
      <rgbColor rgb="FF2A9D8F"/>
      <rgbColor rgb="FF003300"/>
      <rgbColor rgb="FF333300"/>
      <rgbColor rgb="FF993300"/>
      <rgbColor rgb="FF993366"/>
      <rgbColor rgb="FF333399"/>
      <rgbColor rgb="FF1F2A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8F2"/>
      <color rgb="FF2A9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Funnel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'Funnel-Dashboard'!$P$11</c:f>
              <c:strCache>
                <c:ptCount val="1"/>
                <c:pt idx="0">
                  <c:v>Spacer</c:v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'Funnel-Dashboard'!$B$12:$B$16</c:f>
              <c:strCache>
                <c:ptCount val="5"/>
                <c:pt idx="0">
                  <c:v>Besucher</c:v>
                </c:pt>
                <c:pt idx="1">
                  <c:v>Lead</c:v>
                </c:pt>
                <c:pt idx="2">
                  <c:v>MQL</c:v>
                </c:pt>
                <c:pt idx="3">
                  <c:v>SQL</c:v>
                </c:pt>
                <c:pt idx="4">
                  <c:v>Kunde</c:v>
                </c:pt>
              </c:strCache>
            </c:strRef>
          </c:cat>
          <c:val>
            <c:numRef>
              <c:f>'Funnel-Dashboard'!$P$12:$P$16</c:f>
              <c:numCache>
                <c:formatCode>#,##0.0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3.5</c:v>
                </c:pt>
                <c:pt idx="3">
                  <c:v>5.5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3-4909-9DC6-70EB024E3496}"/>
            </c:ext>
          </c:extLst>
        </c:ser>
        <c:ser>
          <c:idx val="1"/>
          <c:order val="1"/>
          <c:tx>
            <c:strRef>
              <c:f>'Funnel-Dashboard'!$Q$11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FBF8F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'Funnel-Dashboard'!$B$12:$B$16</c:f>
              <c:strCache>
                <c:ptCount val="5"/>
                <c:pt idx="0">
                  <c:v>Besucher</c:v>
                </c:pt>
                <c:pt idx="1">
                  <c:v>Lead</c:v>
                </c:pt>
                <c:pt idx="2">
                  <c:v>MQL</c:v>
                </c:pt>
                <c:pt idx="3">
                  <c:v>SQL</c:v>
                </c:pt>
                <c:pt idx="4">
                  <c:v>Kunde</c:v>
                </c:pt>
              </c:strCache>
            </c:strRef>
          </c:cat>
          <c:val>
            <c:numRef>
              <c:f>'Funnel-Dashboard'!$Q$12:$Q$16</c:f>
              <c:numCache>
                <c:formatCode>#,##0</c:formatCode>
                <c:ptCount val="5"/>
                <c:pt idx="0">
                  <c:v>22</c:v>
                </c:pt>
                <c:pt idx="1">
                  <c:v>20</c:v>
                </c:pt>
                <c:pt idx="2">
                  <c:v>15</c:v>
                </c:pt>
                <c:pt idx="3">
                  <c:v>11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3-4909-9DC6-70EB024E3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8966343"/>
        <c:axId val="60806741"/>
      </c:barChart>
      <c:catAx>
        <c:axId val="68966343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60806741"/>
        <c:crosses val="autoZero"/>
        <c:auto val="1"/>
        <c:lblAlgn val="ctr"/>
        <c:lblOffset val="100"/>
        <c:noMultiLvlLbl val="0"/>
      </c:catAx>
      <c:valAx>
        <c:axId val="60806741"/>
        <c:scaling>
          <c:orientation val="maxMin"/>
        </c:scaling>
        <c:delete val="1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" sourceLinked="1"/>
        <c:majorTickMark val="none"/>
        <c:minorTickMark val="none"/>
        <c:tickLblPos val="nextTo"/>
        <c:crossAx val="6896634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2A9D8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9</xdr:row>
      <xdr:rowOff>180975</xdr:rowOff>
    </xdr:from>
    <xdr:to>
      <xdr:col>14</xdr:col>
      <xdr:colOff>523815</xdr:colOff>
      <xdr:row>23</xdr:row>
      <xdr:rowOff>63195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showGridLines="0" tabSelected="1" zoomScaleNormal="100" workbookViewId="0">
      <selection activeCell="N5" sqref="N5"/>
    </sheetView>
  </sheetViews>
  <sheetFormatPr baseColWidth="10" defaultColWidth="8.7109375" defaultRowHeight="15" x14ac:dyDescent="0.25"/>
  <cols>
    <col min="1" max="1" width="4" customWidth="1"/>
    <col min="2" max="9" width="13" customWidth="1"/>
    <col min="10" max="10" width="4" customWidth="1"/>
    <col min="16" max="17" width="11" customWidth="1"/>
  </cols>
  <sheetData>
    <row r="1" spans="1:17" ht="30" customHeight="1" x14ac:dyDescent="0.25">
      <c r="A1" s="15"/>
      <c r="B1" s="14" t="s">
        <v>52</v>
      </c>
      <c r="C1" s="14"/>
      <c r="D1" s="14"/>
      <c r="E1" s="14"/>
      <c r="F1" s="14"/>
      <c r="G1" s="14"/>
      <c r="H1" s="14"/>
      <c r="I1" s="14"/>
    </row>
    <row r="2" spans="1:17" ht="18" customHeight="1" x14ac:dyDescent="0.25">
      <c r="A2" s="13" t="s">
        <v>53</v>
      </c>
      <c r="B2" s="13"/>
      <c r="C2" s="13"/>
      <c r="D2" s="13"/>
      <c r="E2" s="13"/>
      <c r="F2" s="13"/>
      <c r="G2" s="13"/>
      <c r="H2" s="13"/>
      <c r="I2" s="13"/>
    </row>
    <row r="4" spans="1:17" ht="33.75" customHeight="1" x14ac:dyDescent="0.25">
      <c r="B4" s="12">
        <f>COUNTA(Leads!$B$5:$B$34)</f>
        <v>22</v>
      </c>
      <c r="C4" s="12"/>
      <c r="D4" s="11">
        <f>COUNTIF(Leads!$H$5:$H$34,"Gewonnen")</f>
        <v>6</v>
      </c>
      <c r="E4" s="11"/>
      <c r="F4" s="10">
        <f>COUNTIF(Leads!$H$5:$H$34,"Aktiv")</f>
        <v>12</v>
      </c>
      <c r="G4" s="10"/>
      <c r="H4" s="9">
        <f>IFERROR(COUNTIF(Leads!$H$5:$H$34,"Gewonnen")/COUNTA(Leads!$B$5:$B$34),0)</f>
        <v>0.27272727272727271</v>
      </c>
      <c r="I4" s="9"/>
    </row>
    <row r="5" spans="1:17" ht="15.75" customHeight="1" x14ac:dyDescent="0.25">
      <c r="B5" s="8" t="s">
        <v>54</v>
      </c>
      <c r="C5" s="8"/>
      <c r="D5" s="7" t="s">
        <v>55</v>
      </c>
      <c r="E5" s="7"/>
      <c r="F5" s="6" t="s">
        <v>56</v>
      </c>
      <c r="G5" s="6"/>
      <c r="H5" s="5" t="s">
        <v>57</v>
      </c>
      <c r="I5" s="5"/>
    </row>
    <row r="7" spans="1:17" ht="33.75" customHeight="1" x14ac:dyDescent="0.25">
      <c r="B7" s="4">
        <f>SUMIF(Leads!$H$5:$H$34,"Gewonnen",Leads!$F$5:$F$34)</f>
        <v>31200</v>
      </c>
      <c r="C7" s="4"/>
      <c r="D7" s="3">
        <f>SUMIF(Leads!$H$5:$H$34,"Aktiv",Leads!$F$5:$F$34)</f>
        <v>20110</v>
      </c>
      <c r="E7" s="3"/>
      <c r="F7" s="2">
        <f>IFERROR(AVERAGE(Leads!$F$5:$F$34),0)</f>
        <v>2521.3636363636365</v>
      </c>
      <c r="G7" s="2"/>
      <c r="H7" s="1">
        <f>COUNTIF(Leads!$H$5:$H$34,"Verloren")</f>
        <v>4</v>
      </c>
      <c r="I7" s="1"/>
    </row>
    <row r="8" spans="1:17" ht="15.75" customHeight="1" x14ac:dyDescent="0.25">
      <c r="B8" s="8" t="s">
        <v>58</v>
      </c>
      <c r="C8" s="8"/>
      <c r="D8" s="7" t="s">
        <v>59</v>
      </c>
      <c r="E8" s="7"/>
      <c r="F8" s="6" t="s">
        <v>60</v>
      </c>
      <c r="G8" s="6"/>
      <c r="H8" s="5" t="s">
        <v>61</v>
      </c>
      <c r="I8" s="5"/>
    </row>
    <row r="10" spans="1:17" x14ac:dyDescent="0.25">
      <c r="B10" s="68" t="s">
        <v>62</v>
      </c>
      <c r="C10" s="68"/>
      <c r="D10" s="68"/>
      <c r="E10" s="68"/>
      <c r="F10" s="68"/>
    </row>
    <row r="11" spans="1:17" ht="19.5" customHeight="1" x14ac:dyDescent="0.25">
      <c r="B11" s="36" t="s">
        <v>8</v>
      </c>
      <c r="C11" s="37" t="s">
        <v>63</v>
      </c>
      <c r="D11" s="37" t="s">
        <v>64</v>
      </c>
      <c r="E11" s="37" t="s">
        <v>65</v>
      </c>
      <c r="F11" s="37" t="s">
        <v>66</v>
      </c>
      <c r="P11" s="38" t="s">
        <v>67</v>
      </c>
      <c r="Q11" s="38" t="s">
        <v>63</v>
      </c>
    </row>
    <row r="12" spans="1:17" x14ac:dyDescent="0.25">
      <c r="B12" s="39" t="s">
        <v>37</v>
      </c>
      <c r="C12" s="40">
        <f>COUNTIF(Leads!$G$5:$G$34,"Besucher")+COUNTIF(Leads!$G$5:$G$34,"Lead")+COUNTIF(Leads!$G$5:$G$34,"MQL")+COUNTIF(Leads!$G$5:$G$34,"SQL")+COUNTIF(Leads!$G$5:$G$34,"Kunde")</f>
        <v>22</v>
      </c>
      <c r="D12" s="41">
        <f>IFERROR(C12/$C$12,0)</f>
        <v>1</v>
      </c>
      <c r="E12" s="42" t="s">
        <v>68</v>
      </c>
      <c r="F12" s="43">
        <f>IFERROR(AVERAGEIF(Leads!$G$5:$G$34,"Besucher",Leads!$F$5:$F$34),0)</f>
        <v>650</v>
      </c>
      <c r="P12" s="44">
        <f>($C$12-C12)/2</f>
        <v>0</v>
      </c>
      <c r="Q12" s="45">
        <f>C12</f>
        <v>22</v>
      </c>
    </row>
    <row r="13" spans="1:17" x14ac:dyDescent="0.25">
      <c r="B13" s="46" t="s">
        <v>24</v>
      </c>
      <c r="C13" s="40">
        <f>COUNTIF(Leads!$G$5:$G$34,"Lead")+COUNTIF(Leads!$G$5:$G$34,"MQL")+COUNTIF(Leads!$G$5:$G$34,"SQL")+COUNTIF(Leads!$G$5:$G$34,"Kunde")</f>
        <v>20</v>
      </c>
      <c r="D13" s="41">
        <f>IFERROR(C13/$C$12,0)</f>
        <v>0.90909090909090906</v>
      </c>
      <c r="E13" s="47">
        <f>IFERROR(C13/C12,0)</f>
        <v>0.90909090909090906</v>
      </c>
      <c r="F13" s="43">
        <f>IFERROR(AVERAGEIF(Leads!$G$5:$G$34,"Lead",Leads!$F$5:$F$34),0)</f>
        <v>654</v>
      </c>
      <c r="P13" s="44">
        <f>($C$12-C13)/2</f>
        <v>1</v>
      </c>
      <c r="Q13" s="45">
        <f>C13</f>
        <v>20</v>
      </c>
    </row>
    <row r="14" spans="1:17" x14ac:dyDescent="0.25">
      <c r="B14" s="48" t="s">
        <v>32</v>
      </c>
      <c r="C14" s="40">
        <f>COUNTIF(Leads!$G$5:$G$34,"MQL")+COUNTIF(Leads!$G$5:$G$34,"SQL")+COUNTIF(Leads!$G$5:$G$34,"Kunde")</f>
        <v>15</v>
      </c>
      <c r="D14" s="41">
        <f>IFERROR(C14/$C$12,0)</f>
        <v>0.68181818181818177</v>
      </c>
      <c r="E14" s="47">
        <f>IFERROR(C14/C13,0)</f>
        <v>0.75</v>
      </c>
      <c r="F14" s="43">
        <f>IFERROR(AVERAGEIF(Leads!$G$5:$G$34,"MQL",Leads!$F$5:$F$34),0)</f>
        <v>1487.5</v>
      </c>
      <c r="P14" s="44">
        <f>($C$12-C14)/2</f>
        <v>3.5</v>
      </c>
      <c r="Q14" s="45">
        <f>C14</f>
        <v>15</v>
      </c>
    </row>
    <row r="15" spans="1:17" x14ac:dyDescent="0.25">
      <c r="B15" s="49" t="s">
        <v>19</v>
      </c>
      <c r="C15" s="40">
        <f>COUNTIF(Leads!$G$5:$G$34,"SQL")+COUNTIF(Leads!$G$5:$G$34,"Kunde")</f>
        <v>11</v>
      </c>
      <c r="D15" s="41">
        <f>IFERROR(C15/$C$12,0)</f>
        <v>0.5</v>
      </c>
      <c r="E15" s="47">
        <f>IFERROR(C15/C14,0)</f>
        <v>0.73333333333333328</v>
      </c>
      <c r="F15" s="43">
        <f>IFERROR(AVERAGEIF(Leads!$G$5:$G$34,"SQL",Leads!$F$5:$F$34),0)</f>
        <v>2750</v>
      </c>
      <c r="P15" s="44">
        <f>($C$12-C15)/2</f>
        <v>5.5</v>
      </c>
      <c r="Q15" s="45">
        <f>C15</f>
        <v>11</v>
      </c>
    </row>
    <row r="16" spans="1:17" x14ac:dyDescent="0.25">
      <c r="B16" s="50" t="s">
        <v>14</v>
      </c>
      <c r="C16" s="40">
        <f>COUNTIF(Leads!$G$5:$G$34,"Kunde")</f>
        <v>6</v>
      </c>
      <c r="D16" s="41">
        <f>IFERROR(C16/$C$12,0)</f>
        <v>0.27272727272727271</v>
      </c>
      <c r="E16" s="47">
        <f>IFERROR(C16/C15,0)</f>
        <v>0.54545454545454541</v>
      </c>
      <c r="F16" s="43">
        <f>IFERROR(AVERAGEIF(Leads!$G$5:$G$34,"Kunde",Leads!$F$5:$F$34),0)</f>
        <v>5200</v>
      </c>
      <c r="P16" s="44">
        <f>($C$12-C16)/2</f>
        <v>8</v>
      </c>
      <c r="Q16" s="45">
        <f>C16</f>
        <v>6</v>
      </c>
    </row>
    <row r="18" spans="2:9" x14ac:dyDescent="0.25">
      <c r="B18" s="68" t="s">
        <v>69</v>
      </c>
      <c r="C18" s="68"/>
      <c r="D18" s="68"/>
      <c r="E18" s="68"/>
      <c r="F18" s="68"/>
      <c r="G18" s="68"/>
      <c r="H18" s="68"/>
      <c r="I18" s="68"/>
    </row>
    <row r="19" spans="2:9" ht="19.5" customHeight="1" x14ac:dyDescent="0.25">
      <c r="B19" s="36" t="s">
        <v>4</v>
      </c>
      <c r="C19" s="37" t="s">
        <v>70</v>
      </c>
      <c r="D19" s="37" t="s">
        <v>15</v>
      </c>
      <c r="E19" s="37" t="s">
        <v>25</v>
      </c>
      <c r="F19" s="37" t="s">
        <v>20</v>
      </c>
      <c r="G19" s="37" t="s">
        <v>71</v>
      </c>
      <c r="H19" s="37" t="s">
        <v>72</v>
      </c>
    </row>
    <row r="20" spans="2:9" x14ac:dyDescent="0.25">
      <c r="B20" s="19" t="s">
        <v>12</v>
      </c>
      <c r="C20" s="51">
        <f>COUNTIF(Leads!$C$5:$C$34,"Website")</f>
        <v>5</v>
      </c>
      <c r="D20" s="52">
        <f>COUNTIFS(Leads!$C$5:$C$34,"Website",Leads!$H$5:$H$34,"Gewonnen")</f>
        <v>1</v>
      </c>
      <c r="E20" s="53">
        <f>COUNTIFS(Leads!$C$5:$C$34,"Website",Leads!$H$5:$H$34,"Verloren")</f>
        <v>0</v>
      </c>
      <c r="F20" s="54">
        <f>COUNTIFS(Leads!$C$5:$C$34,"Website",Leads!$H$5:$H$34,"Aktiv")</f>
        <v>4</v>
      </c>
      <c r="G20" s="23">
        <f>SUMIFS(Leads!$F$5:$F$34,Leads!$C$5:$C$34,"Website",Leads!$H$5:$H$34,"Gewonnen")</f>
        <v>1800</v>
      </c>
      <c r="H20" s="55">
        <f t="shared" ref="H20:H26" si="0">IFERROR(D20/C20,0)</f>
        <v>0.2</v>
      </c>
    </row>
    <row r="21" spans="2:9" x14ac:dyDescent="0.25">
      <c r="B21" s="27" t="s">
        <v>17</v>
      </c>
      <c r="C21" s="56">
        <f>COUNTIF(Leads!$C$5:$C$34,"Google Ads")</f>
        <v>4</v>
      </c>
      <c r="D21" s="57">
        <f>COUNTIFS(Leads!$C$5:$C$34,"Google Ads",Leads!$H$5:$H$34,"Gewonnen")</f>
        <v>0</v>
      </c>
      <c r="E21" s="58">
        <f>COUNTIFS(Leads!$C$5:$C$34,"Google Ads",Leads!$H$5:$H$34,"Verloren")</f>
        <v>1</v>
      </c>
      <c r="F21" s="59">
        <f>COUNTIFS(Leads!$C$5:$C$34,"Google Ads",Leads!$H$5:$H$34,"Aktiv")</f>
        <v>3</v>
      </c>
      <c r="G21" s="31">
        <f>SUMIFS(Leads!$F$5:$F$34,Leads!$C$5:$C$34,"Google Ads",Leads!$H$5:$H$34,"Gewonnen")</f>
        <v>0</v>
      </c>
      <c r="H21" s="60">
        <f t="shared" si="0"/>
        <v>0</v>
      </c>
    </row>
    <row r="22" spans="2:9" x14ac:dyDescent="0.25">
      <c r="B22" s="19" t="s">
        <v>22</v>
      </c>
      <c r="C22" s="51">
        <f>COUNTIF(Leads!$C$5:$C$34,"Social Media")</f>
        <v>3</v>
      </c>
      <c r="D22" s="52">
        <f>COUNTIFS(Leads!$C$5:$C$34,"Social Media",Leads!$H$5:$H$34,"Gewonnen")</f>
        <v>0</v>
      </c>
      <c r="E22" s="53">
        <f>COUNTIFS(Leads!$C$5:$C$34,"Social Media",Leads!$H$5:$H$34,"Verloren")</f>
        <v>1</v>
      </c>
      <c r="F22" s="54">
        <f>COUNTIFS(Leads!$C$5:$C$34,"Social Media",Leads!$H$5:$H$34,"Aktiv")</f>
        <v>2</v>
      </c>
      <c r="G22" s="23">
        <f>SUMIFS(Leads!$F$5:$F$34,Leads!$C$5:$C$34,"Social Media",Leads!$H$5:$H$34,"Gewonnen")</f>
        <v>0</v>
      </c>
      <c r="H22" s="55">
        <f t="shared" si="0"/>
        <v>0</v>
      </c>
    </row>
    <row r="23" spans="2:9" x14ac:dyDescent="0.25">
      <c r="B23" s="27" t="s">
        <v>30</v>
      </c>
      <c r="C23" s="56">
        <f>COUNTIF(Leads!$C$5:$C$34,"Newsletter")</f>
        <v>3</v>
      </c>
      <c r="D23" s="57">
        <f>COUNTIFS(Leads!$C$5:$C$34,"Newsletter",Leads!$H$5:$H$34,"Gewonnen")</f>
        <v>0</v>
      </c>
      <c r="E23" s="58">
        <f>COUNTIFS(Leads!$C$5:$C$34,"Newsletter",Leads!$H$5:$H$34,"Verloren")</f>
        <v>2</v>
      </c>
      <c r="F23" s="59">
        <f>COUNTIFS(Leads!$C$5:$C$34,"Newsletter",Leads!$H$5:$H$34,"Aktiv")</f>
        <v>1</v>
      </c>
      <c r="G23" s="31">
        <f>SUMIFS(Leads!$F$5:$F$34,Leads!$C$5:$C$34,"Newsletter",Leads!$H$5:$H$34,"Gewonnen")</f>
        <v>0</v>
      </c>
      <c r="H23" s="60">
        <f t="shared" si="0"/>
        <v>0</v>
      </c>
    </row>
    <row r="24" spans="2:9" x14ac:dyDescent="0.25">
      <c r="B24" s="19" t="s">
        <v>27</v>
      </c>
      <c r="C24" s="51">
        <f>COUNTIF(Leads!$C$5:$C$34,"Empfehlung")</f>
        <v>4</v>
      </c>
      <c r="D24" s="52">
        <f>COUNTIFS(Leads!$C$5:$C$34,"Empfehlung",Leads!$H$5:$H$34,"Gewonnen")</f>
        <v>4</v>
      </c>
      <c r="E24" s="53">
        <f>COUNTIFS(Leads!$C$5:$C$34,"Empfehlung",Leads!$H$5:$H$34,"Verloren")</f>
        <v>0</v>
      </c>
      <c r="F24" s="54">
        <f>COUNTIFS(Leads!$C$5:$C$34,"Empfehlung",Leads!$H$5:$H$34,"Aktiv")</f>
        <v>0</v>
      </c>
      <c r="G24" s="23">
        <f>SUMIFS(Leads!$F$5:$F$34,Leads!$C$5:$C$34,"Empfehlung",Leads!$H$5:$H$34,"Gewonnen")</f>
        <v>25000</v>
      </c>
      <c r="H24" s="55">
        <f t="shared" si="0"/>
        <v>1</v>
      </c>
    </row>
    <row r="25" spans="2:9" x14ac:dyDescent="0.25">
      <c r="B25" s="27" t="s">
        <v>35</v>
      </c>
      <c r="C25" s="56">
        <f>COUNTIF(Leads!$C$5:$C$34,"Messe")</f>
        <v>3</v>
      </c>
      <c r="D25" s="57">
        <f>COUNTIFS(Leads!$C$5:$C$34,"Messe",Leads!$H$5:$H$34,"Gewonnen")</f>
        <v>1</v>
      </c>
      <c r="E25" s="58">
        <f>COUNTIFS(Leads!$C$5:$C$34,"Messe",Leads!$H$5:$H$34,"Verloren")</f>
        <v>0</v>
      </c>
      <c r="F25" s="59">
        <f>COUNTIFS(Leads!$C$5:$C$34,"Messe",Leads!$H$5:$H$34,"Aktiv")</f>
        <v>2</v>
      </c>
      <c r="G25" s="31">
        <f>SUMIFS(Leads!$F$5:$F$34,Leads!$C$5:$C$34,"Messe",Leads!$H$5:$H$34,"Gewonnen")</f>
        <v>4400</v>
      </c>
      <c r="H25" s="60">
        <f t="shared" si="0"/>
        <v>0.33333333333333331</v>
      </c>
    </row>
    <row r="26" spans="2:9" x14ac:dyDescent="0.25">
      <c r="B26" s="61" t="s">
        <v>73</v>
      </c>
      <c r="C26" s="62">
        <f>SUM(C20:C25)</f>
        <v>22</v>
      </c>
      <c r="D26" s="63">
        <f>SUM(D20:D25)</f>
        <v>6</v>
      </c>
      <c r="E26" s="64">
        <f>SUM(E20:E25)</f>
        <v>4</v>
      </c>
      <c r="F26" s="65">
        <f>SUM(F20:F25)</f>
        <v>12</v>
      </c>
      <c r="G26" s="66">
        <f>SUM(G20:G25)</f>
        <v>31200</v>
      </c>
      <c r="H26" s="67">
        <f t="shared" si="0"/>
        <v>0.27272727272727271</v>
      </c>
    </row>
  </sheetData>
  <mergeCells count="20">
    <mergeCell ref="B18:I18"/>
    <mergeCell ref="B8:C8"/>
    <mergeCell ref="D8:E8"/>
    <mergeCell ref="F8:G8"/>
    <mergeCell ref="H8:I8"/>
    <mergeCell ref="B10:F10"/>
    <mergeCell ref="B5:C5"/>
    <mergeCell ref="D5:E5"/>
    <mergeCell ref="F5:G5"/>
    <mergeCell ref="H5:I5"/>
    <mergeCell ref="B7:C7"/>
    <mergeCell ref="D7:E7"/>
    <mergeCell ref="F7:G7"/>
    <mergeCell ref="H7:I7"/>
    <mergeCell ref="B1:I1"/>
    <mergeCell ref="A2:I2"/>
    <mergeCell ref="B4:C4"/>
    <mergeCell ref="D4:E4"/>
    <mergeCell ref="F4:G4"/>
    <mergeCell ref="H4:I4"/>
  </mergeCells>
  <conditionalFormatting sqref="E13:E16">
    <cfRule type="colorScale" priority="2">
      <colorScale>
        <cfvo type="num" val="0"/>
        <cfvo type="num" val="0.5"/>
        <cfvo type="num" val="1"/>
        <color rgb="FFF7E5E6"/>
        <color rgb="FFFCEFD2"/>
        <color rgb="FFE7F3E9"/>
      </colorScale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4" customWidth="1"/>
    <col min="2" max="2" width="22" customWidth="1"/>
    <col min="3" max="3" width="18" customWidth="1"/>
    <col min="4" max="4" width="22" customWidth="1"/>
    <col min="5" max="6" width="13" customWidth="1"/>
    <col min="7" max="8" width="12" customWidth="1"/>
    <col min="9" max="9" width="16" customWidth="1"/>
  </cols>
  <sheetData>
    <row r="1" spans="1:9" ht="30" customHeight="1" x14ac:dyDescent="0.25">
      <c r="A1" s="15"/>
      <c r="B1" s="14" t="s">
        <v>0</v>
      </c>
      <c r="C1" s="14"/>
      <c r="D1" s="14"/>
      <c r="E1" s="14"/>
      <c r="F1" s="14"/>
      <c r="G1" s="14"/>
      <c r="H1" s="14"/>
      <c r="I1" s="14"/>
    </row>
    <row r="2" spans="1:9" ht="18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4" spans="1:9" ht="21.75" customHeight="1" x14ac:dyDescent="0.25">
      <c r="A4" s="16" t="s">
        <v>2</v>
      </c>
      <c r="B4" s="17" t="s">
        <v>3</v>
      </c>
      <c r="C4" s="17" t="s">
        <v>4</v>
      </c>
      <c r="D4" s="17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7" t="s">
        <v>10</v>
      </c>
    </row>
    <row r="5" spans="1:9" x14ac:dyDescent="0.25">
      <c r="A5" s="18">
        <v>1</v>
      </c>
      <c r="B5" s="19" t="s">
        <v>11</v>
      </c>
      <c r="C5" s="20" t="s">
        <v>12</v>
      </c>
      <c r="D5" s="21" t="s">
        <v>13</v>
      </c>
      <c r="E5" s="22">
        <v>46030</v>
      </c>
      <c r="F5" s="23">
        <v>1800</v>
      </c>
      <c r="G5" s="24" t="s">
        <v>14</v>
      </c>
      <c r="H5" s="25" t="s">
        <v>15</v>
      </c>
      <c r="I5" s="22">
        <v>46055</v>
      </c>
    </row>
    <row r="6" spans="1:9" x14ac:dyDescent="0.25">
      <c r="A6" s="26">
        <v>2</v>
      </c>
      <c r="B6" s="27" t="s">
        <v>16</v>
      </c>
      <c r="C6" s="28" t="s">
        <v>17</v>
      </c>
      <c r="D6" s="29" t="s">
        <v>18</v>
      </c>
      <c r="E6" s="30">
        <v>46031</v>
      </c>
      <c r="F6" s="31">
        <v>2400</v>
      </c>
      <c r="G6" s="32" t="s">
        <v>19</v>
      </c>
      <c r="H6" s="33" t="s">
        <v>20</v>
      </c>
      <c r="I6" s="30">
        <v>46063</v>
      </c>
    </row>
    <row r="7" spans="1:9" x14ac:dyDescent="0.25">
      <c r="A7" s="18">
        <v>3</v>
      </c>
      <c r="B7" s="19" t="s">
        <v>21</v>
      </c>
      <c r="C7" s="20" t="s">
        <v>22</v>
      </c>
      <c r="D7" s="21" t="s">
        <v>23</v>
      </c>
      <c r="E7" s="22">
        <v>46033</v>
      </c>
      <c r="F7" s="23">
        <v>950</v>
      </c>
      <c r="G7" s="24" t="s">
        <v>24</v>
      </c>
      <c r="H7" s="25" t="s">
        <v>25</v>
      </c>
      <c r="I7" s="22">
        <v>46042</v>
      </c>
    </row>
    <row r="8" spans="1:9" x14ac:dyDescent="0.25">
      <c r="A8" s="26">
        <v>4</v>
      </c>
      <c r="B8" s="27" t="s">
        <v>26</v>
      </c>
      <c r="C8" s="28" t="s">
        <v>27</v>
      </c>
      <c r="D8" s="29" t="s">
        <v>28</v>
      </c>
      <c r="E8" s="30">
        <v>46034</v>
      </c>
      <c r="F8" s="31">
        <v>5200</v>
      </c>
      <c r="G8" s="32" t="s">
        <v>14</v>
      </c>
      <c r="H8" s="33" t="s">
        <v>15</v>
      </c>
      <c r="I8" s="30">
        <v>46058</v>
      </c>
    </row>
    <row r="9" spans="1:9" x14ac:dyDescent="0.25">
      <c r="A9" s="18">
        <v>5</v>
      </c>
      <c r="B9" s="19" t="s">
        <v>29</v>
      </c>
      <c r="C9" s="20" t="s">
        <v>30</v>
      </c>
      <c r="D9" s="21" t="s">
        <v>31</v>
      </c>
      <c r="E9" s="22">
        <v>46035</v>
      </c>
      <c r="F9" s="23">
        <v>1300</v>
      </c>
      <c r="G9" s="24" t="s">
        <v>32</v>
      </c>
      <c r="H9" s="25" t="s">
        <v>20</v>
      </c>
      <c r="I9" s="22">
        <v>46061</v>
      </c>
    </row>
    <row r="10" spans="1:9" x14ac:dyDescent="0.25">
      <c r="A10" s="26">
        <v>6</v>
      </c>
      <c r="B10" s="27" t="s">
        <v>33</v>
      </c>
      <c r="C10" s="28" t="s">
        <v>12</v>
      </c>
      <c r="D10" s="29" t="s">
        <v>13</v>
      </c>
      <c r="E10" s="30">
        <v>46037</v>
      </c>
      <c r="F10" s="31">
        <v>600</v>
      </c>
      <c r="G10" s="32" t="s">
        <v>24</v>
      </c>
      <c r="H10" s="33" t="s">
        <v>20</v>
      </c>
      <c r="I10" s="30">
        <v>46050</v>
      </c>
    </row>
    <row r="11" spans="1:9" x14ac:dyDescent="0.25">
      <c r="A11" s="18">
        <v>7</v>
      </c>
      <c r="B11" s="19" t="s">
        <v>34</v>
      </c>
      <c r="C11" s="20" t="s">
        <v>35</v>
      </c>
      <c r="D11" s="21" t="s">
        <v>23</v>
      </c>
      <c r="E11" s="22">
        <v>46038</v>
      </c>
      <c r="F11" s="23">
        <v>3100</v>
      </c>
      <c r="G11" s="24" t="s">
        <v>19</v>
      </c>
      <c r="H11" s="25" t="s">
        <v>20</v>
      </c>
      <c r="I11" s="22">
        <v>46064</v>
      </c>
    </row>
    <row r="12" spans="1:9" x14ac:dyDescent="0.25">
      <c r="A12" s="26">
        <v>8</v>
      </c>
      <c r="B12" s="27" t="s">
        <v>36</v>
      </c>
      <c r="C12" s="28" t="s">
        <v>17</v>
      </c>
      <c r="D12" s="29" t="s">
        <v>18</v>
      </c>
      <c r="E12" s="30">
        <v>46040</v>
      </c>
      <c r="F12" s="31">
        <v>780</v>
      </c>
      <c r="G12" s="32" t="s">
        <v>37</v>
      </c>
      <c r="H12" s="33" t="s">
        <v>25</v>
      </c>
      <c r="I12" s="30">
        <v>46041</v>
      </c>
    </row>
    <row r="13" spans="1:9" x14ac:dyDescent="0.25">
      <c r="A13" s="18">
        <v>9</v>
      </c>
      <c r="B13" s="19" t="s">
        <v>38</v>
      </c>
      <c r="C13" s="20" t="s">
        <v>27</v>
      </c>
      <c r="D13" s="21" t="s">
        <v>28</v>
      </c>
      <c r="E13" s="22">
        <v>46041</v>
      </c>
      <c r="F13" s="23">
        <v>6800</v>
      </c>
      <c r="G13" s="24" t="s">
        <v>14</v>
      </c>
      <c r="H13" s="25" t="s">
        <v>15</v>
      </c>
      <c r="I13" s="22">
        <v>46067</v>
      </c>
    </row>
    <row r="14" spans="1:9" x14ac:dyDescent="0.25">
      <c r="A14" s="26">
        <v>10</v>
      </c>
      <c r="B14" s="27" t="s">
        <v>39</v>
      </c>
      <c r="C14" s="28" t="s">
        <v>22</v>
      </c>
      <c r="D14" s="29" t="s">
        <v>31</v>
      </c>
      <c r="E14" s="30">
        <v>46043</v>
      </c>
      <c r="F14" s="31">
        <v>450</v>
      </c>
      <c r="G14" s="32" t="s">
        <v>24</v>
      </c>
      <c r="H14" s="33" t="s">
        <v>20</v>
      </c>
      <c r="I14" s="30">
        <v>46054</v>
      </c>
    </row>
    <row r="15" spans="1:9" x14ac:dyDescent="0.25">
      <c r="A15" s="18">
        <v>11</v>
      </c>
      <c r="B15" s="19" t="s">
        <v>40</v>
      </c>
      <c r="C15" s="20" t="s">
        <v>12</v>
      </c>
      <c r="D15" s="21" t="s">
        <v>13</v>
      </c>
      <c r="E15" s="22">
        <v>46044</v>
      </c>
      <c r="F15" s="23">
        <v>1100</v>
      </c>
      <c r="G15" s="24" t="s">
        <v>32</v>
      </c>
      <c r="H15" s="25" t="s">
        <v>20</v>
      </c>
      <c r="I15" s="22">
        <v>46062</v>
      </c>
    </row>
    <row r="16" spans="1:9" x14ac:dyDescent="0.25">
      <c r="A16" s="26">
        <v>12</v>
      </c>
      <c r="B16" s="27" t="s">
        <v>41</v>
      </c>
      <c r="C16" s="28" t="s">
        <v>30</v>
      </c>
      <c r="D16" s="29" t="s">
        <v>31</v>
      </c>
      <c r="E16" s="30">
        <v>46045</v>
      </c>
      <c r="F16" s="31">
        <v>2050</v>
      </c>
      <c r="G16" s="32" t="s">
        <v>19</v>
      </c>
      <c r="H16" s="33" t="s">
        <v>25</v>
      </c>
      <c r="I16" s="30">
        <v>46056</v>
      </c>
    </row>
    <row r="17" spans="1:9" x14ac:dyDescent="0.25">
      <c r="A17" s="18">
        <v>13</v>
      </c>
      <c r="B17" s="19" t="s">
        <v>42</v>
      </c>
      <c r="C17" s="20" t="s">
        <v>35</v>
      </c>
      <c r="D17" s="21" t="s">
        <v>23</v>
      </c>
      <c r="E17" s="22">
        <v>46047</v>
      </c>
      <c r="F17" s="23">
        <v>4400</v>
      </c>
      <c r="G17" s="24" t="s">
        <v>14</v>
      </c>
      <c r="H17" s="25" t="s">
        <v>15</v>
      </c>
      <c r="I17" s="22">
        <v>46065</v>
      </c>
    </row>
    <row r="18" spans="1:9" x14ac:dyDescent="0.25">
      <c r="A18" s="26">
        <v>14</v>
      </c>
      <c r="B18" s="27" t="s">
        <v>43</v>
      </c>
      <c r="C18" s="28" t="s">
        <v>17</v>
      </c>
      <c r="D18" s="29" t="s">
        <v>18</v>
      </c>
      <c r="E18" s="30">
        <v>46048</v>
      </c>
      <c r="F18" s="31">
        <v>1950</v>
      </c>
      <c r="G18" s="32" t="s">
        <v>32</v>
      </c>
      <c r="H18" s="33" t="s">
        <v>20</v>
      </c>
      <c r="I18" s="30">
        <v>46066</v>
      </c>
    </row>
    <row r="19" spans="1:9" x14ac:dyDescent="0.25">
      <c r="A19" s="18">
        <v>15</v>
      </c>
      <c r="B19" s="19" t="s">
        <v>44</v>
      </c>
      <c r="C19" s="20" t="s">
        <v>12</v>
      </c>
      <c r="D19" s="21" t="s">
        <v>28</v>
      </c>
      <c r="E19" s="22">
        <v>46050</v>
      </c>
      <c r="F19" s="23">
        <v>2700</v>
      </c>
      <c r="G19" s="24" t="s">
        <v>19</v>
      </c>
      <c r="H19" s="25" t="s">
        <v>20</v>
      </c>
      <c r="I19" s="22">
        <v>46068</v>
      </c>
    </row>
    <row r="20" spans="1:9" x14ac:dyDescent="0.25">
      <c r="A20" s="26">
        <v>16</v>
      </c>
      <c r="B20" s="27" t="s">
        <v>45</v>
      </c>
      <c r="C20" s="28" t="s">
        <v>22</v>
      </c>
      <c r="D20" s="29" t="s">
        <v>13</v>
      </c>
      <c r="E20" s="30">
        <v>46051</v>
      </c>
      <c r="F20" s="31">
        <v>520</v>
      </c>
      <c r="G20" s="32" t="s">
        <v>37</v>
      </c>
      <c r="H20" s="33" t="s">
        <v>20</v>
      </c>
      <c r="I20" s="30">
        <v>46052</v>
      </c>
    </row>
    <row r="21" spans="1:9" x14ac:dyDescent="0.25">
      <c r="A21" s="18">
        <v>17</v>
      </c>
      <c r="B21" s="19" t="s">
        <v>46</v>
      </c>
      <c r="C21" s="20" t="s">
        <v>27</v>
      </c>
      <c r="D21" s="21" t="s">
        <v>23</v>
      </c>
      <c r="E21" s="22">
        <v>46052</v>
      </c>
      <c r="F21" s="23">
        <v>8900</v>
      </c>
      <c r="G21" s="24" t="s">
        <v>14</v>
      </c>
      <c r="H21" s="25" t="s">
        <v>15</v>
      </c>
      <c r="I21" s="22">
        <v>46069</v>
      </c>
    </row>
    <row r="22" spans="1:9" x14ac:dyDescent="0.25">
      <c r="A22" s="26">
        <v>18</v>
      </c>
      <c r="B22" s="27" t="s">
        <v>47</v>
      </c>
      <c r="C22" s="28" t="s">
        <v>30</v>
      </c>
      <c r="D22" s="29" t="s">
        <v>31</v>
      </c>
      <c r="E22" s="30">
        <v>46055</v>
      </c>
      <c r="F22" s="31">
        <v>380</v>
      </c>
      <c r="G22" s="32" t="s">
        <v>24</v>
      </c>
      <c r="H22" s="33" t="s">
        <v>25</v>
      </c>
      <c r="I22" s="30">
        <v>46059</v>
      </c>
    </row>
    <row r="23" spans="1:9" x14ac:dyDescent="0.25">
      <c r="A23" s="18">
        <v>19</v>
      </c>
      <c r="B23" s="19" t="s">
        <v>48</v>
      </c>
      <c r="C23" s="20" t="s">
        <v>12</v>
      </c>
      <c r="D23" s="21" t="s">
        <v>13</v>
      </c>
      <c r="E23" s="22">
        <v>46056</v>
      </c>
      <c r="F23" s="23">
        <v>1600</v>
      </c>
      <c r="G23" s="24" t="s">
        <v>32</v>
      </c>
      <c r="H23" s="25" t="s">
        <v>20</v>
      </c>
      <c r="I23" s="22">
        <v>46070</v>
      </c>
    </row>
    <row r="24" spans="1:9" x14ac:dyDescent="0.25">
      <c r="A24" s="26">
        <v>20</v>
      </c>
      <c r="B24" s="27" t="s">
        <v>49</v>
      </c>
      <c r="C24" s="28" t="s">
        <v>35</v>
      </c>
      <c r="D24" s="29" t="s">
        <v>23</v>
      </c>
      <c r="E24" s="30">
        <v>46057</v>
      </c>
      <c r="F24" s="31">
        <v>3500</v>
      </c>
      <c r="G24" s="32" t="s">
        <v>19</v>
      </c>
      <c r="H24" s="33" t="s">
        <v>20</v>
      </c>
      <c r="I24" s="30">
        <v>46071</v>
      </c>
    </row>
    <row r="25" spans="1:9" x14ac:dyDescent="0.25">
      <c r="A25" s="18">
        <v>21</v>
      </c>
      <c r="B25" s="19" t="s">
        <v>50</v>
      </c>
      <c r="C25" s="20" t="s">
        <v>17</v>
      </c>
      <c r="D25" s="21" t="s">
        <v>18</v>
      </c>
      <c r="E25" s="22">
        <v>46058</v>
      </c>
      <c r="F25" s="23">
        <v>890</v>
      </c>
      <c r="G25" s="24" t="s">
        <v>24</v>
      </c>
      <c r="H25" s="25" t="s">
        <v>20</v>
      </c>
      <c r="I25" s="22">
        <v>46063</v>
      </c>
    </row>
    <row r="26" spans="1:9" x14ac:dyDescent="0.25">
      <c r="A26" s="26">
        <v>22</v>
      </c>
      <c r="B26" s="27" t="s">
        <v>51</v>
      </c>
      <c r="C26" s="28" t="s">
        <v>27</v>
      </c>
      <c r="D26" s="29" t="s">
        <v>28</v>
      </c>
      <c r="E26" s="30">
        <v>46059</v>
      </c>
      <c r="F26" s="31">
        <v>4100</v>
      </c>
      <c r="G26" s="32" t="s">
        <v>14</v>
      </c>
      <c r="H26" s="33" t="s">
        <v>15</v>
      </c>
      <c r="I26" s="30">
        <v>46072</v>
      </c>
    </row>
    <row r="27" spans="1:9" x14ac:dyDescent="0.25">
      <c r="A27" s="18" t="str">
        <f t="shared" ref="A27:A34" si="0">IF(B27="","",ROW()-4)</f>
        <v/>
      </c>
      <c r="B27" s="20"/>
      <c r="C27" s="20"/>
      <c r="D27" s="20"/>
      <c r="E27" s="34"/>
      <c r="F27" s="23"/>
      <c r="G27" s="25"/>
      <c r="H27" s="25"/>
      <c r="I27" s="34"/>
    </row>
    <row r="28" spans="1:9" x14ac:dyDescent="0.25">
      <c r="A28" s="26" t="str">
        <f t="shared" si="0"/>
        <v/>
      </c>
      <c r="B28" s="28"/>
      <c r="C28" s="28"/>
      <c r="D28" s="28"/>
      <c r="E28" s="35"/>
      <c r="F28" s="31"/>
      <c r="G28" s="33"/>
      <c r="H28" s="33"/>
      <c r="I28" s="35"/>
    </row>
    <row r="29" spans="1:9" x14ac:dyDescent="0.25">
      <c r="A29" s="18" t="str">
        <f t="shared" si="0"/>
        <v/>
      </c>
      <c r="B29" s="20"/>
      <c r="C29" s="20"/>
      <c r="D29" s="20"/>
      <c r="E29" s="34"/>
      <c r="F29" s="23"/>
      <c r="G29" s="25"/>
      <c r="H29" s="25"/>
      <c r="I29" s="34"/>
    </row>
    <row r="30" spans="1:9" x14ac:dyDescent="0.25">
      <c r="A30" s="26" t="str">
        <f t="shared" si="0"/>
        <v/>
      </c>
      <c r="B30" s="28"/>
      <c r="C30" s="28"/>
      <c r="D30" s="28"/>
      <c r="E30" s="35"/>
      <c r="F30" s="31"/>
      <c r="G30" s="33"/>
      <c r="H30" s="33"/>
      <c r="I30" s="35"/>
    </row>
    <row r="31" spans="1:9" x14ac:dyDescent="0.25">
      <c r="A31" s="18" t="str">
        <f t="shared" si="0"/>
        <v/>
      </c>
      <c r="B31" s="20"/>
      <c r="C31" s="20"/>
      <c r="D31" s="20"/>
      <c r="E31" s="34"/>
      <c r="F31" s="23"/>
      <c r="G31" s="25"/>
      <c r="H31" s="25"/>
      <c r="I31" s="34"/>
    </row>
    <row r="32" spans="1:9" x14ac:dyDescent="0.25">
      <c r="A32" s="26" t="str">
        <f t="shared" si="0"/>
        <v/>
      </c>
      <c r="B32" s="28"/>
      <c r="C32" s="28"/>
      <c r="D32" s="28"/>
      <c r="E32" s="35"/>
      <c r="F32" s="31"/>
      <c r="G32" s="33"/>
      <c r="H32" s="33"/>
      <c r="I32" s="35"/>
    </row>
    <row r="33" spans="1:9" x14ac:dyDescent="0.25">
      <c r="A33" s="18" t="str">
        <f t="shared" si="0"/>
        <v/>
      </c>
      <c r="B33" s="20"/>
      <c r="C33" s="20"/>
      <c r="D33" s="20"/>
      <c r="E33" s="34"/>
      <c r="F33" s="23"/>
      <c r="G33" s="25"/>
      <c r="H33" s="25"/>
      <c r="I33" s="34"/>
    </row>
    <row r="34" spans="1:9" x14ac:dyDescent="0.25">
      <c r="A34" s="26" t="str">
        <f t="shared" si="0"/>
        <v/>
      </c>
      <c r="B34" s="28"/>
      <c r="C34" s="28"/>
      <c r="D34" s="28"/>
      <c r="E34" s="35"/>
      <c r="F34" s="31"/>
      <c r="G34" s="33"/>
      <c r="H34" s="33"/>
      <c r="I34" s="35"/>
    </row>
  </sheetData>
  <mergeCells count="2">
    <mergeCell ref="B1:I1"/>
    <mergeCell ref="A2:I2"/>
  </mergeCells>
  <conditionalFormatting sqref="H5:H34">
    <cfRule type="cellIs" dxfId="1" priority="2" operator="equal">
      <formula>"Gewonnen"</formula>
    </cfRule>
    <cfRule type="cellIs" dxfId="0" priority="3" operator="equal">
      <formula>"Verloren"</formula>
    </cfRule>
  </conditionalFormatting>
  <dataValidations count="3">
    <dataValidation type="list" allowBlank="1" sqref="G5:G34" xr:uid="{00000000-0002-0000-0000-000000000000}">
      <formula1>"Besucher,Lead,MQL,SQL,Kunde"</formula1>
      <formula2>0</formula2>
    </dataValidation>
    <dataValidation type="list" allowBlank="1" sqref="H5:H34" xr:uid="{00000000-0002-0000-0000-000001000000}">
      <formula1>"Aktiv,Gewonnen,Verloren"</formula1>
      <formula2>0</formula2>
    </dataValidation>
    <dataValidation type="list" allowBlank="1" sqref="C5:C34" xr:uid="{00000000-0002-0000-0000-000002000000}">
      <formula1>"Website,Google Ads,Social Media,Newsletter,Empfehlung,Messe"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Funnel-Dashboard</vt:lpstr>
      <vt:lpstr>Leads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2026-06-01T10:57:18Z</dcterms:created>
  <dcterms:modified xsi:type="dcterms:W3CDTF">2026-06-01T11:01:14Z</dcterms:modified>
  <dc:language>en-US</dc:language>
</cp:coreProperties>
</file>